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25" windowHeight="3105"/>
  </bookViews>
  <sheets>
    <sheet name="Planilha1" sheetId="1" r:id="rId1"/>
    <sheet name="DadosCondiçõ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1" l="1"/>
  <c r="L88" i="1"/>
  <c r="L89" i="1"/>
  <c r="L90" i="1"/>
  <c r="L86" i="1"/>
  <c r="K90" i="1"/>
  <c r="G90" i="1"/>
  <c r="H90" i="1" s="1"/>
  <c r="D90" i="1"/>
  <c r="K89" i="1"/>
  <c r="G89" i="1"/>
  <c r="H89" i="1" s="1"/>
  <c r="D89" i="1"/>
  <c r="K88" i="1"/>
  <c r="G88" i="1"/>
  <c r="H88" i="1" s="1"/>
  <c r="D88" i="1"/>
  <c r="K87" i="1"/>
  <c r="M87" i="1" s="1"/>
  <c r="G87" i="1"/>
  <c r="H87" i="1" s="1"/>
  <c r="D87" i="1"/>
  <c r="K86" i="1"/>
  <c r="G86" i="1"/>
  <c r="H86" i="1" s="1"/>
  <c r="D86" i="1"/>
  <c r="L73" i="1"/>
  <c r="L74" i="1"/>
  <c r="L75" i="1"/>
  <c r="L76" i="1"/>
  <c r="L72" i="1"/>
  <c r="L66" i="1"/>
  <c r="K76" i="1"/>
  <c r="G76" i="1"/>
  <c r="H76" i="1" s="1"/>
  <c r="D76" i="1"/>
  <c r="K75" i="1"/>
  <c r="M75" i="1" s="1"/>
  <c r="G75" i="1"/>
  <c r="H75" i="1" s="1"/>
  <c r="D75" i="1"/>
  <c r="K74" i="1"/>
  <c r="M74" i="1" s="1"/>
  <c r="G74" i="1"/>
  <c r="H74" i="1" s="1"/>
  <c r="D74" i="1"/>
  <c r="K73" i="1"/>
  <c r="M73" i="1" s="1"/>
  <c r="G73" i="1"/>
  <c r="H73" i="1" s="1"/>
  <c r="D73" i="1"/>
  <c r="K72" i="1"/>
  <c r="G72" i="1"/>
  <c r="H72" i="1" s="1"/>
  <c r="D72" i="1"/>
  <c r="L59" i="1"/>
  <c r="L60" i="1"/>
  <c r="L61" i="1"/>
  <c r="L62" i="1"/>
  <c r="L58" i="1"/>
  <c r="L45" i="1"/>
  <c r="L46" i="1"/>
  <c r="L47" i="1"/>
  <c r="L48" i="1"/>
  <c r="L44" i="1"/>
  <c r="L52" i="1"/>
  <c r="K48" i="1"/>
  <c r="M48" i="1" s="1"/>
  <c r="G48" i="1"/>
  <c r="H48" i="1" s="1"/>
  <c r="D48" i="1"/>
  <c r="K47" i="1"/>
  <c r="M47" i="1" s="1"/>
  <c r="G47" i="1"/>
  <c r="H47" i="1" s="1"/>
  <c r="D47" i="1"/>
  <c r="K46" i="1"/>
  <c r="M46" i="1" s="1"/>
  <c r="G46" i="1"/>
  <c r="H46" i="1" s="1"/>
  <c r="D46" i="1"/>
  <c r="K45" i="1"/>
  <c r="M45" i="1" s="1"/>
  <c r="G45" i="1"/>
  <c r="H45" i="1" s="1"/>
  <c r="D45" i="1"/>
  <c r="K44" i="1"/>
  <c r="G44" i="1"/>
  <c r="H44" i="1" s="1"/>
  <c r="D44" i="1"/>
  <c r="K34" i="1"/>
  <c r="L34" i="1" s="1"/>
  <c r="G34" i="1"/>
  <c r="H34" i="1" s="1"/>
  <c r="D34" i="1"/>
  <c r="K33" i="1"/>
  <c r="L33" i="1" s="1"/>
  <c r="G33" i="1"/>
  <c r="H33" i="1" s="1"/>
  <c r="D33" i="1"/>
  <c r="K32" i="1"/>
  <c r="L32" i="1" s="1"/>
  <c r="G32" i="1"/>
  <c r="H32" i="1" s="1"/>
  <c r="D32" i="1"/>
  <c r="K31" i="1"/>
  <c r="L31" i="1" s="1"/>
  <c r="G31" i="1"/>
  <c r="H31" i="1" s="1"/>
  <c r="D31" i="1"/>
  <c r="K30" i="1"/>
  <c r="L30" i="1" s="1"/>
  <c r="G30" i="1"/>
  <c r="H30" i="1" s="1"/>
  <c r="I30" i="1" s="1"/>
  <c r="J30" i="1" s="1"/>
  <c r="D30" i="1"/>
  <c r="F6" i="1"/>
  <c r="F5" i="1"/>
  <c r="F4" i="1"/>
  <c r="F3" i="1"/>
  <c r="F2" i="1"/>
  <c r="K20" i="1"/>
  <c r="K19" i="1"/>
  <c r="K18" i="1"/>
  <c r="K17" i="1"/>
  <c r="K16" i="1"/>
  <c r="G17" i="1"/>
  <c r="H17" i="1" s="1"/>
  <c r="G18" i="1"/>
  <c r="H18" i="1" s="1"/>
  <c r="G19" i="1"/>
  <c r="H19" i="1" s="1"/>
  <c r="G20" i="1"/>
  <c r="H20" i="1" s="1"/>
  <c r="D20" i="1"/>
  <c r="D19" i="1"/>
  <c r="D18" i="1"/>
  <c r="D17" i="1"/>
  <c r="D16" i="1"/>
  <c r="K58" i="1"/>
  <c r="K62" i="1"/>
  <c r="K61" i="1"/>
  <c r="K60" i="1"/>
  <c r="K59" i="1"/>
  <c r="D59" i="1"/>
  <c r="G59" i="1"/>
  <c r="H59" i="1" s="1"/>
  <c r="I59" i="1" s="1"/>
  <c r="J59" i="1" s="1"/>
  <c r="D60" i="1"/>
  <c r="G60" i="1"/>
  <c r="H60" i="1" s="1"/>
  <c r="D61" i="1"/>
  <c r="G61" i="1"/>
  <c r="H61" i="1" s="1"/>
  <c r="I61" i="1" s="1"/>
  <c r="J61" i="1" s="1"/>
  <c r="D62" i="1"/>
  <c r="G62" i="1"/>
  <c r="H62" i="1" s="1"/>
  <c r="G58" i="1"/>
  <c r="H58" i="1" s="1"/>
  <c r="D58" i="1"/>
  <c r="L10" i="1"/>
  <c r="G16" i="1"/>
  <c r="H16" i="1" s="1"/>
  <c r="M89" i="1" l="1"/>
  <c r="M88" i="1"/>
  <c r="M90" i="1"/>
  <c r="M86" i="1"/>
  <c r="O86" i="1" s="1"/>
  <c r="P86" i="1" s="1"/>
  <c r="Q86" i="1" s="1"/>
  <c r="R86" i="1" s="1"/>
  <c r="O89" i="1"/>
  <c r="P89" i="1" s="1"/>
  <c r="O90" i="1"/>
  <c r="P90" i="1" s="1"/>
  <c r="O87" i="1"/>
  <c r="P87" i="1" s="1"/>
  <c r="O88" i="1"/>
  <c r="P88" i="1" s="1"/>
  <c r="I86" i="1"/>
  <c r="J86" i="1" s="1"/>
  <c r="I87" i="1"/>
  <c r="J87" i="1" s="1"/>
  <c r="I88" i="1"/>
  <c r="J88" i="1" s="1"/>
  <c r="I89" i="1"/>
  <c r="J89" i="1" s="1"/>
  <c r="I90" i="1"/>
  <c r="J90" i="1" s="1"/>
  <c r="M76" i="1"/>
  <c r="M72" i="1"/>
  <c r="O72" i="1" s="1"/>
  <c r="P72" i="1" s="1"/>
  <c r="Q72" i="1" s="1"/>
  <c r="R72" i="1" s="1"/>
  <c r="O75" i="1"/>
  <c r="P75" i="1" s="1"/>
  <c r="O76" i="1"/>
  <c r="P76" i="1" s="1"/>
  <c r="O73" i="1"/>
  <c r="P73" i="1" s="1"/>
  <c r="O74" i="1"/>
  <c r="P74" i="1" s="1"/>
  <c r="Q74" i="1" s="1"/>
  <c r="R74" i="1" s="1"/>
  <c r="I72" i="1"/>
  <c r="J72" i="1" s="1"/>
  <c r="I73" i="1"/>
  <c r="J73" i="1" s="1"/>
  <c r="I74" i="1"/>
  <c r="J74" i="1" s="1"/>
  <c r="I75" i="1"/>
  <c r="J75" i="1" s="1"/>
  <c r="I76" i="1"/>
  <c r="J76" i="1" s="1"/>
  <c r="I19" i="1"/>
  <c r="J19" i="1" s="1"/>
  <c r="I16" i="1"/>
  <c r="J16" i="1" s="1"/>
  <c r="I33" i="1"/>
  <c r="J33" i="1" s="1"/>
  <c r="L19" i="1"/>
  <c r="M19" i="1" s="1"/>
  <c r="O19" i="1" s="1"/>
  <c r="P19" i="1" s="1"/>
  <c r="Q19" i="1" s="1"/>
  <c r="R19" i="1" s="1"/>
  <c r="I31" i="1"/>
  <c r="J31" i="1" s="1"/>
  <c r="I62" i="1"/>
  <c r="J62" i="1" s="1"/>
  <c r="I60" i="1"/>
  <c r="J60" i="1" s="1"/>
  <c r="M44" i="1"/>
  <c r="O44" i="1" s="1"/>
  <c r="P44" i="1" s="1"/>
  <c r="O47" i="1"/>
  <c r="P47" i="1" s="1"/>
  <c r="O45" i="1"/>
  <c r="P45" i="1" s="1"/>
  <c r="O46" i="1"/>
  <c r="P46" i="1" s="1"/>
  <c r="O48" i="1"/>
  <c r="P48" i="1" s="1"/>
  <c r="I44" i="1"/>
  <c r="J44" i="1" s="1"/>
  <c r="I45" i="1"/>
  <c r="J45" i="1" s="1"/>
  <c r="I46" i="1"/>
  <c r="J46" i="1" s="1"/>
  <c r="I47" i="1"/>
  <c r="J47" i="1" s="1"/>
  <c r="I48" i="1"/>
  <c r="J48" i="1" s="1"/>
  <c r="I18" i="1"/>
  <c r="J18" i="1" s="1"/>
  <c r="I17" i="1"/>
  <c r="J17" i="1" s="1"/>
  <c r="M30" i="1"/>
  <c r="O30" i="1" s="1"/>
  <c r="P30" i="1" s="1"/>
  <c r="Q30" i="1" s="1"/>
  <c r="R30" i="1" s="1"/>
  <c r="M31" i="1"/>
  <c r="O31" i="1" s="1"/>
  <c r="P31" i="1" s="1"/>
  <c r="I34" i="1"/>
  <c r="J34" i="1" s="1"/>
  <c r="M32" i="1"/>
  <c r="O32" i="1" s="1"/>
  <c r="P32" i="1" s="1"/>
  <c r="I58" i="1"/>
  <c r="J58" i="1" s="1"/>
  <c r="M33" i="1"/>
  <c r="O33" i="1" s="1"/>
  <c r="P33" i="1" s="1"/>
  <c r="Q33" i="1" s="1"/>
  <c r="R33" i="1" s="1"/>
  <c r="M34" i="1"/>
  <c r="O34" i="1" s="1"/>
  <c r="P34" i="1" s="1"/>
  <c r="Q34" i="1" s="1"/>
  <c r="R34" i="1" s="1"/>
  <c r="I32" i="1"/>
  <c r="J32" i="1" s="1"/>
  <c r="I20" i="1"/>
  <c r="J20" i="1" s="1"/>
  <c r="M59" i="1"/>
  <c r="O59" i="1" s="1"/>
  <c r="P59" i="1" s="1"/>
  <c r="Q59" i="1" s="1"/>
  <c r="R59" i="1" s="1"/>
  <c r="L16" i="1"/>
  <c r="M16" i="1" s="1"/>
  <c r="M61" i="1"/>
  <c r="M62" i="1"/>
  <c r="L17" i="1"/>
  <c r="M17" i="1" s="1"/>
  <c r="O17" i="1" s="1"/>
  <c r="P17" i="1" s="1"/>
  <c r="Q17" i="1" s="1"/>
  <c r="R17" i="1" s="1"/>
  <c r="L18" i="1"/>
  <c r="M18" i="1" s="1"/>
  <c r="O18" i="1" s="1"/>
  <c r="P18" i="1" s="1"/>
  <c r="Q18" i="1" s="1"/>
  <c r="R18" i="1" s="1"/>
  <c r="M60" i="1"/>
  <c r="L20" i="1"/>
  <c r="M20" i="1" s="1"/>
  <c r="O20" i="1" s="1"/>
  <c r="P20" i="1" s="1"/>
  <c r="Q20" i="1" s="1"/>
  <c r="R20" i="1" s="1"/>
  <c r="M58" i="1"/>
  <c r="Q90" i="1" l="1"/>
  <c r="R90" i="1" s="1"/>
  <c r="Q88" i="1"/>
  <c r="R88" i="1" s="1"/>
  <c r="Q89" i="1"/>
  <c r="R89" i="1" s="1"/>
  <c r="Q87" i="1"/>
  <c r="R87" i="1" s="1"/>
  <c r="Q76" i="1"/>
  <c r="R76" i="1" s="1"/>
  <c r="Q75" i="1"/>
  <c r="R75" i="1" s="1"/>
  <c r="Q73" i="1"/>
  <c r="R73" i="1" s="1"/>
  <c r="Q31" i="1"/>
  <c r="R31" i="1" s="1"/>
  <c r="Q44" i="1"/>
  <c r="R44" i="1" s="1"/>
  <c r="Q45" i="1"/>
  <c r="R45" i="1" s="1"/>
  <c r="Q48" i="1"/>
  <c r="R48" i="1" s="1"/>
  <c r="Q47" i="1"/>
  <c r="R47" i="1" s="1"/>
  <c r="Q46" i="1"/>
  <c r="R46" i="1" s="1"/>
  <c r="Q32" i="1"/>
  <c r="R32" i="1" s="1"/>
  <c r="O58" i="1"/>
  <c r="P58" i="1" s="1"/>
  <c r="Q58" i="1" s="1"/>
  <c r="R58" i="1" s="1"/>
  <c r="O62" i="1"/>
  <c r="P62" i="1" s="1"/>
  <c r="Q62" i="1" s="1"/>
  <c r="R62" i="1" s="1"/>
  <c r="O60" i="1"/>
  <c r="P60" i="1" s="1"/>
  <c r="Q60" i="1" s="1"/>
  <c r="R60" i="1" s="1"/>
  <c r="O61" i="1"/>
  <c r="P61" i="1" s="1"/>
  <c r="Q61" i="1" s="1"/>
  <c r="R61" i="1" s="1"/>
  <c r="O16" i="1"/>
  <c r="P16" i="1" s="1"/>
  <c r="Q16" i="1" s="1"/>
  <c r="R16" i="1" s="1"/>
</calcChain>
</file>

<file path=xl/sharedStrings.xml><?xml version="1.0" encoding="utf-8"?>
<sst xmlns="http://schemas.openxmlformats.org/spreadsheetml/2006/main" count="260" uniqueCount="70">
  <si>
    <t>situação</t>
  </si>
  <si>
    <t>Potencia</t>
  </si>
  <si>
    <t>Constante</t>
  </si>
  <si>
    <t>Rotçao</t>
  </si>
  <si>
    <t>Parametros trabalho de arrefecimento - trocador de calor 1</t>
  </si>
  <si>
    <t>Vazao (l/min)</t>
  </si>
  <si>
    <t>largura</t>
  </si>
  <si>
    <t>altura</t>
  </si>
  <si>
    <t>espessura</t>
  </si>
  <si>
    <t>num aletas</t>
  </si>
  <si>
    <t>esp. Aleta</t>
  </si>
  <si>
    <t>num. Tubos</t>
  </si>
  <si>
    <t>esp. Parede tubo</t>
  </si>
  <si>
    <t>largura do tubo</t>
  </si>
  <si>
    <t>esp do tubo</t>
  </si>
  <si>
    <t>Pot arref</t>
  </si>
  <si>
    <t>h aleta</t>
  </si>
  <si>
    <t>Cp do liquido Kg/KJ*K</t>
  </si>
  <si>
    <t>Prandt da agua</t>
  </si>
  <si>
    <t>Cp ar</t>
  </si>
  <si>
    <t>Cond ar</t>
  </si>
  <si>
    <t>prandt ar</t>
  </si>
  <si>
    <t>coeficiente global U</t>
  </si>
  <si>
    <t>m³/s</t>
  </si>
  <si>
    <t>Dens agua kg/m³</t>
  </si>
  <si>
    <t>Vmassica(kg/s)</t>
  </si>
  <si>
    <t>Var(m/s)</t>
  </si>
  <si>
    <t>vazao ar (m³/s)</t>
  </si>
  <si>
    <t>Dens ar kg/m³</t>
  </si>
  <si>
    <t>vmass ar kg/s</t>
  </si>
  <si>
    <t>delta t ar</t>
  </si>
  <si>
    <t>Delta t liq</t>
  </si>
  <si>
    <t>Situação</t>
  </si>
  <si>
    <t>velocidade</t>
  </si>
  <si>
    <t>aclive</t>
  </si>
  <si>
    <t>T máx</t>
  </si>
  <si>
    <t>Tamb/ATB</t>
  </si>
  <si>
    <t>Marcha</t>
  </si>
  <si>
    <t>30/40</t>
  </si>
  <si>
    <t>30/54</t>
  </si>
  <si>
    <t>30/65</t>
  </si>
  <si>
    <t>g1</t>
  </si>
  <si>
    <t>g2</t>
  </si>
  <si>
    <t>g5</t>
  </si>
  <si>
    <t>Massa</t>
  </si>
  <si>
    <t>Parametros trabalho de arrefecimento - trocador de calor 2</t>
  </si>
  <si>
    <t>Area passag ar</t>
  </si>
  <si>
    <t>T ent agua</t>
  </si>
  <si>
    <t>T ent ar</t>
  </si>
  <si>
    <t>Cond Liq W/mK</t>
  </si>
  <si>
    <t>T saida agua</t>
  </si>
  <si>
    <t>T saida ar</t>
  </si>
  <si>
    <t>DTML</t>
  </si>
  <si>
    <t>A (dtml)</t>
  </si>
  <si>
    <t>Parametros trabalho de arrefecimento - trocador de calor 1 - iteração 2</t>
  </si>
  <si>
    <t>Parametros trabalho de arrefecimento - trocador de calor 1 - iteração 3</t>
  </si>
  <si>
    <t>Parametros trabalho de arrefecimento - trocador de calor 2- iteração 2</t>
  </si>
  <si>
    <t>Parametros trabalho de arrefecimento - trocador de calor 2 - iteração 3</t>
  </si>
  <si>
    <t>Conclui-se que o trocador de calor 1 é melhor, já que a área já está adequada, mesmo com as situações extremas,  e não está superdimensionado, já que de com 3 iterações sobre a área a diferença não foi tao grande (menos de 25%), ao passo que para o trocador de calor 2, com 3 iterações a diferença foi de 70% .</t>
  </si>
  <si>
    <t>Rotação do motor</t>
  </si>
  <si>
    <t>Sistema 1</t>
  </si>
  <si>
    <t>Sistema 2</t>
  </si>
  <si>
    <t>T ent agua (Celsius)</t>
  </si>
  <si>
    <t>Cp ar   kJ/kg.K</t>
  </si>
  <si>
    <t>Delta T liq</t>
  </si>
  <si>
    <t>Potencia (cv)</t>
  </si>
  <si>
    <t>Pot arref (cv)</t>
  </si>
  <si>
    <t>Rotçao (rpm)</t>
  </si>
  <si>
    <t>Delta t liq (graus)</t>
  </si>
  <si>
    <t>T saida agua 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</si>
</sst>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9" fontId="0" fillId="0" borderId="0" xfId="1" applyFont="1"/>
    <xf numFmtId="0" fontId="0" fillId="0" borderId="0" xfId="0" applyAlignment="1">
      <alignment wrapText="1"/>
    </xf>
    <xf numFmtId="0" fontId="0" fillId="0" borderId="0" xfId="0" applyBorder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workbookViewId="0">
      <selection activeCell="M104" sqref="M104"/>
    </sheetView>
  </sheetViews>
  <sheetFormatPr defaultRowHeight="15" x14ac:dyDescent="0.25"/>
  <cols>
    <col min="1" max="1" width="8.140625" customWidth="1"/>
    <col min="2" max="2" width="13" customWidth="1"/>
    <col min="3" max="3" width="9.85546875" customWidth="1"/>
    <col min="4" max="4" width="11.7109375" customWidth="1"/>
    <col min="5" max="5" width="12" customWidth="1"/>
    <col min="6" max="6" width="12.7109375" customWidth="1"/>
    <col min="7" max="7" width="5.5703125" customWidth="1"/>
    <col min="8" max="8" width="14.28515625" customWidth="1"/>
    <col min="9" max="9" width="16" customWidth="1"/>
    <col min="10" max="10" width="19.5703125" customWidth="1"/>
    <col min="11" max="11" width="8.7109375" customWidth="1"/>
    <col min="12" max="13" width="14.140625" customWidth="1"/>
    <col min="14" max="14" width="7.7109375" customWidth="1"/>
  </cols>
  <sheetData>
    <row r="1" spans="1:1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44</v>
      </c>
      <c r="G1" t="s">
        <v>37</v>
      </c>
    </row>
    <row r="2" spans="1:18" x14ac:dyDescent="0.25">
      <c r="A2">
        <v>1</v>
      </c>
      <c r="B2">
        <v>22</v>
      </c>
      <c r="C2" s="2">
        <v>0.09</v>
      </c>
      <c r="D2">
        <v>125</v>
      </c>
      <c r="E2" t="s">
        <v>38</v>
      </c>
      <c r="F2">
        <f>1320+5*75+500</f>
        <v>2195</v>
      </c>
      <c r="G2" t="s">
        <v>41</v>
      </c>
    </row>
    <row r="3" spans="1:18" x14ac:dyDescent="0.25">
      <c r="A3">
        <v>2</v>
      </c>
      <c r="B3">
        <v>43</v>
      </c>
      <c r="C3" s="2">
        <v>0.06</v>
      </c>
      <c r="D3">
        <v>125</v>
      </c>
      <c r="E3" t="s">
        <v>39</v>
      </c>
      <c r="F3">
        <f>1320+5*75</f>
        <v>1695</v>
      </c>
      <c r="G3" t="s">
        <v>42</v>
      </c>
    </row>
    <row r="4" spans="1:18" x14ac:dyDescent="0.25">
      <c r="A4">
        <v>3</v>
      </c>
      <c r="B4">
        <v>43</v>
      </c>
      <c r="C4" s="2">
        <v>0.09</v>
      </c>
      <c r="D4">
        <v>125</v>
      </c>
      <c r="E4" t="s">
        <v>39</v>
      </c>
      <c r="F4">
        <f>1320+5*75+200</f>
        <v>1895</v>
      </c>
      <c r="G4" t="s">
        <v>42</v>
      </c>
    </row>
    <row r="5" spans="1:18" x14ac:dyDescent="0.25">
      <c r="A5">
        <v>4</v>
      </c>
      <c r="B5">
        <v>140</v>
      </c>
      <c r="C5" s="2">
        <v>0</v>
      </c>
      <c r="D5">
        <v>125</v>
      </c>
      <c r="E5" t="s">
        <v>39</v>
      </c>
      <c r="F5">
        <f>1320+5*75</f>
        <v>1695</v>
      </c>
      <c r="G5" t="s">
        <v>43</v>
      </c>
    </row>
    <row r="6" spans="1:18" x14ac:dyDescent="0.25">
      <c r="A6">
        <v>5</v>
      </c>
      <c r="B6">
        <v>146.30000000000001</v>
      </c>
      <c r="C6" s="2">
        <v>0</v>
      </c>
      <c r="D6">
        <v>125</v>
      </c>
      <c r="E6" t="s">
        <v>40</v>
      </c>
      <c r="F6">
        <f>1320+5*75</f>
        <v>1695</v>
      </c>
      <c r="G6" t="s">
        <v>43</v>
      </c>
    </row>
    <row r="8" spans="1:18" x14ac:dyDescent="0.25">
      <c r="A8" s="8" t="s">
        <v>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16</v>
      </c>
      <c r="G9" t="s">
        <v>11</v>
      </c>
      <c r="H9" t="s">
        <v>12</v>
      </c>
      <c r="I9" t="s">
        <v>13</v>
      </c>
      <c r="J9" t="s">
        <v>14</v>
      </c>
      <c r="K9" t="s">
        <v>22</v>
      </c>
      <c r="L9" t="s">
        <v>46</v>
      </c>
    </row>
    <row r="10" spans="1:18" x14ac:dyDescent="0.25">
      <c r="A10">
        <v>0.5</v>
      </c>
      <c r="B10">
        <v>0.34</v>
      </c>
      <c r="C10">
        <v>0.04</v>
      </c>
      <c r="D10">
        <v>11400</v>
      </c>
      <c r="E10">
        <v>6.9999999999999999E-4</v>
      </c>
      <c r="F10">
        <v>2E-3</v>
      </c>
      <c r="G10">
        <v>16</v>
      </c>
      <c r="H10">
        <v>3.0000000000000001E-3</v>
      </c>
      <c r="I10">
        <v>0.35</v>
      </c>
      <c r="J10">
        <v>1.2E-2</v>
      </c>
      <c r="K10">
        <v>40</v>
      </c>
      <c r="L10">
        <f>A10*B10-E10*F10*D10-J10*B10*G10</f>
        <v>8.8760000000000006E-2</v>
      </c>
    </row>
    <row r="12" spans="1:18" x14ac:dyDescent="0.25">
      <c r="A12" t="s">
        <v>17</v>
      </c>
      <c r="B12" t="s">
        <v>49</v>
      </c>
      <c r="C12" t="s">
        <v>18</v>
      </c>
      <c r="D12" t="s">
        <v>24</v>
      </c>
      <c r="E12" t="s">
        <v>19</v>
      </c>
      <c r="F12" t="s">
        <v>20</v>
      </c>
      <c r="G12" t="s">
        <v>21</v>
      </c>
      <c r="H12" t="s">
        <v>28</v>
      </c>
      <c r="I12" t="s">
        <v>47</v>
      </c>
    </row>
    <row r="13" spans="1:18" x14ac:dyDescent="0.25">
      <c r="A13">
        <v>4.2320000000000002</v>
      </c>
      <c r="B13">
        <v>0.67700000000000005</v>
      </c>
      <c r="C13">
        <v>1.03</v>
      </c>
      <c r="D13">
        <v>961.66399999999999</v>
      </c>
      <c r="E13">
        <v>1.012</v>
      </c>
      <c r="G13">
        <v>0.70299999999999996</v>
      </c>
      <c r="H13" s="1">
        <v>1.1644000000000001</v>
      </c>
      <c r="I13">
        <v>125</v>
      </c>
    </row>
    <row r="15" spans="1:18" x14ac:dyDescent="0.25">
      <c r="A15" t="s">
        <v>0</v>
      </c>
      <c r="B15" t="s">
        <v>1</v>
      </c>
      <c r="C15" t="s">
        <v>2</v>
      </c>
      <c r="D15" t="s">
        <v>15</v>
      </c>
      <c r="E15" t="s">
        <v>3</v>
      </c>
      <c r="F15" t="s">
        <v>5</v>
      </c>
      <c r="G15" t="s">
        <v>23</v>
      </c>
      <c r="H15" t="s">
        <v>25</v>
      </c>
      <c r="I15" t="s">
        <v>31</v>
      </c>
      <c r="J15" t="s">
        <v>50</v>
      </c>
      <c r="K15" t="s">
        <v>26</v>
      </c>
      <c r="L15" t="s">
        <v>27</v>
      </c>
      <c r="M15" t="s">
        <v>29</v>
      </c>
      <c r="N15" t="s">
        <v>48</v>
      </c>
      <c r="O15" t="s">
        <v>30</v>
      </c>
      <c r="P15" t="s">
        <v>51</v>
      </c>
      <c r="Q15" t="s">
        <v>52</v>
      </c>
      <c r="R15" t="s">
        <v>53</v>
      </c>
    </row>
    <row r="16" spans="1:18" x14ac:dyDescent="0.25">
      <c r="A16">
        <v>1</v>
      </c>
      <c r="B16">
        <v>17.829999999999998</v>
      </c>
      <c r="C16">
        <v>1.2</v>
      </c>
      <c r="D16">
        <f>C16*B16</f>
        <v>21.395999999999997</v>
      </c>
      <c r="E16">
        <v>3386</v>
      </c>
      <c r="F16">
        <v>115.8</v>
      </c>
      <c r="G16">
        <f>F16/60000</f>
        <v>1.9299999999999999E-3</v>
      </c>
      <c r="H16">
        <f>G16*$D$13</f>
        <v>1.8560115199999998</v>
      </c>
      <c r="I16">
        <f>D16/(H16*$A$13)</f>
        <v>2.7239947279331203</v>
      </c>
      <c r="J16">
        <f>$I$13-I16</f>
        <v>122.27600527206688</v>
      </c>
      <c r="K16">
        <f>22/3.6</f>
        <v>6.1111111111111107</v>
      </c>
      <c r="L16">
        <f>$L$10*K16</f>
        <v>0.54242222222222225</v>
      </c>
      <c r="M16">
        <f>L16*$H$13</f>
        <v>0.63159643555555567</v>
      </c>
      <c r="N16">
        <v>40</v>
      </c>
      <c r="O16">
        <f>D16/M16/$E$13</f>
        <v>33.474369549792819</v>
      </c>
      <c r="P16">
        <f>N16+O16</f>
        <v>73.474369549792812</v>
      </c>
      <c r="Q16">
        <f>(($I$13-P16)-(J16-N16))/LN(($I$13-P16)/(J16-N16))</f>
        <v>65.705907951455188</v>
      </c>
      <c r="R16">
        <f>D16/(Q16*$K$10)</f>
        <v>8.1408204631339166E-3</v>
      </c>
    </row>
    <row r="17" spans="1:18" x14ac:dyDescent="0.25">
      <c r="A17">
        <v>2</v>
      </c>
      <c r="B17">
        <v>22.46</v>
      </c>
      <c r="C17">
        <v>1</v>
      </c>
      <c r="D17">
        <f t="shared" ref="D17:D20" si="0">C17*B17</f>
        <v>22.46</v>
      </c>
      <c r="E17">
        <v>4356</v>
      </c>
      <c r="F17">
        <v>133.9</v>
      </c>
      <c r="G17">
        <f t="shared" ref="G17:G20" si="1">F17/60000</f>
        <v>2.231666666666667E-3</v>
      </c>
      <c r="H17">
        <f>G17*$D$13</f>
        <v>2.1461134933333335</v>
      </c>
      <c r="I17">
        <f t="shared" ref="I17:I20" si="2">D17/(H17*$A$13)</f>
        <v>2.4729276346873097</v>
      </c>
      <c r="J17">
        <f t="shared" ref="J17:J19" si="3">$I$13-I17</f>
        <v>122.52707236531269</v>
      </c>
      <c r="K17">
        <f>43/3.6</f>
        <v>11.944444444444445</v>
      </c>
      <c r="L17">
        <f>$L$10*K17</f>
        <v>1.0601888888888891</v>
      </c>
      <c r="M17">
        <f>L17*$H$13</f>
        <v>1.2344839422222225</v>
      </c>
      <c r="N17">
        <v>54</v>
      </c>
      <c r="O17">
        <f>D17/M17/$E$13</f>
        <v>17.978100103413841</v>
      </c>
      <c r="P17">
        <f t="shared" ref="P17:P20" si="4">N17+O17</f>
        <v>71.978100103413837</v>
      </c>
      <c r="Q17">
        <f t="shared" ref="Q17:Q20" si="5">(($I$13-P17)-(J17-N17))/LN(($I$13-P17)/(J17-N17))</f>
        <v>60.443395202967089</v>
      </c>
      <c r="R17">
        <f t="shared" ref="R17:R20" si="6">D17/(Q17*$K$10)</f>
        <v>9.2896833163408511E-3</v>
      </c>
    </row>
    <row r="18" spans="1:18" x14ac:dyDescent="0.25">
      <c r="A18">
        <v>3</v>
      </c>
      <c r="B18">
        <v>32</v>
      </c>
      <c r="C18">
        <v>0.9</v>
      </c>
      <c r="D18">
        <f t="shared" si="0"/>
        <v>28.8</v>
      </c>
      <c r="E18">
        <v>4356</v>
      </c>
      <c r="F18">
        <v>133.9</v>
      </c>
      <c r="G18">
        <f t="shared" si="1"/>
        <v>2.231666666666667E-3</v>
      </c>
      <c r="H18">
        <f>G18*$D$13</f>
        <v>2.1461134933333335</v>
      </c>
      <c r="I18">
        <f t="shared" si="2"/>
        <v>3.1709846784948583</v>
      </c>
      <c r="J18">
        <f t="shared" si="3"/>
        <v>121.82901532150514</v>
      </c>
      <c r="K18">
        <f>43/3.6</f>
        <v>11.944444444444445</v>
      </c>
      <c r="L18">
        <f>$L$10*K18</f>
        <v>1.0601888888888891</v>
      </c>
      <c r="M18">
        <f>L18*$H$13</f>
        <v>1.2344839422222225</v>
      </c>
      <c r="N18">
        <v>54</v>
      </c>
      <c r="O18">
        <f>D18/M18/$E$13</f>
        <v>23.052951156648202</v>
      </c>
      <c r="P18">
        <f t="shared" si="4"/>
        <v>77.052951156648206</v>
      </c>
      <c r="Q18">
        <f t="shared" si="5"/>
        <v>57.314438886715465</v>
      </c>
      <c r="R18">
        <f t="shared" si="6"/>
        <v>1.2562279488125355E-2</v>
      </c>
    </row>
    <row r="19" spans="1:18" x14ac:dyDescent="0.25">
      <c r="A19">
        <v>4</v>
      </c>
      <c r="B19">
        <v>82.15</v>
      </c>
      <c r="C19">
        <v>0.8</v>
      </c>
      <c r="D19">
        <f t="shared" si="0"/>
        <v>65.720000000000013</v>
      </c>
      <c r="E19">
        <v>5732</v>
      </c>
      <c r="F19">
        <v>164.6</v>
      </c>
      <c r="G19">
        <f t="shared" si="1"/>
        <v>2.7433333333333333E-3</v>
      </c>
      <c r="H19">
        <f>G19*$D$13</f>
        <v>2.6381649066666668</v>
      </c>
      <c r="I19">
        <f t="shared" si="2"/>
        <v>5.8864025246735219</v>
      </c>
      <c r="J19">
        <f t="shared" si="3"/>
        <v>119.11359747532647</v>
      </c>
      <c r="K19">
        <f>140/3.6</f>
        <v>38.888888888888886</v>
      </c>
      <c r="L19">
        <f>$L$10*K19</f>
        <v>3.4517777777777776</v>
      </c>
      <c r="M19">
        <f>L19*$H$13</f>
        <v>4.019250044444445</v>
      </c>
      <c r="N19">
        <v>54</v>
      </c>
      <c r="O19">
        <f>D19/M19/$E$13</f>
        <v>16.157420101845627</v>
      </c>
      <c r="P19">
        <f t="shared" si="4"/>
        <v>70.157420101845631</v>
      </c>
      <c r="Q19">
        <f t="shared" si="5"/>
        <v>59.831228332797856</v>
      </c>
      <c r="R19">
        <f t="shared" si="6"/>
        <v>2.7460576120235732E-2</v>
      </c>
    </row>
    <row r="20" spans="1:18" x14ac:dyDescent="0.25">
      <c r="A20">
        <v>5</v>
      </c>
      <c r="B20">
        <v>93.5</v>
      </c>
      <c r="C20">
        <v>1</v>
      </c>
      <c r="D20">
        <f t="shared" si="0"/>
        <v>93.5</v>
      </c>
      <c r="E20">
        <v>5990</v>
      </c>
      <c r="F20">
        <v>169.8</v>
      </c>
      <c r="G20">
        <f t="shared" si="1"/>
        <v>2.8300000000000001E-3</v>
      </c>
      <c r="H20">
        <f>G20*$D$13</f>
        <v>2.7215091199999999</v>
      </c>
      <c r="I20">
        <f t="shared" si="2"/>
        <v>8.1181329198808552</v>
      </c>
      <c r="J20">
        <f>$I$13-I20</f>
        <v>116.88186708011915</v>
      </c>
      <c r="K20">
        <f>143/3.6</f>
        <v>39.722222222222221</v>
      </c>
      <c r="L20">
        <f>$L$10*K20</f>
        <v>3.5257444444444448</v>
      </c>
      <c r="M20">
        <f>L20*$H$13</f>
        <v>4.1053768311111121</v>
      </c>
      <c r="N20">
        <v>65</v>
      </c>
      <c r="O20">
        <f>D20/M20/$E$13</f>
        <v>22.504950982251383</v>
      </c>
      <c r="P20">
        <f t="shared" si="4"/>
        <v>87.504950982251387</v>
      </c>
      <c r="Q20">
        <f t="shared" si="5"/>
        <v>44.299784961785768</v>
      </c>
      <c r="R20">
        <f t="shared" si="6"/>
        <v>5.2765493151183299E-2</v>
      </c>
    </row>
    <row r="22" spans="1:18" x14ac:dyDescent="0.25">
      <c r="A22" s="8" t="s">
        <v>54</v>
      </c>
      <c r="B22" s="8"/>
      <c r="C22" s="8"/>
      <c r="D22" s="8"/>
      <c r="E22" s="8"/>
      <c r="F22" s="8"/>
    </row>
    <row r="23" spans="1:18" x14ac:dyDescent="0.25">
      <c r="A23" t="s">
        <v>6</v>
      </c>
      <c r="B23" t="s">
        <v>7</v>
      </c>
      <c r="C23" t="s">
        <v>8</v>
      </c>
      <c r="D23" t="s">
        <v>9</v>
      </c>
      <c r="E23" t="s">
        <v>10</v>
      </c>
      <c r="F23" t="s">
        <v>16</v>
      </c>
      <c r="G23" t="s">
        <v>11</v>
      </c>
      <c r="H23" t="s">
        <v>12</v>
      </c>
      <c r="I23" t="s">
        <v>13</v>
      </c>
      <c r="J23" t="s">
        <v>14</v>
      </c>
      <c r="K23" t="s">
        <v>22</v>
      </c>
      <c r="L23" t="s">
        <v>46</v>
      </c>
    </row>
    <row r="24" spans="1:18" x14ac:dyDescent="0.25">
      <c r="A24">
        <v>0.5</v>
      </c>
      <c r="B24">
        <v>0.34</v>
      </c>
      <c r="C24">
        <v>0.04</v>
      </c>
      <c r="D24">
        <v>11400</v>
      </c>
      <c r="E24">
        <v>6.9999999999999999E-4</v>
      </c>
      <c r="F24">
        <v>2E-3</v>
      </c>
      <c r="G24">
        <v>16</v>
      </c>
      <c r="H24">
        <v>3.0000000000000001E-3</v>
      </c>
      <c r="I24">
        <v>0.35</v>
      </c>
      <c r="J24">
        <v>1.2E-2</v>
      </c>
      <c r="K24">
        <v>40</v>
      </c>
      <c r="L24">
        <v>5.2764999999999999E-2</v>
      </c>
    </row>
    <row r="26" spans="1:18" x14ac:dyDescent="0.25">
      <c r="A26" t="s">
        <v>17</v>
      </c>
      <c r="B26" t="s">
        <v>49</v>
      </c>
      <c r="C26" t="s">
        <v>18</v>
      </c>
      <c r="D26" t="s">
        <v>24</v>
      </c>
      <c r="E26" t="s">
        <v>63</v>
      </c>
      <c r="F26" t="s">
        <v>21</v>
      </c>
      <c r="G26" t="s">
        <v>28</v>
      </c>
      <c r="H26" t="s">
        <v>62</v>
      </c>
    </row>
    <row r="27" spans="1:18" x14ac:dyDescent="0.25">
      <c r="A27">
        <v>4.2320000000000002</v>
      </c>
      <c r="B27">
        <v>0.67700000000000005</v>
      </c>
      <c r="C27">
        <v>1.03</v>
      </c>
      <c r="D27">
        <v>961.66399999999999</v>
      </c>
      <c r="E27">
        <v>1.012</v>
      </c>
      <c r="F27">
        <v>0.70299999999999996</v>
      </c>
      <c r="G27" s="4">
        <v>1.1644000000000001</v>
      </c>
      <c r="H27">
        <v>125</v>
      </c>
    </row>
    <row r="29" spans="1:18" x14ac:dyDescent="0.25">
      <c r="A29" t="s">
        <v>0</v>
      </c>
      <c r="B29" t="s">
        <v>1</v>
      </c>
      <c r="C29" t="s">
        <v>2</v>
      </c>
      <c r="D29" t="s">
        <v>15</v>
      </c>
      <c r="E29" t="s">
        <v>3</v>
      </c>
      <c r="F29" t="s">
        <v>5</v>
      </c>
      <c r="G29" t="s">
        <v>23</v>
      </c>
      <c r="H29" t="s">
        <v>25</v>
      </c>
      <c r="I29" t="s">
        <v>64</v>
      </c>
      <c r="J29" t="s">
        <v>50</v>
      </c>
      <c r="K29" t="s">
        <v>26</v>
      </c>
      <c r="L29" t="s">
        <v>27</v>
      </c>
      <c r="M29" t="s">
        <v>29</v>
      </c>
      <c r="N29" t="s">
        <v>48</v>
      </c>
      <c r="O29" t="s">
        <v>30</v>
      </c>
      <c r="P29" t="s">
        <v>51</v>
      </c>
      <c r="Q29" t="s">
        <v>52</v>
      </c>
      <c r="R29" t="s">
        <v>53</v>
      </c>
    </row>
    <row r="30" spans="1:18" x14ac:dyDescent="0.25">
      <c r="A30">
        <v>1</v>
      </c>
      <c r="B30">
        <v>17.829999999999998</v>
      </c>
      <c r="C30">
        <v>1.2</v>
      </c>
      <c r="D30">
        <f>C30*B30</f>
        <v>21.395999999999997</v>
      </c>
      <c r="E30">
        <v>3386</v>
      </c>
      <c r="F30">
        <v>115.8</v>
      </c>
      <c r="G30">
        <f>F30/60000</f>
        <v>1.9299999999999999E-3</v>
      </c>
      <c r="H30">
        <f>G30*$D$13</f>
        <v>1.8560115199999998</v>
      </c>
      <c r="I30">
        <f>D30/(H30*$A$13)</f>
        <v>2.7239947279331203</v>
      </c>
      <c r="J30">
        <f>$I$13-I30</f>
        <v>122.27600527206688</v>
      </c>
      <c r="K30">
        <f>22/3.6</f>
        <v>6.1111111111111107</v>
      </c>
      <c r="L30">
        <f>$L$24*K30</f>
        <v>0.32245277777777775</v>
      </c>
      <c r="M30">
        <f>L30*$H$13</f>
        <v>0.37546401444444444</v>
      </c>
      <c r="N30">
        <v>40</v>
      </c>
      <c r="O30">
        <f>D30/M30/$E$13</f>
        <v>56.309770515296329</v>
      </c>
      <c r="P30">
        <f>N30+O30</f>
        <v>96.309770515296321</v>
      </c>
      <c r="Q30">
        <f>(($I$13-P30)-(J30-N30))/LN(($I$13-P30)/(J30-N30))</f>
        <v>50.863418894494309</v>
      </c>
      <c r="R30">
        <f>D30/(Q30*$K$10)</f>
        <v>1.0516398850606953E-2</v>
      </c>
    </row>
    <row r="31" spans="1:18" x14ac:dyDescent="0.25">
      <c r="A31">
        <v>2</v>
      </c>
      <c r="B31">
        <v>22.46</v>
      </c>
      <c r="C31">
        <v>1</v>
      </c>
      <c r="D31">
        <f t="shared" ref="D31:D34" si="7">C31*B31</f>
        <v>22.46</v>
      </c>
      <c r="E31">
        <v>4356</v>
      </c>
      <c r="F31">
        <v>133.9</v>
      </c>
      <c r="G31">
        <f t="shared" ref="G31:G34" si="8">F31/60000</f>
        <v>2.231666666666667E-3</v>
      </c>
      <c r="H31">
        <f>G31*$D$13</f>
        <v>2.1461134933333335</v>
      </c>
      <c r="I31">
        <f t="shared" ref="I31:I34" si="9">D31/(H31*$A$13)</f>
        <v>2.4729276346873097</v>
      </c>
      <c r="J31">
        <f t="shared" ref="J31:J33" si="10">$I$13-I31</f>
        <v>122.52707236531269</v>
      </c>
      <c r="K31">
        <f>43/3.6</f>
        <v>11.944444444444445</v>
      </c>
      <c r="L31">
        <f t="shared" ref="L31:L34" si="11">$L$24*K31</f>
        <v>0.63024861111111108</v>
      </c>
      <c r="M31">
        <f>L31*$H$13</f>
        <v>0.73386148277777785</v>
      </c>
      <c r="N31">
        <v>54</v>
      </c>
      <c r="O31">
        <f>D31/M31/$E$13</f>
        <v>30.242322849976549</v>
      </c>
      <c r="P31">
        <f t="shared" ref="P31:P34" si="12">N31+O31</f>
        <v>84.242322849976546</v>
      </c>
      <c r="Q31">
        <f t="shared" ref="Q31:Q34" si="13">(($I$13-P31)-(J31-N31))/LN(($I$13-P31)/(J31-N31))</f>
        <v>53.445370958044883</v>
      </c>
      <c r="R31">
        <f t="shared" ref="R31:R34" si="14">D31/(Q31*$K$10)</f>
        <v>1.050605487312985E-2</v>
      </c>
    </row>
    <row r="32" spans="1:18" x14ac:dyDescent="0.25">
      <c r="A32">
        <v>3</v>
      </c>
      <c r="B32">
        <v>32</v>
      </c>
      <c r="C32">
        <v>0.9</v>
      </c>
      <c r="D32">
        <f t="shared" si="7"/>
        <v>28.8</v>
      </c>
      <c r="E32">
        <v>4356</v>
      </c>
      <c r="F32">
        <v>133.9</v>
      </c>
      <c r="G32">
        <f t="shared" si="8"/>
        <v>2.231666666666667E-3</v>
      </c>
      <c r="H32">
        <f>G32*$D$13</f>
        <v>2.1461134933333335</v>
      </c>
      <c r="I32">
        <f t="shared" si="9"/>
        <v>3.1709846784948583</v>
      </c>
      <c r="J32">
        <f t="shared" si="10"/>
        <v>121.82901532150514</v>
      </c>
      <c r="K32">
        <f>43/3.6</f>
        <v>11.944444444444445</v>
      </c>
      <c r="L32">
        <f t="shared" si="11"/>
        <v>0.63024861111111108</v>
      </c>
      <c r="M32">
        <f>L32*$H$13</f>
        <v>0.73386148277777785</v>
      </c>
      <c r="N32">
        <v>54</v>
      </c>
      <c r="O32">
        <f>D32/M32/$E$13</f>
        <v>38.779113894894245</v>
      </c>
      <c r="P32">
        <f t="shared" si="12"/>
        <v>92.779113894894238</v>
      </c>
      <c r="Q32">
        <f t="shared" si="13"/>
        <v>47.836266207019072</v>
      </c>
      <c r="R32">
        <f t="shared" si="14"/>
        <v>1.5051341943873404E-2</v>
      </c>
    </row>
    <row r="33" spans="1:18" x14ac:dyDescent="0.25">
      <c r="A33">
        <v>4</v>
      </c>
      <c r="B33">
        <v>82.15</v>
      </c>
      <c r="C33">
        <v>0.8</v>
      </c>
      <c r="D33">
        <f t="shared" si="7"/>
        <v>65.720000000000013</v>
      </c>
      <c r="E33">
        <v>5732</v>
      </c>
      <c r="F33">
        <v>164.6</v>
      </c>
      <c r="G33">
        <f t="shared" si="8"/>
        <v>2.7433333333333333E-3</v>
      </c>
      <c r="H33">
        <f>G33*$D$13</f>
        <v>2.6381649066666668</v>
      </c>
      <c r="I33">
        <f t="shared" si="9"/>
        <v>5.8864025246735219</v>
      </c>
      <c r="J33">
        <f t="shared" si="10"/>
        <v>119.11359747532647</v>
      </c>
      <c r="K33">
        <f>140/3.6</f>
        <v>38.888888888888886</v>
      </c>
      <c r="L33">
        <f t="shared" si="11"/>
        <v>2.0519722222222221</v>
      </c>
      <c r="M33">
        <f>L33*$H$13</f>
        <v>2.3893164555555555</v>
      </c>
      <c r="N33">
        <v>54</v>
      </c>
      <c r="O33">
        <f>D33/M33/$E$13</f>
        <v>27.179619221829206</v>
      </c>
      <c r="P33">
        <f t="shared" si="12"/>
        <v>81.179619221829199</v>
      </c>
      <c r="Q33">
        <f t="shared" si="13"/>
        <v>53.766082140326425</v>
      </c>
      <c r="R33">
        <f t="shared" si="14"/>
        <v>3.0558298737703514E-2</v>
      </c>
    </row>
    <row r="34" spans="1:18" x14ac:dyDescent="0.25">
      <c r="A34">
        <v>5</v>
      </c>
      <c r="B34">
        <v>93.5</v>
      </c>
      <c r="C34">
        <v>1</v>
      </c>
      <c r="D34">
        <f t="shared" si="7"/>
        <v>93.5</v>
      </c>
      <c r="E34">
        <v>5990</v>
      </c>
      <c r="F34">
        <v>169.8</v>
      </c>
      <c r="G34">
        <f t="shared" si="8"/>
        <v>2.8300000000000001E-3</v>
      </c>
      <c r="H34">
        <f>G34*$D$13</f>
        <v>2.7215091199999999</v>
      </c>
      <c r="I34">
        <f t="shared" si="9"/>
        <v>8.1181329198808552</v>
      </c>
      <c r="J34">
        <f>$I$13-I34</f>
        <v>116.88186708011915</v>
      </c>
      <c r="K34">
        <f>143/3.6</f>
        <v>39.722222222222221</v>
      </c>
      <c r="L34">
        <f t="shared" si="11"/>
        <v>2.0959430555555554</v>
      </c>
      <c r="M34">
        <f>L34*$H$13</f>
        <v>2.4405160938888888</v>
      </c>
      <c r="N34">
        <v>65</v>
      </c>
      <c r="O34">
        <f>D34/M34/$E$13</f>
        <v>37.857281326345742</v>
      </c>
      <c r="P34">
        <f t="shared" si="12"/>
        <v>102.85728132634574</v>
      </c>
      <c r="Q34">
        <f t="shared" si="13"/>
        <v>34.927214787635862</v>
      </c>
      <c r="R34">
        <f t="shared" si="14"/>
        <v>6.6924889780431859E-2</v>
      </c>
    </row>
    <row r="36" spans="1:18" x14ac:dyDescent="0.25">
      <c r="A36" s="8" t="s">
        <v>55</v>
      </c>
      <c r="B36" s="8"/>
      <c r="C36" s="8"/>
      <c r="D36" s="8"/>
      <c r="E36" s="8"/>
      <c r="F36" s="8"/>
    </row>
    <row r="37" spans="1:18" x14ac:dyDescent="0.25">
      <c r="A37" t="s">
        <v>6</v>
      </c>
      <c r="B37" t="s">
        <v>7</v>
      </c>
      <c r="C37" t="s">
        <v>8</v>
      </c>
      <c r="D37" t="s">
        <v>9</v>
      </c>
      <c r="E37" t="s">
        <v>10</v>
      </c>
      <c r="F37" t="s">
        <v>16</v>
      </c>
      <c r="G37" t="s">
        <v>11</v>
      </c>
      <c r="H37" t="s">
        <v>12</v>
      </c>
      <c r="I37" t="s">
        <v>13</v>
      </c>
      <c r="J37" t="s">
        <v>14</v>
      </c>
      <c r="K37" t="s">
        <v>22</v>
      </c>
      <c r="L37" t="s">
        <v>46</v>
      </c>
    </row>
    <row r="38" spans="1:18" x14ac:dyDescent="0.25">
      <c r="A38">
        <v>0.5</v>
      </c>
      <c r="B38">
        <v>0.34</v>
      </c>
      <c r="C38">
        <v>0.04</v>
      </c>
      <c r="D38">
        <v>11400</v>
      </c>
      <c r="E38">
        <v>6.9999999999999999E-4</v>
      </c>
      <c r="F38">
        <v>2E-3</v>
      </c>
      <c r="G38">
        <v>16</v>
      </c>
      <c r="H38">
        <v>3.0000000000000001E-3</v>
      </c>
      <c r="I38">
        <v>0.35</v>
      </c>
      <c r="J38">
        <v>1.2E-2</v>
      </c>
      <c r="K38">
        <v>40</v>
      </c>
      <c r="L38">
        <v>6.6924999999999998E-2</v>
      </c>
    </row>
    <row r="40" spans="1:18" x14ac:dyDescent="0.25">
      <c r="A40" t="s">
        <v>17</v>
      </c>
      <c r="B40" t="s">
        <v>49</v>
      </c>
      <c r="C40" t="s">
        <v>18</v>
      </c>
      <c r="D40" t="s">
        <v>24</v>
      </c>
      <c r="E40" t="s">
        <v>19</v>
      </c>
      <c r="F40" t="s">
        <v>20</v>
      </c>
      <c r="G40" t="s">
        <v>21</v>
      </c>
      <c r="H40" t="s">
        <v>28</v>
      </c>
      <c r="I40" t="s">
        <v>47</v>
      </c>
    </row>
    <row r="41" spans="1:18" x14ac:dyDescent="0.25">
      <c r="A41">
        <v>4.2320000000000002</v>
      </c>
      <c r="B41">
        <v>0.67700000000000005</v>
      </c>
      <c r="C41">
        <v>1.03</v>
      </c>
      <c r="D41">
        <v>961.66399999999999</v>
      </c>
      <c r="E41">
        <v>1.012</v>
      </c>
      <c r="G41">
        <v>0.70299999999999996</v>
      </c>
      <c r="H41" s="1">
        <v>1.1644000000000001</v>
      </c>
      <c r="I41">
        <v>125</v>
      </c>
    </row>
    <row r="43" spans="1:18" x14ac:dyDescent="0.25">
      <c r="A43" t="s">
        <v>0</v>
      </c>
      <c r="B43" t="s">
        <v>65</v>
      </c>
      <c r="C43" t="s">
        <v>2</v>
      </c>
      <c r="D43" t="s">
        <v>66</v>
      </c>
      <c r="E43" t="s">
        <v>67</v>
      </c>
      <c r="F43" t="s">
        <v>5</v>
      </c>
      <c r="G43" t="s">
        <v>23</v>
      </c>
      <c r="H43" t="s">
        <v>25</v>
      </c>
      <c r="I43" t="s">
        <v>68</v>
      </c>
      <c r="J43" t="s">
        <v>69</v>
      </c>
      <c r="K43" t="s">
        <v>26</v>
      </c>
      <c r="L43" t="s">
        <v>27</v>
      </c>
      <c r="M43" t="s">
        <v>29</v>
      </c>
      <c r="N43" t="s">
        <v>48</v>
      </c>
      <c r="O43" t="s">
        <v>30</v>
      </c>
      <c r="P43" t="s">
        <v>51</v>
      </c>
      <c r="Q43" t="s">
        <v>52</v>
      </c>
      <c r="R43" t="s">
        <v>53</v>
      </c>
    </row>
    <row r="44" spans="1:18" x14ac:dyDescent="0.25">
      <c r="A44">
        <v>1</v>
      </c>
      <c r="B44">
        <v>17.829999999999998</v>
      </c>
      <c r="C44">
        <v>1.2</v>
      </c>
      <c r="D44">
        <f>C44*B44</f>
        <v>21.395999999999997</v>
      </c>
      <c r="E44">
        <v>3386</v>
      </c>
      <c r="F44">
        <v>115.8</v>
      </c>
      <c r="G44">
        <f>F44/60000</f>
        <v>1.9299999999999999E-3</v>
      </c>
      <c r="H44" s="6">
        <f>G44*$D$13</f>
        <v>1.8560115199999998</v>
      </c>
      <c r="I44" s="6">
        <f>D44/(H44*$A$13)</f>
        <v>2.7239947279331203</v>
      </c>
      <c r="J44" s="6">
        <f>$I$13-I44</f>
        <v>122.27600527206688</v>
      </c>
      <c r="K44" s="6">
        <f>22/3.6</f>
        <v>6.1111111111111107</v>
      </c>
      <c r="L44" s="6">
        <f>$L$38*K44</f>
        <v>0.40898611111111105</v>
      </c>
      <c r="M44" s="6">
        <f>L44*$H$13</f>
        <v>0.47622342777777776</v>
      </c>
      <c r="N44">
        <v>40</v>
      </c>
      <c r="O44" s="6">
        <f>D44/M44/$E$13</f>
        <v>44.395742117887352</v>
      </c>
      <c r="P44" s="6">
        <f>N44+O44</f>
        <v>84.395742117887352</v>
      </c>
      <c r="Q44" s="6">
        <f>(($I$13-P44)-(J44-N44))/LN(($I$13-P44)/(J44-N44))</f>
        <v>59.007872030353468</v>
      </c>
      <c r="R44" s="5">
        <f>D44/(Q44*$K$10)</f>
        <v>9.0648922185305875E-3</v>
      </c>
    </row>
    <row r="45" spans="1:18" x14ac:dyDescent="0.25">
      <c r="A45">
        <v>2</v>
      </c>
      <c r="B45">
        <v>22.46</v>
      </c>
      <c r="C45">
        <v>1</v>
      </c>
      <c r="D45">
        <f t="shared" ref="D45:D48" si="15">C45*B45</f>
        <v>22.46</v>
      </c>
      <c r="E45">
        <v>4356</v>
      </c>
      <c r="F45">
        <v>133.9</v>
      </c>
      <c r="G45">
        <f t="shared" ref="G45:G48" si="16">F45/60000</f>
        <v>2.231666666666667E-3</v>
      </c>
      <c r="H45" s="6">
        <f>G45*$D$13</f>
        <v>2.1461134933333335</v>
      </c>
      <c r="I45" s="6">
        <f t="shared" ref="I45:I48" si="17">D45/(H45*$A$13)</f>
        <v>2.4729276346873097</v>
      </c>
      <c r="J45" s="6">
        <f t="shared" ref="J45:J47" si="18">$I$13-I45</f>
        <v>122.52707236531269</v>
      </c>
      <c r="K45" s="6">
        <f>43/3.6</f>
        <v>11.944444444444445</v>
      </c>
      <c r="L45" s="6">
        <f t="shared" ref="L45:L48" si="19">$L$38*K45</f>
        <v>0.79938194444444444</v>
      </c>
      <c r="M45" s="6">
        <f>L45*$H$13</f>
        <v>0.93080033611111124</v>
      </c>
      <c r="N45">
        <v>54</v>
      </c>
      <c r="O45" s="6">
        <f>D45/M45/$E$13</f>
        <v>23.843648340366272</v>
      </c>
      <c r="P45" s="6">
        <f t="shared" ref="P45:P48" si="20">N45+O45</f>
        <v>77.843648340366272</v>
      </c>
      <c r="Q45" s="6">
        <f t="shared" ref="Q45:Q48" si="21">(($I$13-P45)-(J45-N45))/LN(($I$13-P45)/(J45-N45))</f>
        <v>57.177629618992974</v>
      </c>
      <c r="R45" s="5">
        <f t="shared" ref="R45:R48" si="22">D45/(Q45*$K$10)</f>
        <v>9.8202741831305961E-3</v>
      </c>
    </row>
    <row r="46" spans="1:18" x14ac:dyDescent="0.25">
      <c r="A46">
        <v>3</v>
      </c>
      <c r="B46">
        <v>32</v>
      </c>
      <c r="C46">
        <v>0.9</v>
      </c>
      <c r="D46">
        <f t="shared" si="15"/>
        <v>28.8</v>
      </c>
      <c r="E46">
        <v>4356</v>
      </c>
      <c r="F46">
        <v>133.9</v>
      </c>
      <c r="G46">
        <f t="shared" si="16"/>
        <v>2.231666666666667E-3</v>
      </c>
      <c r="H46" s="6">
        <f>G46*$D$13</f>
        <v>2.1461134933333335</v>
      </c>
      <c r="I46" s="6">
        <f t="shared" si="17"/>
        <v>3.1709846784948583</v>
      </c>
      <c r="J46" s="6">
        <f t="shared" si="18"/>
        <v>121.82901532150514</v>
      </c>
      <c r="K46" s="6">
        <f>43/3.6</f>
        <v>11.944444444444445</v>
      </c>
      <c r="L46" s="6">
        <f t="shared" si="19"/>
        <v>0.79938194444444444</v>
      </c>
      <c r="M46" s="6">
        <f>L46*$H$13</f>
        <v>0.93080033611111124</v>
      </c>
      <c r="N46">
        <v>54</v>
      </c>
      <c r="O46" s="6">
        <f>D46/M46/$E$13</f>
        <v>30.574224051760847</v>
      </c>
      <c r="P46" s="6">
        <f t="shared" si="20"/>
        <v>84.574224051760851</v>
      </c>
      <c r="Q46" s="6">
        <f t="shared" si="21"/>
        <v>52.950821654416607</v>
      </c>
      <c r="R46" s="5">
        <f t="shared" si="22"/>
        <v>1.3597522710772612E-2</v>
      </c>
    </row>
    <row r="47" spans="1:18" x14ac:dyDescent="0.25">
      <c r="A47">
        <v>4</v>
      </c>
      <c r="B47">
        <v>82.15</v>
      </c>
      <c r="C47">
        <v>0.8</v>
      </c>
      <c r="D47">
        <f t="shared" si="15"/>
        <v>65.720000000000013</v>
      </c>
      <c r="E47">
        <v>5732</v>
      </c>
      <c r="F47">
        <v>164.6</v>
      </c>
      <c r="G47">
        <f t="shared" si="16"/>
        <v>2.7433333333333333E-3</v>
      </c>
      <c r="H47" s="6">
        <f>G47*$D$13</f>
        <v>2.6381649066666668</v>
      </c>
      <c r="I47" s="6">
        <f t="shared" si="17"/>
        <v>5.8864025246735219</v>
      </c>
      <c r="J47" s="6">
        <f t="shared" si="18"/>
        <v>119.11359747532647</v>
      </c>
      <c r="K47" s="6">
        <f>140/3.6</f>
        <v>38.888888888888886</v>
      </c>
      <c r="L47" s="6">
        <f t="shared" si="19"/>
        <v>2.6026388888888885</v>
      </c>
      <c r="M47" s="6">
        <f>L47*$H$13</f>
        <v>3.0305127222222219</v>
      </c>
      <c r="N47">
        <v>54</v>
      </c>
      <c r="O47" s="6">
        <f>D47/M47/$E$13</f>
        <v>21.428951934849731</v>
      </c>
      <c r="P47" s="6">
        <f t="shared" si="20"/>
        <v>75.428951934849735</v>
      </c>
      <c r="Q47" s="6">
        <f t="shared" si="21"/>
        <v>56.989521208004668</v>
      </c>
      <c r="R47" s="5">
        <f t="shared" si="22"/>
        <v>2.8829861440724421E-2</v>
      </c>
    </row>
    <row r="48" spans="1:18" x14ac:dyDescent="0.25">
      <c r="A48">
        <v>5</v>
      </c>
      <c r="B48">
        <v>93.5</v>
      </c>
      <c r="C48">
        <v>1</v>
      </c>
      <c r="D48">
        <f t="shared" si="15"/>
        <v>93.5</v>
      </c>
      <c r="E48">
        <v>5990</v>
      </c>
      <c r="F48">
        <v>169.8</v>
      </c>
      <c r="G48">
        <f t="shared" si="16"/>
        <v>2.8300000000000001E-3</v>
      </c>
      <c r="H48" s="6">
        <f>G48*$D$13</f>
        <v>2.7215091199999999</v>
      </c>
      <c r="I48" s="6">
        <f t="shared" si="17"/>
        <v>8.1181329198808552</v>
      </c>
      <c r="J48" s="6">
        <f>$I$13-I48</f>
        <v>116.88186708011915</v>
      </c>
      <c r="K48" s="6">
        <f>143/3.6</f>
        <v>39.722222222222221</v>
      </c>
      <c r="L48" s="6">
        <f t="shared" si="19"/>
        <v>2.6584097222222223</v>
      </c>
      <c r="M48" s="6">
        <f>L48*$H$13</f>
        <v>3.095452280555556</v>
      </c>
      <c r="N48">
        <v>65</v>
      </c>
      <c r="O48" s="6">
        <f>D48/M48/$E$13</f>
        <v>29.847432935145804</v>
      </c>
      <c r="P48" s="6">
        <f t="shared" si="20"/>
        <v>94.847432935145804</v>
      </c>
      <c r="Q48" s="6">
        <f t="shared" si="21"/>
        <v>40.039301014067341</v>
      </c>
      <c r="R48" s="5">
        <f t="shared" si="22"/>
        <v>5.838014003238335E-2</v>
      </c>
    </row>
    <row r="50" spans="1:18" x14ac:dyDescent="0.25">
      <c r="A50" s="8" t="s">
        <v>45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8" x14ac:dyDescent="0.25">
      <c r="A51" t="s">
        <v>6</v>
      </c>
      <c r="B51" t="s">
        <v>7</v>
      </c>
      <c r="C51" t="s">
        <v>8</v>
      </c>
      <c r="D51" t="s">
        <v>9</v>
      </c>
      <c r="E51" t="s">
        <v>10</v>
      </c>
      <c r="F51" t="s">
        <v>16</v>
      </c>
      <c r="G51" t="s">
        <v>11</v>
      </c>
      <c r="H51" t="s">
        <v>12</v>
      </c>
      <c r="I51" t="s">
        <v>13</v>
      </c>
      <c r="J51" t="s">
        <v>14</v>
      </c>
      <c r="K51" t="s">
        <v>22</v>
      </c>
      <c r="L51" t="s">
        <v>46</v>
      </c>
    </row>
    <row r="52" spans="1:18" x14ac:dyDescent="0.25">
      <c r="A52">
        <v>0.8</v>
      </c>
      <c r="B52">
        <v>0.7</v>
      </c>
      <c r="C52">
        <v>1.2E-2</v>
      </c>
      <c r="D52">
        <v>10000</v>
      </c>
      <c r="E52">
        <v>6.9999999999999999E-4</v>
      </c>
      <c r="F52">
        <v>8.0000000000000002E-3</v>
      </c>
      <c r="G52">
        <v>36</v>
      </c>
      <c r="H52">
        <v>3.0000000000000001E-3</v>
      </c>
      <c r="I52">
        <v>0.01</v>
      </c>
      <c r="J52">
        <v>0.01</v>
      </c>
      <c r="K52">
        <v>40</v>
      </c>
      <c r="L52">
        <f>A52*B52-E52*F52*D52-J52*B52*G52</f>
        <v>0.252</v>
      </c>
    </row>
    <row r="54" spans="1:18" x14ac:dyDescent="0.25">
      <c r="A54" t="s">
        <v>17</v>
      </c>
      <c r="B54" t="s">
        <v>49</v>
      </c>
      <c r="C54" t="s">
        <v>18</v>
      </c>
      <c r="D54" t="s">
        <v>24</v>
      </c>
      <c r="E54" t="s">
        <v>19</v>
      </c>
      <c r="F54" t="s">
        <v>20</v>
      </c>
      <c r="G54" t="s">
        <v>21</v>
      </c>
      <c r="H54" t="s">
        <v>28</v>
      </c>
      <c r="I54" t="s">
        <v>47</v>
      </c>
    </row>
    <row r="55" spans="1:18" x14ac:dyDescent="0.25">
      <c r="A55">
        <v>4.2320000000000002</v>
      </c>
      <c r="B55">
        <v>0.67700000000000005</v>
      </c>
      <c r="C55">
        <v>1.03</v>
      </c>
      <c r="D55">
        <v>961.66399999999999</v>
      </c>
      <c r="E55">
        <v>1.012</v>
      </c>
      <c r="G55">
        <v>0.70299999999999996</v>
      </c>
      <c r="H55" s="1">
        <v>1.1644000000000001</v>
      </c>
      <c r="I55">
        <v>125</v>
      </c>
    </row>
    <row r="57" spans="1:18" x14ac:dyDescent="0.25">
      <c r="A57" t="s">
        <v>0</v>
      </c>
      <c r="B57" t="s">
        <v>1</v>
      </c>
      <c r="C57" t="s">
        <v>2</v>
      </c>
      <c r="D57" t="s">
        <v>15</v>
      </c>
      <c r="E57" t="s">
        <v>3</v>
      </c>
      <c r="F57" t="s">
        <v>5</v>
      </c>
      <c r="G57" t="s">
        <v>23</v>
      </c>
      <c r="H57" t="s">
        <v>25</v>
      </c>
      <c r="I57" t="s">
        <v>31</v>
      </c>
      <c r="J57" t="s">
        <v>50</v>
      </c>
      <c r="K57" t="s">
        <v>26</v>
      </c>
      <c r="L57" t="s">
        <v>27</v>
      </c>
      <c r="M57" t="s">
        <v>29</v>
      </c>
      <c r="N57" t="s">
        <v>48</v>
      </c>
      <c r="O57" t="s">
        <v>30</v>
      </c>
      <c r="P57" t="s">
        <v>51</v>
      </c>
      <c r="Q57" t="s">
        <v>52</v>
      </c>
      <c r="R57" t="s">
        <v>53</v>
      </c>
    </row>
    <row r="58" spans="1:18" x14ac:dyDescent="0.25">
      <c r="A58">
        <v>1</v>
      </c>
      <c r="B58">
        <v>17.829999999999998</v>
      </c>
      <c r="C58">
        <v>1.2</v>
      </c>
      <c r="D58">
        <f>C58*B58</f>
        <v>21.395999999999997</v>
      </c>
      <c r="E58">
        <v>3386</v>
      </c>
      <c r="F58">
        <v>170.8</v>
      </c>
      <c r="G58">
        <f>F58/60000</f>
        <v>2.846666666666667E-3</v>
      </c>
      <c r="H58">
        <f>G58*$D$55</f>
        <v>2.7375368533333337</v>
      </c>
      <c r="I58">
        <f>D58/(H58*$A$55)</f>
        <v>1.8468301492661316</v>
      </c>
      <c r="J58">
        <f>$I$13-I58</f>
        <v>123.15316985073387</v>
      </c>
      <c r="K58">
        <f>22/3.6</f>
        <v>6.1111111111111107</v>
      </c>
      <c r="L58">
        <f>$L$52*K58</f>
        <v>1.5399999999999998</v>
      </c>
      <c r="M58">
        <f>L58*$H$55</f>
        <v>1.7931759999999999</v>
      </c>
      <c r="N58">
        <v>40</v>
      </c>
      <c r="O58">
        <f>D58/M58/$E$13</f>
        <v>11.790416830315918</v>
      </c>
      <c r="P58">
        <f>N58+O58</f>
        <v>51.79041683031592</v>
      </c>
      <c r="Q58">
        <f>(($I$13-P58)-(J58-N58))/LN(($I$13-P58)/(J58-N58))</f>
        <v>78.075872088169717</v>
      </c>
      <c r="R58">
        <f>D58/(Q58*$K$10)</f>
        <v>6.8510281818683592E-3</v>
      </c>
    </row>
    <row r="59" spans="1:18" x14ac:dyDescent="0.25">
      <c r="A59">
        <v>2</v>
      </c>
      <c r="B59">
        <v>22.46</v>
      </c>
      <c r="C59">
        <v>1</v>
      </c>
      <c r="D59">
        <f t="shared" ref="D59:D62" si="23">C59*B59</f>
        <v>22.46</v>
      </c>
      <c r="E59">
        <v>4356</v>
      </c>
      <c r="F59">
        <v>190.7</v>
      </c>
      <c r="G59">
        <f t="shared" ref="G59:G62" si="24">F59/60000</f>
        <v>3.1783333333333334E-3</v>
      </c>
      <c r="H59">
        <f>G59*$D$55</f>
        <v>3.0564887466666666</v>
      </c>
      <c r="I59">
        <f>D59/(H59*$A$55)</f>
        <v>1.7363660738575288</v>
      </c>
      <c r="J59">
        <f t="shared" ref="J59:J61" si="25">$I$13-I59</f>
        <v>123.26363392614248</v>
      </c>
      <c r="K59">
        <f>43/3.6</f>
        <v>11.944444444444445</v>
      </c>
      <c r="L59">
        <f t="shared" ref="L59:L62" si="26">$L$52*K59</f>
        <v>3.0100000000000002</v>
      </c>
      <c r="M59">
        <f>L59*$H$55</f>
        <v>3.5048440000000007</v>
      </c>
      <c r="N59">
        <v>54</v>
      </c>
      <c r="O59">
        <f>D59/M59/$E$13</f>
        <v>6.3322863697579859</v>
      </c>
      <c r="P59">
        <f t="shared" ref="P59:P62" si="27">N59+O59</f>
        <v>60.332286369757988</v>
      </c>
      <c r="Q59">
        <f t="shared" ref="Q59:Q62" si="28">(($I$13-P59)-(J59-N59))/LN(($I$13-P59)/(J59-N59))</f>
        <v>66.939380306941302</v>
      </c>
      <c r="R59">
        <f t="shared" ref="R59:R62" si="29">D59/(Q59*$K$10)</f>
        <v>8.3881864072436751E-3</v>
      </c>
    </row>
    <row r="60" spans="1:18" x14ac:dyDescent="0.25">
      <c r="A60">
        <v>3</v>
      </c>
      <c r="B60">
        <v>32</v>
      </c>
      <c r="C60">
        <v>0.9</v>
      </c>
      <c r="D60">
        <f t="shared" si="23"/>
        <v>28.8</v>
      </c>
      <c r="E60">
        <v>4356</v>
      </c>
      <c r="F60">
        <v>190.7</v>
      </c>
      <c r="G60">
        <f t="shared" si="24"/>
        <v>3.1783333333333334E-3</v>
      </c>
      <c r="H60">
        <f>G60*$D$55</f>
        <v>3.0564887466666666</v>
      </c>
      <c r="I60">
        <f>D60/(H60*$A$55)</f>
        <v>2.226506808864507</v>
      </c>
      <c r="J60">
        <f t="shared" si="25"/>
        <v>122.77349319113549</v>
      </c>
      <c r="K60">
        <f>43/3.6</f>
        <v>11.944444444444445</v>
      </c>
      <c r="L60">
        <f t="shared" si="26"/>
        <v>3.0100000000000002</v>
      </c>
      <c r="M60">
        <f>L60*$H$55</f>
        <v>3.5048440000000007</v>
      </c>
      <c r="N60">
        <v>54</v>
      </c>
      <c r="O60">
        <f>D60/M60/$E$13</f>
        <v>8.1197616851749768</v>
      </c>
      <c r="P60">
        <f t="shared" si="27"/>
        <v>62.119761685174979</v>
      </c>
      <c r="Q60">
        <f t="shared" si="28"/>
        <v>65.782875317102423</v>
      </c>
      <c r="R60">
        <f t="shared" si="29"/>
        <v>1.0945097740548479E-2</v>
      </c>
    </row>
    <row r="61" spans="1:18" x14ac:dyDescent="0.25">
      <c r="A61">
        <v>4</v>
      </c>
      <c r="B61">
        <v>82.15</v>
      </c>
      <c r="C61">
        <v>0.8</v>
      </c>
      <c r="D61">
        <f t="shared" si="23"/>
        <v>65.720000000000013</v>
      </c>
      <c r="E61">
        <v>5732</v>
      </c>
      <c r="F61">
        <v>221</v>
      </c>
      <c r="G61">
        <f t="shared" si="24"/>
        <v>3.6833333333333332E-3</v>
      </c>
      <c r="H61">
        <f>G61*$D$55</f>
        <v>3.5421290666666665</v>
      </c>
      <c r="I61">
        <f>D61/(H61*$A$55)</f>
        <v>4.3841712921324065</v>
      </c>
      <c r="J61">
        <f t="shared" si="25"/>
        <v>120.61582870786759</v>
      </c>
      <c r="K61">
        <f>140/3.6</f>
        <v>38.888888888888886</v>
      </c>
      <c r="L61">
        <f t="shared" si="26"/>
        <v>9.7999999999999989</v>
      </c>
      <c r="M61">
        <f>L61*$H$55</f>
        <v>11.41112</v>
      </c>
      <c r="N61">
        <v>54</v>
      </c>
      <c r="O61">
        <f>D61/M61/$E$13</f>
        <v>5.6910024136500716</v>
      </c>
      <c r="P61">
        <f t="shared" si="27"/>
        <v>59.691002413650068</v>
      </c>
      <c r="Q61">
        <f t="shared" si="28"/>
        <v>65.960255539226026</v>
      </c>
      <c r="R61">
        <f t="shared" si="29"/>
        <v>2.490893927818278E-2</v>
      </c>
    </row>
    <row r="62" spans="1:18" x14ac:dyDescent="0.25">
      <c r="A62">
        <v>5</v>
      </c>
      <c r="B62">
        <v>93.5</v>
      </c>
      <c r="C62">
        <v>1</v>
      </c>
      <c r="D62">
        <f t="shared" si="23"/>
        <v>93.5</v>
      </c>
      <c r="E62">
        <v>5990</v>
      </c>
      <c r="F62">
        <v>224.8</v>
      </c>
      <c r="G62">
        <f t="shared" si="24"/>
        <v>3.7466666666666668E-3</v>
      </c>
      <c r="H62">
        <f>G62*$D$55</f>
        <v>3.6030344533333336</v>
      </c>
      <c r="I62">
        <f>D62/(H62*$A$55)</f>
        <v>6.1319349190203249</v>
      </c>
      <c r="J62">
        <f>$I$13-I62</f>
        <v>118.86806508097968</v>
      </c>
      <c r="K62">
        <f>143/3.6</f>
        <v>39.722222222222221</v>
      </c>
      <c r="L62">
        <f t="shared" si="26"/>
        <v>10.01</v>
      </c>
      <c r="M62">
        <f>L62*$H$55</f>
        <v>11.655644000000001</v>
      </c>
      <c r="N62">
        <v>65</v>
      </c>
      <c r="O62">
        <f>D62/M62/$E$13</f>
        <v>7.9267438459707655</v>
      </c>
      <c r="P62">
        <f t="shared" si="27"/>
        <v>72.926743845970762</v>
      </c>
      <c r="Q62">
        <f t="shared" si="28"/>
        <v>52.965592425608087</v>
      </c>
      <c r="R62">
        <f t="shared" si="29"/>
        <v>4.4132424333459416E-2</v>
      </c>
    </row>
    <row r="64" spans="1:18" x14ac:dyDescent="0.25">
      <c r="A64" s="8" t="s">
        <v>56</v>
      </c>
      <c r="B64" s="8"/>
      <c r="C64" s="8"/>
      <c r="D64" s="8"/>
      <c r="E64" s="8"/>
      <c r="F64" s="8"/>
    </row>
    <row r="65" spans="1:18" x14ac:dyDescent="0.25">
      <c r="A65" t="s">
        <v>6</v>
      </c>
      <c r="B65" t="s">
        <v>7</v>
      </c>
      <c r="C65" t="s">
        <v>8</v>
      </c>
      <c r="D65" t="s">
        <v>9</v>
      </c>
      <c r="E65" t="s">
        <v>10</v>
      </c>
      <c r="F65" t="s">
        <v>16</v>
      </c>
      <c r="G65" t="s">
        <v>11</v>
      </c>
      <c r="H65" t="s">
        <v>12</v>
      </c>
      <c r="I65" t="s">
        <v>13</v>
      </c>
      <c r="J65" t="s">
        <v>14</v>
      </c>
      <c r="K65" t="s">
        <v>22</v>
      </c>
      <c r="L65" t="s">
        <v>46</v>
      </c>
    </row>
    <row r="66" spans="1:18" x14ac:dyDescent="0.25">
      <c r="A66">
        <v>0.8</v>
      </c>
      <c r="B66">
        <v>0.7</v>
      </c>
      <c r="C66">
        <v>1.2E-2</v>
      </c>
      <c r="D66">
        <v>10000</v>
      </c>
      <c r="E66">
        <v>6.9999999999999999E-4</v>
      </c>
      <c r="F66">
        <v>8.0000000000000002E-3</v>
      </c>
      <c r="G66">
        <v>36</v>
      </c>
      <c r="H66">
        <v>3.0000000000000001E-3</v>
      </c>
      <c r="I66">
        <v>0.01</v>
      </c>
      <c r="J66">
        <v>0.01</v>
      </c>
      <c r="K66">
        <v>40</v>
      </c>
      <c r="L66">
        <f>0.044132</f>
        <v>4.4131999999999998E-2</v>
      </c>
    </row>
    <row r="68" spans="1:18" x14ac:dyDescent="0.25">
      <c r="A68" t="s">
        <v>17</v>
      </c>
      <c r="B68" t="s">
        <v>49</v>
      </c>
      <c r="C68" t="s">
        <v>18</v>
      </c>
      <c r="D68" t="s">
        <v>24</v>
      </c>
      <c r="E68" t="s">
        <v>19</v>
      </c>
      <c r="F68" t="s">
        <v>20</v>
      </c>
      <c r="G68" t="s">
        <v>21</v>
      </c>
      <c r="H68" t="s">
        <v>28</v>
      </c>
      <c r="I68" t="s">
        <v>47</v>
      </c>
    </row>
    <row r="69" spans="1:18" x14ac:dyDescent="0.25">
      <c r="A69">
        <v>4.2320000000000002</v>
      </c>
      <c r="B69">
        <v>0.67700000000000005</v>
      </c>
      <c r="C69">
        <v>1.03</v>
      </c>
      <c r="D69">
        <v>961.66399999999999</v>
      </c>
      <c r="E69">
        <v>1.012</v>
      </c>
      <c r="G69">
        <v>0.70299999999999996</v>
      </c>
      <c r="H69" s="1">
        <v>1.1644000000000001</v>
      </c>
      <c r="I69">
        <v>125</v>
      </c>
    </row>
    <row r="71" spans="1:18" x14ac:dyDescent="0.25">
      <c r="A71" t="s">
        <v>0</v>
      </c>
      <c r="B71" t="s">
        <v>1</v>
      </c>
      <c r="C71" t="s">
        <v>2</v>
      </c>
      <c r="D71" t="s">
        <v>15</v>
      </c>
      <c r="E71" t="s">
        <v>3</v>
      </c>
      <c r="F71" t="s">
        <v>5</v>
      </c>
      <c r="G71" t="s">
        <v>23</v>
      </c>
      <c r="H71" t="s">
        <v>25</v>
      </c>
      <c r="I71" t="s">
        <v>31</v>
      </c>
      <c r="J71" t="s">
        <v>50</v>
      </c>
      <c r="K71" t="s">
        <v>26</v>
      </c>
      <c r="L71" t="s">
        <v>27</v>
      </c>
      <c r="M71" t="s">
        <v>29</v>
      </c>
      <c r="N71" t="s">
        <v>48</v>
      </c>
      <c r="O71" t="s">
        <v>30</v>
      </c>
      <c r="P71" t="s">
        <v>51</v>
      </c>
      <c r="Q71" t="s">
        <v>52</v>
      </c>
      <c r="R71" t="s">
        <v>53</v>
      </c>
    </row>
    <row r="72" spans="1:18" x14ac:dyDescent="0.25">
      <c r="A72">
        <v>1</v>
      </c>
      <c r="B72">
        <v>17.829999999999998</v>
      </c>
      <c r="C72">
        <v>1.2</v>
      </c>
      <c r="D72">
        <f>C72*B72</f>
        <v>21.395999999999997</v>
      </c>
      <c r="E72">
        <v>3386</v>
      </c>
      <c r="F72">
        <v>170.8</v>
      </c>
      <c r="G72">
        <f>F72/60000</f>
        <v>2.846666666666667E-3</v>
      </c>
      <c r="H72">
        <f>G72*$D$55</f>
        <v>2.7375368533333337</v>
      </c>
      <c r="I72">
        <f>D72/(H72*$A$55)</f>
        <v>1.8468301492661316</v>
      </c>
      <c r="J72">
        <f>$I$13-I72</f>
        <v>123.15316985073387</v>
      </c>
      <c r="K72">
        <f>22/3.6</f>
        <v>6.1111111111111107</v>
      </c>
      <c r="L72">
        <f>$L$66*K72</f>
        <v>0.26969555555555552</v>
      </c>
      <c r="M72">
        <f>L72*$H$55</f>
        <v>0.31403350488888887</v>
      </c>
      <c r="N72">
        <v>40</v>
      </c>
      <c r="O72">
        <f>D72/M72/$E$13</f>
        <v>67.324957881800302</v>
      </c>
      <c r="P72">
        <f>N72+O72</f>
        <v>107.3249578818003</v>
      </c>
      <c r="Q72">
        <f>(($I$13-P72)-(J72-N72))/LN(($I$13-P72)/(J72-N72))</f>
        <v>42.284035032304885</v>
      </c>
      <c r="R72">
        <f>D72/(Q72*$K$10)</f>
        <v>1.2650164526430314E-2</v>
      </c>
    </row>
    <row r="73" spans="1:18" x14ac:dyDescent="0.25">
      <c r="A73">
        <v>2</v>
      </c>
      <c r="B73">
        <v>22.46</v>
      </c>
      <c r="C73">
        <v>1</v>
      </c>
      <c r="D73">
        <f t="shared" ref="D73:D76" si="30">C73*B73</f>
        <v>22.46</v>
      </c>
      <c r="E73">
        <v>4356</v>
      </c>
      <c r="F73">
        <v>190.7</v>
      </c>
      <c r="G73">
        <f t="shared" ref="G73:G76" si="31">F73/60000</f>
        <v>3.1783333333333334E-3</v>
      </c>
      <c r="H73">
        <f>G73*$D$55</f>
        <v>3.0564887466666666</v>
      </c>
      <c r="I73">
        <f>D73/(H73*$A$55)</f>
        <v>1.7363660738575288</v>
      </c>
      <c r="J73">
        <f t="shared" ref="J73:J75" si="32">$I$13-I73</f>
        <v>123.26363392614248</v>
      </c>
      <c r="K73">
        <f>43/3.6</f>
        <v>11.944444444444445</v>
      </c>
      <c r="L73">
        <f t="shared" ref="L73:L76" si="33">$L$66*K73</f>
        <v>0.52713222222222222</v>
      </c>
      <c r="M73">
        <f>L73*$H$55</f>
        <v>0.61379275955555557</v>
      </c>
      <c r="N73">
        <v>54</v>
      </c>
      <c r="O73">
        <f>D73/M73/$E$13</f>
        <v>36.15825625802168</v>
      </c>
      <c r="P73">
        <f t="shared" ref="P73:P76" si="34">N73+O73</f>
        <v>90.15825625802168</v>
      </c>
      <c r="Q73">
        <f t="shared" ref="Q73:Q76" si="35">(($I$13-P73)-(J73-N73))/LN(($I$13-P73)/(J73-N73))</f>
        <v>50.097074045887354</v>
      </c>
      <c r="R73">
        <f t="shared" ref="R73:R76" si="36">D73/(Q73*$K$10)</f>
        <v>1.1208239417050257E-2</v>
      </c>
    </row>
    <row r="74" spans="1:18" x14ac:dyDescent="0.25">
      <c r="A74">
        <v>3</v>
      </c>
      <c r="B74">
        <v>32</v>
      </c>
      <c r="C74">
        <v>0.9</v>
      </c>
      <c r="D74">
        <f t="shared" si="30"/>
        <v>28.8</v>
      </c>
      <c r="E74">
        <v>4356</v>
      </c>
      <c r="F74">
        <v>190.7</v>
      </c>
      <c r="G74">
        <f t="shared" si="31"/>
        <v>3.1783333333333334E-3</v>
      </c>
      <c r="H74">
        <f>G74*$D$55</f>
        <v>3.0564887466666666</v>
      </c>
      <c r="I74">
        <f>D74/(H74*$A$55)</f>
        <v>2.226506808864507</v>
      </c>
      <c r="J74">
        <f t="shared" si="32"/>
        <v>122.77349319113549</v>
      </c>
      <c r="K74">
        <f>43/3.6</f>
        <v>11.944444444444445</v>
      </c>
      <c r="L74">
        <f t="shared" si="33"/>
        <v>0.52713222222222222</v>
      </c>
      <c r="M74">
        <f>L74*$H$55</f>
        <v>0.61379275955555557</v>
      </c>
      <c r="N74">
        <v>54</v>
      </c>
      <c r="O74">
        <f>D74/M74/$E$13</f>
        <v>46.36499466745434</v>
      </c>
      <c r="P74">
        <f t="shared" si="34"/>
        <v>100.36499466745434</v>
      </c>
      <c r="Q74">
        <f t="shared" si="35"/>
        <v>42.992732196476439</v>
      </c>
      <c r="R74">
        <f t="shared" si="36"/>
        <v>1.6747016605262625E-2</v>
      </c>
    </row>
    <row r="75" spans="1:18" x14ac:dyDescent="0.25">
      <c r="A75">
        <v>4</v>
      </c>
      <c r="B75">
        <v>82.15</v>
      </c>
      <c r="C75">
        <v>0.8</v>
      </c>
      <c r="D75">
        <f t="shared" si="30"/>
        <v>65.720000000000013</v>
      </c>
      <c r="E75">
        <v>5732</v>
      </c>
      <c r="F75">
        <v>221</v>
      </c>
      <c r="G75">
        <f t="shared" si="31"/>
        <v>3.6833333333333332E-3</v>
      </c>
      <c r="H75">
        <f>G75*$D$55</f>
        <v>3.5421290666666665</v>
      </c>
      <c r="I75">
        <f>D75/(H75*$A$55)</f>
        <v>4.3841712921324065</v>
      </c>
      <c r="J75">
        <f t="shared" si="32"/>
        <v>120.61582870786759</v>
      </c>
      <c r="K75">
        <f>140/3.6</f>
        <v>38.888888888888886</v>
      </c>
      <c r="L75">
        <f t="shared" si="33"/>
        <v>1.7162444444444442</v>
      </c>
      <c r="M75">
        <f>L75*$H$55</f>
        <v>1.9983950311111109</v>
      </c>
      <c r="N75">
        <v>54</v>
      </c>
      <c r="O75">
        <f>D75/M75/$E$13</f>
        <v>32.496433613700219</v>
      </c>
      <c r="P75">
        <f t="shared" si="34"/>
        <v>86.496433613700219</v>
      </c>
      <c r="Q75">
        <f t="shared" si="35"/>
        <v>51.281842492001388</v>
      </c>
      <c r="R75">
        <f t="shared" si="36"/>
        <v>3.2038630442271357E-2</v>
      </c>
    </row>
    <row r="76" spans="1:18" x14ac:dyDescent="0.25">
      <c r="A76">
        <v>5</v>
      </c>
      <c r="B76">
        <v>93.5</v>
      </c>
      <c r="C76">
        <v>1</v>
      </c>
      <c r="D76">
        <f t="shared" si="30"/>
        <v>93.5</v>
      </c>
      <c r="E76">
        <v>5990</v>
      </c>
      <c r="F76">
        <v>224.8</v>
      </c>
      <c r="G76">
        <f t="shared" si="31"/>
        <v>3.7466666666666668E-3</v>
      </c>
      <c r="H76">
        <f>G76*$D$55</f>
        <v>3.6030344533333336</v>
      </c>
      <c r="I76">
        <f>D76/(H76*$A$55)</f>
        <v>6.1319349190203249</v>
      </c>
      <c r="J76">
        <f>$I$13-I76</f>
        <v>118.86806508097968</v>
      </c>
      <c r="K76">
        <f>143/3.6</f>
        <v>39.722222222222221</v>
      </c>
      <c r="L76">
        <f t="shared" si="33"/>
        <v>1.7530211111111109</v>
      </c>
      <c r="M76">
        <f>L76*$H$55</f>
        <v>2.0412177817777777</v>
      </c>
      <c r="N76">
        <v>65</v>
      </c>
      <c r="O76">
        <f>D76/M76/$E$13</f>
        <v>45.262835339088042</v>
      </c>
      <c r="P76">
        <f t="shared" si="34"/>
        <v>110.26283533908804</v>
      </c>
      <c r="Q76">
        <f t="shared" si="35"/>
        <v>30.189745266755338</v>
      </c>
      <c r="R76">
        <f t="shared" si="36"/>
        <v>7.7426953402420159E-2</v>
      </c>
    </row>
    <row r="78" spans="1:18" x14ac:dyDescent="0.25">
      <c r="A78" s="8" t="s">
        <v>57</v>
      </c>
      <c r="B78" s="8"/>
      <c r="C78" s="8"/>
      <c r="D78" s="8"/>
      <c r="E78" s="8"/>
      <c r="F78" s="8"/>
    </row>
    <row r="79" spans="1:18" x14ac:dyDescent="0.25">
      <c r="A79" t="s">
        <v>6</v>
      </c>
      <c r="B79" t="s">
        <v>7</v>
      </c>
      <c r="C79" t="s">
        <v>8</v>
      </c>
      <c r="D79" t="s">
        <v>9</v>
      </c>
      <c r="E79" t="s">
        <v>10</v>
      </c>
      <c r="F79" t="s">
        <v>16</v>
      </c>
      <c r="G79" t="s">
        <v>11</v>
      </c>
      <c r="H79" t="s">
        <v>12</v>
      </c>
      <c r="I79" t="s">
        <v>13</v>
      </c>
      <c r="J79" t="s">
        <v>14</v>
      </c>
      <c r="K79" t="s">
        <v>22</v>
      </c>
      <c r="L79" t="s">
        <v>46</v>
      </c>
    </row>
    <row r="80" spans="1:18" x14ac:dyDescent="0.25">
      <c r="A80">
        <v>0.8</v>
      </c>
      <c r="B80">
        <v>0.7</v>
      </c>
      <c r="C80">
        <v>1.2E-2</v>
      </c>
      <c r="D80">
        <v>10000</v>
      </c>
      <c r="E80">
        <v>6.9999999999999999E-4</v>
      </c>
      <c r="F80">
        <v>8.0000000000000002E-3</v>
      </c>
      <c r="G80">
        <v>36</v>
      </c>
      <c r="H80">
        <v>3.0000000000000001E-3</v>
      </c>
      <c r="I80">
        <v>0.01</v>
      </c>
      <c r="J80">
        <v>0.01</v>
      </c>
      <c r="K80">
        <v>40</v>
      </c>
      <c r="L80">
        <v>7.7426999999999996E-2</v>
      </c>
    </row>
    <row r="82" spans="1:18" x14ac:dyDescent="0.25">
      <c r="A82" t="s">
        <v>17</v>
      </c>
      <c r="B82" t="s">
        <v>49</v>
      </c>
      <c r="C82" t="s">
        <v>18</v>
      </c>
      <c r="D82" t="s">
        <v>24</v>
      </c>
      <c r="E82" t="s">
        <v>19</v>
      </c>
      <c r="F82" t="s">
        <v>20</v>
      </c>
      <c r="G82" t="s">
        <v>21</v>
      </c>
      <c r="H82" t="s">
        <v>28</v>
      </c>
      <c r="I82" t="s">
        <v>47</v>
      </c>
    </row>
    <row r="83" spans="1:18" x14ac:dyDescent="0.25">
      <c r="A83">
        <v>4.2320000000000002</v>
      </c>
      <c r="B83">
        <v>0.67700000000000005</v>
      </c>
      <c r="C83">
        <v>1.03</v>
      </c>
      <c r="D83">
        <v>961.66399999999999</v>
      </c>
      <c r="E83">
        <v>1.012</v>
      </c>
      <c r="G83">
        <v>0.70299999999999996</v>
      </c>
      <c r="H83" s="1">
        <v>1.1644000000000001</v>
      </c>
      <c r="I83">
        <v>125</v>
      </c>
    </row>
    <row r="85" spans="1:18" x14ac:dyDescent="0.25">
      <c r="A85" t="s">
        <v>0</v>
      </c>
      <c r="B85" t="s">
        <v>65</v>
      </c>
      <c r="C85" t="s">
        <v>2</v>
      </c>
      <c r="D85" t="s">
        <v>66</v>
      </c>
      <c r="E85" t="s">
        <v>67</v>
      </c>
      <c r="F85" t="s">
        <v>5</v>
      </c>
      <c r="G85" t="s">
        <v>23</v>
      </c>
      <c r="H85" t="s">
        <v>25</v>
      </c>
      <c r="I85" t="s">
        <v>68</v>
      </c>
      <c r="J85" t="s">
        <v>69</v>
      </c>
      <c r="K85" t="s">
        <v>26</v>
      </c>
      <c r="L85" t="s">
        <v>27</v>
      </c>
      <c r="M85" t="s">
        <v>29</v>
      </c>
      <c r="N85" t="s">
        <v>48</v>
      </c>
      <c r="O85" t="s">
        <v>30</v>
      </c>
      <c r="P85" t="s">
        <v>51</v>
      </c>
      <c r="Q85" t="s">
        <v>52</v>
      </c>
      <c r="R85" t="s">
        <v>53</v>
      </c>
    </row>
    <row r="86" spans="1:18" x14ac:dyDescent="0.25">
      <c r="A86">
        <v>1</v>
      </c>
      <c r="B86">
        <v>17.829999999999998</v>
      </c>
      <c r="C86">
        <v>1.2</v>
      </c>
      <c r="D86">
        <f>C86*B86</f>
        <v>21.395999999999997</v>
      </c>
      <c r="E86">
        <v>3386</v>
      </c>
      <c r="F86">
        <v>170.8</v>
      </c>
      <c r="G86">
        <f>F86/60000</f>
        <v>2.846666666666667E-3</v>
      </c>
      <c r="H86" s="6">
        <f>G86*$D$55</f>
        <v>2.7375368533333337</v>
      </c>
      <c r="I86" s="6">
        <f>D86/(H86*$A$55)</f>
        <v>1.8468301492661316</v>
      </c>
      <c r="J86" s="6">
        <f>$I$13-I86</f>
        <v>123.15316985073387</v>
      </c>
      <c r="K86" s="6">
        <f>22/3.6</f>
        <v>6.1111111111111107</v>
      </c>
      <c r="L86" s="6">
        <f>$L$80*K86</f>
        <v>0.47316499999999995</v>
      </c>
      <c r="M86" s="6">
        <f>L86*$H$55</f>
        <v>0.55095332600000002</v>
      </c>
      <c r="N86">
        <v>40</v>
      </c>
      <c r="O86" s="6">
        <f>D86/M86/$E$13</f>
        <v>38.374017348465145</v>
      </c>
      <c r="P86" s="6">
        <f>N86+O86</f>
        <v>78.374017348465145</v>
      </c>
      <c r="Q86" s="6">
        <f>(($I$13-P86)-(J86-N86))/LN(($I$13-P86)/(J86-N86))</f>
        <v>63.138326730318269</v>
      </c>
      <c r="R86" s="5">
        <f>D86/(Q86*$K$10)</f>
        <v>8.4718748136090108E-3</v>
      </c>
    </row>
    <row r="87" spans="1:18" x14ac:dyDescent="0.25">
      <c r="A87">
        <v>2</v>
      </c>
      <c r="B87">
        <v>22.46</v>
      </c>
      <c r="C87">
        <v>1</v>
      </c>
      <c r="D87">
        <f t="shared" ref="D87:D90" si="37">C87*B87</f>
        <v>22.46</v>
      </c>
      <c r="E87">
        <v>4356</v>
      </c>
      <c r="F87">
        <v>190.7</v>
      </c>
      <c r="G87">
        <f t="shared" ref="G87:G90" si="38">F87/60000</f>
        <v>3.1783333333333334E-3</v>
      </c>
      <c r="H87" s="6">
        <f>G87*$D$55</f>
        <v>3.0564887466666666</v>
      </c>
      <c r="I87" s="6">
        <f>D87/(H87*$A$55)</f>
        <v>1.7363660738575288</v>
      </c>
      <c r="J87" s="6">
        <f t="shared" ref="J87:J89" si="39">$I$13-I87</f>
        <v>123.26363392614248</v>
      </c>
      <c r="K87" s="6">
        <f>43/3.6</f>
        <v>11.944444444444445</v>
      </c>
      <c r="L87" s="6">
        <f t="shared" ref="L87:L90" si="40">$L$80*K87</f>
        <v>0.92482249999999999</v>
      </c>
      <c r="M87" s="6">
        <f>L87*$H$55</f>
        <v>1.0768633190000001</v>
      </c>
      <c r="N87">
        <v>54</v>
      </c>
      <c r="O87" s="6">
        <f>D87/M87/$E$13</f>
        <v>20.609556939814439</v>
      </c>
      <c r="P87" s="6">
        <f t="shared" ref="P87:P90" si="41">N87+O87</f>
        <v>74.609556939814439</v>
      </c>
      <c r="Q87" s="6">
        <f t="shared" ref="Q87:Q90" si="42">(($I$13-P87)-(J87-N87))/LN(($I$13-P87)/(J87-N87))</f>
        <v>59.327554458766627</v>
      </c>
      <c r="R87" s="5">
        <f t="shared" ref="R87:R90" si="43">D87/(Q87*$K$10)</f>
        <v>9.4644049484670645E-3</v>
      </c>
    </row>
    <row r="88" spans="1:18" x14ac:dyDescent="0.25">
      <c r="A88">
        <v>3</v>
      </c>
      <c r="B88">
        <v>32</v>
      </c>
      <c r="C88">
        <v>0.9</v>
      </c>
      <c r="D88">
        <f t="shared" si="37"/>
        <v>28.8</v>
      </c>
      <c r="E88">
        <v>4356</v>
      </c>
      <c r="F88">
        <v>190.7</v>
      </c>
      <c r="G88">
        <f t="shared" si="38"/>
        <v>3.1783333333333334E-3</v>
      </c>
      <c r="H88" s="6">
        <f>G88*$D$55</f>
        <v>3.0564887466666666</v>
      </c>
      <c r="I88" s="6">
        <f>D88/(H88*$A$55)</f>
        <v>2.226506808864507</v>
      </c>
      <c r="J88" s="6">
        <f t="shared" si="39"/>
        <v>122.77349319113549</v>
      </c>
      <c r="K88" s="6">
        <f>43/3.6</f>
        <v>11.944444444444445</v>
      </c>
      <c r="L88" s="6">
        <f t="shared" si="40"/>
        <v>0.92482249999999999</v>
      </c>
      <c r="M88" s="6">
        <f>L88*$H$55</f>
        <v>1.0768633190000001</v>
      </c>
      <c r="N88">
        <v>54</v>
      </c>
      <c r="O88" s="6">
        <f>D88/M88/$E$13</f>
        <v>26.427214597803022</v>
      </c>
      <c r="P88" s="6">
        <f t="shared" si="41"/>
        <v>80.427214597803015</v>
      </c>
      <c r="Q88" s="6">
        <f t="shared" si="42"/>
        <v>55.801225292167075</v>
      </c>
      <c r="R88" s="5">
        <f t="shared" si="43"/>
        <v>1.2902942475370121E-2</v>
      </c>
    </row>
    <row r="89" spans="1:18" x14ac:dyDescent="0.25">
      <c r="A89">
        <v>4</v>
      </c>
      <c r="B89">
        <v>82.15</v>
      </c>
      <c r="C89">
        <v>0.8</v>
      </c>
      <c r="D89">
        <f t="shared" si="37"/>
        <v>65.720000000000013</v>
      </c>
      <c r="E89">
        <v>5732</v>
      </c>
      <c r="F89">
        <v>221</v>
      </c>
      <c r="G89">
        <f t="shared" si="38"/>
        <v>3.6833333333333332E-3</v>
      </c>
      <c r="H89" s="6">
        <f>G89*$D$55</f>
        <v>3.5421290666666665</v>
      </c>
      <c r="I89" s="6">
        <f>D89/(H89*$A$55)</f>
        <v>4.3841712921324065</v>
      </c>
      <c r="J89" s="6">
        <f t="shared" si="39"/>
        <v>120.61582870786759</v>
      </c>
      <c r="K89" s="6">
        <f>140/3.6</f>
        <v>38.888888888888886</v>
      </c>
      <c r="L89" s="6">
        <f t="shared" si="40"/>
        <v>3.0110499999999996</v>
      </c>
      <c r="M89" s="6">
        <f>L89*$H$55</f>
        <v>3.5060666199999999</v>
      </c>
      <c r="N89">
        <v>54</v>
      </c>
      <c r="O89" s="6">
        <f>D89/M89/$E$13</f>
        <v>18.522383771033596</v>
      </c>
      <c r="P89" s="6">
        <f t="shared" si="41"/>
        <v>72.522383771033589</v>
      </c>
      <c r="Q89" s="6">
        <f t="shared" si="42"/>
        <v>59.265926331318063</v>
      </c>
      <c r="R89" s="5">
        <f t="shared" si="43"/>
        <v>2.7722506028422356E-2</v>
      </c>
    </row>
    <row r="90" spans="1:18" x14ac:dyDescent="0.25">
      <c r="A90">
        <v>5</v>
      </c>
      <c r="B90">
        <v>93.5</v>
      </c>
      <c r="C90">
        <v>1</v>
      </c>
      <c r="D90">
        <f t="shared" si="37"/>
        <v>93.5</v>
      </c>
      <c r="E90">
        <v>5990</v>
      </c>
      <c r="F90">
        <v>224.8</v>
      </c>
      <c r="G90">
        <f t="shared" si="38"/>
        <v>3.7466666666666668E-3</v>
      </c>
      <c r="H90" s="6">
        <f>G90*$D$55</f>
        <v>3.6030344533333336</v>
      </c>
      <c r="I90" s="6">
        <f>D90/(H90*$A$55)</f>
        <v>6.1319349190203249</v>
      </c>
      <c r="J90" s="6">
        <f>$I$13-I90</f>
        <v>118.86806508097968</v>
      </c>
      <c r="K90" s="6">
        <f>143/3.6</f>
        <v>39.722222222222221</v>
      </c>
      <c r="L90" s="6">
        <f t="shared" si="40"/>
        <v>3.0755724999999998</v>
      </c>
      <c r="M90" s="6">
        <f>L90*$H$55</f>
        <v>3.581196619</v>
      </c>
      <c r="N90">
        <v>65</v>
      </c>
      <c r="O90" s="6">
        <f>D90/M90/$E$13</f>
        <v>25.799003567032599</v>
      </c>
      <c r="P90" s="6">
        <f t="shared" si="41"/>
        <v>90.799003567032599</v>
      </c>
      <c r="Q90" s="6">
        <f t="shared" si="42"/>
        <v>43.292544461286226</v>
      </c>
      <c r="R90" s="5">
        <f t="shared" si="43"/>
        <v>5.3993130435894744E-2</v>
      </c>
    </row>
    <row r="92" spans="1:18" ht="14.45" customHeight="1" x14ac:dyDescent="0.25">
      <c r="A92" s="7" t="s">
        <v>58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8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</sheetData>
  <mergeCells count="7">
    <mergeCell ref="A8:L8"/>
    <mergeCell ref="A50:L50"/>
    <mergeCell ref="A92:P93"/>
    <mergeCell ref="A22:F22"/>
    <mergeCell ref="A36:F36"/>
    <mergeCell ref="A64:F64"/>
    <mergeCell ref="A78:F7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" sqref="E1"/>
    </sheetView>
  </sheetViews>
  <sheetFormatPr defaultRowHeight="15" x14ac:dyDescent="0.25"/>
  <cols>
    <col min="1" max="1" width="17.28515625" customWidth="1"/>
  </cols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>
        <v>1000</v>
      </c>
      <c r="B2">
        <v>50</v>
      </c>
      <c r="C2">
        <v>100</v>
      </c>
    </row>
    <row r="3" spans="1:3" x14ac:dyDescent="0.25">
      <c r="A3">
        <v>2000</v>
      </c>
      <c r="B3">
        <v>80</v>
      </c>
      <c r="C3">
        <v>140</v>
      </c>
    </row>
    <row r="4" spans="1:3" x14ac:dyDescent="0.25">
      <c r="A4">
        <v>3000</v>
      </c>
      <c r="B4">
        <v>110</v>
      </c>
      <c r="C4">
        <v>165</v>
      </c>
    </row>
    <row r="5" spans="1:3" x14ac:dyDescent="0.25">
      <c r="A5">
        <v>4000</v>
      </c>
      <c r="B5">
        <v>125</v>
      </c>
      <c r="C5">
        <v>180</v>
      </c>
    </row>
    <row r="6" spans="1:3" x14ac:dyDescent="0.25">
      <c r="A6">
        <v>5000</v>
      </c>
      <c r="B6">
        <v>150</v>
      </c>
      <c r="C6">
        <v>210</v>
      </c>
    </row>
    <row r="7" spans="1:3" x14ac:dyDescent="0.25">
      <c r="A7">
        <v>6000</v>
      </c>
      <c r="B7">
        <v>170</v>
      </c>
      <c r="C7">
        <v>225</v>
      </c>
    </row>
    <row r="8" spans="1:3" x14ac:dyDescent="0.25">
      <c r="A8">
        <v>7000</v>
      </c>
      <c r="B8">
        <v>180</v>
      </c>
      <c r="C8">
        <v>240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DadosCondições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Bruno Silva de Lima</cp:lastModifiedBy>
  <dcterms:created xsi:type="dcterms:W3CDTF">2016-06-20T23:22:38Z</dcterms:created>
  <dcterms:modified xsi:type="dcterms:W3CDTF">2022-01-15T18:13:29Z</dcterms:modified>
</cp:coreProperties>
</file>