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Desktop\Trabalho Instalaçoes Eletrica\"/>
    </mc:Choice>
  </mc:AlternateContent>
  <bookViews>
    <workbookView minimized="1" xWindow="936" yWindow="0" windowWidth="19560" windowHeight="8340" firstSheet="2" activeTab="3"/>
  </bookViews>
  <sheets>
    <sheet name="Dimens. e Prev. de Carga" sheetId="1" r:id="rId1"/>
    <sheet name="Divisão por Circuitos" sheetId="2" r:id="rId2"/>
    <sheet name="Cálculo de Demanda" sheetId="3" r:id="rId3"/>
    <sheet name="Equilibrio Por Fase" sheetId="4" r:id="rId4"/>
    <sheet name="Cálculo Tomadas e Ilumin." sheetId="5" r:id="rId5"/>
    <sheet name="Cálculo F.Agrup. F.Temp. Circ." sheetId="6" r:id="rId6"/>
  </sheets>
  <calcPr calcId="152511"/>
</workbook>
</file>

<file path=xl/calcChain.xml><?xml version="1.0" encoding="utf-8"?>
<calcChain xmlns="http://schemas.openxmlformats.org/spreadsheetml/2006/main">
  <c r="N5" i="3" l="1"/>
  <c r="N7" i="3"/>
  <c r="J13" i="5"/>
  <c r="J14" i="5"/>
  <c r="J15" i="5"/>
  <c r="J16" i="5"/>
  <c r="N9" i="3"/>
  <c r="K6" i="3"/>
  <c r="K7" i="3"/>
  <c r="K8" i="3"/>
  <c r="K9" i="3"/>
  <c r="K11" i="3"/>
  <c r="K12" i="3"/>
  <c r="K13" i="3"/>
  <c r="K14" i="3"/>
  <c r="K15" i="3"/>
  <c r="K16" i="3"/>
  <c r="K5" i="3"/>
  <c r="J6" i="3"/>
  <c r="J7" i="3"/>
  <c r="J8" i="3"/>
  <c r="J9" i="3"/>
  <c r="J11" i="3"/>
  <c r="J12" i="3"/>
  <c r="J13" i="3"/>
  <c r="J14" i="3"/>
  <c r="J15" i="3"/>
  <c r="J16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21" i="3"/>
  <c r="D21" i="3"/>
  <c r="J18" i="5"/>
  <c r="J17" i="5"/>
  <c r="J12" i="5"/>
  <c r="J11" i="5"/>
  <c r="J5" i="5"/>
  <c r="J6" i="5"/>
  <c r="J7" i="5"/>
  <c r="J8" i="5"/>
  <c r="J9" i="5"/>
  <c r="J10" i="5"/>
  <c r="J2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4" i="5"/>
  <c r="I4" i="5" l="1"/>
  <c r="J4" i="5" s="1"/>
  <c r="I5" i="5"/>
  <c r="O26" i="6" l="1"/>
  <c r="J26" i="6"/>
  <c r="O25" i="6"/>
  <c r="J25" i="6"/>
  <c r="O24" i="6"/>
  <c r="J24" i="6"/>
  <c r="O23" i="6"/>
  <c r="J23" i="6"/>
  <c r="O22" i="6"/>
  <c r="J22" i="6"/>
  <c r="O21" i="6"/>
  <c r="J21" i="6"/>
  <c r="O20" i="6"/>
  <c r="J20" i="6"/>
  <c r="O19" i="6"/>
  <c r="J19" i="6"/>
  <c r="O18" i="6"/>
  <c r="J18" i="6"/>
  <c r="O17" i="6"/>
  <c r="J17" i="6"/>
  <c r="O16" i="6"/>
  <c r="J16" i="6"/>
  <c r="O15" i="6"/>
  <c r="J15" i="6"/>
  <c r="O14" i="6"/>
  <c r="J14" i="6"/>
  <c r="O13" i="6"/>
  <c r="J13" i="6"/>
  <c r="O12" i="6"/>
  <c r="J12" i="6"/>
  <c r="O11" i="6"/>
  <c r="J11" i="6"/>
  <c r="O10" i="6"/>
  <c r="J10" i="6"/>
  <c r="O9" i="6"/>
  <c r="J9" i="6"/>
  <c r="O8" i="6"/>
  <c r="J8" i="6"/>
  <c r="O7" i="6"/>
  <c r="J7" i="6"/>
  <c r="O6" i="6"/>
  <c r="J6" i="6"/>
  <c r="O5" i="6"/>
  <c r="J5" i="6"/>
  <c r="O4" i="6"/>
  <c r="J4" i="6"/>
  <c r="H20" i="1"/>
  <c r="H19" i="1"/>
  <c r="H18" i="1"/>
  <c r="H16" i="1"/>
  <c r="H10" i="1"/>
  <c r="I7" i="5"/>
  <c r="I6" i="5"/>
  <c r="H20" i="4"/>
  <c r="J16" i="4"/>
  <c r="I16" i="4"/>
  <c r="H16" i="4"/>
  <c r="E16" i="4"/>
  <c r="J20" i="4" s="1"/>
  <c r="D16" i="4"/>
  <c r="I20" i="4" s="1"/>
  <c r="C16" i="4"/>
  <c r="O9" i="4"/>
  <c r="N9" i="4"/>
  <c r="M9" i="4"/>
  <c r="D20" i="3"/>
  <c r="C20" i="3"/>
  <c r="D19" i="3"/>
  <c r="C19" i="3"/>
  <c r="D18" i="3"/>
  <c r="C18" i="3"/>
  <c r="D17" i="3"/>
  <c r="C17" i="3"/>
  <c r="D16" i="3"/>
  <c r="C16" i="3"/>
  <c r="D15" i="3"/>
  <c r="C15" i="3"/>
  <c r="P9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P7" i="3"/>
  <c r="D7" i="3"/>
  <c r="C7" i="3"/>
  <c r="K22" i="3"/>
  <c r="D6" i="3"/>
  <c r="C6" i="3"/>
  <c r="B5" i="3"/>
  <c r="G5" i="3"/>
  <c r="D5" i="3"/>
  <c r="C5" i="3"/>
  <c r="F2" i="3"/>
  <c r="B2" i="3"/>
  <c r="K27" i="2"/>
  <c r="J27" i="2"/>
  <c r="K26" i="2"/>
  <c r="J26" i="2"/>
  <c r="K25" i="2"/>
  <c r="J25" i="2"/>
  <c r="K24" i="2"/>
  <c r="J24" i="2"/>
  <c r="I24" i="2"/>
  <c r="G23" i="6" s="1"/>
  <c r="S23" i="6" s="1"/>
  <c r="T23" i="6" s="1"/>
  <c r="K23" i="2"/>
  <c r="J23" i="2"/>
  <c r="I23" i="2"/>
  <c r="G22" i="6" s="1"/>
  <c r="S22" i="6" s="1"/>
  <c r="T22" i="6" s="1"/>
  <c r="K22" i="2"/>
  <c r="J22" i="2"/>
  <c r="I22" i="2"/>
  <c r="G21" i="6" s="1"/>
  <c r="S21" i="6" s="1"/>
  <c r="T21" i="6" s="1"/>
  <c r="K21" i="2"/>
  <c r="J21" i="2"/>
  <c r="I21" i="2"/>
  <c r="G20" i="6" s="1"/>
  <c r="S20" i="6" s="1"/>
  <c r="T20" i="6" s="1"/>
  <c r="K20" i="2"/>
  <c r="J20" i="2"/>
  <c r="I20" i="2"/>
  <c r="G19" i="6" s="1"/>
  <c r="S19" i="6" s="1"/>
  <c r="T19" i="6" s="1"/>
  <c r="K19" i="2"/>
  <c r="J19" i="2"/>
  <c r="I19" i="2"/>
  <c r="G18" i="6" s="1"/>
  <c r="S18" i="6" s="1"/>
  <c r="T18" i="6" s="1"/>
  <c r="K18" i="2"/>
  <c r="J18" i="2"/>
  <c r="I18" i="2"/>
  <c r="G17" i="6" s="1"/>
  <c r="S17" i="6" s="1"/>
  <c r="T17" i="6" s="1"/>
  <c r="K17" i="2"/>
  <c r="J17" i="2"/>
  <c r="F17" i="2"/>
  <c r="I17" i="2" s="1"/>
  <c r="G16" i="6" s="1"/>
  <c r="S16" i="6" s="1"/>
  <c r="T16" i="6" s="1"/>
  <c r="K16" i="2"/>
  <c r="J16" i="2"/>
  <c r="I16" i="2"/>
  <c r="G15" i="6" s="1"/>
  <c r="S15" i="6" s="1"/>
  <c r="T15" i="6" s="1"/>
  <c r="K15" i="2"/>
  <c r="J15" i="2"/>
  <c r="I15" i="2"/>
  <c r="G14" i="6" s="1"/>
  <c r="S14" i="6" s="1"/>
  <c r="T14" i="6" s="1"/>
  <c r="K14" i="2"/>
  <c r="J14" i="2"/>
  <c r="I14" i="2"/>
  <c r="G13" i="6" s="1"/>
  <c r="S13" i="6" s="1"/>
  <c r="T13" i="6" s="1"/>
  <c r="K13" i="2"/>
  <c r="J13" i="2"/>
  <c r="I13" i="2"/>
  <c r="G12" i="6" s="1"/>
  <c r="S12" i="6" s="1"/>
  <c r="T12" i="6" s="1"/>
  <c r="K12" i="2"/>
  <c r="J12" i="2"/>
  <c r="I12" i="2"/>
  <c r="G11" i="6" s="1"/>
  <c r="S11" i="6" s="1"/>
  <c r="T11" i="6" s="1"/>
  <c r="K11" i="2"/>
  <c r="J11" i="2"/>
  <c r="I11" i="2"/>
  <c r="G10" i="6" s="1"/>
  <c r="S10" i="6" s="1"/>
  <c r="T10" i="6" s="1"/>
  <c r="K10" i="2"/>
  <c r="J10" i="2"/>
  <c r="I10" i="2"/>
  <c r="G9" i="6" s="1"/>
  <c r="S9" i="6" s="1"/>
  <c r="T9" i="6" s="1"/>
  <c r="K9" i="2"/>
  <c r="J9" i="2"/>
  <c r="I9" i="2"/>
  <c r="G8" i="6" s="1"/>
  <c r="S8" i="6" s="1"/>
  <c r="T8" i="6" s="1"/>
  <c r="K8" i="2"/>
  <c r="J8" i="2"/>
  <c r="I8" i="2"/>
  <c r="G7" i="6" s="1"/>
  <c r="S7" i="6" s="1"/>
  <c r="T7" i="6" s="1"/>
  <c r="K7" i="2"/>
  <c r="J7" i="2"/>
  <c r="K6" i="2"/>
  <c r="J6" i="2"/>
  <c r="K5" i="2"/>
  <c r="J5" i="2"/>
  <c r="K20" i="1"/>
  <c r="J20" i="1"/>
  <c r="G20" i="1"/>
  <c r="D20" i="1"/>
  <c r="C20" i="1"/>
  <c r="B20" i="1"/>
  <c r="F20" i="1" s="1"/>
  <c r="K19" i="1"/>
  <c r="J19" i="1"/>
  <c r="G19" i="1"/>
  <c r="D19" i="1"/>
  <c r="C19" i="1"/>
  <c r="B19" i="1"/>
  <c r="F19" i="1" s="1"/>
  <c r="G18" i="1"/>
  <c r="D18" i="1"/>
  <c r="C18" i="1"/>
  <c r="B18" i="1"/>
  <c r="F18" i="1" s="1"/>
  <c r="G17" i="1"/>
  <c r="D17" i="1"/>
  <c r="C17" i="1"/>
  <c r="B17" i="1"/>
  <c r="F17" i="1" s="1"/>
  <c r="K16" i="1"/>
  <c r="J16" i="1"/>
  <c r="G16" i="1"/>
  <c r="D16" i="1"/>
  <c r="C16" i="1"/>
  <c r="B16" i="1"/>
  <c r="F16" i="1" s="1"/>
  <c r="G15" i="1"/>
  <c r="D15" i="1"/>
  <c r="C15" i="1"/>
  <c r="B15" i="1"/>
  <c r="F15" i="1" s="1"/>
  <c r="K14" i="1"/>
  <c r="J14" i="1"/>
  <c r="D14" i="1"/>
  <c r="C14" i="1"/>
  <c r="B14" i="1"/>
  <c r="F14" i="1" s="1"/>
  <c r="G13" i="1"/>
  <c r="D13" i="1"/>
  <c r="C13" i="1"/>
  <c r="B13" i="1"/>
  <c r="F13" i="1" s="1"/>
  <c r="G12" i="1"/>
  <c r="D12" i="1"/>
  <c r="C12" i="1"/>
  <c r="B12" i="1"/>
  <c r="F12" i="1" s="1"/>
  <c r="K11" i="1"/>
  <c r="J11" i="1"/>
  <c r="G11" i="1"/>
  <c r="D11" i="1"/>
  <c r="C11" i="1"/>
  <c r="B11" i="1"/>
  <c r="F11" i="1" s="1"/>
  <c r="G10" i="1"/>
  <c r="D10" i="1"/>
  <c r="C10" i="1"/>
  <c r="B10" i="1"/>
  <c r="F10" i="1" s="1"/>
  <c r="G9" i="1"/>
  <c r="D9" i="1"/>
  <c r="C9" i="1"/>
  <c r="B9" i="1"/>
  <c r="F9" i="1" s="1"/>
  <c r="G8" i="1"/>
  <c r="D8" i="1"/>
  <c r="C8" i="1"/>
  <c r="B8" i="1"/>
  <c r="F8" i="1" s="1"/>
  <c r="G7" i="1"/>
  <c r="D7" i="1"/>
  <c r="C7" i="1"/>
  <c r="B7" i="1"/>
  <c r="F7" i="1" s="1"/>
  <c r="K6" i="1"/>
  <c r="J6" i="1"/>
  <c r="G6" i="1"/>
  <c r="D6" i="1"/>
  <c r="C6" i="1"/>
  <c r="B6" i="1"/>
  <c r="F6" i="1" s="1"/>
  <c r="G5" i="1"/>
  <c r="D5" i="1"/>
  <c r="C5" i="1"/>
  <c r="B5" i="1"/>
  <c r="F5" i="1" s="1"/>
  <c r="K22" i="1" l="1"/>
  <c r="P5" i="3"/>
  <c r="F6" i="2"/>
  <c r="I6" i="2" s="1"/>
  <c r="G5" i="6" s="1"/>
  <c r="S5" i="6" s="1"/>
  <c r="T5" i="6" s="1"/>
  <c r="G22" i="1"/>
  <c r="H9" i="1"/>
  <c r="H17" i="1"/>
  <c r="H12" i="1"/>
  <c r="G22" i="3"/>
  <c r="I23" i="4"/>
  <c r="G20" i="4"/>
  <c r="H23" i="4"/>
  <c r="J22" i="4"/>
  <c r="H22" i="4"/>
  <c r="H6" i="1"/>
  <c r="I8" i="1"/>
  <c r="H11" i="1"/>
  <c r="K7" i="6"/>
  <c r="K9" i="6"/>
  <c r="K11" i="6"/>
  <c r="K13" i="6"/>
  <c r="K15" i="6"/>
  <c r="K17" i="6"/>
  <c r="K19" i="6"/>
  <c r="K21" i="6"/>
  <c r="K23" i="6"/>
  <c r="F5" i="2"/>
  <c r="I5" i="2" s="1"/>
  <c r="G4" i="6" s="1"/>
  <c r="S4" i="6" s="1"/>
  <c r="T4" i="6" s="1"/>
  <c r="I22" i="4"/>
  <c r="I9" i="1"/>
  <c r="J23" i="4"/>
  <c r="H7" i="1"/>
  <c r="K8" i="6"/>
  <c r="K10" i="6"/>
  <c r="K12" i="6"/>
  <c r="K14" i="6"/>
  <c r="K16" i="6"/>
  <c r="K18" i="6"/>
  <c r="K20" i="6"/>
  <c r="K22" i="6"/>
  <c r="H5" i="1"/>
  <c r="H5" i="3"/>
  <c r="H8" i="1"/>
  <c r="H15" i="1"/>
  <c r="K5" i="6" l="1"/>
  <c r="F25" i="2"/>
  <c r="I25" i="2" s="1"/>
  <c r="G24" i="6" s="1"/>
  <c r="I12" i="1"/>
  <c r="I18" i="1"/>
  <c r="I5" i="3"/>
  <c r="I5" i="1"/>
  <c r="I16" i="1"/>
  <c r="I10" i="1"/>
  <c r="I20" i="1"/>
  <c r="I11" i="1"/>
  <c r="I6" i="1"/>
  <c r="I7" i="1"/>
  <c r="I17" i="1"/>
  <c r="I15" i="1"/>
  <c r="K4" i="6"/>
  <c r="I19" i="1"/>
  <c r="S24" i="6" l="1"/>
  <c r="T24" i="6" s="1"/>
  <c r="K24" i="6"/>
  <c r="I22" i="1"/>
  <c r="G24" i="1" s="1"/>
  <c r="F7" i="2"/>
  <c r="I7" i="2" s="1"/>
  <c r="G6" i="6" s="1"/>
  <c r="I22" i="3"/>
  <c r="N4" i="3" s="1"/>
  <c r="P4" i="3" s="1"/>
  <c r="O12" i="3" s="1"/>
  <c r="F27" i="2" s="1"/>
  <c r="I27" i="2" s="1"/>
  <c r="G26" i="6" s="1"/>
  <c r="F26" i="2"/>
  <c r="I26" i="2" s="1"/>
  <c r="G25" i="6" s="1"/>
  <c r="S25" i="6" l="1"/>
  <c r="T25" i="6" s="1"/>
  <c r="K25" i="6"/>
  <c r="S26" i="6"/>
  <c r="T26" i="6" s="1"/>
  <c r="K26" i="6"/>
  <c r="S6" i="6"/>
  <c r="T6" i="6" s="1"/>
  <c r="K6" i="6"/>
</calcChain>
</file>

<file path=xl/sharedStrings.xml><?xml version="1.0" encoding="utf-8"?>
<sst xmlns="http://schemas.openxmlformats.org/spreadsheetml/2006/main" count="408" uniqueCount="201">
  <si>
    <t>Circuitos Nº</t>
  </si>
  <si>
    <t>Dimensões da Planta Baixa</t>
  </si>
  <si>
    <t>Tipo de Circuito</t>
  </si>
  <si>
    <t>Locais</t>
  </si>
  <si>
    <t>Potência</t>
  </si>
  <si>
    <t>Previsão de Carga</t>
  </si>
  <si>
    <t>Tensão (V~)</t>
  </si>
  <si>
    <t>Dependências</t>
  </si>
  <si>
    <t>Fases</t>
  </si>
  <si>
    <t>Corrente (A) Ip</t>
  </si>
  <si>
    <t xml:space="preserve">Dimensões </t>
  </si>
  <si>
    <t>Cálculo de Demanda Geral</t>
  </si>
  <si>
    <t>Secção dos
Condutores
(mm²)</t>
  </si>
  <si>
    <t>Capacidade
do Condutor
(A) Iz</t>
  </si>
  <si>
    <t>Qde X Pot (VA)</t>
  </si>
  <si>
    <t>Potência de Iluminação (VA)</t>
  </si>
  <si>
    <t>Total (VA)</t>
  </si>
  <si>
    <t>C1</t>
  </si>
  <si>
    <t>Pontos de Tomada (TUG)</t>
  </si>
  <si>
    <t>Circuitos Independentes (TUE)</t>
  </si>
  <si>
    <t>Iluminação</t>
  </si>
  <si>
    <t>Sala
Corredor 1
Cozinha
Hall</t>
  </si>
  <si>
    <t>2 x 110
1 x 100
2 x 110
1 x 100</t>
  </si>
  <si>
    <t>Área (m²)</t>
  </si>
  <si>
    <t>Perímerito (m)</t>
  </si>
  <si>
    <t>Qde.</t>
  </si>
  <si>
    <t>Potência (VA)</t>
  </si>
  <si>
    <t>Discriminação</t>
  </si>
  <si>
    <t>1F+1N+PE</t>
  </si>
  <si>
    <t>Pot. (VA)</t>
  </si>
  <si>
    <t>F.D. (%)</t>
  </si>
  <si>
    <t>D. Max P1 (VA)</t>
  </si>
  <si>
    <t>TUG
Ilumin.</t>
  </si>
  <si>
    <t>C2</t>
  </si>
  <si>
    <t>Escritório
Banheiro
Área de Serviço</t>
  </si>
  <si>
    <t>1 x 100
1 x 100
1 x 160</t>
  </si>
  <si>
    <t>C3</t>
  </si>
  <si>
    <t>TUG</t>
  </si>
  <si>
    <t>Sala
Corredor 1
Hall
Escritóro</t>
  </si>
  <si>
    <t>4 x 100
2 x 100
2 x 100
3 x 100</t>
  </si>
  <si>
    <t>C4</t>
  </si>
  <si>
    <t>Cozinha</t>
  </si>
  <si>
    <t xml:space="preserve">3 x 600 </t>
  </si>
  <si>
    <t>C5</t>
  </si>
  <si>
    <t>TUE
Aquec.</t>
  </si>
  <si>
    <t>Cozinha
Área de Serviço</t>
  </si>
  <si>
    <t>2 x 100
1 x 100
1 x 600</t>
  </si>
  <si>
    <t>C6</t>
  </si>
  <si>
    <t>Área de Serviço</t>
  </si>
  <si>
    <t>2 x 600</t>
  </si>
  <si>
    <t>C7</t>
  </si>
  <si>
    <t>Banheiro 1</t>
  </si>
  <si>
    <t>C8</t>
  </si>
  <si>
    <t>TUE</t>
  </si>
  <si>
    <t>Chuveiro</t>
  </si>
  <si>
    <t>1 x 5500</t>
  </si>
  <si>
    <t>2F+PE</t>
  </si>
  <si>
    <t>C9</t>
  </si>
  <si>
    <t>Torneira</t>
  </si>
  <si>
    <t>1 x 4500</t>
  </si>
  <si>
    <t>C10</t>
  </si>
  <si>
    <t>Garagem</t>
  </si>
  <si>
    <t>1 x 280</t>
  </si>
  <si>
    <t>C11</t>
  </si>
  <si>
    <t>5 x 100</t>
  </si>
  <si>
    <t>TUE
Ar. Cond</t>
  </si>
  <si>
    <t>C12</t>
  </si>
  <si>
    <t>Corredor 2
Armazem
Closet
Banheiro 2</t>
  </si>
  <si>
    <t>2 x 80
1 x 100
1 x 100
1 x 160
1 x 60</t>
  </si>
  <si>
    <t>C13</t>
  </si>
  <si>
    <t>Dormitório 1
Dormitório 2</t>
  </si>
  <si>
    <t>8 x 27,5
5 x 56</t>
  </si>
  <si>
    <t>C14</t>
  </si>
  <si>
    <t>Corredor 2
Armazem
Closet
Dormitório 2</t>
  </si>
  <si>
    <t>4 x 100
2 x 100
2 x 100
2 x 100</t>
  </si>
  <si>
    <t>C15</t>
  </si>
  <si>
    <t>Banheiro 2</t>
  </si>
  <si>
    <t xml:space="preserve">2 x 600
1 x 100 </t>
  </si>
  <si>
    <t>TUE
Motor</t>
  </si>
  <si>
    <t>C16</t>
  </si>
  <si>
    <t>Banheiro 2
Dormitório 1
Dormitório 2</t>
  </si>
  <si>
    <t>1 x 600
4 x 100
1 x 100</t>
  </si>
  <si>
    <t>C17</t>
  </si>
  <si>
    <t>C18</t>
  </si>
  <si>
    <t>Dormitório 1</t>
  </si>
  <si>
    <t>1 x 1900</t>
  </si>
  <si>
    <t>C19</t>
  </si>
  <si>
    <t>Dormitório 2</t>
  </si>
  <si>
    <t>2 x 1900</t>
  </si>
  <si>
    <t>C20</t>
  </si>
  <si>
    <t>Área Externa</t>
  </si>
  <si>
    <t>1 x 2700</t>
  </si>
  <si>
    <t>3F+PE</t>
  </si>
  <si>
    <t>C21</t>
  </si>
  <si>
    <t>Distribuição</t>
  </si>
  <si>
    <t>Quadro Terreo p/
Quadro Garagem</t>
  </si>
  <si>
    <t>1 x 280
5 x 100</t>
  </si>
  <si>
    <t>3F+1N+PE</t>
  </si>
  <si>
    <t>C22</t>
  </si>
  <si>
    <t>Quadro Terreo p/
Quadro 2º Andar</t>
  </si>
  <si>
    <t>-</t>
  </si>
  <si>
    <t>Demanda Total (VA)</t>
  </si>
  <si>
    <t>C23</t>
  </si>
  <si>
    <t>Quadro Medidor p/
Quadro Terreo</t>
  </si>
  <si>
    <t>RECOM BT Light</t>
  </si>
  <si>
    <t xml:space="preserve">Descrição </t>
  </si>
  <si>
    <t>Valores</t>
  </si>
  <si>
    <t>Total</t>
  </si>
  <si>
    <t>Potência Total Instalada (VA)</t>
  </si>
  <si>
    <t>Tensão Nominal</t>
  </si>
  <si>
    <t xml:space="preserve"> (V)</t>
  </si>
  <si>
    <t>220 - 3~</t>
  </si>
  <si>
    <t>Categoria de Atendimento</t>
  </si>
  <si>
    <t>T4</t>
  </si>
  <si>
    <t>D. de Atentimento</t>
  </si>
  <si>
    <t>(kVA)</t>
  </si>
  <si>
    <t>19,9&lt;20,4&lt;=23,2</t>
  </si>
  <si>
    <t>Eletroduto Ramal Entrada</t>
  </si>
  <si>
    <t>(Rigido ou Currugado, Pol)</t>
  </si>
  <si>
    <t>2"</t>
  </si>
  <si>
    <t>Proteção Geral</t>
  </si>
  <si>
    <t>(A, Nº polos)</t>
  </si>
  <si>
    <t>Equilíbrio Por Fases</t>
  </si>
  <si>
    <t>70 - 3~</t>
  </si>
  <si>
    <t>Padrão de Medição</t>
  </si>
  <si>
    <t>CM3 +CDJ3 (7)</t>
  </si>
  <si>
    <t>QD 1º Andar</t>
  </si>
  <si>
    <t xml:space="preserve">Condutor Ramal Entrada </t>
  </si>
  <si>
    <t>(mm² - Cu - PVC 70°C)</t>
  </si>
  <si>
    <t>4(1X25)</t>
  </si>
  <si>
    <t>QD 2º Andar</t>
  </si>
  <si>
    <t>QD Garagem</t>
  </si>
  <si>
    <t>R</t>
  </si>
  <si>
    <t>S</t>
  </si>
  <si>
    <t>T</t>
  </si>
  <si>
    <t xml:space="preserve">Condutor Proteção </t>
  </si>
  <si>
    <t>1X16</t>
  </si>
  <si>
    <t>Condutor de Interligação</t>
  </si>
  <si>
    <t>(N - PE/mm² - Cu - nu)</t>
  </si>
  <si>
    <t>Totais</t>
  </si>
  <si>
    <t>TUG/Metro</t>
  </si>
  <si>
    <t>Cálculo Ilumin.</t>
  </si>
  <si>
    <t>Ilumin. (VA)</t>
  </si>
  <si>
    <t>Cálculo TUG</t>
  </si>
  <si>
    <t>Quant. TUG</t>
  </si>
  <si>
    <t>Dispositivo</t>
  </si>
  <si>
    <t>TUE (VA)</t>
  </si>
  <si>
    <t>6m²= 100VA; 4m²= 60VA; 4m²= 60VA.</t>
  </si>
  <si>
    <t>Corredor 1</t>
  </si>
  <si>
    <t>6m²= 100VA.</t>
  </si>
  <si>
    <t>Equilibrio</t>
  </si>
  <si>
    <t>Percent. (%)</t>
  </si>
  <si>
    <t>(VA)</t>
  </si>
  <si>
    <t>6m²= 100VA; 4m²= 60VA.</t>
  </si>
  <si>
    <t>6m²= 100VA; 4m²= 60VA; 4m²= 60VA</t>
  </si>
  <si>
    <t>Motor</t>
  </si>
  <si>
    <t>Corredor 2</t>
  </si>
  <si>
    <t>F.Agrupamento e F.Temperatura do Circuito</t>
  </si>
  <si>
    <t>Diferenc. (VA)</t>
  </si>
  <si>
    <t>Queda de Tensão (V/A.Km)</t>
  </si>
  <si>
    <t>Circuitos</t>
  </si>
  <si>
    <t>Ar. Cond</t>
  </si>
  <si>
    <t>Nº de circuitos
agrupados</t>
  </si>
  <si>
    <t>Fator de
Agrupamento</t>
  </si>
  <si>
    <t>Fator de Temperatura
30°C</t>
  </si>
  <si>
    <t>Método de
Referência</t>
  </si>
  <si>
    <t>Corente de
Projeto (Ip)</t>
  </si>
  <si>
    <t>Secção do
Condutor
(mm²)</t>
  </si>
  <si>
    <t>Capacidade
do Condutor
(Iz)</t>
  </si>
  <si>
    <t>Capacidade
do Condutor
Cálculado
(Iz)</t>
  </si>
  <si>
    <t>Ip &lt; Iz</t>
  </si>
  <si>
    <t>Disjuntor
(In)</t>
  </si>
  <si>
    <t>Queda de
Tensão 
e(%)</t>
  </si>
  <si>
    <t>Tensão do
Circuito
(V)</t>
  </si>
  <si>
    <t>Comprim.
em Km
(l)</t>
  </si>
  <si>
    <t>Corrente de
Projeto
(Ip)</t>
  </si>
  <si>
    <t>Queda de
Tensão
(V/A.Km)</t>
  </si>
  <si>
    <t>B1</t>
  </si>
  <si>
    <t>10A</t>
  </si>
  <si>
    <t>6A</t>
  </si>
  <si>
    <t>13A</t>
  </si>
  <si>
    <t>16A</t>
  </si>
  <si>
    <t>32A</t>
  </si>
  <si>
    <t>25A</t>
  </si>
  <si>
    <t>45A</t>
  </si>
  <si>
    <t>70A</t>
  </si>
  <si>
    <t>Sala de TV</t>
  </si>
  <si>
    <t>Escritorio 1</t>
  </si>
  <si>
    <t>Quarto 1</t>
  </si>
  <si>
    <t>Sala de jantar</t>
  </si>
  <si>
    <t>Banheiro 3</t>
  </si>
  <si>
    <t>Suite</t>
  </si>
  <si>
    <t>Quarto 2</t>
  </si>
  <si>
    <t>Quarto 3</t>
  </si>
  <si>
    <t>Salão</t>
  </si>
  <si>
    <t>escada</t>
  </si>
  <si>
    <t>varanda</t>
  </si>
  <si>
    <t>6m²= 100VA; 4m²= 60VA; 4m²= 60VA; 4m²= 60VA; 4m²= 60VA.</t>
  </si>
  <si>
    <t xml:space="preserve">6m²= 100VA; </t>
  </si>
  <si>
    <t>6m²= 100VA;</t>
  </si>
  <si>
    <t>Torneira Eletrica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</si>
</sst>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/>
    <xf numFmtId="0" fontId="0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/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0" fillId="0" borderId="7" xfId="0" applyFont="1" applyBorder="1" applyAlignment="1">
      <alignment vertical="top" wrapText="1"/>
    </xf>
    <xf numFmtId="0" fontId="0" fillId="0" borderId="0" xfId="0" applyFont="1"/>
    <xf numFmtId="0" fontId="0" fillId="2" borderId="8" xfId="0" applyFont="1" applyFill="1" applyBorder="1" applyAlignment="1">
      <alignment horizontal="center" vertical="top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7" xfId="0" applyFont="1" applyBorder="1" applyAlignment="1"/>
    <xf numFmtId="0" fontId="1" fillId="0" borderId="7" xfId="0" applyFont="1" applyBorder="1" applyAlignment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Alignment="1">
      <alignment horizontal="center" vertical="top"/>
    </xf>
    <xf numFmtId="9" fontId="0" fillId="0" borderId="0" xfId="0" applyNumberFormat="1" applyFont="1"/>
    <xf numFmtId="0" fontId="0" fillId="0" borderId="7" xfId="0" applyFont="1" applyBorder="1" applyAlignment="1">
      <alignment horizontal="center"/>
    </xf>
    <xf numFmtId="0" fontId="0" fillId="3" borderId="13" xfId="0" applyFont="1" applyFill="1" applyBorder="1" applyAlignment="1">
      <alignment horizontal="left" vertical="top" wrapText="1"/>
    </xf>
    <xf numFmtId="9" fontId="0" fillId="0" borderId="7" xfId="0" applyNumberFormat="1" applyFont="1" applyBorder="1" applyAlignment="1">
      <alignment horizontal="center"/>
    </xf>
    <xf numFmtId="9" fontId="0" fillId="0" borderId="7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7" xfId="0" applyFont="1" applyBorder="1" applyAlignment="1">
      <alignment vertical="top"/>
    </xf>
    <xf numFmtId="0" fontId="0" fillId="0" borderId="16" xfId="0" applyFont="1" applyBorder="1"/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10" fontId="0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1" xfId="0" applyFont="1" applyBorder="1" applyAlignment="1">
      <alignment horizontal="left" vertical="top"/>
    </xf>
    <xf numFmtId="0" fontId="1" fillId="0" borderId="5" xfId="0" applyFont="1" applyBorder="1"/>
    <xf numFmtId="0" fontId="0" fillId="0" borderId="2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0" fillId="0" borderId="17" xfId="0" applyFont="1" applyBorder="1" applyAlignment="1"/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/>
  <cols>
    <col min="1" max="1" width="8.6640625" customWidth="1"/>
    <col min="2" max="2" width="14.88671875" customWidth="1"/>
    <col min="3" max="3" width="9.44140625" customWidth="1"/>
    <col min="4" max="4" width="14.109375" customWidth="1"/>
    <col min="5" max="5" width="2.88671875" customWidth="1"/>
    <col min="6" max="6" width="27" customWidth="1"/>
    <col min="7" max="7" width="11.6640625" customWidth="1"/>
    <col min="8" max="8" width="11.109375" customWidth="1"/>
    <col min="9" max="9" width="19" customWidth="1"/>
    <col min="10" max="10" width="13.44140625" customWidth="1"/>
    <col min="11" max="11" width="14.33203125" customWidth="1"/>
    <col min="12" max="26" width="8.6640625" customWidth="1"/>
  </cols>
  <sheetData>
    <row r="2" spans="1:11" ht="14.4">
      <c r="B2" s="38" t="s">
        <v>1</v>
      </c>
      <c r="C2" s="39"/>
      <c r="D2" s="40"/>
      <c r="F2" s="38" t="s">
        <v>5</v>
      </c>
      <c r="G2" s="39"/>
      <c r="H2" s="39"/>
      <c r="I2" s="39"/>
      <c r="J2" s="39"/>
      <c r="K2" s="40"/>
    </row>
    <row r="3" spans="1:11" ht="15.75" customHeight="1">
      <c r="B3" s="41" t="s">
        <v>7</v>
      </c>
      <c r="C3" s="43" t="s">
        <v>10</v>
      </c>
      <c r="D3" s="40"/>
      <c r="F3" s="44" t="s">
        <v>7</v>
      </c>
      <c r="G3" s="45" t="s">
        <v>15</v>
      </c>
      <c r="H3" s="43" t="s">
        <v>18</v>
      </c>
      <c r="I3" s="40"/>
      <c r="J3" s="43" t="s">
        <v>19</v>
      </c>
      <c r="K3" s="40"/>
    </row>
    <row r="4" spans="1:11" ht="30.75" customHeight="1">
      <c r="B4" s="42"/>
      <c r="C4" s="2" t="s">
        <v>23</v>
      </c>
      <c r="D4" s="2" t="s">
        <v>24</v>
      </c>
      <c r="F4" s="42"/>
      <c r="G4" s="42"/>
      <c r="H4" s="2" t="s">
        <v>25</v>
      </c>
      <c r="I4" s="1" t="s">
        <v>26</v>
      </c>
      <c r="J4" s="2" t="s">
        <v>27</v>
      </c>
      <c r="K4" s="2" t="s">
        <v>26</v>
      </c>
    </row>
    <row r="5" spans="1:11" ht="14.4">
      <c r="B5" s="3" t="e">
        <f>'Cálculo Tomadas e Ilumin.'!#REF!</f>
        <v>#REF!</v>
      </c>
      <c r="C5" s="4">
        <f>'Cálculo Tomadas e Ilumin.'!D4</f>
        <v>14.024999999999999</v>
      </c>
      <c r="D5" s="4">
        <f>'Cálculo Tomadas e Ilumin.'!E4</f>
        <v>16.100000000000001</v>
      </c>
      <c r="F5" s="3" t="e">
        <f t="shared" ref="F5:F20" si="0">B5</f>
        <v>#REF!</v>
      </c>
      <c r="G5" s="6">
        <f>'Cálculo Tomadas e Ilumin.'!G4</f>
        <v>220</v>
      </c>
      <c r="H5" s="7">
        <f>'Cálculo Tomadas e Ilumin.'!I4</f>
        <v>4</v>
      </c>
      <c r="I5" s="7">
        <f>'Cálculo Tomadas e Ilumin.'!J4</f>
        <v>400</v>
      </c>
      <c r="J5" s="8"/>
      <c r="K5" s="9"/>
    </row>
    <row r="6" spans="1:11" ht="14.4">
      <c r="B6" s="3" t="str">
        <f>'Cálculo Tomadas e Ilumin.'!C4</f>
        <v>Sala de TV</v>
      </c>
      <c r="C6" s="4">
        <f>'Cálculo Tomadas e Ilumin.'!D5</f>
        <v>6.1499999999999995</v>
      </c>
      <c r="D6" s="4">
        <f>'Cálculo Tomadas e Ilumin.'!E5</f>
        <v>10.1</v>
      </c>
      <c r="F6" s="3" t="str">
        <f t="shared" si="0"/>
        <v>Sala de TV</v>
      </c>
      <c r="G6" s="6">
        <f>'Cálculo Tomadas e Ilumin.'!G5</f>
        <v>100</v>
      </c>
      <c r="H6" s="7">
        <f>'Cálculo Tomadas e Ilumin.'!I5</f>
        <v>3</v>
      </c>
      <c r="I6" s="7">
        <f>'Cálculo Tomadas e Ilumin.'!J5</f>
        <v>600</v>
      </c>
      <c r="J6" s="3" t="e">
        <f>'Cálculo Tomadas e Ilumin.'!#REF!</f>
        <v>#REF!</v>
      </c>
      <c r="K6" s="7" t="e">
        <f>'Cálculo Tomadas e Ilumin.'!#REF!</f>
        <v>#REF!</v>
      </c>
    </row>
    <row r="7" spans="1:11" ht="14.4">
      <c r="B7" s="3" t="str">
        <f>'Cálculo Tomadas e Ilumin.'!C5</f>
        <v>Banheiro 1</v>
      </c>
      <c r="C7" s="4">
        <f>'Cálculo Tomadas e Ilumin.'!D6</f>
        <v>15</v>
      </c>
      <c r="D7" s="4">
        <f>'Cálculo Tomadas e Ilumin.'!E6</f>
        <v>16</v>
      </c>
      <c r="F7" s="3" t="str">
        <f t="shared" si="0"/>
        <v>Banheiro 1</v>
      </c>
      <c r="G7" s="6">
        <f>'Cálculo Tomadas e Ilumin.'!G6</f>
        <v>220</v>
      </c>
      <c r="H7" s="7">
        <f>'Cálculo Tomadas e Ilumin.'!I6</f>
        <v>4</v>
      </c>
      <c r="I7" s="7">
        <f>'Cálculo Tomadas e Ilumin.'!J6</f>
        <v>400</v>
      </c>
      <c r="J7" s="8"/>
      <c r="K7" s="9"/>
    </row>
    <row r="8" spans="1:11" ht="14.4">
      <c r="B8" s="3" t="str">
        <f>'Cálculo Tomadas e Ilumin.'!C6</f>
        <v>Garagem</v>
      </c>
      <c r="C8" s="4">
        <f>'Cálculo Tomadas e Ilumin.'!D7</f>
        <v>9.2115000000000009</v>
      </c>
      <c r="D8" s="4">
        <f>'Cálculo Tomadas e Ilumin.'!E7</f>
        <v>12.24</v>
      </c>
      <c r="F8" s="3" t="str">
        <f t="shared" si="0"/>
        <v>Garagem</v>
      </c>
      <c r="G8" s="6">
        <f>'Cálculo Tomadas e Ilumin.'!G7</f>
        <v>100</v>
      </c>
      <c r="H8" s="7">
        <f>'Cálculo Tomadas e Ilumin.'!I7</f>
        <v>3</v>
      </c>
      <c r="I8" s="7">
        <f>'Cálculo Tomadas e Ilumin.'!J7</f>
        <v>300</v>
      </c>
      <c r="J8" s="10"/>
      <c r="K8" s="9"/>
    </row>
    <row r="9" spans="1:11" ht="14.4">
      <c r="B9" s="3" t="str">
        <f>'Cálculo Tomadas e Ilumin.'!C7</f>
        <v>Escritorio 1</v>
      </c>
      <c r="C9" s="4">
        <f>'Cálculo Tomadas e Ilumin.'!D8</f>
        <v>9.2460000000000004</v>
      </c>
      <c r="D9" s="4">
        <f>'Cálculo Tomadas e Ilumin.'!E8</f>
        <v>12.260000000000002</v>
      </c>
      <c r="F9" s="3" t="str">
        <f t="shared" si="0"/>
        <v>Escritorio 1</v>
      </c>
      <c r="G9" s="6">
        <f>'Cálculo Tomadas e Ilumin.'!G8</f>
        <v>100</v>
      </c>
      <c r="H9" s="7">
        <f>'Cálculo Tomadas e Ilumin.'!I8</f>
        <v>3</v>
      </c>
      <c r="I9" s="7">
        <f>'Cálculo Tomadas e Ilumin.'!J8</f>
        <v>300</v>
      </c>
      <c r="J9" s="10"/>
      <c r="K9" s="9"/>
    </row>
    <row r="10" spans="1:11" ht="14.4">
      <c r="B10" s="3" t="str">
        <f>'Cálculo Tomadas e Ilumin.'!C8</f>
        <v>Quarto 1</v>
      </c>
      <c r="C10" s="4">
        <f>'Cálculo Tomadas e Ilumin.'!D9</f>
        <v>16.920000000000002</v>
      </c>
      <c r="D10" s="4">
        <f>'Cálculo Tomadas e Ilumin.'!E9</f>
        <v>16.600000000000001</v>
      </c>
      <c r="F10" s="3" t="str">
        <f t="shared" si="0"/>
        <v>Quarto 1</v>
      </c>
      <c r="G10" s="6">
        <f>'Cálculo Tomadas e Ilumin.'!G9</f>
        <v>220</v>
      </c>
      <c r="H10" s="7">
        <f>'Cálculo Tomadas e Ilumin.'!I9</f>
        <v>4</v>
      </c>
      <c r="I10" s="7">
        <f>'Cálculo Tomadas e Ilumin.'!J9</f>
        <v>1900</v>
      </c>
      <c r="J10" s="10"/>
      <c r="K10" s="9"/>
    </row>
    <row r="11" spans="1:11" ht="14.4">
      <c r="B11" s="3" t="str">
        <f>'Cálculo Tomadas e Ilumin.'!C9</f>
        <v>Sala de jantar</v>
      </c>
      <c r="C11" s="4">
        <f>'Cálculo Tomadas e Ilumin.'!D10</f>
        <v>16.215</v>
      </c>
      <c r="D11" s="4">
        <f>'Cálculo Tomadas e Ilumin.'!E10</f>
        <v>16.3</v>
      </c>
      <c r="F11" s="3" t="str">
        <f t="shared" si="0"/>
        <v>Sala de jantar</v>
      </c>
      <c r="G11" s="6">
        <f>'Cálculo Tomadas e Ilumin.'!G10</f>
        <v>220</v>
      </c>
      <c r="H11" s="7">
        <f>'Cálculo Tomadas e Ilumin.'!I10</f>
        <v>5</v>
      </c>
      <c r="I11" s="7">
        <f>'Cálculo Tomadas e Ilumin.'!J10</f>
        <v>3000</v>
      </c>
      <c r="J11" s="3" t="str">
        <f>'Cálculo Tomadas e Ilumin.'!K5</f>
        <v>Chuveiro</v>
      </c>
      <c r="K11" s="7">
        <f>'Cálculo Tomadas e Ilumin.'!L5</f>
        <v>5500</v>
      </c>
    </row>
    <row r="12" spans="1:11" ht="14.4">
      <c r="B12" s="3" t="str">
        <f>'Cálculo Tomadas e Ilumin.'!C10</f>
        <v>Cozinha</v>
      </c>
      <c r="C12" s="4">
        <f>'Cálculo Tomadas e Ilumin.'!D11</f>
        <v>6.5</v>
      </c>
      <c r="D12" s="4">
        <f>'Cálculo Tomadas e Ilumin.'!E11</f>
        <v>10.5</v>
      </c>
      <c r="F12" s="3" t="str">
        <f t="shared" si="0"/>
        <v>Cozinha</v>
      </c>
      <c r="G12" s="6">
        <f>'Cálculo Tomadas e Ilumin.'!G11</f>
        <v>100</v>
      </c>
      <c r="H12" s="7">
        <f>'Cálculo Tomadas e Ilumin.'!I11</f>
        <v>3</v>
      </c>
      <c r="I12" s="7">
        <f>'Cálculo Tomadas e Ilumin.'!J11</f>
        <v>600</v>
      </c>
      <c r="J12" s="8"/>
      <c r="K12" s="9"/>
    </row>
    <row r="13" spans="1:11" ht="14.4">
      <c r="A13" s="12"/>
      <c r="B13" s="3" t="str">
        <f>'Cálculo Tomadas e Ilumin.'!C11</f>
        <v>Banheiro 2</v>
      </c>
      <c r="C13" s="4">
        <f>'Cálculo Tomadas e Ilumin.'!D12</f>
        <v>7.41</v>
      </c>
      <c r="D13" s="4">
        <f>'Cálculo Tomadas e Ilumin.'!E12</f>
        <v>10.9</v>
      </c>
      <c r="E13" s="12"/>
      <c r="F13" s="3" t="str">
        <f t="shared" si="0"/>
        <v>Banheiro 2</v>
      </c>
      <c r="G13" s="6">
        <f>'Cálculo Tomadas e Ilumin.'!G12</f>
        <v>100</v>
      </c>
      <c r="H13" s="9"/>
      <c r="I13" s="9"/>
      <c r="J13" s="8"/>
      <c r="K13" s="9"/>
    </row>
    <row r="14" spans="1:11" ht="14.4">
      <c r="B14" s="3" t="str">
        <f>'Cálculo Tomadas e Ilumin.'!C12</f>
        <v>Banheiro 3</v>
      </c>
      <c r="C14" s="4">
        <f>'Cálculo Tomadas e Ilumin.'!D13</f>
        <v>16.387499999999999</v>
      </c>
      <c r="D14" s="4">
        <f>'Cálculo Tomadas e Ilumin.'!E13</f>
        <v>17.2</v>
      </c>
      <c r="F14" s="3" t="str">
        <f t="shared" si="0"/>
        <v>Banheiro 3</v>
      </c>
      <c r="G14" s="13"/>
      <c r="H14" s="9"/>
      <c r="I14" s="9"/>
      <c r="J14" s="3" t="str">
        <f>'Cálculo Tomadas e Ilumin.'!K6</f>
        <v>Motor</v>
      </c>
      <c r="K14" s="7">
        <f>'Cálculo Tomadas e Ilumin.'!L6</f>
        <v>2700</v>
      </c>
    </row>
    <row r="15" spans="1:11" ht="14.4">
      <c r="B15" s="3" t="str">
        <f>'Cálculo Tomadas e Ilumin.'!C13</f>
        <v>Suite</v>
      </c>
      <c r="C15" s="4">
        <f>'Cálculo Tomadas e Ilumin.'!D14</f>
        <v>15.762499999999999</v>
      </c>
      <c r="D15" s="4">
        <f>'Cálculo Tomadas e Ilumin.'!E14</f>
        <v>16.2</v>
      </c>
      <c r="F15" s="3" t="str">
        <f t="shared" si="0"/>
        <v>Suite</v>
      </c>
      <c r="G15" s="6">
        <f>'Cálculo Tomadas e Ilumin.'!G14</f>
        <v>220</v>
      </c>
      <c r="H15" s="7">
        <f>'Cálculo Tomadas e Ilumin.'!I14</f>
        <v>4</v>
      </c>
      <c r="I15" s="7">
        <f>'Cálculo Tomadas e Ilumin.'!J14</f>
        <v>1300</v>
      </c>
      <c r="J15" s="8"/>
      <c r="K15" s="9"/>
    </row>
    <row r="16" spans="1:11" ht="14.4">
      <c r="B16" s="3" t="str">
        <f>'Cálculo Tomadas e Ilumin.'!C14</f>
        <v>Quarto 2</v>
      </c>
      <c r="C16" s="4">
        <f>'Cálculo Tomadas e Ilumin.'!D15</f>
        <v>15.762499999999999</v>
      </c>
      <c r="D16" s="4">
        <f>'Cálculo Tomadas e Ilumin.'!E15</f>
        <v>16.2</v>
      </c>
      <c r="F16" s="3" t="str">
        <f t="shared" si="0"/>
        <v>Quarto 2</v>
      </c>
      <c r="G16" s="6">
        <f>'Cálculo Tomadas e Ilumin.'!G15</f>
        <v>220</v>
      </c>
      <c r="H16" s="7">
        <f>'Cálculo Tomadas e Ilumin.'!I15</f>
        <v>4</v>
      </c>
      <c r="I16" s="7">
        <f>'Cálculo Tomadas e Ilumin.'!J15</f>
        <v>1300</v>
      </c>
      <c r="J16" s="3" t="str">
        <f>'Cálculo Tomadas e Ilumin.'!K15</f>
        <v>Ar. Cond</v>
      </c>
      <c r="K16" s="7">
        <f>'Cálculo Tomadas e Ilumin.'!L15</f>
        <v>1900</v>
      </c>
    </row>
    <row r="17" spans="2:11" ht="14.4">
      <c r="B17" s="3" t="str">
        <f>'Cálculo Tomadas e Ilumin.'!C15</f>
        <v>Quarto 3</v>
      </c>
      <c r="C17" s="4">
        <f>'Cálculo Tomadas e Ilumin.'!D16</f>
        <v>25.59</v>
      </c>
      <c r="D17" s="4">
        <f>'Cálculo Tomadas e Ilumin.'!E16</f>
        <v>24.12</v>
      </c>
      <c r="F17" s="3" t="str">
        <f t="shared" si="0"/>
        <v>Quarto 3</v>
      </c>
      <c r="G17" s="6">
        <f>'Cálculo Tomadas e Ilumin.'!G16</f>
        <v>340</v>
      </c>
      <c r="H17" s="7">
        <f>'Cálculo Tomadas e Ilumin.'!I16</f>
        <v>5</v>
      </c>
      <c r="I17" s="7">
        <f>'Cálculo Tomadas e Ilumin.'!J16</f>
        <v>2000</v>
      </c>
      <c r="J17" s="8"/>
      <c r="K17" s="9"/>
    </row>
    <row r="18" spans="2:11" ht="14.4">
      <c r="B18" s="3" t="str">
        <f>'Cálculo Tomadas e Ilumin.'!C16</f>
        <v>Salão</v>
      </c>
      <c r="C18" s="4">
        <f>'Cálculo Tomadas e Ilumin.'!D17</f>
        <v>4.95</v>
      </c>
      <c r="D18" s="4">
        <f>'Cálculo Tomadas e Ilumin.'!E17</f>
        <v>12.8</v>
      </c>
      <c r="F18" s="3" t="str">
        <f t="shared" si="0"/>
        <v>Salão</v>
      </c>
      <c r="G18" s="6">
        <f>'Cálculo Tomadas e Ilumin.'!G17</f>
        <v>100</v>
      </c>
      <c r="H18" s="7">
        <f>'Cálculo Tomadas e Ilumin.'!I17</f>
        <v>3</v>
      </c>
      <c r="I18" s="7">
        <f>'Cálculo Tomadas e Ilumin.'!J17</f>
        <v>300</v>
      </c>
      <c r="J18" s="8"/>
      <c r="K18" s="9"/>
    </row>
    <row r="19" spans="2:11" ht="14.4">
      <c r="B19" s="3" t="str">
        <f>'Cálculo Tomadas e Ilumin.'!C17</f>
        <v>Corredor 1</v>
      </c>
      <c r="C19" s="4">
        <f>'Cálculo Tomadas e Ilumin.'!D18</f>
        <v>9.7200000000000006</v>
      </c>
      <c r="D19" s="4">
        <f>'Cálculo Tomadas e Ilumin.'!E18</f>
        <v>25.900000000000002</v>
      </c>
      <c r="F19" s="3" t="str">
        <f t="shared" si="0"/>
        <v>Corredor 1</v>
      </c>
      <c r="G19" s="6">
        <f>'Cálculo Tomadas e Ilumin.'!G18</f>
        <v>160</v>
      </c>
      <c r="H19" s="7">
        <f>'Cálculo Tomadas e Ilumin.'!I18</f>
        <v>6</v>
      </c>
      <c r="I19" s="7">
        <f>'Cálculo Tomadas e Ilumin.'!J18</f>
        <v>600</v>
      </c>
      <c r="J19" s="3" t="str">
        <f>'Cálculo Tomadas e Ilumin.'!K13</f>
        <v>Ar. Cond</v>
      </c>
      <c r="K19" s="7">
        <f>'Cálculo Tomadas e Ilumin.'!L13</f>
        <v>1900</v>
      </c>
    </row>
    <row r="20" spans="2:11" ht="14.4">
      <c r="B20" s="3" t="str">
        <f>'Cálculo Tomadas e Ilumin.'!C18</f>
        <v>Corredor 2</v>
      </c>
      <c r="C20" s="4">
        <f>'Cálculo Tomadas e Ilumin.'!D19</f>
        <v>3.5999999999999996</v>
      </c>
      <c r="D20" s="4">
        <f>'Cálculo Tomadas e Ilumin.'!E19</f>
        <v>8.4</v>
      </c>
      <c r="F20" s="3" t="str">
        <f t="shared" si="0"/>
        <v>Corredor 2</v>
      </c>
      <c r="G20" s="6">
        <f>'Cálculo Tomadas e Ilumin.'!G19</f>
        <v>100</v>
      </c>
      <c r="H20" s="7">
        <f>'Cálculo Tomadas e Ilumin.'!I19</f>
        <v>2</v>
      </c>
      <c r="I20" s="7">
        <f>'Cálculo Tomadas e Ilumin.'!J19</f>
        <v>0</v>
      </c>
      <c r="J20" s="3" t="str">
        <f>'Cálculo Tomadas e Ilumin.'!K14</f>
        <v>Ar. Cond</v>
      </c>
      <c r="K20" s="7">
        <f>'Cálculo Tomadas e Ilumin.'!L14</f>
        <v>1900</v>
      </c>
    </row>
    <row r="21" spans="2:11" ht="15.75" customHeight="1">
      <c r="B21" s="12"/>
    </row>
    <row r="22" spans="2:11" ht="15.75" customHeight="1">
      <c r="F22" s="3" t="s">
        <v>107</v>
      </c>
      <c r="G22" s="7">
        <f>SUM(G5:G12,G14:G19)</f>
        <v>2320</v>
      </c>
      <c r="H22" s="9"/>
      <c r="I22" s="7">
        <f>SUM(I5:I12,I14:I19)</f>
        <v>13000</v>
      </c>
      <c r="J22" s="9"/>
      <c r="K22" s="7" t="e">
        <f>SUM(K5:K12,K14:K19)</f>
        <v>#REF!</v>
      </c>
    </row>
    <row r="23" spans="2:11" ht="15.75" customHeight="1"/>
    <row r="24" spans="2:11" ht="15.75" customHeight="1">
      <c r="F24" s="3" t="s">
        <v>108</v>
      </c>
      <c r="G24" s="5" t="e">
        <f>SUM(G22,I22,K22)</f>
        <v>#REF!</v>
      </c>
      <c r="I24" s="12"/>
      <c r="J24" s="12"/>
    </row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D2"/>
    <mergeCell ref="F2:K2"/>
    <mergeCell ref="B3:B4"/>
    <mergeCell ref="C3:D3"/>
    <mergeCell ref="F3:F4"/>
    <mergeCell ref="G3:G4"/>
    <mergeCell ref="H3:I3"/>
    <mergeCell ref="J3:K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/>
  <cols>
    <col min="1" max="2" width="8.6640625" customWidth="1"/>
    <col min="3" max="3" width="15" customWidth="1"/>
    <col min="4" max="4" width="18.33203125" customWidth="1"/>
    <col min="5" max="5" width="10.109375" customWidth="1"/>
    <col min="6" max="7" width="8.6640625" customWidth="1"/>
    <col min="8" max="8" width="10.44140625" customWidth="1"/>
    <col min="9" max="9" width="11.5546875" customWidth="1"/>
    <col min="10" max="10" width="11.33203125" customWidth="1"/>
    <col min="11" max="11" width="12.6640625" customWidth="1"/>
    <col min="12" max="26" width="8.6640625" customWidth="1"/>
  </cols>
  <sheetData>
    <row r="3" spans="2:11" ht="16.5" customHeight="1">
      <c r="B3" s="47" t="s">
        <v>0</v>
      </c>
      <c r="C3" s="46" t="s">
        <v>2</v>
      </c>
      <c r="D3" s="47" t="s">
        <v>3</v>
      </c>
      <c r="E3" s="48" t="s">
        <v>4</v>
      </c>
      <c r="F3" s="40"/>
      <c r="G3" s="47" t="s">
        <v>6</v>
      </c>
      <c r="H3" s="46" t="s">
        <v>8</v>
      </c>
      <c r="I3" s="47" t="s">
        <v>9</v>
      </c>
      <c r="J3" s="47" t="s">
        <v>12</v>
      </c>
      <c r="K3" s="47" t="s">
        <v>13</v>
      </c>
    </row>
    <row r="4" spans="2:11" ht="35.25" customHeight="1">
      <c r="B4" s="42"/>
      <c r="C4" s="42"/>
      <c r="D4" s="42"/>
      <c r="E4" s="1" t="s">
        <v>14</v>
      </c>
      <c r="F4" s="1" t="s">
        <v>16</v>
      </c>
      <c r="G4" s="42"/>
      <c r="H4" s="42"/>
      <c r="I4" s="42"/>
      <c r="J4" s="42"/>
      <c r="K4" s="42"/>
    </row>
    <row r="5" spans="2:11" ht="57.6">
      <c r="B5" s="2" t="s">
        <v>17</v>
      </c>
      <c r="C5" s="2" t="s">
        <v>20</v>
      </c>
      <c r="D5" s="1" t="s">
        <v>21</v>
      </c>
      <c r="E5" s="1" t="s">
        <v>22</v>
      </c>
      <c r="F5" s="1">
        <f>SUM('Dimens. e Prev. de Carga'!G5:G8)</f>
        <v>640</v>
      </c>
      <c r="G5" s="1">
        <v>127</v>
      </c>
      <c r="H5" s="1" t="s">
        <v>28</v>
      </c>
      <c r="I5" s="1">
        <f t="shared" ref="I5:I23" si="0">ROUND(F5/G5,1)</f>
        <v>5</v>
      </c>
      <c r="J5" s="2">
        <f>'Cálculo F.Agrup. F.Temp. Circ.'!H4</f>
        <v>1.5</v>
      </c>
      <c r="K5" s="2">
        <f>'Cálculo F.Agrup. F.Temp. Circ.'!I4</f>
        <v>17.5</v>
      </c>
    </row>
    <row r="6" spans="2:11" ht="43.2">
      <c r="B6" s="2" t="s">
        <v>33</v>
      </c>
      <c r="C6" s="2" t="s">
        <v>20</v>
      </c>
      <c r="D6" s="1" t="s">
        <v>34</v>
      </c>
      <c r="E6" s="1" t="s">
        <v>35</v>
      </c>
      <c r="F6" s="1">
        <f>SUM('Dimens. e Prev. de Carga'!G9:G11)</f>
        <v>540</v>
      </c>
      <c r="G6" s="1">
        <v>127</v>
      </c>
      <c r="H6" s="1" t="s">
        <v>28</v>
      </c>
      <c r="I6" s="1">
        <f t="shared" si="0"/>
        <v>4.3</v>
      </c>
      <c r="J6" s="2">
        <f>'Cálculo F.Agrup. F.Temp. Circ.'!H5</f>
        <v>1.5</v>
      </c>
      <c r="K6" s="2">
        <f>'Cálculo F.Agrup. F.Temp. Circ.'!I5</f>
        <v>17.5</v>
      </c>
    </row>
    <row r="7" spans="2:11" ht="57.6">
      <c r="B7" s="2" t="s">
        <v>36</v>
      </c>
      <c r="C7" s="2" t="s">
        <v>37</v>
      </c>
      <c r="D7" s="1" t="s">
        <v>38</v>
      </c>
      <c r="E7" s="1" t="s">
        <v>39</v>
      </c>
      <c r="F7" s="1">
        <f>SUM('Dimens. e Prev. de Carga'!I5,'Dimens. e Prev. de Carga'!I7,'Dimens. e Prev. de Carga'!I8,'Dimens. e Prev. de Carga'!I9)</f>
        <v>1400</v>
      </c>
      <c r="G7" s="1">
        <v>127</v>
      </c>
      <c r="H7" s="1" t="s">
        <v>28</v>
      </c>
      <c r="I7" s="1">
        <f t="shared" si="0"/>
        <v>11</v>
      </c>
      <c r="J7" s="2">
        <f>'Cálculo F.Agrup. F.Temp. Circ.'!H6</f>
        <v>2.5</v>
      </c>
      <c r="K7" s="2">
        <f>'Cálculo F.Agrup. F.Temp. Circ.'!I6</f>
        <v>24</v>
      </c>
    </row>
    <row r="8" spans="2:11" ht="14.4">
      <c r="B8" s="2" t="s">
        <v>40</v>
      </c>
      <c r="C8" s="2" t="s">
        <v>37</v>
      </c>
      <c r="D8" s="1" t="s">
        <v>41</v>
      </c>
      <c r="E8" s="1" t="s">
        <v>42</v>
      </c>
      <c r="F8" s="1">
        <v>1800</v>
      </c>
      <c r="G8" s="1">
        <v>127</v>
      </c>
      <c r="H8" s="1" t="s">
        <v>28</v>
      </c>
      <c r="I8" s="1">
        <f t="shared" si="0"/>
        <v>14.2</v>
      </c>
      <c r="J8" s="2">
        <f>'Cálculo F.Agrup. F.Temp. Circ.'!H7</f>
        <v>4</v>
      </c>
      <c r="K8" s="2">
        <f>'Cálculo F.Agrup. F.Temp. Circ.'!I7</f>
        <v>32</v>
      </c>
    </row>
    <row r="9" spans="2:11" ht="43.2">
      <c r="B9" s="2" t="s">
        <v>43</v>
      </c>
      <c r="C9" s="2" t="s">
        <v>37</v>
      </c>
      <c r="D9" s="1" t="s">
        <v>45</v>
      </c>
      <c r="E9" s="1" t="s">
        <v>46</v>
      </c>
      <c r="F9" s="1">
        <v>900</v>
      </c>
      <c r="G9" s="1">
        <v>127</v>
      </c>
      <c r="H9" s="1" t="s">
        <v>28</v>
      </c>
      <c r="I9" s="1">
        <f t="shared" si="0"/>
        <v>7.1</v>
      </c>
      <c r="J9" s="2">
        <f>'Cálculo F.Agrup. F.Temp. Circ.'!H8</f>
        <v>2.5</v>
      </c>
      <c r="K9" s="2">
        <f>'Cálculo F.Agrup. F.Temp. Circ.'!I8</f>
        <v>24</v>
      </c>
    </row>
    <row r="10" spans="2:11" ht="14.4">
      <c r="B10" s="2" t="s">
        <v>47</v>
      </c>
      <c r="C10" s="2" t="s">
        <v>37</v>
      </c>
      <c r="D10" s="1" t="s">
        <v>48</v>
      </c>
      <c r="E10" s="1" t="s">
        <v>49</v>
      </c>
      <c r="F10" s="1">
        <v>1200</v>
      </c>
      <c r="G10" s="1">
        <v>127</v>
      </c>
      <c r="H10" s="1" t="s">
        <v>28</v>
      </c>
      <c r="I10" s="1">
        <f t="shared" si="0"/>
        <v>9.4</v>
      </c>
      <c r="J10" s="2">
        <f>'Cálculo F.Agrup. F.Temp. Circ.'!H9</f>
        <v>2.5</v>
      </c>
      <c r="K10" s="2">
        <f>'Cálculo F.Agrup. F.Temp. Circ.'!I9</f>
        <v>24</v>
      </c>
    </row>
    <row r="11" spans="2:11" ht="14.4">
      <c r="B11" s="2" t="s">
        <v>50</v>
      </c>
      <c r="C11" s="2" t="s">
        <v>37</v>
      </c>
      <c r="D11" s="1" t="s">
        <v>51</v>
      </c>
      <c r="E11" s="1" t="s">
        <v>42</v>
      </c>
      <c r="F11" s="1">
        <v>1800</v>
      </c>
      <c r="G11" s="1">
        <v>127</v>
      </c>
      <c r="H11" s="1" t="s">
        <v>28</v>
      </c>
      <c r="I11" s="1">
        <f t="shared" si="0"/>
        <v>14.2</v>
      </c>
      <c r="J11" s="2">
        <f>'Cálculo F.Agrup. F.Temp. Circ.'!H10</f>
        <v>4</v>
      </c>
      <c r="K11" s="2">
        <f>'Cálculo F.Agrup. F.Temp. Circ.'!I10</f>
        <v>32</v>
      </c>
    </row>
    <row r="12" spans="2:11" ht="14.4">
      <c r="B12" s="2" t="s">
        <v>52</v>
      </c>
      <c r="C12" s="2" t="s">
        <v>53</v>
      </c>
      <c r="D12" s="1" t="s">
        <v>54</v>
      </c>
      <c r="E12" s="1" t="s">
        <v>55</v>
      </c>
      <c r="F12" s="1">
        <v>5500</v>
      </c>
      <c r="G12" s="1">
        <v>220</v>
      </c>
      <c r="H12" s="1" t="s">
        <v>56</v>
      </c>
      <c r="I12" s="1">
        <f t="shared" si="0"/>
        <v>25</v>
      </c>
      <c r="J12" s="2">
        <f>'Cálculo F.Agrup. F.Temp. Circ.'!H11</f>
        <v>10</v>
      </c>
      <c r="K12" s="2">
        <f>'Cálculo F.Agrup. F.Temp. Circ.'!I11</f>
        <v>57</v>
      </c>
    </row>
    <row r="13" spans="2:11" ht="14.4">
      <c r="B13" s="2" t="s">
        <v>57</v>
      </c>
      <c r="C13" s="2" t="s">
        <v>53</v>
      </c>
      <c r="D13" s="1" t="s">
        <v>58</v>
      </c>
      <c r="E13" s="1" t="s">
        <v>59</v>
      </c>
      <c r="F13" s="1">
        <v>4500</v>
      </c>
      <c r="G13" s="1">
        <v>220</v>
      </c>
      <c r="H13" s="1" t="s">
        <v>56</v>
      </c>
      <c r="I13" s="1">
        <f t="shared" si="0"/>
        <v>20.5</v>
      </c>
      <c r="J13" s="2">
        <f>'Cálculo F.Agrup. F.Temp. Circ.'!H12</f>
        <v>4</v>
      </c>
      <c r="K13" s="2">
        <f>'Cálculo F.Agrup. F.Temp. Circ.'!I12</f>
        <v>32</v>
      </c>
    </row>
    <row r="14" spans="2:11" ht="14.4">
      <c r="B14" s="2" t="s">
        <v>60</v>
      </c>
      <c r="C14" s="2" t="s">
        <v>20</v>
      </c>
      <c r="D14" s="1" t="s">
        <v>61</v>
      </c>
      <c r="E14" s="1" t="s">
        <v>62</v>
      </c>
      <c r="F14" s="1">
        <v>280</v>
      </c>
      <c r="G14" s="1">
        <v>127</v>
      </c>
      <c r="H14" s="1" t="s">
        <v>28</v>
      </c>
      <c r="I14" s="1">
        <f t="shared" si="0"/>
        <v>2.2000000000000002</v>
      </c>
      <c r="J14" s="2">
        <f>'Cálculo F.Agrup. F.Temp. Circ.'!H13</f>
        <v>1.5</v>
      </c>
      <c r="K14" s="2">
        <f>'Cálculo F.Agrup. F.Temp. Circ.'!I13</f>
        <v>17.5</v>
      </c>
    </row>
    <row r="15" spans="2:11" ht="14.4">
      <c r="B15" s="2" t="s">
        <v>63</v>
      </c>
      <c r="C15" s="2" t="s">
        <v>37</v>
      </c>
      <c r="D15" s="1" t="s">
        <v>61</v>
      </c>
      <c r="E15" s="1" t="s">
        <v>64</v>
      </c>
      <c r="F15" s="1">
        <v>500</v>
      </c>
      <c r="G15" s="1">
        <v>220</v>
      </c>
      <c r="H15" s="1" t="s">
        <v>56</v>
      </c>
      <c r="I15" s="1">
        <f t="shared" si="0"/>
        <v>2.2999999999999998</v>
      </c>
      <c r="J15" s="2">
        <f>'Cálculo F.Agrup. F.Temp. Circ.'!H14</f>
        <v>2.5</v>
      </c>
      <c r="K15" s="2">
        <f>'Cálculo F.Agrup. F.Temp. Circ.'!I14</f>
        <v>24</v>
      </c>
    </row>
    <row r="16" spans="2:11" ht="72">
      <c r="B16" s="2" t="s">
        <v>66</v>
      </c>
      <c r="C16" s="2" t="s">
        <v>20</v>
      </c>
      <c r="D16" s="11" t="s">
        <v>67</v>
      </c>
      <c r="E16" s="1" t="s">
        <v>68</v>
      </c>
      <c r="F16" s="1">
        <v>580</v>
      </c>
      <c r="G16" s="1">
        <v>127</v>
      </c>
      <c r="H16" s="1" t="s">
        <v>28</v>
      </c>
      <c r="I16" s="1">
        <f t="shared" si="0"/>
        <v>4.5999999999999996</v>
      </c>
      <c r="J16" s="2">
        <f>'Cálculo F.Agrup. F.Temp. Circ.'!H15</f>
        <v>1.5</v>
      </c>
      <c r="K16" s="2">
        <f>'Cálculo F.Agrup. F.Temp. Circ.'!I15</f>
        <v>17.5</v>
      </c>
    </row>
    <row r="17" spans="2:11" ht="28.8">
      <c r="B17" s="2" t="s">
        <v>69</v>
      </c>
      <c r="C17" s="2" t="s">
        <v>20</v>
      </c>
      <c r="D17" s="11" t="s">
        <v>70</v>
      </c>
      <c r="E17" s="1" t="s">
        <v>71</v>
      </c>
      <c r="F17" s="1">
        <f>(8*27.5)+(5*56)</f>
        <v>500</v>
      </c>
      <c r="G17" s="1">
        <v>127</v>
      </c>
      <c r="H17" s="1" t="s">
        <v>28</v>
      </c>
      <c r="I17" s="1">
        <f t="shared" si="0"/>
        <v>3.9</v>
      </c>
      <c r="J17" s="2">
        <f>'Cálculo F.Agrup. F.Temp. Circ.'!H16</f>
        <v>1.5</v>
      </c>
      <c r="K17" s="2">
        <f>'Cálculo F.Agrup. F.Temp. Circ.'!I16</f>
        <v>17.5</v>
      </c>
    </row>
    <row r="18" spans="2:11" ht="57.6">
      <c r="B18" s="2" t="s">
        <v>72</v>
      </c>
      <c r="C18" s="2" t="s">
        <v>37</v>
      </c>
      <c r="D18" s="11" t="s">
        <v>73</v>
      </c>
      <c r="E18" s="1" t="s">
        <v>74</v>
      </c>
      <c r="F18" s="1">
        <v>1000</v>
      </c>
      <c r="G18" s="1">
        <v>127</v>
      </c>
      <c r="H18" s="1" t="s">
        <v>28</v>
      </c>
      <c r="I18" s="1">
        <f t="shared" si="0"/>
        <v>7.9</v>
      </c>
      <c r="J18" s="2">
        <f>'Cálculo F.Agrup. F.Temp. Circ.'!H17</f>
        <v>2.5</v>
      </c>
      <c r="K18" s="2">
        <f>'Cálculo F.Agrup. F.Temp. Circ.'!I17</f>
        <v>24</v>
      </c>
    </row>
    <row r="19" spans="2:11" ht="28.8">
      <c r="B19" s="2" t="s">
        <v>75</v>
      </c>
      <c r="C19" s="2" t="s">
        <v>37</v>
      </c>
      <c r="D19" s="11" t="s">
        <v>76</v>
      </c>
      <c r="E19" s="1" t="s">
        <v>77</v>
      </c>
      <c r="F19" s="1">
        <v>1300</v>
      </c>
      <c r="G19" s="1">
        <v>127</v>
      </c>
      <c r="H19" s="1" t="s">
        <v>28</v>
      </c>
      <c r="I19" s="1">
        <f t="shared" si="0"/>
        <v>10.199999999999999</v>
      </c>
      <c r="J19" s="2">
        <f>'Cálculo F.Agrup. F.Temp. Circ.'!H18</f>
        <v>2.5</v>
      </c>
      <c r="K19" s="2">
        <f>'Cálculo F.Agrup. F.Temp. Circ.'!I18</f>
        <v>24</v>
      </c>
    </row>
    <row r="20" spans="2:11" ht="43.2">
      <c r="B20" s="2" t="s">
        <v>79</v>
      </c>
      <c r="C20" s="2" t="s">
        <v>37</v>
      </c>
      <c r="D20" s="11" t="s">
        <v>80</v>
      </c>
      <c r="E20" s="1" t="s">
        <v>81</v>
      </c>
      <c r="F20" s="1">
        <v>1100</v>
      </c>
      <c r="G20" s="1">
        <v>127</v>
      </c>
      <c r="H20" s="1" t="s">
        <v>28</v>
      </c>
      <c r="I20" s="1">
        <f t="shared" si="0"/>
        <v>8.6999999999999993</v>
      </c>
      <c r="J20" s="2">
        <f>'Cálculo F.Agrup. F.Temp. Circ.'!H19</f>
        <v>2.5</v>
      </c>
      <c r="K20" s="2">
        <f>'Cálculo F.Agrup. F.Temp. Circ.'!I19</f>
        <v>24</v>
      </c>
    </row>
    <row r="21" spans="2:11" ht="15.75" customHeight="1">
      <c r="B21" s="2" t="s">
        <v>82</v>
      </c>
      <c r="C21" s="2" t="s">
        <v>53</v>
      </c>
      <c r="D21" s="11" t="s">
        <v>76</v>
      </c>
      <c r="E21" s="1" t="s">
        <v>55</v>
      </c>
      <c r="F21" s="1">
        <v>5500</v>
      </c>
      <c r="G21" s="1">
        <v>220</v>
      </c>
      <c r="H21" s="1" t="s">
        <v>56</v>
      </c>
      <c r="I21" s="1">
        <f t="shared" si="0"/>
        <v>25</v>
      </c>
      <c r="J21" s="2">
        <f>'Cálculo F.Agrup. F.Temp. Circ.'!H20</f>
        <v>10</v>
      </c>
      <c r="K21" s="2">
        <f>'Cálculo F.Agrup. F.Temp. Circ.'!I20</f>
        <v>57</v>
      </c>
    </row>
    <row r="22" spans="2:11" ht="15.75" customHeight="1">
      <c r="B22" s="2" t="s">
        <v>83</v>
      </c>
      <c r="C22" s="2" t="s">
        <v>53</v>
      </c>
      <c r="D22" s="11" t="s">
        <v>84</v>
      </c>
      <c r="E22" s="1" t="s">
        <v>85</v>
      </c>
      <c r="F22" s="1">
        <v>1900</v>
      </c>
      <c r="G22" s="1">
        <v>220</v>
      </c>
      <c r="H22" s="1" t="s">
        <v>56</v>
      </c>
      <c r="I22" s="1">
        <f t="shared" si="0"/>
        <v>8.6</v>
      </c>
      <c r="J22" s="2">
        <f>'Cálculo F.Agrup. F.Temp. Circ.'!H21</f>
        <v>2.5</v>
      </c>
      <c r="K22" s="2">
        <f>'Cálculo F.Agrup. F.Temp. Circ.'!I21</f>
        <v>24</v>
      </c>
    </row>
    <row r="23" spans="2:11" ht="15.75" customHeight="1">
      <c r="B23" s="2" t="s">
        <v>86</v>
      </c>
      <c r="C23" s="2" t="s">
        <v>53</v>
      </c>
      <c r="D23" s="11" t="s">
        <v>87</v>
      </c>
      <c r="E23" s="1" t="s">
        <v>88</v>
      </c>
      <c r="F23" s="1">
        <v>1900</v>
      </c>
      <c r="G23" s="1">
        <v>220</v>
      </c>
      <c r="H23" s="1" t="s">
        <v>56</v>
      </c>
      <c r="I23" s="1">
        <f t="shared" si="0"/>
        <v>8.6</v>
      </c>
      <c r="J23" s="2">
        <f>'Cálculo F.Agrup. F.Temp. Circ.'!H22</f>
        <v>2.5</v>
      </c>
      <c r="K23" s="2">
        <f>'Cálculo F.Agrup. F.Temp. Circ.'!I22</f>
        <v>24</v>
      </c>
    </row>
    <row r="24" spans="2:11" ht="15.75" customHeight="1">
      <c r="B24" s="2" t="s">
        <v>89</v>
      </c>
      <c r="C24" s="2" t="s">
        <v>53</v>
      </c>
      <c r="D24" s="11" t="s">
        <v>90</v>
      </c>
      <c r="E24" s="1" t="s">
        <v>91</v>
      </c>
      <c r="F24" s="1">
        <v>2700</v>
      </c>
      <c r="G24" s="1">
        <v>220</v>
      </c>
      <c r="H24" s="1" t="s">
        <v>92</v>
      </c>
      <c r="I24" s="1">
        <f t="shared" ref="I24:I27" si="1">ROUND((F24/G24)/(3^(1/2)),1)</f>
        <v>7.1</v>
      </c>
      <c r="J24" s="2">
        <f>'Cálculo F.Agrup. F.Temp. Circ.'!H23</f>
        <v>2.5</v>
      </c>
      <c r="K24" s="2">
        <f>'Cálculo F.Agrup. F.Temp. Circ.'!I23</f>
        <v>24</v>
      </c>
    </row>
    <row r="25" spans="2:11" ht="15.75" customHeight="1">
      <c r="B25" s="2" t="s">
        <v>93</v>
      </c>
      <c r="C25" s="2" t="s">
        <v>94</v>
      </c>
      <c r="D25" s="1" t="s">
        <v>95</v>
      </c>
      <c r="E25" s="1" t="s">
        <v>96</v>
      </c>
      <c r="F25" s="1">
        <f>SUM('Cálculo de Demanda'!G12,'Cálculo de Demanda'!I12,)</f>
        <v>700</v>
      </c>
      <c r="G25" s="1">
        <v>220</v>
      </c>
      <c r="H25" s="1" t="s">
        <v>97</v>
      </c>
      <c r="I25" s="1">
        <f t="shared" si="1"/>
        <v>1.8</v>
      </c>
      <c r="J25" s="2">
        <f>'Cálculo F.Agrup. F.Temp. Circ.'!H24</f>
        <v>2.5</v>
      </c>
      <c r="K25" s="2">
        <f>'Cálculo F.Agrup. F.Temp. Circ.'!I24</f>
        <v>24</v>
      </c>
    </row>
    <row r="26" spans="2:11" ht="15.75" customHeight="1">
      <c r="B26" s="2" t="s">
        <v>98</v>
      </c>
      <c r="C26" s="2" t="s">
        <v>94</v>
      </c>
      <c r="D26" s="1" t="s">
        <v>99</v>
      </c>
      <c r="E26" s="14" t="s">
        <v>100</v>
      </c>
      <c r="F26" s="1">
        <f>SUM('Cálculo de Demanda'!G15:G20,'Cálculo de Demanda'!K15:K20,'Cálculo de Demanda'!I15:I20)</f>
        <v>10440</v>
      </c>
      <c r="G26" s="1">
        <v>220</v>
      </c>
      <c r="H26" s="1" t="s">
        <v>97</v>
      </c>
      <c r="I26" s="1">
        <f t="shared" si="1"/>
        <v>27.4</v>
      </c>
      <c r="J26" s="2">
        <f>'Cálculo F.Agrup. F.Temp. Circ.'!H25</f>
        <v>6</v>
      </c>
      <c r="K26" s="2">
        <f>'Cálculo F.Agrup. F.Temp. Circ.'!I25</f>
        <v>41</v>
      </c>
    </row>
    <row r="27" spans="2:11" ht="15.75" customHeight="1">
      <c r="B27" s="2" t="s">
        <v>102</v>
      </c>
      <c r="C27" s="2" t="s">
        <v>94</v>
      </c>
      <c r="D27" s="1" t="s">
        <v>103</v>
      </c>
      <c r="E27" s="14" t="s">
        <v>100</v>
      </c>
      <c r="F27" s="1">
        <f>'Cálculo de Demanda'!O12</f>
        <v>21291.599999999999</v>
      </c>
      <c r="G27" s="1">
        <v>220</v>
      </c>
      <c r="H27" s="1" t="s">
        <v>97</v>
      </c>
      <c r="I27" s="1">
        <f t="shared" si="1"/>
        <v>55.9</v>
      </c>
      <c r="J27" s="2">
        <f>'Cálculo F.Agrup. F.Temp. Circ.'!H26</f>
        <v>16</v>
      </c>
      <c r="K27" s="2">
        <f>'Cálculo F.Agrup. F.Temp. Circ.'!I26</f>
        <v>68</v>
      </c>
    </row>
    <row r="28" spans="2:11" ht="15.75" customHeight="1">
      <c r="B28" s="15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:C4"/>
    <mergeCell ref="J3:J4"/>
    <mergeCell ref="K3:K4"/>
    <mergeCell ref="B3:B4"/>
    <mergeCell ref="D3:D4"/>
    <mergeCell ref="E3:F3"/>
    <mergeCell ref="H3:H4"/>
    <mergeCell ref="G3:G4"/>
    <mergeCell ref="I3:I4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0"/>
  <sheetViews>
    <sheetView workbookViewId="0">
      <selection activeCell="O9" sqref="O9:O10"/>
    </sheetView>
  </sheetViews>
  <sheetFormatPr defaultColWidth="14.44140625" defaultRowHeight="15" customHeight="1"/>
  <cols>
    <col min="1" max="1" width="3.33203125" customWidth="1"/>
    <col min="2" max="2" width="14.88671875" customWidth="1"/>
    <col min="3" max="3" width="9.44140625" customWidth="1"/>
    <col min="4" max="4" width="14.109375" customWidth="1"/>
    <col min="5" max="5" width="3.109375" customWidth="1"/>
    <col min="6" max="6" width="14.88671875" customWidth="1"/>
    <col min="7" max="7" width="26.5546875" customWidth="1"/>
    <col min="8" max="8" width="5.33203125" customWidth="1"/>
    <col min="9" max="9" width="8.6640625" customWidth="1"/>
    <col min="10" max="10" width="13.44140625" customWidth="1"/>
    <col min="11" max="11" width="13.33203125" customWidth="1"/>
    <col min="12" max="12" width="2.88671875" customWidth="1"/>
    <col min="13" max="14" width="13.6640625" customWidth="1"/>
    <col min="15" max="15" width="22.88671875" customWidth="1"/>
    <col min="16" max="16" width="15" customWidth="1"/>
    <col min="17" max="26" width="8.6640625" customWidth="1"/>
  </cols>
  <sheetData>
    <row r="2" spans="2:16" ht="14.4">
      <c r="B2" s="38" t="str">
        <f>'Dimens. e Prev. de Carga'!B2</f>
        <v>Dimensões da Planta Baixa</v>
      </c>
      <c r="C2" s="39"/>
      <c r="D2" s="40"/>
      <c r="F2" s="38" t="str">
        <f>'Dimens. e Prev. de Carga'!F2</f>
        <v>Previsão de Carga</v>
      </c>
      <c r="G2" s="39"/>
      <c r="H2" s="39"/>
      <c r="I2" s="39"/>
      <c r="J2" s="39"/>
      <c r="K2" s="40"/>
      <c r="M2" s="38" t="s">
        <v>11</v>
      </c>
      <c r="N2" s="39"/>
      <c r="O2" s="39"/>
      <c r="P2" s="40"/>
    </row>
    <row r="3" spans="2:16" ht="14.4">
      <c r="B3" s="41" t="s">
        <v>7</v>
      </c>
      <c r="C3" s="43" t="s">
        <v>10</v>
      </c>
      <c r="D3" s="40"/>
      <c r="F3" s="44" t="s">
        <v>7</v>
      </c>
      <c r="G3" s="45" t="s">
        <v>15</v>
      </c>
      <c r="H3" s="43" t="s">
        <v>18</v>
      </c>
      <c r="I3" s="40"/>
      <c r="J3" s="43" t="s">
        <v>19</v>
      </c>
      <c r="K3" s="40"/>
      <c r="M3" s="3"/>
      <c r="N3" s="3" t="s">
        <v>29</v>
      </c>
      <c r="O3" s="3" t="s">
        <v>30</v>
      </c>
      <c r="P3" s="3" t="s">
        <v>31</v>
      </c>
    </row>
    <row r="4" spans="2:16" ht="28.8">
      <c r="B4" s="42"/>
      <c r="C4" s="2" t="s">
        <v>23</v>
      </c>
      <c r="D4" s="2" t="s">
        <v>24</v>
      </c>
      <c r="F4" s="42"/>
      <c r="G4" s="42"/>
      <c r="H4" s="2" t="s">
        <v>25</v>
      </c>
      <c r="I4" s="1" t="s">
        <v>26</v>
      </c>
      <c r="J4" s="2" t="s">
        <v>27</v>
      </c>
      <c r="K4" s="2" t="s">
        <v>26</v>
      </c>
      <c r="M4" s="1" t="s">
        <v>32</v>
      </c>
      <c r="N4" s="5">
        <f>G22+I22</f>
        <v>16840</v>
      </c>
      <c r="O4" s="5">
        <v>0.24</v>
      </c>
      <c r="P4" s="5">
        <f t="shared" ref="P4:P5" si="0">N4*O4</f>
        <v>4041.6</v>
      </c>
    </row>
    <row r="5" spans="2:16" ht="14.4">
      <c r="B5" s="3" t="str">
        <f>'Cálculo Tomadas e Ilumin.'!C4</f>
        <v>Sala de TV</v>
      </c>
      <c r="C5" s="4">
        <f>'Cálculo Tomadas e Ilumin.'!D4</f>
        <v>14.024999999999999</v>
      </c>
      <c r="D5" s="4">
        <f>'Cálculo Tomadas e Ilumin.'!E4</f>
        <v>16.100000000000001</v>
      </c>
      <c r="F5" s="3" t="str">
        <f>B5</f>
        <v>Sala de TV</v>
      </c>
      <c r="G5" s="6">
        <f>'Cálculo Tomadas e Ilumin.'!G4</f>
        <v>220</v>
      </c>
      <c r="H5" s="7">
        <f>'Cálculo Tomadas e Ilumin.'!I4</f>
        <v>4</v>
      </c>
      <c r="I5" s="7">
        <f>'Cálculo Tomadas e Ilumin.'!J4</f>
        <v>400</v>
      </c>
      <c r="J5" s="8" t="str">
        <f>'Cálculo Tomadas e Ilumin.'!K4</f>
        <v>Ar. Cond</v>
      </c>
      <c r="K5" s="9">
        <f>'Cálculo Tomadas e Ilumin.'!L4</f>
        <v>1900</v>
      </c>
      <c r="M5" s="47" t="s">
        <v>44</v>
      </c>
      <c r="N5" s="51">
        <f>K11</f>
        <v>4500</v>
      </c>
      <c r="O5" s="51">
        <v>0.7</v>
      </c>
      <c r="P5" s="51">
        <f t="shared" si="0"/>
        <v>3150</v>
      </c>
    </row>
    <row r="6" spans="2:16" ht="14.4">
      <c r="B6" s="3" t="str">
        <f>'Cálculo Tomadas e Ilumin.'!C5</f>
        <v>Banheiro 1</v>
      </c>
      <c r="C6" s="4">
        <f>'Cálculo Tomadas e Ilumin.'!D5</f>
        <v>6.1499999999999995</v>
      </c>
      <c r="D6" s="4">
        <f>'Cálculo Tomadas e Ilumin.'!E5</f>
        <v>10.1</v>
      </c>
      <c r="F6" s="3" t="str">
        <f t="shared" ref="F6:F21" si="1">B6</f>
        <v>Banheiro 1</v>
      </c>
      <c r="G6" s="6">
        <f>'Cálculo Tomadas e Ilumin.'!G5</f>
        <v>100</v>
      </c>
      <c r="H6" s="25">
        <f>'Cálculo Tomadas e Ilumin.'!I5</f>
        <v>3</v>
      </c>
      <c r="I6" s="25">
        <f>'Cálculo Tomadas e Ilumin.'!J5</f>
        <v>600</v>
      </c>
      <c r="J6" s="8" t="str">
        <f>'Cálculo Tomadas e Ilumin.'!K5</f>
        <v>Chuveiro</v>
      </c>
      <c r="K6" s="9">
        <f>'Cálculo Tomadas e Ilumin.'!L5</f>
        <v>5500</v>
      </c>
      <c r="M6" s="42"/>
      <c r="N6" s="42"/>
      <c r="O6" s="42"/>
      <c r="P6" s="42"/>
    </row>
    <row r="7" spans="2:16" ht="14.4">
      <c r="B7" s="3" t="str">
        <f>'Cálculo Tomadas e Ilumin.'!C6</f>
        <v>Garagem</v>
      </c>
      <c r="C7" s="4">
        <f>'Cálculo Tomadas e Ilumin.'!D6</f>
        <v>15</v>
      </c>
      <c r="D7" s="4">
        <f>'Cálculo Tomadas e Ilumin.'!E6</f>
        <v>16</v>
      </c>
      <c r="F7" s="3" t="str">
        <f t="shared" si="1"/>
        <v>Garagem</v>
      </c>
      <c r="G7" s="6">
        <f>'Cálculo Tomadas e Ilumin.'!G6</f>
        <v>220</v>
      </c>
      <c r="H7" s="25">
        <f>'Cálculo Tomadas e Ilumin.'!I6</f>
        <v>4</v>
      </c>
      <c r="I7" s="25">
        <f>'Cálculo Tomadas e Ilumin.'!J6</f>
        <v>400</v>
      </c>
      <c r="J7" s="8" t="str">
        <f>'Cálculo Tomadas e Ilumin.'!K6</f>
        <v>Motor</v>
      </c>
      <c r="K7" s="9">
        <f>'Cálculo Tomadas e Ilumin.'!L6</f>
        <v>2700</v>
      </c>
      <c r="M7" s="50" t="s">
        <v>65</v>
      </c>
      <c r="N7" s="51">
        <f>K5+K8+K9+K14+K15+K16</f>
        <v>11400</v>
      </c>
      <c r="O7" s="51">
        <v>1</v>
      </c>
      <c r="P7" s="51">
        <f>N7*O7</f>
        <v>11400</v>
      </c>
    </row>
    <row r="8" spans="2:16" ht="14.4">
      <c r="B8" s="3" t="str">
        <f>'Cálculo Tomadas e Ilumin.'!C7</f>
        <v>Escritorio 1</v>
      </c>
      <c r="C8" s="4">
        <f>'Cálculo Tomadas e Ilumin.'!D7</f>
        <v>9.2115000000000009</v>
      </c>
      <c r="D8" s="4">
        <f>'Cálculo Tomadas e Ilumin.'!E7</f>
        <v>12.24</v>
      </c>
      <c r="F8" s="3" t="str">
        <f t="shared" si="1"/>
        <v>Escritorio 1</v>
      </c>
      <c r="G8" s="6">
        <f>'Cálculo Tomadas e Ilumin.'!G7</f>
        <v>100</v>
      </c>
      <c r="H8" s="25">
        <f>'Cálculo Tomadas e Ilumin.'!I7</f>
        <v>3</v>
      </c>
      <c r="I8" s="25">
        <f>'Cálculo Tomadas e Ilumin.'!J7</f>
        <v>300</v>
      </c>
      <c r="J8" s="8" t="str">
        <f>'Cálculo Tomadas e Ilumin.'!K7</f>
        <v>Ar. Cond</v>
      </c>
      <c r="K8" s="9">
        <f>'Cálculo Tomadas e Ilumin.'!L7</f>
        <v>1900</v>
      </c>
      <c r="M8" s="42"/>
      <c r="N8" s="42"/>
      <c r="O8" s="42"/>
      <c r="P8" s="42"/>
    </row>
    <row r="9" spans="2:16" ht="14.4">
      <c r="B9" s="3" t="str">
        <f>'Cálculo Tomadas e Ilumin.'!C8</f>
        <v>Quarto 1</v>
      </c>
      <c r="C9" s="4">
        <f>'Cálculo Tomadas e Ilumin.'!D8</f>
        <v>9.2460000000000004</v>
      </c>
      <c r="D9" s="4">
        <f>'Cálculo Tomadas e Ilumin.'!E8</f>
        <v>12.260000000000002</v>
      </c>
      <c r="F9" s="3" t="str">
        <f t="shared" si="1"/>
        <v>Quarto 1</v>
      </c>
      <c r="G9" s="6">
        <f>'Cálculo Tomadas e Ilumin.'!G8</f>
        <v>100</v>
      </c>
      <c r="H9" s="25">
        <f>'Cálculo Tomadas e Ilumin.'!I8</f>
        <v>3</v>
      </c>
      <c r="I9" s="25">
        <f>'Cálculo Tomadas e Ilumin.'!J8</f>
        <v>300</v>
      </c>
      <c r="J9" s="8" t="str">
        <f>'Cálculo Tomadas e Ilumin.'!K8</f>
        <v>Ar. Cond</v>
      </c>
      <c r="K9" s="9">
        <f>'Cálculo Tomadas e Ilumin.'!L8</f>
        <v>1900</v>
      </c>
      <c r="M9" s="50" t="s">
        <v>78</v>
      </c>
      <c r="N9" s="51">
        <f>K7</f>
        <v>2700</v>
      </c>
      <c r="O9" s="51">
        <v>1</v>
      </c>
      <c r="P9" s="51">
        <f>N9*O9</f>
        <v>2700</v>
      </c>
    </row>
    <row r="10" spans="2:16" ht="14.4">
      <c r="B10" s="3" t="str">
        <f>'Cálculo Tomadas e Ilumin.'!C9</f>
        <v>Sala de jantar</v>
      </c>
      <c r="C10" s="4">
        <f>'Cálculo Tomadas e Ilumin.'!D9</f>
        <v>16.920000000000002</v>
      </c>
      <c r="D10" s="4">
        <f>'Cálculo Tomadas e Ilumin.'!E9</f>
        <v>16.600000000000001</v>
      </c>
      <c r="F10" s="3" t="str">
        <f t="shared" si="1"/>
        <v>Sala de jantar</v>
      </c>
      <c r="G10" s="6">
        <f>'Cálculo Tomadas e Ilumin.'!G9</f>
        <v>220</v>
      </c>
      <c r="H10" s="25">
        <f>'Cálculo Tomadas e Ilumin.'!I9</f>
        <v>4</v>
      </c>
      <c r="I10" s="25">
        <f>'Cálculo Tomadas e Ilumin.'!J9</f>
        <v>1900</v>
      </c>
      <c r="J10" s="8"/>
      <c r="K10" s="9"/>
      <c r="M10" s="42"/>
      <c r="N10" s="42"/>
      <c r="O10" s="42"/>
      <c r="P10" s="42"/>
    </row>
    <row r="11" spans="2:16" ht="14.4">
      <c r="B11" s="3" t="str">
        <f>'Cálculo Tomadas e Ilumin.'!C10</f>
        <v>Cozinha</v>
      </c>
      <c r="C11" s="4">
        <f>'Cálculo Tomadas e Ilumin.'!D10</f>
        <v>16.215</v>
      </c>
      <c r="D11" s="4">
        <f>'Cálculo Tomadas e Ilumin.'!E10</f>
        <v>16.3</v>
      </c>
      <c r="F11" s="3" t="str">
        <f t="shared" si="1"/>
        <v>Cozinha</v>
      </c>
      <c r="G11" s="6">
        <f>'Cálculo Tomadas e Ilumin.'!G10</f>
        <v>220</v>
      </c>
      <c r="H11" s="25">
        <f>'Cálculo Tomadas e Ilumin.'!I10</f>
        <v>5</v>
      </c>
      <c r="I11" s="25">
        <f>'Cálculo Tomadas e Ilumin.'!J10</f>
        <v>3000</v>
      </c>
      <c r="J11" s="8" t="str">
        <f>'Cálculo Tomadas e Ilumin.'!K10</f>
        <v>Torneira Eletrica</v>
      </c>
      <c r="K11" s="9">
        <f>'Cálculo Tomadas e Ilumin.'!L10</f>
        <v>4500</v>
      </c>
    </row>
    <row r="12" spans="2:16" ht="14.4">
      <c r="B12" s="3" t="str">
        <f>'Cálculo Tomadas e Ilumin.'!C11</f>
        <v>Banheiro 2</v>
      </c>
      <c r="C12" s="4">
        <f>'Cálculo Tomadas e Ilumin.'!D11</f>
        <v>6.5</v>
      </c>
      <c r="D12" s="4">
        <f>'Cálculo Tomadas e Ilumin.'!E11</f>
        <v>10.5</v>
      </c>
      <c r="F12" s="3" t="str">
        <f t="shared" si="1"/>
        <v>Banheiro 2</v>
      </c>
      <c r="G12" s="6">
        <f>'Cálculo Tomadas e Ilumin.'!G11</f>
        <v>100</v>
      </c>
      <c r="H12" s="25">
        <f>'Cálculo Tomadas e Ilumin.'!I11</f>
        <v>3</v>
      </c>
      <c r="I12" s="25">
        <f>'Cálculo Tomadas e Ilumin.'!J11</f>
        <v>600</v>
      </c>
      <c r="J12" s="8" t="str">
        <f>'Cálculo Tomadas e Ilumin.'!K11</f>
        <v>Chuveiro</v>
      </c>
      <c r="K12" s="9">
        <f>'Cálculo Tomadas e Ilumin.'!L11</f>
        <v>5500</v>
      </c>
      <c r="M12" s="52" t="s">
        <v>101</v>
      </c>
      <c r="N12" s="40"/>
      <c r="O12" s="55">
        <f>SUM(P4:P10)</f>
        <v>21291.599999999999</v>
      </c>
      <c r="P12" s="40"/>
    </row>
    <row r="13" spans="2:16" ht="14.4">
      <c r="B13" s="3" t="str">
        <f>'Cálculo Tomadas e Ilumin.'!C12</f>
        <v>Banheiro 3</v>
      </c>
      <c r="C13" s="4">
        <f>'Cálculo Tomadas e Ilumin.'!D12</f>
        <v>7.41</v>
      </c>
      <c r="D13" s="4">
        <f>'Cálculo Tomadas e Ilumin.'!E12</f>
        <v>10.9</v>
      </c>
      <c r="E13" s="12"/>
      <c r="F13" s="3" t="str">
        <f t="shared" si="1"/>
        <v>Banheiro 3</v>
      </c>
      <c r="G13" s="6">
        <f>'Cálculo Tomadas e Ilumin.'!G12</f>
        <v>100</v>
      </c>
      <c r="H13" s="25">
        <f>'Cálculo Tomadas e Ilumin.'!I12</f>
        <v>4</v>
      </c>
      <c r="I13" s="25">
        <f>'Cálculo Tomadas e Ilumin.'!J12</f>
        <v>1300</v>
      </c>
      <c r="J13" s="8" t="str">
        <f>'Cálculo Tomadas e Ilumin.'!K12</f>
        <v>Chuveiro</v>
      </c>
      <c r="K13" s="9">
        <f>'Cálculo Tomadas e Ilumin.'!L12</f>
        <v>5500</v>
      </c>
      <c r="M13" s="56"/>
      <c r="N13" s="54"/>
      <c r="O13" s="53"/>
      <c r="P13" s="54"/>
    </row>
    <row r="14" spans="2:16" ht="14.4">
      <c r="B14" s="3" t="str">
        <f>'Cálculo Tomadas e Ilumin.'!C13</f>
        <v>Suite</v>
      </c>
      <c r="C14" s="4">
        <f>'Cálculo Tomadas e Ilumin.'!D13</f>
        <v>16.387499999999999</v>
      </c>
      <c r="D14" s="4">
        <f>'Cálculo Tomadas e Ilumin.'!E13</f>
        <v>17.2</v>
      </c>
      <c r="F14" s="3" t="str">
        <f t="shared" si="1"/>
        <v>Suite</v>
      </c>
      <c r="G14" s="6">
        <f>'Cálculo Tomadas e Ilumin.'!G13</f>
        <v>220</v>
      </c>
      <c r="H14" s="25">
        <f>'Cálculo Tomadas e Ilumin.'!I13</f>
        <v>4</v>
      </c>
      <c r="I14" s="25">
        <f>'Cálculo Tomadas e Ilumin.'!J13</f>
        <v>1300</v>
      </c>
      <c r="J14" s="8" t="str">
        <f>'Cálculo Tomadas e Ilumin.'!K13</f>
        <v>Ar. Cond</v>
      </c>
      <c r="K14" s="9">
        <f>'Cálculo Tomadas e Ilumin.'!L13</f>
        <v>1900</v>
      </c>
      <c r="M14" s="38" t="s">
        <v>104</v>
      </c>
      <c r="N14" s="40"/>
      <c r="O14" s="17" t="s">
        <v>105</v>
      </c>
      <c r="P14" s="17" t="s">
        <v>106</v>
      </c>
    </row>
    <row r="15" spans="2:16" ht="14.4">
      <c r="B15" s="3" t="str">
        <f>'Cálculo Tomadas e Ilumin.'!C14</f>
        <v>Quarto 2</v>
      </c>
      <c r="C15" s="4">
        <f>'Cálculo Tomadas e Ilumin.'!D14</f>
        <v>15.762499999999999</v>
      </c>
      <c r="D15" s="4">
        <f>'Cálculo Tomadas e Ilumin.'!E14</f>
        <v>16.2</v>
      </c>
      <c r="F15" s="3" t="str">
        <f t="shared" si="1"/>
        <v>Quarto 2</v>
      </c>
      <c r="G15" s="6">
        <f>'Cálculo Tomadas e Ilumin.'!G14</f>
        <v>220</v>
      </c>
      <c r="H15" s="25">
        <f>'Cálculo Tomadas e Ilumin.'!I14</f>
        <v>4</v>
      </c>
      <c r="I15" s="25">
        <f>'Cálculo Tomadas e Ilumin.'!J14</f>
        <v>1300</v>
      </c>
      <c r="J15" s="8" t="str">
        <f>'Cálculo Tomadas e Ilumin.'!K14</f>
        <v>Ar. Cond</v>
      </c>
      <c r="K15" s="9">
        <f>'Cálculo Tomadas e Ilumin.'!L14</f>
        <v>1900</v>
      </c>
      <c r="M15" s="49" t="s">
        <v>109</v>
      </c>
      <c r="N15" s="40"/>
      <c r="O15" s="17" t="s">
        <v>110</v>
      </c>
      <c r="P15" s="18" t="s">
        <v>111</v>
      </c>
    </row>
    <row r="16" spans="2:16" ht="14.4">
      <c r="B16" s="3" t="str">
        <f>'Cálculo Tomadas e Ilumin.'!C15</f>
        <v>Quarto 3</v>
      </c>
      <c r="C16" s="4">
        <f>'Cálculo Tomadas e Ilumin.'!D15</f>
        <v>15.762499999999999</v>
      </c>
      <c r="D16" s="4">
        <f>'Cálculo Tomadas e Ilumin.'!E15</f>
        <v>16.2</v>
      </c>
      <c r="F16" s="3" t="str">
        <f t="shared" si="1"/>
        <v>Quarto 3</v>
      </c>
      <c r="G16" s="6">
        <f>'Cálculo Tomadas e Ilumin.'!G15</f>
        <v>220</v>
      </c>
      <c r="H16" s="25">
        <f>'Cálculo Tomadas e Ilumin.'!I15</f>
        <v>4</v>
      </c>
      <c r="I16" s="25">
        <f>'Cálculo Tomadas e Ilumin.'!J15</f>
        <v>1300</v>
      </c>
      <c r="J16" s="8" t="str">
        <f>'Cálculo Tomadas e Ilumin.'!K15</f>
        <v>Ar. Cond</v>
      </c>
      <c r="K16" s="9">
        <f>'Cálculo Tomadas e Ilumin.'!L15</f>
        <v>1900</v>
      </c>
      <c r="M16" s="49" t="s">
        <v>112</v>
      </c>
      <c r="N16" s="40"/>
      <c r="O16" s="3"/>
      <c r="P16" s="17" t="s">
        <v>113</v>
      </c>
    </row>
    <row r="17" spans="2:16" ht="14.4">
      <c r="B17" s="3" t="str">
        <f>'Cálculo Tomadas e Ilumin.'!C16</f>
        <v>Salão</v>
      </c>
      <c r="C17" s="4">
        <f>'Cálculo Tomadas e Ilumin.'!D16</f>
        <v>25.59</v>
      </c>
      <c r="D17" s="4">
        <f>'Cálculo Tomadas e Ilumin.'!E16</f>
        <v>24.12</v>
      </c>
      <c r="F17" s="3" t="str">
        <f t="shared" si="1"/>
        <v>Salão</v>
      </c>
      <c r="G17" s="6">
        <f>'Cálculo Tomadas e Ilumin.'!G16</f>
        <v>340</v>
      </c>
      <c r="H17" s="25">
        <f>'Cálculo Tomadas e Ilumin.'!I16</f>
        <v>5</v>
      </c>
      <c r="I17" s="25">
        <f>'Cálculo Tomadas e Ilumin.'!J16</f>
        <v>2000</v>
      </c>
      <c r="J17" s="8"/>
      <c r="K17" s="9"/>
      <c r="M17" s="49" t="s">
        <v>114</v>
      </c>
      <c r="N17" s="40"/>
      <c r="O17" s="17" t="s">
        <v>115</v>
      </c>
      <c r="P17" s="17" t="s">
        <v>116</v>
      </c>
    </row>
    <row r="18" spans="2:16" ht="14.4">
      <c r="B18" s="3" t="str">
        <f>'Cálculo Tomadas e Ilumin.'!C17</f>
        <v>Corredor 1</v>
      </c>
      <c r="C18" s="4">
        <f>'Cálculo Tomadas e Ilumin.'!D17</f>
        <v>4.95</v>
      </c>
      <c r="D18" s="4">
        <f>'Cálculo Tomadas e Ilumin.'!E17</f>
        <v>12.8</v>
      </c>
      <c r="F18" s="3" t="str">
        <f t="shared" si="1"/>
        <v>Corredor 1</v>
      </c>
      <c r="G18" s="6">
        <f>'Cálculo Tomadas e Ilumin.'!G17</f>
        <v>100</v>
      </c>
      <c r="H18" s="25">
        <f>'Cálculo Tomadas e Ilumin.'!I17</f>
        <v>3</v>
      </c>
      <c r="I18" s="25">
        <f>'Cálculo Tomadas e Ilumin.'!J17</f>
        <v>300</v>
      </c>
      <c r="J18" s="8"/>
      <c r="K18" s="9"/>
      <c r="M18" s="49" t="s">
        <v>117</v>
      </c>
      <c r="N18" s="40"/>
      <c r="O18" s="17" t="s">
        <v>118</v>
      </c>
      <c r="P18" s="17" t="s">
        <v>119</v>
      </c>
    </row>
    <row r="19" spans="2:16" ht="14.4">
      <c r="B19" s="3" t="str">
        <f>'Cálculo Tomadas e Ilumin.'!C18</f>
        <v>Corredor 2</v>
      </c>
      <c r="C19" s="4">
        <f>'Cálculo Tomadas e Ilumin.'!D18</f>
        <v>9.7200000000000006</v>
      </c>
      <c r="D19" s="4">
        <f>'Cálculo Tomadas e Ilumin.'!E18</f>
        <v>25.900000000000002</v>
      </c>
      <c r="F19" s="3" t="str">
        <f t="shared" si="1"/>
        <v>Corredor 2</v>
      </c>
      <c r="G19" s="6">
        <f>'Cálculo Tomadas e Ilumin.'!G18</f>
        <v>160</v>
      </c>
      <c r="H19" s="25">
        <f>'Cálculo Tomadas e Ilumin.'!I18</f>
        <v>6</v>
      </c>
      <c r="I19" s="25">
        <f>'Cálculo Tomadas e Ilumin.'!J18</f>
        <v>600</v>
      </c>
      <c r="J19" s="8"/>
      <c r="K19" s="9"/>
      <c r="M19" s="49" t="s">
        <v>120</v>
      </c>
      <c r="N19" s="40"/>
      <c r="O19" s="17" t="s">
        <v>121</v>
      </c>
      <c r="P19" s="17" t="s">
        <v>123</v>
      </c>
    </row>
    <row r="20" spans="2:16" ht="14.4">
      <c r="B20" s="3" t="str">
        <f>'Cálculo Tomadas e Ilumin.'!C19</f>
        <v>escada</v>
      </c>
      <c r="C20" s="4">
        <f>'Cálculo Tomadas e Ilumin.'!D19</f>
        <v>3.5999999999999996</v>
      </c>
      <c r="D20" s="4">
        <f>'Cálculo Tomadas e Ilumin.'!E19</f>
        <v>8.4</v>
      </c>
      <c r="F20" s="3" t="str">
        <f t="shared" si="1"/>
        <v>escada</v>
      </c>
      <c r="G20" s="6">
        <f>'Cálculo Tomadas e Ilumin.'!G19</f>
        <v>100</v>
      </c>
      <c r="H20" s="25">
        <f>'Cálculo Tomadas e Ilumin.'!I19</f>
        <v>2</v>
      </c>
      <c r="I20" s="25">
        <f>'Cálculo Tomadas e Ilumin.'!J19</f>
        <v>0</v>
      </c>
      <c r="J20" s="8"/>
      <c r="K20" s="9"/>
      <c r="M20" s="49" t="s">
        <v>124</v>
      </c>
      <c r="N20" s="40"/>
      <c r="O20" s="3"/>
      <c r="P20" s="17" t="s">
        <v>125</v>
      </c>
    </row>
    <row r="21" spans="2:16" ht="15.75" customHeight="1">
      <c r="B21" s="3" t="str">
        <f>'Cálculo Tomadas e Ilumin.'!C20</f>
        <v>varanda</v>
      </c>
      <c r="C21" s="4">
        <f>'Cálculo Tomadas e Ilumin.'!D20</f>
        <v>5.6700000000000008</v>
      </c>
      <c r="D21" s="4">
        <f>'Cálculo Tomadas e Ilumin.'!E20</f>
        <v>11.100000000000001</v>
      </c>
      <c r="F21" s="3" t="str">
        <f t="shared" si="1"/>
        <v>varanda</v>
      </c>
      <c r="G21" s="6">
        <f>'Cálculo Tomadas e Ilumin.'!G20</f>
        <v>100</v>
      </c>
      <c r="H21" s="25">
        <f>'Cálculo Tomadas e Ilumin.'!I20</f>
        <v>3</v>
      </c>
      <c r="I21" s="25">
        <f>'Cálculo Tomadas e Ilumin.'!J20</f>
        <v>300</v>
      </c>
      <c r="J21" s="8"/>
      <c r="K21" s="9"/>
      <c r="M21" s="49" t="s">
        <v>127</v>
      </c>
      <c r="N21" s="40"/>
      <c r="O21" s="18" t="s">
        <v>128</v>
      </c>
      <c r="P21" s="17" t="s">
        <v>129</v>
      </c>
    </row>
    <row r="22" spans="2:16" ht="15.75" customHeight="1">
      <c r="B22" s="3"/>
      <c r="C22" s="4"/>
      <c r="D22" s="4"/>
      <c r="F22" s="3" t="s">
        <v>107</v>
      </c>
      <c r="G22" s="7">
        <f>SUM(G5:G12,G14:G19)</f>
        <v>2540</v>
      </c>
      <c r="H22" s="9"/>
      <c r="I22" s="7">
        <f>SUM(I5:I12,I14:I19)</f>
        <v>14300</v>
      </c>
      <c r="J22" s="9"/>
      <c r="K22" s="7">
        <f>SUM(K5:K12,K14:K19)</f>
        <v>29600</v>
      </c>
      <c r="M22" s="49" t="s">
        <v>135</v>
      </c>
      <c r="N22" s="40"/>
      <c r="O22" s="18" t="s">
        <v>128</v>
      </c>
      <c r="P22" s="17" t="s">
        <v>136</v>
      </c>
    </row>
    <row r="23" spans="2:16" ht="15.75" customHeight="1">
      <c r="M23" s="49" t="s">
        <v>137</v>
      </c>
      <c r="N23" s="40"/>
      <c r="O23" s="18" t="s">
        <v>138</v>
      </c>
      <c r="P23" s="17" t="s">
        <v>136</v>
      </c>
    </row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O5:O6"/>
    <mergeCell ref="M23:N23"/>
    <mergeCell ref="M15:N15"/>
    <mergeCell ref="M14:N14"/>
    <mergeCell ref="M18:N18"/>
    <mergeCell ref="M19:N19"/>
    <mergeCell ref="M20:N20"/>
    <mergeCell ref="M21:N21"/>
    <mergeCell ref="M12:N12"/>
    <mergeCell ref="O13:P13"/>
    <mergeCell ref="O12:P12"/>
    <mergeCell ref="M13:N13"/>
    <mergeCell ref="M22:N22"/>
    <mergeCell ref="P9:P10"/>
    <mergeCell ref="M9:M10"/>
    <mergeCell ref="O7:O8"/>
    <mergeCell ref="P7:P8"/>
    <mergeCell ref="O9:O10"/>
    <mergeCell ref="N9:N10"/>
    <mergeCell ref="M2:P2"/>
    <mergeCell ref="M16:N16"/>
    <mergeCell ref="M17:N17"/>
    <mergeCell ref="B2:D2"/>
    <mergeCell ref="C3:D3"/>
    <mergeCell ref="M7:M8"/>
    <mergeCell ref="N7:N8"/>
    <mergeCell ref="F2:K2"/>
    <mergeCell ref="J3:K3"/>
    <mergeCell ref="H3:I3"/>
    <mergeCell ref="F3:F4"/>
    <mergeCell ref="B3:B4"/>
    <mergeCell ref="G3:G4"/>
    <mergeCell ref="M5:M6"/>
    <mergeCell ref="N5:N6"/>
    <mergeCell ref="P5:P6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0"/>
  <sheetViews>
    <sheetView tabSelected="1" workbookViewId="0">
      <selection activeCell="M6" sqref="M6"/>
    </sheetView>
  </sheetViews>
  <sheetFormatPr defaultColWidth="14.44140625" defaultRowHeight="15" customHeight="1"/>
  <cols>
    <col min="1" max="5" width="8.6640625" customWidth="1"/>
    <col min="6" max="6" width="12.5546875" customWidth="1"/>
    <col min="7" max="26" width="8.6640625" customWidth="1"/>
  </cols>
  <sheetData>
    <row r="2" spans="1:16" ht="14.4">
      <c r="A2" s="19"/>
      <c r="B2" s="38" t="s">
        <v>122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P2" s="20"/>
    </row>
    <row r="3" spans="1:16" ht="14.4">
      <c r="A3" s="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2"/>
    </row>
    <row r="4" spans="1:16" ht="14.4">
      <c r="A4" s="21"/>
      <c r="B4" s="38" t="s">
        <v>126</v>
      </c>
      <c r="C4" s="39"/>
      <c r="D4" s="39"/>
      <c r="E4" s="40"/>
      <c r="F4" s="16"/>
      <c r="G4" s="38" t="s">
        <v>130</v>
      </c>
      <c r="H4" s="39"/>
      <c r="I4" s="39"/>
      <c r="J4" s="40"/>
      <c r="K4" s="16"/>
      <c r="L4" s="38" t="s">
        <v>131</v>
      </c>
      <c r="M4" s="39"/>
      <c r="N4" s="39"/>
      <c r="O4" s="40"/>
      <c r="P4" s="22"/>
    </row>
    <row r="5" spans="1:16" ht="14.4">
      <c r="A5" s="21"/>
      <c r="B5" s="3"/>
      <c r="C5" s="7" t="s">
        <v>132</v>
      </c>
      <c r="D5" s="7" t="s">
        <v>133</v>
      </c>
      <c r="E5" s="7" t="s">
        <v>134</v>
      </c>
      <c r="F5" s="16"/>
      <c r="G5" s="3"/>
      <c r="H5" s="7" t="s">
        <v>132</v>
      </c>
      <c r="I5" s="7" t="s">
        <v>133</v>
      </c>
      <c r="J5" s="7" t="s">
        <v>134</v>
      </c>
      <c r="K5" s="16"/>
      <c r="L5" s="3"/>
      <c r="M5" s="7" t="s">
        <v>132</v>
      </c>
      <c r="N5" s="7" t="s">
        <v>133</v>
      </c>
      <c r="O5" s="7" t="s">
        <v>134</v>
      </c>
      <c r="P5" s="22"/>
    </row>
    <row r="6" spans="1:16" ht="14.4">
      <c r="A6" s="21"/>
      <c r="B6" s="3" t="s">
        <v>17</v>
      </c>
      <c r="C6" s="3">
        <v>640</v>
      </c>
      <c r="D6" s="3"/>
      <c r="E6" s="3"/>
      <c r="F6" s="12"/>
      <c r="G6" s="3" t="s">
        <v>66</v>
      </c>
      <c r="H6" s="3"/>
      <c r="I6" s="3">
        <v>580</v>
      </c>
      <c r="J6" s="3"/>
      <c r="K6" s="12"/>
      <c r="L6" s="3" t="s">
        <v>60</v>
      </c>
      <c r="M6" s="3">
        <v>280</v>
      </c>
      <c r="N6" s="3"/>
      <c r="O6" s="3"/>
      <c r="P6" s="22"/>
    </row>
    <row r="7" spans="1:16" ht="14.4">
      <c r="A7" s="21"/>
      <c r="B7" s="3" t="s">
        <v>33</v>
      </c>
      <c r="C7" s="3">
        <v>360</v>
      </c>
      <c r="D7" s="3"/>
      <c r="E7" s="3"/>
      <c r="F7" s="12"/>
      <c r="G7" s="3" t="s">
        <v>69</v>
      </c>
      <c r="H7" s="3"/>
      <c r="I7" s="3"/>
      <c r="J7" s="3">
        <v>500</v>
      </c>
      <c r="K7" s="12"/>
      <c r="L7" s="3" t="s">
        <v>63</v>
      </c>
      <c r="M7" s="3">
        <v>250</v>
      </c>
      <c r="N7" s="3"/>
      <c r="O7" s="3">
        <v>250</v>
      </c>
      <c r="P7" s="22"/>
    </row>
    <row r="8" spans="1:16" ht="14.4">
      <c r="A8" s="21"/>
      <c r="B8" s="3" t="s">
        <v>36</v>
      </c>
      <c r="C8" s="3"/>
      <c r="D8" s="3"/>
      <c r="E8" s="3">
        <v>1300</v>
      </c>
      <c r="F8" s="12"/>
      <c r="G8" s="3" t="s">
        <v>72</v>
      </c>
      <c r="H8" s="3"/>
      <c r="I8" s="3">
        <v>1000</v>
      </c>
      <c r="J8" s="3"/>
      <c r="K8" s="12"/>
      <c r="L8" s="12"/>
      <c r="M8" s="12"/>
      <c r="N8" s="12"/>
      <c r="O8" s="12"/>
      <c r="P8" s="22"/>
    </row>
    <row r="9" spans="1:16" ht="14.4">
      <c r="A9" s="21"/>
      <c r="B9" s="3" t="s">
        <v>40</v>
      </c>
      <c r="C9" s="3"/>
      <c r="D9" s="3">
        <v>1800</v>
      </c>
      <c r="E9" s="3"/>
      <c r="F9" s="12"/>
      <c r="G9" s="3" t="s">
        <v>75</v>
      </c>
      <c r="H9" s="3"/>
      <c r="I9" s="3"/>
      <c r="J9" s="3">
        <v>1300</v>
      </c>
      <c r="K9" s="12"/>
      <c r="L9" s="3" t="s">
        <v>139</v>
      </c>
      <c r="M9" s="3">
        <f t="shared" ref="M9:O9" si="0">SUM(M6:M7)</f>
        <v>530</v>
      </c>
      <c r="N9" s="3">
        <f t="shared" si="0"/>
        <v>0</v>
      </c>
      <c r="O9" s="3">
        <f t="shared" si="0"/>
        <v>250</v>
      </c>
      <c r="P9" s="22"/>
    </row>
    <row r="10" spans="1:16" ht="14.4">
      <c r="A10" s="21"/>
      <c r="B10" s="3" t="s">
        <v>43</v>
      </c>
      <c r="C10" s="3">
        <v>900</v>
      </c>
      <c r="D10" s="3"/>
      <c r="E10" s="3"/>
      <c r="F10" s="12"/>
      <c r="G10" s="3" t="s">
        <v>79</v>
      </c>
      <c r="H10" s="3"/>
      <c r="I10" s="3">
        <v>1100</v>
      </c>
      <c r="J10" s="3"/>
      <c r="K10" s="12"/>
      <c r="L10" s="12"/>
      <c r="M10" s="12"/>
      <c r="N10" s="12"/>
      <c r="O10" s="12"/>
      <c r="P10" s="22"/>
    </row>
    <row r="11" spans="1:16" ht="14.4">
      <c r="A11" s="21"/>
      <c r="B11" s="3" t="s">
        <v>47</v>
      </c>
      <c r="C11" s="3"/>
      <c r="D11" s="3"/>
      <c r="E11" s="3">
        <v>1200</v>
      </c>
      <c r="F11" s="12"/>
      <c r="G11" s="3" t="s">
        <v>82</v>
      </c>
      <c r="H11" s="3"/>
      <c r="I11" s="3">
        <v>2750</v>
      </c>
      <c r="J11" s="3">
        <v>2750</v>
      </c>
      <c r="K11" s="12"/>
      <c r="L11" s="12"/>
      <c r="M11" s="12"/>
      <c r="N11" s="12"/>
      <c r="O11" s="12"/>
      <c r="P11" s="22"/>
    </row>
    <row r="12" spans="1:16" ht="14.4">
      <c r="A12" s="21"/>
      <c r="B12" s="3" t="s">
        <v>50</v>
      </c>
      <c r="C12" s="3">
        <v>1800</v>
      </c>
      <c r="D12" s="3"/>
      <c r="E12" s="3"/>
      <c r="F12" s="12"/>
      <c r="G12" s="3" t="s">
        <v>83</v>
      </c>
      <c r="H12" s="3">
        <v>950</v>
      </c>
      <c r="I12" s="3"/>
      <c r="J12" s="3">
        <v>950</v>
      </c>
      <c r="K12" s="12"/>
      <c r="L12" s="12"/>
      <c r="M12" s="12"/>
      <c r="N12" s="12"/>
      <c r="O12" s="12"/>
      <c r="P12" s="22"/>
    </row>
    <row r="13" spans="1:16" ht="14.4">
      <c r="A13" s="21"/>
      <c r="B13" s="3" t="s">
        <v>52</v>
      </c>
      <c r="C13" s="3"/>
      <c r="D13" s="3">
        <v>2750</v>
      </c>
      <c r="E13" s="3">
        <v>2750</v>
      </c>
      <c r="F13" s="12"/>
      <c r="G13" s="3" t="s">
        <v>86</v>
      </c>
      <c r="H13" s="3">
        <v>950</v>
      </c>
      <c r="I13" s="3">
        <v>950</v>
      </c>
      <c r="J13" s="3"/>
      <c r="K13" s="12"/>
      <c r="L13" s="24"/>
      <c r="M13" s="12"/>
      <c r="N13" s="12"/>
      <c r="O13" s="12"/>
      <c r="P13" s="22"/>
    </row>
    <row r="14" spans="1:16" ht="14.4">
      <c r="A14" s="21"/>
      <c r="B14" s="3" t="s">
        <v>57</v>
      </c>
      <c r="C14" s="3">
        <v>4500</v>
      </c>
      <c r="D14" s="3"/>
      <c r="E14" s="3"/>
      <c r="F14" s="12"/>
      <c r="G14" s="3" t="s">
        <v>89</v>
      </c>
      <c r="H14" s="3">
        <v>900</v>
      </c>
      <c r="I14" s="3">
        <v>900</v>
      </c>
      <c r="J14" s="3">
        <v>900</v>
      </c>
      <c r="K14" s="12"/>
      <c r="L14" s="12"/>
      <c r="M14" s="12"/>
      <c r="N14" s="12"/>
      <c r="O14" s="12"/>
      <c r="P14" s="22"/>
    </row>
    <row r="15" spans="1:16" ht="14.4">
      <c r="A15" s="2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2"/>
    </row>
    <row r="16" spans="1:16" ht="14.4">
      <c r="A16" s="21"/>
      <c r="B16" s="3" t="s">
        <v>139</v>
      </c>
      <c r="C16" s="3">
        <f t="shared" ref="C16:E16" si="1">SUM(C6:C14)</f>
        <v>8200</v>
      </c>
      <c r="D16" s="3">
        <f t="shared" si="1"/>
        <v>4550</v>
      </c>
      <c r="E16" s="3">
        <f t="shared" si="1"/>
        <v>5250</v>
      </c>
      <c r="F16" s="12"/>
      <c r="G16" s="3" t="s">
        <v>139</v>
      </c>
      <c r="H16" s="3">
        <f t="shared" ref="H16:J16" si="2">SUM(H6:H14)</f>
        <v>2800</v>
      </c>
      <c r="I16" s="3">
        <f t="shared" si="2"/>
        <v>7280</v>
      </c>
      <c r="J16" s="3">
        <f t="shared" si="2"/>
        <v>6400</v>
      </c>
      <c r="K16" s="12"/>
      <c r="L16" s="12"/>
      <c r="M16" s="12"/>
      <c r="N16" s="12"/>
      <c r="O16" s="12"/>
      <c r="P16" s="22"/>
    </row>
    <row r="17" spans="1:16" ht="14.4">
      <c r="A17" s="2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2"/>
    </row>
    <row r="18" spans="1:16" ht="14.4">
      <c r="A18" s="21"/>
      <c r="B18" s="12"/>
      <c r="C18" s="12"/>
      <c r="D18" s="12"/>
      <c r="E18" s="12"/>
      <c r="F18" s="12"/>
      <c r="G18" s="12"/>
      <c r="H18" s="38" t="s">
        <v>150</v>
      </c>
      <c r="I18" s="39"/>
      <c r="J18" s="40"/>
      <c r="K18" s="12"/>
      <c r="L18" s="12"/>
      <c r="M18" s="12"/>
      <c r="N18" s="12"/>
      <c r="O18" s="12"/>
      <c r="P18" s="22"/>
    </row>
    <row r="19" spans="1:16" ht="14.4">
      <c r="A19" s="21"/>
      <c r="B19" s="12"/>
      <c r="C19" s="12"/>
      <c r="D19" s="12"/>
      <c r="E19" s="12"/>
      <c r="F19" s="25" t="s">
        <v>151</v>
      </c>
      <c r="G19" s="25" t="s">
        <v>152</v>
      </c>
      <c r="H19" s="7" t="s">
        <v>132</v>
      </c>
      <c r="I19" s="7" t="s">
        <v>133</v>
      </c>
      <c r="J19" s="7" t="s">
        <v>134</v>
      </c>
      <c r="K19" s="12"/>
      <c r="L19" s="12"/>
      <c r="M19" s="12"/>
      <c r="N19" s="12"/>
      <c r="O19" s="12"/>
      <c r="P19" s="22"/>
    </row>
    <row r="20" spans="1:16" ht="14.4">
      <c r="A20" s="21"/>
      <c r="B20" s="12"/>
      <c r="C20" s="12"/>
      <c r="D20" s="12"/>
      <c r="E20" s="12"/>
      <c r="F20" s="27">
        <v>0.1</v>
      </c>
      <c r="G20" s="7">
        <f>J20*0.1</f>
        <v>1190</v>
      </c>
      <c r="H20" s="3">
        <f t="shared" ref="H20:J20" si="3">SUM(C16,H16,M9)</f>
        <v>11530</v>
      </c>
      <c r="I20" s="3">
        <f t="shared" si="3"/>
        <v>11830</v>
      </c>
      <c r="J20" s="3">
        <f t="shared" si="3"/>
        <v>11900</v>
      </c>
      <c r="K20" s="12"/>
      <c r="L20" s="12"/>
      <c r="M20" s="12"/>
      <c r="N20" s="12"/>
      <c r="O20" s="12"/>
      <c r="P20" s="22"/>
    </row>
    <row r="21" spans="1:16" ht="15.75" customHeight="1">
      <c r="A21" s="2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2"/>
    </row>
    <row r="22" spans="1:16" ht="15.75" customHeight="1">
      <c r="A22" s="21"/>
      <c r="B22" s="12"/>
      <c r="C22" s="12"/>
      <c r="D22" s="12"/>
      <c r="E22" s="12"/>
      <c r="F22" s="38" t="s">
        <v>151</v>
      </c>
      <c r="G22" s="40"/>
      <c r="H22" s="28">
        <f t="shared" ref="H22:J22" si="4">H20/$J$20</f>
        <v>0.96890756302521008</v>
      </c>
      <c r="I22" s="28">
        <f t="shared" si="4"/>
        <v>0.99411764705882355</v>
      </c>
      <c r="J22" s="28">
        <f t="shared" si="4"/>
        <v>1</v>
      </c>
      <c r="K22" s="12"/>
      <c r="L22" s="12"/>
      <c r="M22" s="12"/>
      <c r="N22" s="12"/>
      <c r="O22" s="12"/>
      <c r="P22" s="22"/>
    </row>
    <row r="23" spans="1:16" ht="15.75" customHeight="1">
      <c r="A23" s="21"/>
      <c r="B23" s="12"/>
      <c r="C23" s="12"/>
      <c r="D23" s="12"/>
      <c r="E23" s="12"/>
      <c r="F23" s="38" t="s">
        <v>158</v>
      </c>
      <c r="G23" s="40"/>
      <c r="H23" s="3">
        <f t="shared" ref="H23:J23" si="5">$J$20-H20</f>
        <v>370</v>
      </c>
      <c r="I23" s="3">
        <f t="shared" si="5"/>
        <v>70</v>
      </c>
      <c r="J23" s="3">
        <f t="shared" si="5"/>
        <v>0</v>
      </c>
      <c r="K23" s="12"/>
      <c r="L23" s="12"/>
      <c r="M23" s="12"/>
      <c r="N23" s="12"/>
      <c r="O23" s="12"/>
      <c r="P23" s="22"/>
    </row>
    <row r="24" spans="1:16" ht="15.75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2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F22:G22"/>
    <mergeCell ref="F23:G23"/>
    <mergeCell ref="B2:O2"/>
    <mergeCell ref="H18:J18"/>
    <mergeCell ref="G4:J4"/>
    <mergeCell ref="B4:E4"/>
    <mergeCell ref="L4:O4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workbookViewId="0">
      <pane ySplit="3" topLeftCell="A4" activePane="bottomLeft" state="frozen"/>
      <selection pane="bottomLeft" activeCell="B40" sqref="B40"/>
    </sheetView>
  </sheetViews>
  <sheetFormatPr defaultColWidth="14.44140625" defaultRowHeight="15" customHeight="1"/>
  <cols>
    <col min="1" max="1" width="10.88671875" customWidth="1"/>
    <col min="2" max="2" width="10.88671875" bestFit="1" customWidth="1"/>
    <col min="3" max="3" width="14.88671875" bestFit="1" customWidth="1"/>
    <col min="4" max="4" width="9.44140625" bestFit="1" customWidth="1"/>
    <col min="5" max="5" width="14.109375" bestFit="1" customWidth="1"/>
    <col min="6" max="6" width="38.6640625" bestFit="1" customWidth="1"/>
    <col min="7" max="7" width="11.6640625" bestFit="1" customWidth="1"/>
    <col min="8" max="8" width="11.44140625" bestFit="1" customWidth="1"/>
    <col min="9" max="9" width="11" customWidth="1"/>
    <col min="10" max="10" width="13.33203125" customWidth="1"/>
    <col min="11" max="11" width="10.88671875" customWidth="1"/>
    <col min="12" max="12" width="8.6640625" customWidth="1"/>
    <col min="13" max="13" width="20" customWidth="1"/>
    <col min="14" max="27" width="8.6640625" customWidth="1"/>
  </cols>
  <sheetData>
    <row r="2" spans="1:13" ht="14.4">
      <c r="A2" s="12"/>
      <c r="B2" s="59"/>
      <c r="C2" s="60" t="s">
        <v>7</v>
      </c>
      <c r="D2" s="60" t="s">
        <v>10</v>
      </c>
      <c r="E2" s="61"/>
      <c r="F2" s="62" t="s">
        <v>20</v>
      </c>
      <c r="G2" s="61"/>
      <c r="H2" s="62" t="s">
        <v>37</v>
      </c>
      <c r="I2" s="61"/>
      <c r="J2" s="61"/>
      <c r="K2" s="62" t="s">
        <v>53</v>
      </c>
      <c r="L2" s="61"/>
    </row>
    <row r="3" spans="1:13" ht="14.4">
      <c r="A3" s="12"/>
      <c r="B3" s="59" t="s">
        <v>140</v>
      </c>
      <c r="C3" s="61"/>
      <c r="D3" s="59" t="s">
        <v>23</v>
      </c>
      <c r="E3" s="59" t="s">
        <v>24</v>
      </c>
      <c r="F3" s="59" t="s">
        <v>141</v>
      </c>
      <c r="G3" s="59" t="s">
        <v>142</v>
      </c>
      <c r="H3" s="59" t="s">
        <v>143</v>
      </c>
      <c r="I3" s="59" t="s">
        <v>144</v>
      </c>
      <c r="J3" s="59" t="s">
        <v>26</v>
      </c>
      <c r="K3" s="59" t="s">
        <v>145</v>
      </c>
      <c r="L3" s="59" t="s">
        <v>146</v>
      </c>
    </row>
    <row r="4" spans="1:13" ht="14.4">
      <c r="A4" s="23"/>
      <c r="B4" s="63">
        <v>5</v>
      </c>
      <c r="C4" s="64" t="s">
        <v>186</v>
      </c>
      <c r="D4" s="63">
        <v>14.024999999999999</v>
      </c>
      <c r="E4" s="63">
        <v>16.100000000000001</v>
      </c>
      <c r="F4" s="65" t="s">
        <v>147</v>
      </c>
      <c r="G4" s="63">
        <v>220</v>
      </c>
      <c r="H4" s="59">
        <f>ROUND((E4/B4),1)</f>
        <v>3.2</v>
      </c>
      <c r="I4" s="59">
        <f t="shared" ref="I4:I20" si="0">ROUNDUP(H4,0)</f>
        <v>4</v>
      </c>
      <c r="J4" s="59">
        <f>I4*100</f>
        <v>400</v>
      </c>
      <c r="K4" s="66" t="s">
        <v>161</v>
      </c>
      <c r="L4" s="59">
        <v>1900</v>
      </c>
    </row>
    <row r="5" spans="1:13" ht="14.4">
      <c r="A5" s="23"/>
      <c r="B5" s="63">
        <v>3.5</v>
      </c>
      <c r="C5" s="64" t="s">
        <v>51</v>
      </c>
      <c r="D5" s="63">
        <v>6.1499999999999995</v>
      </c>
      <c r="E5" s="63">
        <v>10.1</v>
      </c>
      <c r="F5" s="65" t="s">
        <v>149</v>
      </c>
      <c r="G5" s="63">
        <v>100</v>
      </c>
      <c r="H5" s="59">
        <f t="shared" ref="H5:H20" si="1">ROUND((E5/B5),1)</f>
        <v>2.9</v>
      </c>
      <c r="I5" s="59">
        <f t="shared" si="0"/>
        <v>3</v>
      </c>
      <c r="J5" s="59">
        <f>((I5-2)*600)+((I5-3)*100)</f>
        <v>600</v>
      </c>
      <c r="K5" s="59" t="s">
        <v>54</v>
      </c>
      <c r="L5" s="59">
        <v>5500</v>
      </c>
    </row>
    <row r="6" spans="1:13" ht="14.4">
      <c r="A6" s="23"/>
      <c r="B6" s="63">
        <v>5</v>
      </c>
      <c r="C6" s="64" t="s">
        <v>61</v>
      </c>
      <c r="D6" s="63">
        <v>15</v>
      </c>
      <c r="E6" s="63">
        <v>16</v>
      </c>
      <c r="F6" s="65" t="s">
        <v>147</v>
      </c>
      <c r="G6" s="63">
        <v>220</v>
      </c>
      <c r="H6" s="59">
        <f t="shared" si="1"/>
        <v>3.2</v>
      </c>
      <c r="I6" s="59">
        <f t="shared" si="0"/>
        <v>4</v>
      </c>
      <c r="J6" s="59">
        <f t="shared" ref="J6:J8" si="2">I6*100</f>
        <v>400</v>
      </c>
      <c r="K6" s="59" t="s">
        <v>155</v>
      </c>
      <c r="L6" s="59">
        <v>2700</v>
      </c>
    </row>
    <row r="7" spans="1:13" ht="14.4">
      <c r="A7" s="23"/>
      <c r="B7" s="63">
        <v>5</v>
      </c>
      <c r="C7" s="64" t="s">
        <v>187</v>
      </c>
      <c r="D7" s="63">
        <v>9.2115000000000009</v>
      </c>
      <c r="E7" s="63">
        <v>12.24</v>
      </c>
      <c r="F7" s="65" t="s">
        <v>149</v>
      </c>
      <c r="G7" s="63">
        <v>100</v>
      </c>
      <c r="H7" s="59">
        <f t="shared" si="1"/>
        <v>2.4</v>
      </c>
      <c r="I7" s="59">
        <f t="shared" si="0"/>
        <v>3</v>
      </c>
      <c r="J7" s="59">
        <f t="shared" si="2"/>
        <v>300</v>
      </c>
      <c r="K7" s="66" t="s">
        <v>161</v>
      </c>
      <c r="L7" s="59">
        <v>1900</v>
      </c>
    </row>
    <row r="8" spans="1:13" ht="14.4">
      <c r="A8" s="23"/>
      <c r="B8" s="63">
        <v>5</v>
      </c>
      <c r="C8" s="64" t="s">
        <v>188</v>
      </c>
      <c r="D8" s="63">
        <v>9.2460000000000004</v>
      </c>
      <c r="E8" s="63">
        <v>12.260000000000002</v>
      </c>
      <c r="F8" s="65" t="s">
        <v>149</v>
      </c>
      <c r="G8" s="63">
        <v>100</v>
      </c>
      <c r="H8" s="59">
        <f t="shared" si="1"/>
        <v>2.5</v>
      </c>
      <c r="I8" s="59">
        <f t="shared" si="0"/>
        <v>3</v>
      </c>
      <c r="J8" s="59">
        <f t="shared" si="2"/>
        <v>300</v>
      </c>
      <c r="K8" s="66" t="s">
        <v>161</v>
      </c>
      <c r="L8" s="59">
        <v>1900</v>
      </c>
      <c r="M8" s="26"/>
    </row>
    <row r="9" spans="1:13" ht="14.4">
      <c r="A9" s="23"/>
      <c r="B9" s="63">
        <v>5</v>
      </c>
      <c r="C9" s="64" t="s">
        <v>189</v>
      </c>
      <c r="D9" s="63">
        <v>16.920000000000002</v>
      </c>
      <c r="E9" s="63">
        <v>16.600000000000001</v>
      </c>
      <c r="F9" s="65" t="s">
        <v>154</v>
      </c>
      <c r="G9" s="63">
        <v>220</v>
      </c>
      <c r="H9" s="59">
        <f t="shared" si="1"/>
        <v>3.3</v>
      </c>
      <c r="I9" s="59">
        <f t="shared" si="0"/>
        <v>4</v>
      </c>
      <c r="J9" s="59">
        <f>((I9-1)*600)+((I9-3)*100)</f>
        <v>1900</v>
      </c>
      <c r="K9" s="59"/>
      <c r="L9" s="59"/>
    </row>
    <row r="10" spans="1:13" ht="14.4">
      <c r="A10" s="23"/>
      <c r="B10" s="63">
        <v>3.5</v>
      </c>
      <c r="C10" s="64" t="s">
        <v>41</v>
      </c>
      <c r="D10" s="63">
        <v>16.215</v>
      </c>
      <c r="E10" s="63">
        <v>16.3</v>
      </c>
      <c r="F10" s="65" t="s">
        <v>154</v>
      </c>
      <c r="G10" s="63">
        <v>220</v>
      </c>
      <c r="H10" s="59">
        <f t="shared" si="1"/>
        <v>4.7</v>
      </c>
      <c r="I10" s="59">
        <f t="shared" si="0"/>
        <v>5</v>
      </c>
      <c r="J10" s="59">
        <f>I10*600</f>
        <v>3000</v>
      </c>
      <c r="K10" s="58" t="s">
        <v>200</v>
      </c>
      <c r="L10" s="58">
        <v>4500</v>
      </c>
    </row>
    <row r="11" spans="1:13" ht="14.4">
      <c r="A11" s="23"/>
      <c r="B11" s="63">
        <v>3.5</v>
      </c>
      <c r="C11" s="64" t="s">
        <v>76</v>
      </c>
      <c r="D11" s="63">
        <v>6.5</v>
      </c>
      <c r="E11" s="63">
        <v>10.5</v>
      </c>
      <c r="F11" s="65" t="s">
        <v>199</v>
      </c>
      <c r="G11" s="63">
        <v>100</v>
      </c>
      <c r="H11" s="59">
        <f t="shared" si="1"/>
        <v>3</v>
      </c>
      <c r="I11" s="59">
        <f t="shared" si="0"/>
        <v>3</v>
      </c>
      <c r="J11" s="59">
        <f>((I11-2)*600)+((I11-3)*100)</f>
        <v>600</v>
      </c>
      <c r="K11" s="59" t="s">
        <v>54</v>
      </c>
      <c r="L11" s="59">
        <v>5500</v>
      </c>
      <c r="M11" s="26"/>
    </row>
    <row r="12" spans="1:13" ht="14.4">
      <c r="A12" s="23"/>
      <c r="B12" s="63">
        <v>3.5</v>
      </c>
      <c r="C12" s="64" t="s">
        <v>190</v>
      </c>
      <c r="D12" s="63">
        <v>7.41</v>
      </c>
      <c r="E12" s="63">
        <v>10.9</v>
      </c>
      <c r="F12" s="65" t="s">
        <v>198</v>
      </c>
      <c r="G12" s="63">
        <v>100</v>
      </c>
      <c r="H12" s="59">
        <f t="shared" si="1"/>
        <v>3.1</v>
      </c>
      <c r="I12" s="59">
        <f t="shared" si="0"/>
        <v>4</v>
      </c>
      <c r="J12" s="59">
        <f>((I12-2)*600)+((I12-3)*100)</f>
        <v>1300</v>
      </c>
      <c r="K12" s="59" t="s">
        <v>54</v>
      </c>
      <c r="L12" s="59">
        <v>5500</v>
      </c>
    </row>
    <row r="13" spans="1:13" ht="14.4">
      <c r="A13" s="23"/>
      <c r="B13" s="63">
        <v>5</v>
      </c>
      <c r="C13" s="64" t="s">
        <v>191</v>
      </c>
      <c r="D13" s="63">
        <v>16.387499999999999</v>
      </c>
      <c r="E13" s="63">
        <v>17.2</v>
      </c>
      <c r="F13" s="65" t="s">
        <v>154</v>
      </c>
      <c r="G13" s="63">
        <v>220</v>
      </c>
      <c r="H13" s="59">
        <f t="shared" si="1"/>
        <v>3.4</v>
      </c>
      <c r="I13" s="59">
        <f t="shared" si="0"/>
        <v>4</v>
      </c>
      <c r="J13" s="59">
        <f t="shared" ref="J13:J16" si="3">((I13-2)*600)+((I13-3)*100)</f>
        <v>1300</v>
      </c>
      <c r="K13" s="59" t="s">
        <v>161</v>
      </c>
      <c r="L13" s="59">
        <v>1900</v>
      </c>
    </row>
    <row r="14" spans="1:13" ht="14.4">
      <c r="A14" s="23"/>
      <c r="B14" s="63">
        <v>5</v>
      </c>
      <c r="C14" s="64" t="s">
        <v>192</v>
      </c>
      <c r="D14" s="63">
        <v>15.762499999999999</v>
      </c>
      <c r="E14" s="63">
        <v>16.2</v>
      </c>
      <c r="F14" s="65" t="s">
        <v>147</v>
      </c>
      <c r="G14" s="63">
        <v>220</v>
      </c>
      <c r="H14" s="59">
        <f t="shared" si="1"/>
        <v>3.2</v>
      </c>
      <c r="I14" s="59">
        <f t="shared" si="0"/>
        <v>4</v>
      </c>
      <c r="J14" s="59">
        <f t="shared" si="3"/>
        <v>1300</v>
      </c>
      <c r="K14" s="66" t="s">
        <v>161</v>
      </c>
      <c r="L14" s="59">
        <v>1900</v>
      </c>
    </row>
    <row r="15" spans="1:13" ht="14.4">
      <c r="A15" s="23"/>
      <c r="B15" s="63">
        <v>5</v>
      </c>
      <c r="C15" s="64" t="s">
        <v>193</v>
      </c>
      <c r="D15" s="63">
        <v>15.762499999999999</v>
      </c>
      <c r="E15" s="63">
        <v>16.2</v>
      </c>
      <c r="F15" s="65" t="s">
        <v>147</v>
      </c>
      <c r="G15" s="63">
        <v>220</v>
      </c>
      <c r="H15" s="59">
        <f t="shared" si="1"/>
        <v>3.2</v>
      </c>
      <c r="I15" s="59">
        <f t="shared" si="0"/>
        <v>4</v>
      </c>
      <c r="J15" s="59">
        <f t="shared" si="3"/>
        <v>1300</v>
      </c>
      <c r="K15" s="66" t="s">
        <v>161</v>
      </c>
      <c r="L15" s="59">
        <v>1900</v>
      </c>
    </row>
    <row r="16" spans="1:13" ht="28.8">
      <c r="A16" s="23"/>
      <c r="B16" s="63">
        <v>5</v>
      </c>
      <c r="C16" s="64" t="s">
        <v>194</v>
      </c>
      <c r="D16" s="63">
        <v>25.59</v>
      </c>
      <c r="E16" s="63">
        <v>24.12</v>
      </c>
      <c r="F16" s="65" t="s">
        <v>197</v>
      </c>
      <c r="G16" s="63">
        <v>340</v>
      </c>
      <c r="H16" s="59">
        <f t="shared" si="1"/>
        <v>4.8</v>
      </c>
      <c r="I16" s="59">
        <f t="shared" si="0"/>
        <v>5</v>
      </c>
      <c r="J16" s="59">
        <f t="shared" si="3"/>
        <v>2000</v>
      </c>
      <c r="K16" s="66"/>
      <c r="L16" s="59"/>
    </row>
    <row r="17" spans="1:12" ht="14.4">
      <c r="A17" s="23"/>
      <c r="B17" s="63">
        <v>5</v>
      </c>
      <c r="C17" s="64" t="s">
        <v>148</v>
      </c>
      <c r="D17" s="63">
        <v>4.95</v>
      </c>
      <c r="E17" s="63">
        <v>12.8</v>
      </c>
      <c r="F17" s="65" t="s">
        <v>149</v>
      </c>
      <c r="G17" s="63">
        <v>100</v>
      </c>
      <c r="H17" s="59">
        <f t="shared" si="1"/>
        <v>2.6</v>
      </c>
      <c r="I17" s="59">
        <f t="shared" si="0"/>
        <v>3</v>
      </c>
      <c r="J17" s="59">
        <f t="shared" ref="J16:J20" si="4">I17*100</f>
        <v>300</v>
      </c>
      <c r="K17" s="59"/>
      <c r="L17" s="59"/>
    </row>
    <row r="18" spans="1:12" ht="14.4">
      <c r="A18" s="23"/>
      <c r="B18" s="63">
        <v>5</v>
      </c>
      <c r="C18" s="64" t="s">
        <v>156</v>
      </c>
      <c r="D18" s="63">
        <v>9.7200000000000006</v>
      </c>
      <c r="E18" s="63">
        <v>25.900000000000002</v>
      </c>
      <c r="F18" s="65" t="s">
        <v>153</v>
      </c>
      <c r="G18" s="63">
        <v>160</v>
      </c>
      <c r="H18" s="59">
        <f t="shared" si="1"/>
        <v>5.2</v>
      </c>
      <c r="I18" s="59">
        <f t="shared" si="0"/>
        <v>6</v>
      </c>
      <c r="J18" s="59">
        <f t="shared" si="4"/>
        <v>600</v>
      </c>
      <c r="K18" s="58"/>
      <c r="L18" s="58"/>
    </row>
    <row r="19" spans="1:12" ht="14.4">
      <c r="A19" s="23"/>
      <c r="B19" s="63">
        <v>5</v>
      </c>
      <c r="C19" s="64" t="s">
        <v>195</v>
      </c>
      <c r="D19" s="63">
        <v>3.5999999999999996</v>
      </c>
      <c r="E19" s="63">
        <v>8.4</v>
      </c>
      <c r="F19" s="65" t="s">
        <v>149</v>
      </c>
      <c r="G19" s="63">
        <v>100</v>
      </c>
      <c r="H19" s="59">
        <f t="shared" si="1"/>
        <v>1.7</v>
      </c>
      <c r="I19" s="59">
        <f t="shared" si="0"/>
        <v>2</v>
      </c>
      <c r="J19" s="66"/>
      <c r="K19" s="58"/>
      <c r="L19" s="58"/>
    </row>
    <row r="20" spans="1:12" ht="15" customHeight="1">
      <c r="B20" s="67">
        <v>5</v>
      </c>
      <c r="C20" s="64" t="s">
        <v>196</v>
      </c>
      <c r="D20" s="59">
        <v>5.6700000000000008</v>
      </c>
      <c r="E20" s="59">
        <v>11.100000000000001</v>
      </c>
      <c r="F20" s="65" t="s">
        <v>149</v>
      </c>
      <c r="G20" s="67">
        <v>100</v>
      </c>
      <c r="H20" s="59">
        <f t="shared" si="1"/>
        <v>2.2000000000000002</v>
      </c>
      <c r="I20" s="59">
        <f t="shared" si="0"/>
        <v>3</v>
      </c>
      <c r="J20" s="68">
        <f t="shared" si="4"/>
        <v>300</v>
      </c>
      <c r="K20" s="59"/>
      <c r="L20" s="59"/>
    </row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E2"/>
    <mergeCell ref="H2:J2"/>
    <mergeCell ref="K2:L2"/>
    <mergeCell ref="F2:G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0"/>
  <sheetViews>
    <sheetView workbookViewId="0">
      <selection activeCell="H4" sqref="H4"/>
    </sheetView>
  </sheetViews>
  <sheetFormatPr defaultColWidth="14.44140625" defaultRowHeight="15" customHeight="1"/>
  <cols>
    <col min="1" max="1" width="3.109375" customWidth="1"/>
    <col min="2" max="2" width="12.33203125" customWidth="1"/>
    <col min="3" max="5" width="13.33203125" customWidth="1"/>
    <col min="6" max="6" width="10.44140625" customWidth="1"/>
    <col min="7" max="8" width="8.6640625" customWidth="1"/>
    <col min="9" max="9" width="11.33203125" customWidth="1"/>
    <col min="10" max="10" width="11.5546875" customWidth="1"/>
    <col min="11" max="11" width="8.88671875" customWidth="1"/>
    <col min="12" max="12" width="8.6640625" customWidth="1"/>
    <col min="13" max="13" width="3.109375" customWidth="1"/>
    <col min="14" max="14" width="8.44140625" customWidth="1"/>
    <col min="15" max="15" width="9.5546875" customWidth="1"/>
    <col min="16" max="16" width="9.109375" customWidth="1"/>
    <col min="17" max="17" width="9.5546875" customWidth="1"/>
    <col min="18" max="18" width="9.33203125" customWidth="1"/>
    <col min="19" max="19" width="11" customWidth="1"/>
    <col min="20" max="20" width="10.5546875" customWidth="1"/>
    <col min="21" max="21" width="9.88671875" customWidth="1"/>
    <col min="22" max="27" width="8.6640625" customWidth="1"/>
  </cols>
  <sheetData>
    <row r="2" spans="2:22" ht="13.5" customHeight="1">
      <c r="B2" s="38" t="s">
        <v>157</v>
      </c>
      <c r="C2" s="39"/>
      <c r="D2" s="39"/>
      <c r="E2" s="39"/>
      <c r="F2" s="39"/>
      <c r="G2" s="39"/>
      <c r="H2" s="39"/>
      <c r="I2" s="39"/>
      <c r="J2" s="39"/>
      <c r="K2" s="39"/>
      <c r="L2" s="40"/>
      <c r="N2" s="57" t="s">
        <v>159</v>
      </c>
      <c r="O2" s="39"/>
      <c r="P2" s="39"/>
      <c r="Q2" s="39"/>
      <c r="R2" s="39"/>
      <c r="S2" s="39"/>
      <c r="T2" s="40"/>
    </row>
    <row r="3" spans="2:22" ht="57.6">
      <c r="B3" s="31" t="s">
        <v>160</v>
      </c>
      <c r="C3" s="1" t="s">
        <v>162</v>
      </c>
      <c r="D3" s="1" t="s">
        <v>163</v>
      </c>
      <c r="E3" s="1" t="s">
        <v>164</v>
      </c>
      <c r="F3" s="1" t="s">
        <v>165</v>
      </c>
      <c r="G3" s="1" t="s">
        <v>166</v>
      </c>
      <c r="H3" s="1" t="s">
        <v>167</v>
      </c>
      <c r="I3" s="1" t="s">
        <v>168</v>
      </c>
      <c r="J3" s="1" t="s">
        <v>169</v>
      </c>
      <c r="K3" s="5" t="s">
        <v>170</v>
      </c>
      <c r="L3" s="1" t="s">
        <v>171</v>
      </c>
      <c r="M3" s="15"/>
      <c r="N3" s="31" t="s">
        <v>160</v>
      </c>
      <c r="O3" s="33" t="s">
        <v>8</v>
      </c>
      <c r="P3" s="34" t="s">
        <v>172</v>
      </c>
      <c r="Q3" s="34" t="s">
        <v>173</v>
      </c>
      <c r="R3" s="34" t="s">
        <v>174</v>
      </c>
      <c r="S3" s="34" t="s">
        <v>175</v>
      </c>
      <c r="T3" s="34" t="s">
        <v>176</v>
      </c>
      <c r="U3" s="35"/>
    </row>
    <row r="4" spans="2:22" ht="14.4">
      <c r="B4" s="7" t="s">
        <v>17</v>
      </c>
      <c r="C4" s="7">
        <v>3</v>
      </c>
      <c r="D4" s="7">
        <v>0.7</v>
      </c>
      <c r="E4" s="7">
        <v>1</v>
      </c>
      <c r="F4" s="7" t="s">
        <v>177</v>
      </c>
      <c r="G4" s="7">
        <f>'Divisão por Circuitos'!I5</f>
        <v>5</v>
      </c>
      <c r="H4" s="7">
        <v>1.5</v>
      </c>
      <c r="I4" s="7">
        <v>17.5</v>
      </c>
      <c r="J4" s="7">
        <f t="shared" ref="J4:J26" si="0">E4*D4*I4</f>
        <v>12.25</v>
      </c>
      <c r="K4" s="7" t="str">
        <f t="shared" ref="K4:K26" si="1">IF((J4-3)&gt;G4,"Ok","Mudar Condutor")</f>
        <v>Ok</v>
      </c>
      <c r="L4" s="7" t="s">
        <v>178</v>
      </c>
      <c r="M4" s="16"/>
      <c r="N4" s="7" t="s">
        <v>17</v>
      </c>
      <c r="O4" s="7" t="str">
        <f>'Divisão por Circuitos'!H5</f>
        <v>1F+1N+PE</v>
      </c>
      <c r="P4" s="36">
        <v>0.04</v>
      </c>
      <c r="Q4" s="25">
        <v>127</v>
      </c>
      <c r="R4" s="25">
        <v>0.01</v>
      </c>
      <c r="S4" s="25">
        <f t="shared" ref="S4:S26" si="2">G4</f>
        <v>5</v>
      </c>
      <c r="T4" s="7">
        <f t="shared" ref="T4:T26" si="3">ROUND(((P4*Q4)/(S4*R4)),1)</f>
        <v>101.6</v>
      </c>
      <c r="U4" s="16"/>
      <c r="V4" s="16"/>
    </row>
    <row r="5" spans="2:22" ht="14.4">
      <c r="B5" s="7" t="s">
        <v>33</v>
      </c>
      <c r="C5" s="7">
        <v>3</v>
      </c>
      <c r="D5" s="7">
        <v>0.7</v>
      </c>
      <c r="E5" s="7">
        <v>1</v>
      </c>
      <c r="F5" s="7" t="s">
        <v>177</v>
      </c>
      <c r="G5" s="7">
        <f>'Divisão por Circuitos'!I6</f>
        <v>4.3</v>
      </c>
      <c r="H5" s="7">
        <v>1.5</v>
      </c>
      <c r="I5" s="7">
        <v>17.5</v>
      </c>
      <c r="J5" s="7">
        <f t="shared" si="0"/>
        <v>12.25</v>
      </c>
      <c r="K5" s="7" t="str">
        <f t="shared" si="1"/>
        <v>Ok</v>
      </c>
      <c r="L5" s="7" t="s">
        <v>179</v>
      </c>
      <c r="M5" s="16"/>
      <c r="N5" s="7" t="s">
        <v>33</v>
      </c>
      <c r="O5" s="7" t="str">
        <f>'Divisão por Circuitos'!H6</f>
        <v>1F+1N+PE</v>
      </c>
      <c r="P5" s="36">
        <v>0.04</v>
      </c>
      <c r="Q5" s="25">
        <v>127</v>
      </c>
      <c r="R5" s="25">
        <v>0.01</v>
      </c>
      <c r="S5" s="25">
        <f t="shared" si="2"/>
        <v>4.3</v>
      </c>
      <c r="T5" s="7">
        <f t="shared" si="3"/>
        <v>118.1</v>
      </c>
      <c r="U5" s="16"/>
      <c r="V5" s="16"/>
    </row>
    <row r="6" spans="2:22" ht="14.4">
      <c r="B6" s="7" t="s">
        <v>36</v>
      </c>
      <c r="C6" s="7">
        <v>2</v>
      </c>
      <c r="D6" s="7">
        <v>0.8</v>
      </c>
      <c r="E6" s="7">
        <v>1</v>
      </c>
      <c r="F6" s="7" t="s">
        <v>177</v>
      </c>
      <c r="G6" s="7">
        <f>'Divisão por Circuitos'!I7</f>
        <v>11</v>
      </c>
      <c r="H6" s="7">
        <v>2.5</v>
      </c>
      <c r="I6" s="7">
        <v>24</v>
      </c>
      <c r="J6" s="7">
        <f t="shared" si="0"/>
        <v>19.200000000000003</v>
      </c>
      <c r="K6" s="7" t="str">
        <f t="shared" si="1"/>
        <v>Ok</v>
      </c>
      <c r="L6" s="7" t="s">
        <v>180</v>
      </c>
      <c r="M6" s="16"/>
      <c r="N6" s="7" t="s">
        <v>36</v>
      </c>
      <c r="O6" s="7" t="str">
        <f>'Divisão por Circuitos'!H7</f>
        <v>1F+1N+PE</v>
      </c>
      <c r="P6" s="36">
        <v>0.04</v>
      </c>
      <c r="Q6" s="25">
        <v>127</v>
      </c>
      <c r="R6" s="25">
        <v>0.01</v>
      </c>
      <c r="S6" s="25">
        <f t="shared" si="2"/>
        <v>11</v>
      </c>
      <c r="T6" s="7">
        <f t="shared" si="3"/>
        <v>46.2</v>
      </c>
      <c r="U6" s="16"/>
      <c r="V6" s="16"/>
    </row>
    <row r="7" spans="2:22" ht="14.4">
      <c r="B7" s="7" t="s">
        <v>40</v>
      </c>
      <c r="C7" s="7">
        <v>3</v>
      </c>
      <c r="D7" s="7">
        <v>0.7</v>
      </c>
      <c r="E7" s="7">
        <v>1</v>
      </c>
      <c r="F7" s="7" t="s">
        <v>177</v>
      </c>
      <c r="G7" s="7">
        <f>'Divisão por Circuitos'!I8</f>
        <v>14.2</v>
      </c>
      <c r="H7" s="7">
        <v>4</v>
      </c>
      <c r="I7" s="7">
        <v>32</v>
      </c>
      <c r="J7" s="7">
        <f t="shared" si="0"/>
        <v>22.4</v>
      </c>
      <c r="K7" s="7" t="str">
        <f t="shared" si="1"/>
        <v>Ok</v>
      </c>
      <c r="L7" s="7" t="s">
        <v>181</v>
      </c>
      <c r="M7" s="16"/>
      <c r="N7" s="7" t="s">
        <v>40</v>
      </c>
      <c r="O7" s="7" t="str">
        <f>'Divisão por Circuitos'!H8</f>
        <v>1F+1N+PE</v>
      </c>
      <c r="P7" s="36">
        <v>0.04</v>
      </c>
      <c r="Q7" s="25">
        <v>127</v>
      </c>
      <c r="R7" s="25">
        <v>0.01</v>
      </c>
      <c r="S7" s="25">
        <f t="shared" si="2"/>
        <v>14.2</v>
      </c>
      <c r="T7" s="7">
        <f t="shared" si="3"/>
        <v>35.799999999999997</v>
      </c>
      <c r="U7" s="16"/>
      <c r="V7" s="16"/>
    </row>
    <row r="8" spans="2:22" ht="14.4">
      <c r="B8" s="7" t="s">
        <v>43</v>
      </c>
      <c r="C8" s="7">
        <v>3</v>
      </c>
      <c r="D8" s="7">
        <v>0.7</v>
      </c>
      <c r="E8" s="7">
        <v>1</v>
      </c>
      <c r="F8" s="7" t="s">
        <v>177</v>
      </c>
      <c r="G8" s="7">
        <f>'Divisão por Circuitos'!I9</f>
        <v>7.1</v>
      </c>
      <c r="H8" s="7">
        <v>2.5</v>
      </c>
      <c r="I8" s="7">
        <v>24</v>
      </c>
      <c r="J8" s="7">
        <f t="shared" si="0"/>
        <v>16.799999999999997</v>
      </c>
      <c r="K8" s="7" t="str">
        <f t="shared" si="1"/>
        <v>Ok</v>
      </c>
      <c r="L8" s="7" t="s">
        <v>178</v>
      </c>
      <c r="M8" s="16"/>
      <c r="N8" s="7" t="s">
        <v>43</v>
      </c>
      <c r="O8" s="7" t="str">
        <f>'Divisão por Circuitos'!H9</f>
        <v>1F+1N+PE</v>
      </c>
      <c r="P8" s="36">
        <v>0.04</v>
      </c>
      <c r="Q8" s="25">
        <v>127</v>
      </c>
      <c r="R8" s="25">
        <v>0.01</v>
      </c>
      <c r="S8" s="25">
        <f t="shared" si="2"/>
        <v>7.1</v>
      </c>
      <c r="T8" s="7">
        <f t="shared" si="3"/>
        <v>71.5</v>
      </c>
      <c r="U8" s="16"/>
      <c r="V8" s="16"/>
    </row>
    <row r="9" spans="2:22" ht="14.4">
      <c r="B9" s="7" t="s">
        <v>47</v>
      </c>
      <c r="C9" s="7">
        <v>3</v>
      </c>
      <c r="D9" s="7">
        <v>0.7</v>
      </c>
      <c r="E9" s="7">
        <v>1</v>
      </c>
      <c r="F9" s="7" t="s">
        <v>177</v>
      </c>
      <c r="G9" s="7">
        <f>'Divisão por Circuitos'!I10</f>
        <v>9.4</v>
      </c>
      <c r="H9" s="7">
        <v>2.5</v>
      </c>
      <c r="I9" s="7">
        <v>24</v>
      </c>
      <c r="J9" s="7">
        <f t="shared" si="0"/>
        <v>16.799999999999997</v>
      </c>
      <c r="K9" s="7" t="str">
        <f t="shared" si="1"/>
        <v>Ok</v>
      </c>
      <c r="L9" s="7" t="s">
        <v>180</v>
      </c>
      <c r="M9" s="16"/>
      <c r="N9" s="7" t="s">
        <v>47</v>
      </c>
      <c r="O9" s="7" t="str">
        <f>'Divisão por Circuitos'!H10</f>
        <v>1F+1N+PE</v>
      </c>
      <c r="P9" s="36">
        <v>0.04</v>
      </c>
      <c r="Q9" s="25">
        <v>127</v>
      </c>
      <c r="R9" s="25">
        <v>0.01</v>
      </c>
      <c r="S9" s="25">
        <f t="shared" si="2"/>
        <v>9.4</v>
      </c>
      <c r="T9" s="7">
        <f t="shared" si="3"/>
        <v>54</v>
      </c>
      <c r="U9" s="16"/>
      <c r="V9" s="16"/>
    </row>
    <row r="10" spans="2:22" ht="14.4">
      <c r="B10" s="7" t="s">
        <v>50</v>
      </c>
      <c r="C10" s="7">
        <v>3</v>
      </c>
      <c r="D10" s="7">
        <v>0.7</v>
      </c>
      <c r="E10" s="7">
        <v>1</v>
      </c>
      <c r="F10" s="7" t="s">
        <v>177</v>
      </c>
      <c r="G10" s="7">
        <f>'Divisão por Circuitos'!I11</f>
        <v>14.2</v>
      </c>
      <c r="H10" s="7">
        <v>4</v>
      </c>
      <c r="I10" s="7">
        <v>32</v>
      </c>
      <c r="J10" s="7">
        <f t="shared" si="0"/>
        <v>22.4</v>
      </c>
      <c r="K10" s="7" t="str">
        <f t="shared" si="1"/>
        <v>Ok</v>
      </c>
      <c r="L10" s="7" t="s">
        <v>181</v>
      </c>
      <c r="M10" s="16"/>
      <c r="N10" s="7" t="s">
        <v>50</v>
      </c>
      <c r="O10" s="7" t="str">
        <f>'Divisão por Circuitos'!H11</f>
        <v>1F+1N+PE</v>
      </c>
      <c r="P10" s="36">
        <v>0.04</v>
      </c>
      <c r="Q10" s="25">
        <v>127</v>
      </c>
      <c r="R10" s="25">
        <v>0.01</v>
      </c>
      <c r="S10" s="25">
        <f t="shared" si="2"/>
        <v>14.2</v>
      </c>
      <c r="T10" s="7">
        <f t="shared" si="3"/>
        <v>35.799999999999997</v>
      </c>
      <c r="U10" s="16"/>
      <c r="V10" s="16"/>
    </row>
    <row r="11" spans="2:22" ht="14.4">
      <c r="B11" s="7" t="s">
        <v>52</v>
      </c>
      <c r="C11" s="7">
        <v>3</v>
      </c>
      <c r="D11" s="7">
        <v>0.7</v>
      </c>
      <c r="E11" s="7">
        <v>1</v>
      </c>
      <c r="F11" s="7" t="s">
        <v>177</v>
      </c>
      <c r="G11" s="7">
        <f>'Divisão por Circuitos'!I12</f>
        <v>25</v>
      </c>
      <c r="H11" s="7">
        <v>10</v>
      </c>
      <c r="I11" s="7">
        <v>57</v>
      </c>
      <c r="J11" s="7">
        <f t="shared" si="0"/>
        <v>39.9</v>
      </c>
      <c r="K11" s="7" t="str">
        <f t="shared" si="1"/>
        <v>Ok</v>
      </c>
      <c r="L11" s="7" t="s">
        <v>182</v>
      </c>
      <c r="M11" s="16"/>
      <c r="N11" s="7" t="s">
        <v>52</v>
      </c>
      <c r="O11" s="7" t="str">
        <f>'Divisão por Circuitos'!H12</f>
        <v>2F+PE</v>
      </c>
      <c r="P11" s="36">
        <v>0.04</v>
      </c>
      <c r="Q11" s="25">
        <v>220</v>
      </c>
      <c r="R11" s="25">
        <v>0.01</v>
      </c>
      <c r="S11" s="25">
        <f t="shared" si="2"/>
        <v>25</v>
      </c>
      <c r="T11" s="7">
        <f t="shared" si="3"/>
        <v>35.200000000000003</v>
      </c>
      <c r="U11" s="16"/>
      <c r="V11" s="16"/>
    </row>
    <row r="12" spans="2:22" ht="14.4">
      <c r="B12" s="7" t="s">
        <v>57</v>
      </c>
      <c r="C12" s="7">
        <v>1</v>
      </c>
      <c r="D12" s="7">
        <v>1</v>
      </c>
      <c r="E12" s="7">
        <v>1</v>
      </c>
      <c r="F12" s="7" t="s">
        <v>177</v>
      </c>
      <c r="G12" s="7">
        <f>'Divisão por Circuitos'!I13</f>
        <v>20.5</v>
      </c>
      <c r="H12" s="7">
        <v>4</v>
      </c>
      <c r="I12" s="7">
        <v>32</v>
      </c>
      <c r="J12" s="7">
        <f t="shared" si="0"/>
        <v>32</v>
      </c>
      <c r="K12" s="7" t="str">
        <f t="shared" si="1"/>
        <v>Ok</v>
      </c>
      <c r="L12" s="7" t="s">
        <v>183</v>
      </c>
      <c r="M12" s="16"/>
      <c r="N12" s="7" t="s">
        <v>57</v>
      </c>
      <c r="O12" s="7" t="str">
        <f>'Divisão por Circuitos'!H13</f>
        <v>2F+PE</v>
      </c>
      <c r="P12" s="36">
        <v>0.04</v>
      </c>
      <c r="Q12" s="25">
        <v>220</v>
      </c>
      <c r="R12" s="25">
        <v>0.01</v>
      </c>
      <c r="S12" s="25">
        <f t="shared" si="2"/>
        <v>20.5</v>
      </c>
      <c r="T12" s="7">
        <f t="shared" si="3"/>
        <v>42.9</v>
      </c>
      <c r="U12" s="16"/>
      <c r="V12" s="16"/>
    </row>
    <row r="13" spans="2:22" ht="14.4">
      <c r="B13" s="7" t="s">
        <v>60</v>
      </c>
      <c r="C13" s="7">
        <v>2</v>
      </c>
      <c r="D13" s="7">
        <v>0.8</v>
      </c>
      <c r="E13" s="7">
        <v>1</v>
      </c>
      <c r="F13" s="7" t="s">
        <v>177</v>
      </c>
      <c r="G13" s="7">
        <f>'Divisão por Circuitos'!I14</f>
        <v>2.2000000000000002</v>
      </c>
      <c r="H13" s="7">
        <v>1.5</v>
      </c>
      <c r="I13" s="7">
        <v>17.5</v>
      </c>
      <c r="J13" s="7">
        <f t="shared" si="0"/>
        <v>14</v>
      </c>
      <c r="K13" s="7" t="str">
        <f t="shared" si="1"/>
        <v>Ok</v>
      </c>
      <c r="L13" s="7" t="s">
        <v>179</v>
      </c>
      <c r="M13" s="16"/>
      <c r="N13" s="7" t="s">
        <v>60</v>
      </c>
      <c r="O13" s="7" t="str">
        <f>'Divisão por Circuitos'!H14</f>
        <v>1F+1N+PE</v>
      </c>
      <c r="P13" s="36">
        <v>0.02</v>
      </c>
      <c r="Q13" s="25">
        <v>127</v>
      </c>
      <c r="R13" s="25">
        <v>0.01</v>
      </c>
      <c r="S13" s="25">
        <f t="shared" si="2"/>
        <v>2.2000000000000002</v>
      </c>
      <c r="T13" s="7">
        <f t="shared" si="3"/>
        <v>115.5</v>
      </c>
      <c r="U13" s="16"/>
      <c r="V13" s="16"/>
    </row>
    <row r="14" spans="2:22" ht="14.4">
      <c r="B14" s="7" t="s">
        <v>63</v>
      </c>
      <c r="C14" s="7">
        <v>2</v>
      </c>
      <c r="D14" s="7">
        <v>0.8</v>
      </c>
      <c r="E14" s="7">
        <v>1</v>
      </c>
      <c r="F14" s="7" t="s">
        <v>177</v>
      </c>
      <c r="G14" s="7">
        <f>'Divisão por Circuitos'!I15</f>
        <v>2.2999999999999998</v>
      </c>
      <c r="H14" s="7">
        <v>2.5</v>
      </c>
      <c r="I14" s="7">
        <v>24</v>
      </c>
      <c r="J14" s="7">
        <f t="shared" si="0"/>
        <v>19.200000000000003</v>
      </c>
      <c r="K14" s="7" t="str">
        <f t="shared" si="1"/>
        <v>Ok</v>
      </c>
      <c r="L14" s="7" t="s">
        <v>179</v>
      </c>
      <c r="M14" s="16"/>
      <c r="N14" s="7" t="s">
        <v>63</v>
      </c>
      <c r="O14" s="7" t="str">
        <f>'Divisão por Circuitos'!H15</f>
        <v>2F+PE</v>
      </c>
      <c r="P14" s="36">
        <v>0.02</v>
      </c>
      <c r="Q14" s="25">
        <v>220</v>
      </c>
      <c r="R14" s="25">
        <v>0.01</v>
      </c>
      <c r="S14" s="25">
        <f t="shared" si="2"/>
        <v>2.2999999999999998</v>
      </c>
      <c r="T14" s="7">
        <f t="shared" si="3"/>
        <v>191.3</v>
      </c>
      <c r="U14" s="16"/>
      <c r="V14" s="16"/>
    </row>
    <row r="15" spans="2:22" ht="14.4">
      <c r="B15" s="7" t="s">
        <v>66</v>
      </c>
      <c r="C15" s="7">
        <v>2</v>
      </c>
      <c r="D15" s="7">
        <v>0.8</v>
      </c>
      <c r="E15" s="7">
        <v>1</v>
      </c>
      <c r="F15" s="7" t="s">
        <v>177</v>
      </c>
      <c r="G15" s="7">
        <f>'Divisão por Circuitos'!I16</f>
        <v>4.5999999999999996</v>
      </c>
      <c r="H15" s="7">
        <v>1.5</v>
      </c>
      <c r="I15" s="7">
        <v>17.5</v>
      </c>
      <c r="J15" s="7">
        <f t="shared" si="0"/>
        <v>14</v>
      </c>
      <c r="K15" s="7" t="str">
        <f t="shared" si="1"/>
        <v>Ok</v>
      </c>
      <c r="L15" s="7" t="s">
        <v>179</v>
      </c>
      <c r="M15" s="16"/>
      <c r="N15" s="7" t="s">
        <v>66</v>
      </c>
      <c r="O15" s="7" t="str">
        <f>'Divisão por Circuitos'!H16</f>
        <v>1F+1N+PE</v>
      </c>
      <c r="P15" s="36">
        <v>0.02</v>
      </c>
      <c r="Q15" s="25">
        <v>127</v>
      </c>
      <c r="R15" s="25">
        <v>0.01</v>
      </c>
      <c r="S15" s="25">
        <f t="shared" si="2"/>
        <v>4.5999999999999996</v>
      </c>
      <c r="T15" s="7">
        <f t="shared" si="3"/>
        <v>55.2</v>
      </c>
      <c r="U15" s="16"/>
      <c r="V15" s="16"/>
    </row>
    <row r="16" spans="2:22" ht="14.4">
      <c r="B16" s="7" t="s">
        <v>69</v>
      </c>
      <c r="C16" s="7">
        <v>3</v>
      </c>
      <c r="D16" s="7">
        <v>0.7</v>
      </c>
      <c r="E16" s="7">
        <v>1</v>
      </c>
      <c r="F16" s="7" t="s">
        <v>177</v>
      </c>
      <c r="G16" s="7">
        <f>'Divisão por Circuitos'!I17</f>
        <v>3.9</v>
      </c>
      <c r="H16" s="7">
        <v>1.5</v>
      </c>
      <c r="I16" s="7">
        <v>17.5</v>
      </c>
      <c r="J16" s="7">
        <f t="shared" si="0"/>
        <v>12.25</v>
      </c>
      <c r="K16" s="7" t="str">
        <f t="shared" si="1"/>
        <v>Ok</v>
      </c>
      <c r="L16" s="7" t="s">
        <v>179</v>
      </c>
      <c r="M16" s="16"/>
      <c r="N16" s="7" t="s">
        <v>69</v>
      </c>
      <c r="O16" s="7" t="str">
        <f>'Divisão por Circuitos'!H17</f>
        <v>1F+1N+PE</v>
      </c>
      <c r="P16" s="36">
        <v>0.02</v>
      </c>
      <c r="Q16" s="25">
        <v>127</v>
      </c>
      <c r="R16" s="25">
        <v>0.01</v>
      </c>
      <c r="S16" s="25">
        <f t="shared" si="2"/>
        <v>3.9</v>
      </c>
      <c r="T16" s="7">
        <f t="shared" si="3"/>
        <v>65.099999999999994</v>
      </c>
      <c r="U16" s="16"/>
      <c r="V16" s="16"/>
    </row>
    <row r="17" spans="2:22" ht="14.4">
      <c r="B17" s="7" t="s">
        <v>72</v>
      </c>
      <c r="C17" s="7">
        <v>3</v>
      </c>
      <c r="D17" s="7">
        <v>0.7</v>
      </c>
      <c r="E17" s="7">
        <v>1</v>
      </c>
      <c r="F17" s="7" t="s">
        <v>177</v>
      </c>
      <c r="G17" s="7">
        <f>'Divisão por Circuitos'!I18</f>
        <v>7.9</v>
      </c>
      <c r="H17" s="7">
        <v>2.5</v>
      </c>
      <c r="I17" s="7">
        <v>24</v>
      </c>
      <c r="J17" s="7">
        <f t="shared" si="0"/>
        <v>16.799999999999997</v>
      </c>
      <c r="K17" s="7" t="str">
        <f t="shared" si="1"/>
        <v>Ok</v>
      </c>
      <c r="L17" s="7" t="s">
        <v>178</v>
      </c>
      <c r="M17" s="16"/>
      <c r="N17" s="7" t="s">
        <v>72</v>
      </c>
      <c r="O17" s="7" t="str">
        <f>'Divisão por Circuitos'!H18</f>
        <v>1F+1N+PE</v>
      </c>
      <c r="P17" s="36">
        <v>0.02</v>
      </c>
      <c r="Q17" s="25">
        <v>127</v>
      </c>
      <c r="R17" s="25">
        <v>0.01</v>
      </c>
      <c r="S17" s="25">
        <f t="shared" si="2"/>
        <v>7.9</v>
      </c>
      <c r="T17" s="7">
        <f t="shared" si="3"/>
        <v>32.200000000000003</v>
      </c>
      <c r="U17" s="16"/>
      <c r="V17" s="16"/>
    </row>
    <row r="18" spans="2:22" ht="14.4">
      <c r="B18" s="7" t="s">
        <v>75</v>
      </c>
      <c r="C18" s="7">
        <v>2</v>
      </c>
      <c r="D18" s="7">
        <v>0.8</v>
      </c>
      <c r="E18" s="7">
        <v>1</v>
      </c>
      <c r="F18" s="7" t="s">
        <v>177</v>
      </c>
      <c r="G18" s="7">
        <f>'Divisão por Circuitos'!I19</f>
        <v>10.199999999999999</v>
      </c>
      <c r="H18" s="7">
        <v>2.5</v>
      </c>
      <c r="I18" s="7">
        <v>24</v>
      </c>
      <c r="J18" s="7">
        <f t="shared" si="0"/>
        <v>19.200000000000003</v>
      </c>
      <c r="K18" s="7" t="str">
        <f t="shared" si="1"/>
        <v>Ok</v>
      </c>
      <c r="L18" s="7" t="s">
        <v>180</v>
      </c>
      <c r="M18" s="16"/>
      <c r="N18" s="7" t="s">
        <v>75</v>
      </c>
      <c r="O18" s="7" t="str">
        <f>'Divisão por Circuitos'!H19</f>
        <v>1F+1N+PE</v>
      </c>
      <c r="P18" s="36">
        <v>0.02</v>
      </c>
      <c r="Q18" s="25">
        <v>127</v>
      </c>
      <c r="R18" s="25">
        <v>0.01</v>
      </c>
      <c r="S18" s="25">
        <f t="shared" si="2"/>
        <v>10.199999999999999</v>
      </c>
      <c r="T18" s="7">
        <f t="shared" si="3"/>
        <v>24.9</v>
      </c>
      <c r="U18" s="16"/>
      <c r="V18" s="16"/>
    </row>
    <row r="19" spans="2:22" ht="14.4">
      <c r="B19" s="7" t="s">
        <v>79</v>
      </c>
      <c r="C19" s="7">
        <v>2</v>
      </c>
      <c r="D19" s="7">
        <v>0.8</v>
      </c>
      <c r="E19" s="7">
        <v>1</v>
      </c>
      <c r="F19" s="7" t="s">
        <v>177</v>
      </c>
      <c r="G19" s="7">
        <f>'Divisão por Circuitos'!I20</f>
        <v>8.6999999999999993</v>
      </c>
      <c r="H19" s="7">
        <v>2.5</v>
      </c>
      <c r="I19" s="7">
        <v>24</v>
      </c>
      <c r="J19" s="7">
        <f t="shared" si="0"/>
        <v>19.200000000000003</v>
      </c>
      <c r="K19" s="7" t="str">
        <f t="shared" si="1"/>
        <v>Ok</v>
      </c>
      <c r="L19" s="7" t="s">
        <v>178</v>
      </c>
      <c r="M19" s="16"/>
      <c r="N19" s="7" t="s">
        <v>79</v>
      </c>
      <c r="O19" s="7" t="str">
        <f>'Divisão por Circuitos'!H20</f>
        <v>1F+1N+PE</v>
      </c>
      <c r="P19" s="36">
        <v>0.02</v>
      </c>
      <c r="Q19" s="25">
        <v>127</v>
      </c>
      <c r="R19" s="25">
        <v>0.01</v>
      </c>
      <c r="S19" s="25">
        <f t="shared" si="2"/>
        <v>8.6999999999999993</v>
      </c>
      <c r="T19" s="7">
        <f t="shared" si="3"/>
        <v>29.2</v>
      </c>
      <c r="U19" s="16"/>
      <c r="V19" s="16"/>
    </row>
    <row r="20" spans="2:22" ht="14.4">
      <c r="B20" s="7" t="s">
        <v>82</v>
      </c>
      <c r="C20" s="7">
        <v>2</v>
      </c>
      <c r="D20" s="7">
        <v>0.8</v>
      </c>
      <c r="E20" s="7">
        <v>1</v>
      </c>
      <c r="F20" s="7" t="s">
        <v>177</v>
      </c>
      <c r="G20" s="7">
        <f>'Divisão por Circuitos'!I21</f>
        <v>25</v>
      </c>
      <c r="H20" s="7">
        <v>10</v>
      </c>
      <c r="I20" s="7">
        <v>57</v>
      </c>
      <c r="J20" s="7">
        <f t="shared" si="0"/>
        <v>45.6</v>
      </c>
      <c r="K20" s="7" t="str">
        <f t="shared" si="1"/>
        <v>Ok</v>
      </c>
      <c r="L20" s="7" t="s">
        <v>182</v>
      </c>
      <c r="M20" s="16"/>
      <c r="N20" s="7" t="s">
        <v>82</v>
      </c>
      <c r="O20" s="7" t="str">
        <f>'Divisão por Circuitos'!H21</f>
        <v>2F+PE</v>
      </c>
      <c r="P20" s="36">
        <v>0.02</v>
      </c>
      <c r="Q20" s="25">
        <v>220</v>
      </c>
      <c r="R20" s="25">
        <v>0.01</v>
      </c>
      <c r="S20" s="25">
        <f t="shared" si="2"/>
        <v>25</v>
      </c>
      <c r="T20" s="7">
        <f t="shared" si="3"/>
        <v>17.600000000000001</v>
      </c>
      <c r="U20" s="16"/>
      <c r="V20" s="16"/>
    </row>
    <row r="21" spans="2:22" ht="15.75" customHeight="1">
      <c r="B21" s="7" t="s">
        <v>83</v>
      </c>
      <c r="C21" s="7">
        <v>2</v>
      </c>
      <c r="D21" s="7">
        <v>0.8</v>
      </c>
      <c r="E21" s="7">
        <v>1</v>
      </c>
      <c r="F21" s="7" t="s">
        <v>177</v>
      </c>
      <c r="G21" s="7">
        <f>'Divisão por Circuitos'!I22</f>
        <v>8.6</v>
      </c>
      <c r="H21" s="7">
        <v>2.5</v>
      </c>
      <c r="I21" s="7">
        <v>24</v>
      </c>
      <c r="J21" s="7">
        <f t="shared" si="0"/>
        <v>19.200000000000003</v>
      </c>
      <c r="K21" s="7" t="str">
        <f t="shared" si="1"/>
        <v>Ok</v>
      </c>
      <c r="L21" s="7" t="s">
        <v>178</v>
      </c>
      <c r="M21" s="16"/>
      <c r="N21" s="7" t="s">
        <v>83</v>
      </c>
      <c r="O21" s="7" t="str">
        <f>'Divisão por Circuitos'!H22</f>
        <v>2F+PE</v>
      </c>
      <c r="P21" s="36">
        <v>0.02</v>
      </c>
      <c r="Q21" s="25">
        <v>220</v>
      </c>
      <c r="R21" s="25">
        <v>0.01</v>
      </c>
      <c r="S21" s="25">
        <f t="shared" si="2"/>
        <v>8.6</v>
      </c>
      <c r="T21" s="7">
        <f t="shared" si="3"/>
        <v>51.2</v>
      </c>
      <c r="U21" s="16"/>
      <c r="V21" s="16"/>
    </row>
    <row r="22" spans="2:22" ht="15.75" customHeight="1">
      <c r="B22" s="7" t="s">
        <v>86</v>
      </c>
      <c r="C22" s="7">
        <v>3</v>
      </c>
      <c r="D22" s="7">
        <v>0.7</v>
      </c>
      <c r="E22" s="7">
        <v>1</v>
      </c>
      <c r="F22" s="7" t="s">
        <v>177</v>
      </c>
      <c r="G22" s="7">
        <f>'Divisão por Circuitos'!I23</f>
        <v>8.6</v>
      </c>
      <c r="H22" s="7">
        <v>2.5</v>
      </c>
      <c r="I22" s="7">
        <v>24</v>
      </c>
      <c r="J22" s="7">
        <f t="shared" si="0"/>
        <v>16.799999999999997</v>
      </c>
      <c r="K22" s="7" t="str">
        <f t="shared" si="1"/>
        <v>Ok</v>
      </c>
      <c r="L22" s="7" t="s">
        <v>178</v>
      </c>
      <c r="M22" s="16"/>
      <c r="N22" s="7" t="s">
        <v>86</v>
      </c>
      <c r="O22" s="7" t="str">
        <f>'Divisão por Circuitos'!H23</f>
        <v>2F+PE</v>
      </c>
      <c r="P22" s="36">
        <v>0.02</v>
      </c>
      <c r="Q22" s="25">
        <v>220</v>
      </c>
      <c r="R22" s="25">
        <v>0.01</v>
      </c>
      <c r="S22" s="25">
        <f t="shared" si="2"/>
        <v>8.6</v>
      </c>
      <c r="T22" s="7">
        <f t="shared" si="3"/>
        <v>51.2</v>
      </c>
      <c r="U22" s="16"/>
      <c r="V22" s="16"/>
    </row>
    <row r="23" spans="2:22" ht="15.75" customHeight="1">
      <c r="B23" s="7" t="s">
        <v>89</v>
      </c>
      <c r="C23" s="7">
        <v>1</v>
      </c>
      <c r="D23" s="7">
        <v>1</v>
      </c>
      <c r="E23" s="7">
        <v>1</v>
      </c>
      <c r="F23" s="7" t="s">
        <v>177</v>
      </c>
      <c r="G23" s="7">
        <f>'Divisão por Circuitos'!I24</f>
        <v>7.1</v>
      </c>
      <c r="H23" s="7">
        <v>2.5</v>
      </c>
      <c r="I23" s="7">
        <v>24</v>
      </c>
      <c r="J23" s="7">
        <f t="shared" si="0"/>
        <v>24</v>
      </c>
      <c r="K23" s="7" t="str">
        <f t="shared" si="1"/>
        <v>Ok</v>
      </c>
      <c r="L23" s="7" t="s">
        <v>181</v>
      </c>
      <c r="M23" s="16"/>
      <c r="N23" s="7" t="s">
        <v>89</v>
      </c>
      <c r="O23" s="7" t="str">
        <f>'Divisão por Circuitos'!H24</f>
        <v>3F+PE</v>
      </c>
      <c r="P23" s="36">
        <v>0.02</v>
      </c>
      <c r="Q23" s="25">
        <v>220</v>
      </c>
      <c r="R23" s="25">
        <v>0.01</v>
      </c>
      <c r="S23" s="25">
        <f t="shared" si="2"/>
        <v>7.1</v>
      </c>
      <c r="T23" s="7">
        <f t="shared" si="3"/>
        <v>62</v>
      </c>
      <c r="U23" s="16"/>
      <c r="V23" s="16"/>
    </row>
    <row r="24" spans="2:22" ht="15.75" customHeight="1">
      <c r="B24" s="7" t="s">
        <v>93</v>
      </c>
      <c r="C24" s="7">
        <v>1</v>
      </c>
      <c r="D24" s="7">
        <v>1</v>
      </c>
      <c r="E24" s="7">
        <v>1</v>
      </c>
      <c r="F24" s="7" t="s">
        <v>177</v>
      </c>
      <c r="G24" s="7">
        <f>'Divisão por Circuitos'!I25</f>
        <v>1.8</v>
      </c>
      <c r="H24" s="7">
        <v>2.5</v>
      </c>
      <c r="I24" s="7">
        <v>24</v>
      </c>
      <c r="J24" s="7">
        <f t="shared" si="0"/>
        <v>24</v>
      </c>
      <c r="K24" s="7" t="str">
        <f t="shared" si="1"/>
        <v>Ok</v>
      </c>
      <c r="L24" s="7" t="s">
        <v>179</v>
      </c>
      <c r="M24" s="16"/>
      <c r="N24" s="7" t="s">
        <v>93</v>
      </c>
      <c r="O24" s="7" t="str">
        <f>'Divisão por Circuitos'!H25</f>
        <v>3F+1N+PE</v>
      </c>
      <c r="P24" s="36">
        <v>0.02</v>
      </c>
      <c r="Q24" s="25">
        <v>220</v>
      </c>
      <c r="R24" s="25">
        <v>0.01</v>
      </c>
      <c r="S24" s="25">
        <f t="shared" si="2"/>
        <v>1.8</v>
      </c>
      <c r="T24" s="7">
        <f t="shared" si="3"/>
        <v>244.4</v>
      </c>
      <c r="U24" s="16"/>
      <c r="V24" s="16"/>
    </row>
    <row r="25" spans="2:22" ht="15.75" customHeight="1">
      <c r="B25" s="7" t="s">
        <v>98</v>
      </c>
      <c r="C25" s="7">
        <v>1</v>
      </c>
      <c r="D25" s="7">
        <v>1</v>
      </c>
      <c r="E25" s="7">
        <v>1</v>
      </c>
      <c r="F25" s="7" t="s">
        <v>177</v>
      </c>
      <c r="G25" s="7">
        <f>'Divisão por Circuitos'!I26</f>
        <v>27.4</v>
      </c>
      <c r="H25" s="25">
        <v>6</v>
      </c>
      <c r="I25" s="25">
        <v>41</v>
      </c>
      <c r="J25" s="7">
        <f t="shared" si="0"/>
        <v>41</v>
      </c>
      <c r="K25" s="7" t="str">
        <f t="shared" si="1"/>
        <v>Ok</v>
      </c>
      <c r="L25" s="25" t="s">
        <v>184</v>
      </c>
      <c r="M25" s="16"/>
      <c r="N25" s="7" t="s">
        <v>98</v>
      </c>
      <c r="O25" s="7" t="str">
        <f>'Divisão por Circuitos'!H26</f>
        <v>3F+1N+PE</v>
      </c>
      <c r="P25" s="36">
        <v>0.02</v>
      </c>
      <c r="Q25" s="25">
        <v>220</v>
      </c>
      <c r="R25" s="25">
        <v>0.01</v>
      </c>
      <c r="S25" s="25">
        <f t="shared" si="2"/>
        <v>27.4</v>
      </c>
      <c r="T25" s="7">
        <f t="shared" si="3"/>
        <v>16.100000000000001</v>
      </c>
      <c r="U25" s="16"/>
      <c r="V25" s="16"/>
    </row>
    <row r="26" spans="2:22" ht="15.75" customHeight="1">
      <c r="B26" s="7" t="s">
        <v>102</v>
      </c>
      <c r="C26" s="7">
        <v>1</v>
      </c>
      <c r="D26" s="7">
        <v>1</v>
      </c>
      <c r="E26" s="7">
        <v>1</v>
      </c>
      <c r="F26" s="7" t="s">
        <v>177</v>
      </c>
      <c r="G26" s="7">
        <f>'Divisão por Circuitos'!I27</f>
        <v>55.9</v>
      </c>
      <c r="H26" s="25">
        <v>16</v>
      </c>
      <c r="I26" s="25">
        <v>68</v>
      </c>
      <c r="J26" s="7">
        <f t="shared" si="0"/>
        <v>68</v>
      </c>
      <c r="K26" s="7" t="str">
        <f t="shared" si="1"/>
        <v>Ok</v>
      </c>
      <c r="L26" s="25" t="s">
        <v>185</v>
      </c>
      <c r="M26" s="16"/>
      <c r="N26" s="7" t="s">
        <v>102</v>
      </c>
      <c r="O26" s="7" t="str">
        <f>'Divisão por Circuitos'!H27</f>
        <v>3F+1N+PE</v>
      </c>
      <c r="P26" s="36">
        <v>0.01</v>
      </c>
      <c r="Q26" s="25">
        <v>220</v>
      </c>
      <c r="R26" s="25">
        <v>0.01</v>
      </c>
      <c r="S26" s="25">
        <f t="shared" si="2"/>
        <v>55.9</v>
      </c>
      <c r="T26" s="7">
        <f t="shared" si="3"/>
        <v>3.9</v>
      </c>
      <c r="U26" s="16"/>
      <c r="V26" s="16"/>
    </row>
    <row r="27" spans="2:22" ht="15.75" customHeight="1">
      <c r="R27" s="37"/>
    </row>
    <row r="28" spans="2:22" ht="15.75" customHeight="1"/>
    <row r="29" spans="2:22" ht="15.75" customHeight="1"/>
    <row r="30" spans="2:22" ht="15.75" customHeight="1"/>
    <row r="31" spans="2:22" ht="15.75" customHeight="1"/>
    <row r="32" spans="2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2:T2"/>
    <mergeCell ref="B2:L2"/>
  </mergeCells>
  <conditionalFormatting sqref="J4">
    <cfRule type="cellIs" dxfId="2" priority="1" operator="greaterThan">
      <formula>12.25</formula>
    </cfRule>
  </conditionalFormatting>
  <conditionalFormatting sqref="J4">
    <cfRule type="cellIs" dxfId="1" priority="2" operator="greaterThan">
      <formula>12.25</formula>
    </cfRule>
  </conditionalFormatting>
  <conditionalFormatting sqref="K4:K26">
    <cfRule type="cellIs" dxfId="0" priority="3" operator="equal">
      <formula>$K$4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Dimens. e Prev. de Carga</vt:lpstr>
      <vt:lpstr>Divisão por Circuitos</vt:lpstr>
      <vt:lpstr>Cálculo de Demanda</vt:lpstr>
      <vt:lpstr>Equilibrio Por Fase</vt:lpstr>
      <vt:lpstr>Cálculo Tomadas e Ilumin.</vt:lpstr>
      <vt:lpstr>Cálculo F.Agrup. F.Temp. Circ.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 de Souza</dc:creator>
  <cp:lastModifiedBy>Bruno Silva de Souza</cp:lastModifiedBy>
  <dcterms:created xsi:type="dcterms:W3CDTF">2018-06-13T23:45:17Z</dcterms:created>
  <dcterms:modified xsi:type="dcterms:W3CDTF">2018-06-16T12:03:53Z</dcterms:modified>
</cp:coreProperties>
</file>