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672106AC-9EBD-4437-9E70-B86438853EC0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Bolão" sheetId="1" r:id="rId1"/>
    <sheet name="Palpites" sheetId="2" r:id="rId2"/>
    <sheet name="Planilha1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1" i="3" l="1"/>
  <c r="M71" i="3"/>
  <c r="L71" i="3"/>
  <c r="I71" i="3"/>
  <c r="H71" i="3"/>
  <c r="G71" i="3"/>
  <c r="F71" i="3"/>
  <c r="J71" i="3" s="1"/>
  <c r="E71" i="3"/>
  <c r="D71" i="3"/>
  <c r="A71" i="3" s="1"/>
  <c r="C71" i="3"/>
  <c r="N70" i="3"/>
  <c r="M70" i="3"/>
  <c r="I70" i="3" s="1"/>
  <c r="L70" i="3"/>
  <c r="F70" i="3"/>
  <c r="J70" i="3" s="1"/>
  <c r="E70" i="3"/>
  <c r="D70" i="3"/>
  <c r="C70" i="3"/>
  <c r="A70" i="3"/>
  <c r="N69" i="3"/>
  <c r="M69" i="3"/>
  <c r="L69" i="3"/>
  <c r="G69" i="3" s="1"/>
  <c r="F69" i="3"/>
  <c r="E69" i="3"/>
  <c r="C69" i="3"/>
  <c r="N68" i="3"/>
  <c r="M68" i="3"/>
  <c r="L68" i="3"/>
  <c r="D68" i="3" s="1"/>
  <c r="A68" i="3" s="1"/>
  <c r="J68" i="3"/>
  <c r="F68" i="3"/>
  <c r="E68" i="3"/>
  <c r="C68" i="3"/>
  <c r="N62" i="3"/>
  <c r="M62" i="3"/>
  <c r="L62" i="3"/>
  <c r="I62" i="3" s="1"/>
  <c r="H62" i="3"/>
  <c r="G62" i="3"/>
  <c r="F62" i="3"/>
  <c r="E62" i="3"/>
  <c r="J62" i="3" s="1"/>
  <c r="C62" i="3"/>
  <c r="N61" i="3"/>
  <c r="M61" i="3"/>
  <c r="D61" i="3" s="1"/>
  <c r="A61" i="3" s="1"/>
  <c r="L61" i="3"/>
  <c r="F61" i="3"/>
  <c r="E61" i="3"/>
  <c r="J61" i="3" s="1"/>
  <c r="C61" i="3"/>
  <c r="N60" i="3"/>
  <c r="G60" i="3" s="1"/>
  <c r="M60" i="3"/>
  <c r="H60" i="3" s="1"/>
  <c r="L60" i="3"/>
  <c r="J60" i="3"/>
  <c r="I60" i="3"/>
  <c r="F60" i="3"/>
  <c r="E60" i="3"/>
  <c r="C60" i="3"/>
  <c r="N59" i="3"/>
  <c r="M59" i="3"/>
  <c r="H59" i="3" s="1"/>
  <c r="L59" i="3"/>
  <c r="G59" i="3"/>
  <c r="F59" i="3"/>
  <c r="J59" i="3" s="1"/>
  <c r="E59" i="3"/>
  <c r="D59" i="3"/>
  <c r="A59" i="3" s="1"/>
  <c r="C59" i="3"/>
  <c r="N53" i="3"/>
  <c r="M53" i="3"/>
  <c r="L53" i="3"/>
  <c r="F53" i="3"/>
  <c r="J53" i="3" s="1"/>
  <c r="E53" i="3"/>
  <c r="C53" i="3"/>
  <c r="N52" i="3"/>
  <c r="M52" i="3"/>
  <c r="L52" i="3"/>
  <c r="G52" i="3" s="1"/>
  <c r="I52" i="3"/>
  <c r="H52" i="3"/>
  <c r="F52" i="3"/>
  <c r="J52" i="3" s="1"/>
  <c r="E52" i="3"/>
  <c r="D52" i="3"/>
  <c r="C52" i="3"/>
  <c r="A52" i="3"/>
  <c r="N51" i="3"/>
  <c r="I51" i="3" s="1"/>
  <c r="M51" i="3"/>
  <c r="L51" i="3"/>
  <c r="G51" i="3" s="1"/>
  <c r="F51" i="3"/>
  <c r="E51" i="3"/>
  <c r="C51" i="3"/>
  <c r="N50" i="3"/>
  <c r="M50" i="3"/>
  <c r="L50" i="3"/>
  <c r="D50" i="3" s="1"/>
  <c r="A50" i="3" s="1"/>
  <c r="J50" i="3"/>
  <c r="F50" i="3"/>
  <c r="E50" i="3"/>
  <c r="C50" i="3"/>
  <c r="N44" i="3"/>
  <c r="M44" i="3"/>
  <c r="L44" i="3"/>
  <c r="I44" i="3" s="1"/>
  <c r="H44" i="3"/>
  <c r="G44" i="3"/>
  <c r="F44" i="3"/>
  <c r="E44" i="3"/>
  <c r="J44" i="3" s="1"/>
  <c r="C44" i="3"/>
  <c r="N43" i="3"/>
  <c r="M43" i="3"/>
  <c r="L43" i="3"/>
  <c r="F43" i="3"/>
  <c r="E43" i="3"/>
  <c r="J43" i="3" s="1"/>
  <c r="C43" i="3"/>
  <c r="N42" i="3"/>
  <c r="G42" i="3" s="1"/>
  <c r="M42" i="3"/>
  <c r="L42" i="3"/>
  <c r="H42" i="3" s="1"/>
  <c r="J42" i="3"/>
  <c r="I42" i="3"/>
  <c r="F42" i="3"/>
  <c r="E42" i="3"/>
  <c r="C42" i="3"/>
  <c r="N41" i="3"/>
  <c r="M41" i="3"/>
  <c r="H41" i="3" s="1"/>
  <c r="L41" i="3"/>
  <c r="G41" i="3"/>
  <c r="F41" i="3"/>
  <c r="J41" i="3" s="1"/>
  <c r="E41" i="3"/>
  <c r="D41" i="3"/>
  <c r="C41" i="3"/>
  <c r="N35" i="3"/>
  <c r="M35" i="3"/>
  <c r="L35" i="3"/>
  <c r="F35" i="3"/>
  <c r="J35" i="3" s="1"/>
  <c r="E35" i="3"/>
  <c r="C35" i="3"/>
  <c r="N34" i="3"/>
  <c r="M34" i="3"/>
  <c r="L34" i="3"/>
  <c r="G34" i="3" s="1"/>
  <c r="I34" i="3"/>
  <c r="H34" i="3"/>
  <c r="F34" i="3"/>
  <c r="J34" i="3" s="1"/>
  <c r="E34" i="3"/>
  <c r="D34" i="3"/>
  <c r="C34" i="3"/>
  <c r="A34" i="3"/>
  <c r="N33" i="3"/>
  <c r="I33" i="3" s="1"/>
  <c r="M33" i="3"/>
  <c r="L33" i="3"/>
  <c r="F33" i="3"/>
  <c r="E33" i="3"/>
  <c r="C33" i="3"/>
  <c r="N32" i="3"/>
  <c r="M32" i="3"/>
  <c r="L32" i="3"/>
  <c r="D32" i="3" s="1"/>
  <c r="A32" i="3" s="1"/>
  <c r="J32" i="3"/>
  <c r="F32" i="3"/>
  <c r="E32" i="3"/>
  <c r="C32" i="3"/>
  <c r="N26" i="3"/>
  <c r="M26" i="3"/>
  <c r="L26" i="3"/>
  <c r="I26" i="3" s="1"/>
  <c r="H26" i="3"/>
  <c r="G26" i="3"/>
  <c r="F26" i="3"/>
  <c r="E26" i="3"/>
  <c r="J26" i="3" s="1"/>
  <c r="C26" i="3"/>
  <c r="N25" i="3"/>
  <c r="M25" i="3"/>
  <c r="L25" i="3"/>
  <c r="F25" i="3"/>
  <c r="E25" i="3"/>
  <c r="J25" i="3" s="1"/>
  <c r="C25" i="3"/>
  <c r="N24" i="3"/>
  <c r="G24" i="3" s="1"/>
  <c r="M24" i="3"/>
  <c r="L24" i="3"/>
  <c r="H24" i="3" s="1"/>
  <c r="J24" i="3"/>
  <c r="I24" i="3"/>
  <c r="F24" i="3"/>
  <c r="E24" i="3"/>
  <c r="C24" i="3"/>
  <c r="N23" i="3"/>
  <c r="M23" i="3"/>
  <c r="H23" i="3" s="1"/>
  <c r="L23" i="3"/>
  <c r="G23" i="3"/>
  <c r="F23" i="3"/>
  <c r="J23" i="3" s="1"/>
  <c r="E23" i="3"/>
  <c r="D23" i="3"/>
  <c r="C23" i="3"/>
  <c r="V21" i="3"/>
  <c r="T21" i="3"/>
  <c r="S21" i="3"/>
  <c r="T19" i="3"/>
  <c r="S19" i="3"/>
  <c r="T18" i="3"/>
  <c r="S18" i="3"/>
  <c r="N17" i="3"/>
  <c r="M17" i="3"/>
  <c r="L17" i="3"/>
  <c r="F17" i="3"/>
  <c r="J17" i="3" s="1"/>
  <c r="E17" i="3"/>
  <c r="C17" i="3"/>
  <c r="T16" i="3"/>
  <c r="S16" i="3"/>
  <c r="N16" i="3"/>
  <c r="M16" i="3"/>
  <c r="L16" i="3"/>
  <c r="D16" i="3" s="1"/>
  <c r="A16" i="3" s="1"/>
  <c r="J16" i="3"/>
  <c r="F16" i="3"/>
  <c r="E16" i="3"/>
  <c r="C16" i="3"/>
  <c r="T15" i="3"/>
  <c r="S15" i="3"/>
  <c r="N15" i="3"/>
  <c r="G15" i="3" s="1"/>
  <c r="M15" i="3"/>
  <c r="L15" i="3"/>
  <c r="H15" i="3" s="1"/>
  <c r="J15" i="3"/>
  <c r="I15" i="3"/>
  <c r="F15" i="3"/>
  <c r="E15" i="3"/>
  <c r="C15" i="3"/>
  <c r="T14" i="3"/>
  <c r="S14" i="3"/>
  <c r="N14" i="3"/>
  <c r="M14" i="3"/>
  <c r="L14" i="3"/>
  <c r="G14" i="3" s="1"/>
  <c r="I14" i="3"/>
  <c r="H14" i="3"/>
  <c r="F14" i="3"/>
  <c r="J14" i="3" s="1"/>
  <c r="E14" i="3"/>
  <c r="D14" i="3"/>
  <c r="C14" i="3"/>
  <c r="A14" i="3"/>
  <c r="T13" i="3"/>
  <c r="S13" i="3"/>
  <c r="N8" i="3"/>
  <c r="M8" i="3"/>
  <c r="L8" i="3"/>
  <c r="I8" i="3" s="1"/>
  <c r="H8" i="3"/>
  <c r="G8" i="3"/>
  <c r="F8" i="3"/>
  <c r="E8" i="3"/>
  <c r="J8" i="3" s="1"/>
  <c r="C8" i="3"/>
  <c r="N7" i="3"/>
  <c r="M7" i="3"/>
  <c r="H7" i="3" s="1"/>
  <c r="L7" i="3"/>
  <c r="G7" i="3"/>
  <c r="F7" i="3"/>
  <c r="J7" i="3" s="1"/>
  <c r="E7" i="3"/>
  <c r="D7" i="3"/>
  <c r="C7" i="3"/>
  <c r="N6" i="3"/>
  <c r="I6" i="3" s="1"/>
  <c r="M6" i="3"/>
  <c r="L6" i="3"/>
  <c r="F6" i="3"/>
  <c r="E6" i="3"/>
  <c r="C6" i="3"/>
  <c r="N5" i="3"/>
  <c r="M5" i="3"/>
  <c r="L5" i="3"/>
  <c r="F5" i="3"/>
  <c r="E5" i="3"/>
  <c r="J5" i="3" s="1"/>
  <c r="C5" i="3"/>
  <c r="I73" i="2"/>
  <c r="I72" i="2"/>
  <c r="I71" i="2"/>
  <c r="I70" i="2"/>
  <c r="I69" i="2"/>
  <c r="I68" i="2"/>
  <c r="I64" i="2"/>
  <c r="I63" i="2"/>
  <c r="I62" i="2"/>
  <c r="I61" i="2"/>
  <c r="I60" i="2"/>
  <c r="I59" i="2"/>
  <c r="I55" i="2"/>
  <c r="I54" i="2"/>
  <c r="I53" i="2"/>
  <c r="I52" i="2"/>
  <c r="I51" i="2"/>
  <c r="I50" i="2"/>
  <c r="I46" i="2"/>
  <c r="I45" i="2"/>
  <c r="I44" i="2"/>
  <c r="I43" i="2"/>
  <c r="I42" i="2"/>
  <c r="I41" i="2"/>
  <c r="I37" i="2"/>
  <c r="I36" i="2"/>
  <c r="I35" i="2"/>
  <c r="I34" i="2"/>
  <c r="I33" i="2"/>
  <c r="I32" i="2"/>
  <c r="I28" i="2"/>
  <c r="I27" i="2"/>
  <c r="I26" i="2"/>
  <c r="I25" i="2"/>
  <c r="I24" i="2"/>
  <c r="I23" i="2"/>
  <c r="I19" i="2"/>
  <c r="I18" i="2"/>
  <c r="I17" i="2"/>
  <c r="I16" i="2"/>
  <c r="I15" i="2"/>
  <c r="I14" i="2"/>
  <c r="I10" i="2"/>
  <c r="I9" i="2"/>
  <c r="I8" i="2"/>
  <c r="I7" i="2"/>
  <c r="I6" i="2"/>
  <c r="I5" i="2"/>
  <c r="I17" i="3" l="1"/>
  <c r="H17" i="3"/>
  <c r="G17" i="3"/>
  <c r="D17" i="3"/>
  <c r="A17" i="3" s="1"/>
  <c r="B17" i="3" s="1"/>
  <c r="W21" i="3"/>
  <c r="AJ26" i="2"/>
  <c r="I25" i="3"/>
  <c r="H25" i="3"/>
  <c r="G25" i="3"/>
  <c r="J69" i="3"/>
  <c r="I43" i="3"/>
  <c r="H43" i="3"/>
  <c r="G43" i="3"/>
  <c r="I5" i="3"/>
  <c r="H5" i="3"/>
  <c r="G5" i="3"/>
  <c r="A7" i="3"/>
  <c r="A41" i="3"/>
  <c r="D43" i="3"/>
  <c r="A43" i="3" s="1"/>
  <c r="J51" i="3"/>
  <c r="A23" i="3"/>
  <c r="D53" i="3"/>
  <c r="A53" i="3" s="1"/>
  <c r="I53" i="3"/>
  <c r="H53" i="3"/>
  <c r="G53" i="3"/>
  <c r="D5" i="3"/>
  <c r="A5" i="3" s="1"/>
  <c r="J6" i="3"/>
  <c r="D25" i="3"/>
  <c r="A25" i="3" s="1"/>
  <c r="J33" i="3"/>
  <c r="I61" i="3"/>
  <c r="H61" i="3"/>
  <c r="G61" i="3"/>
  <c r="G6" i="3"/>
  <c r="G33" i="3"/>
  <c r="D35" i="3"/>
  <c r="A35" i="3" s="1"/>
  <c r="I35" i="3"/>
  <c r="H35" i="3"/>
  <c r="G35" i="3"/>
  <c r="B71" i="3"/>
  <c r="H6" i="3"/>
  <c r="I7" i="3"/>
  <c r="D15" i="3"/>
  <c r="A15" i="3" s="1"/>
  <c r="I23" i="3"/>
  <c r="D24" i="3"/>
  <c r="A24" i="3" s="1"/>
  <c r="H33" i="3"/>
  <c r="I41" i="3"/>
  <c r="D42" i="3"/>
  <c r="A42" i="3" s="1"/>
  <c r="B42" i="3" s="1"/>
  <c r="H51" i="3"/>
  <c r="I59" i="3"/>
  <c r="D60" i="3"/>
  <c r="A60" i="3" s="1"/>
  <c r="B61" i="3" s="1"/>
  <c r="H69" i="3"/>
  <c r="I69" i="3"/>
  <c r="D8" i="3"/>
  <c r="A8" i="3" s="1"/>
  <c r="G16" i="3"/>
  <c r="D26" i="3"/>
  <c r="A26" i="3" s="1"/>
  <c r="B26" i="3" s="1"/>
  <c r="G32" i="3"/>
  <c r="D44" i="3"/>
  <c r="A44" i="3" s="1"/>
  <c r="G50" i="3"/>
  <c r="D62" i="3"/>
  <c r="A62" i="3" s="1"/>
  <c r="B62" i="3" s="1"/>
  <c r="G68" i="3"/>
  <c r="H16" i="3"/>
  <c r="H32" i="3"/>
  <c r="H50" i="3"/>
  <c r="H68" i="3"/>
  <c r="D6" i="3"/>
  <c r="A6" i="3" s="1"/>
  <c r="B6" i="3" s="1"/>
  <c r="I16" i="3"/>
  <c r="I32" i="3"/>
  <c r="D33" i="3"/>
  <c r="A33" i="3" s="1"/>
  <c r="B33" i="3" s="1"/>
  <c r="I50" i="3"/>
  <c r="D51" i="3"/>
  <c r="A51" i="3" s="1"/>
  <c r="B51" i="3" s="1"/>
  <c r="I68" i="3"/>
  <c r="D69" i="3"/>
  <c r="A69" i="3" s="1"/>
  <c r="G70" i="3"/>
  <c r="H70" i="3"/>
  <c r="B52" i="3" l="1"/>
  <c r="B8" i="3"/>
  <c r="B7" i="3"/>
  <c r="B34" i="3"/>
  <c r="B24" i="3"/>
  <c r="B53" i="3"/>
  <c r="B41" i="3"/>
  <c r="B35" i="3"/>
  <c r="B25" i="3"/>
  <c r="B23" i="3"/>
  <c r="B60" i="3"/>
  <c r="B15" i="3"/>
  <c r="B14" i="3"/>
  <c r="B32" i="3"/>
  <c r="B44" i="3"/>
  <c r="B43" i="3"/>
  <c r="B16" i="3"/>
  <c r="B69" i="3"/>
  <c r="B68" i="3"/>
  <c r="B70" i="3"/>
  <c r="B5" i="3"/>
  <c r="B59" i="3"/>
  <c r="B50" i="3"/>
  <c r="M55" i="2" l="1"/>
  <c r="N54" i="2"/>
  <c r="O53" i="2"/>
  <c r="P52" i="2"/>
  <c r="J55" i="2"/>
  <c r="K54" i="2"/>
  <c r="L53" i="2"/>
  <c r="M52" i="2"/>
  <c r="L55" i="2"/>
  <c r="N53" i="2"/>
  <c r="Q55" i="2"/>
  <c r="J54" i="2"/>
  <c r="K53" i="2"/>
  <c r="L52" i="2"/>
  <c r="M54" i="2"/>
  <c r="P55" i="2"/>
  <c r="Q54" i="2"/>
  <c r="J53" i="2"/>
  <c r="K52" i="2"/>
  <c r="O55" i="2"/>
  <c r="P54" i="2"/>
  <c r="Q53" i="2"/>
  <c r="J52" i="2"/>
  <c r="N55" i="2"/>
  <c r="O54" i="2"/>
  <c r="P53" i="2"/>
  <c r="Q52" i="2"/>
  <c r="O52" i="2"/>
  <c r="L54" i="2"/>
  <c r="M53" i="2"/>
  <c r="N52" i="2"/>
  <c r="K55" i="2"/>
  <c r="K46" i="2"/>
  <c r="L45" i="2"/>
  <c r="M44" i="2"/>
  <c r="N43" i="2"/>
  <c r="J46" i="2"/>
  <c r="P46" i="2"/>
  <c r="Q45" i="2"/>
  <c r="J44" i="2"/>
  <c r="K43" i="2"/>
  <c r="M43" i="2"/>
  <c r="O46" i="2"/>
  <c r="P45" i="2"/>
  <c r="Q44" i="2"/>
  <c r="J43" i="2"/>
  <c r="K45" i="2"/>
  <c r="N46" i="2"/>
  <c r="O45" i="2"/>
  <c r="P44" i="2"/>
  <c r="Q43" i="2"/>
  <c r="N45" i="2"/>
  <c r="P43" i="2"/>
  <c r="M46" i="2"/>
  <c r="O44" i="2"/>
  <c r="L44" i="2"/>
  <c r="L46" i="2"/>
  <c r="M45" i="2"/>
  <c r="N44" i="2"/>
  <c r="O43" i="2"/>
  <c r="Q46" i="2"/>
  <c r="J45" i="2"/>
  <c r="K44" i="2"/>
  <c r="L43" i="2"/>
  <c r="O64" i="2"/>
  <c r="P63" i="2"/>
  <c r="Q62" i="2"/>
  <c r="J61" i="2"/>
  <c r="Q61" i="2"/>
  <c r="L64" i="2"/>
  <c r="M63" i="2"/>
  <c r="N62" i="2"/>
  <c r="O61" i="2"/>
  <c r="O63" i="2"/>
  <c r="K64" i="2"/>
  <c r="L63" i="2"/>
  <c r="M62" i="2"/>
  <c r="N61" i="2"/>
  <c r="J64" i="2"/>
  <c r="K63" i="2"/>
  <c r="L62" i="2"/>
  <c r="M61" i="2"/>
  <c r="K62" i="2"/>
  <c r="N64" i="2"/>
  <c r="Q64" i="2"/>
  <c r="J63" i="2"/>
  <c r="L61" i="2"/>
  <c r="P64" i="2"/>
  <c r="Q63" i="2"/>
  <c r="J62" i="2"/>
  <c r="K61" i="2"/>
  <c r="P62" i="2"/>
  <c r="O62" i="2"/>
  <c r="N63" i="2"/>
  <c r="P61" i="2"/>
  <c r="M64" i="2"/>
  <c r="Q37" i="2"/>
  <c r="J36" i="2"/>
  <c r="K35" i="2"/>
  <c r="L34" i="2"/>
  <c r="Q36" i="2"/>
  <c r="N37" i="2"/>
  <c r="O36" i="2"/>
  <c r="P35" i="2"/>
  <c r="Q34" i="2"/>
  <c r="M37" i="2"/>
  <c r="N36" i="2"/>
  <c r="O35" i="2"/>
  <c r="P34" i="2"/>
  <c r="L37" i="2"/>
  <c r="M36" i="2"/>
  <c r="N35" i="2"/>
  <c r="O34" i="2"/>
  <c r="K37" i="2"/>
  <c r="L36" i="2"/>
  <c r="N34" i="2"/>
  <c r="M35" i="2"/>
  <c r="J37" i="2"/>
  <c r="K36" i="2"/>
  <c r="L35" i="2"/>
  <c r="M34" i="2"/>
  <c r="P37" i="2"/>
  <c r="J35" i="2"/>
  <c r="Q35" i="2"/>
  <c r="K34" i="2"/>
  <c r="O37" i="2"/>
  <c r="J34" i="2"/>
  <c r="P36" i="2"/>
  <c r="N19" i="2"/>
  <c r="O18" i="2"/>
  <c r="J17" i="2"/>
  <c r="K16" i="2"/>
  <c r="K19" i="2"/>
  <c r="L18" i="2"/>
  <c r="O17" i="2"/>
  <c r="P16" i="2"/>
  <c r="J19" i="2"/>
  <c r="K18" i="2"/>
  <c r="O16" i="2"/>
  <c r="L17" i="2"/>
  <c r="N17" i="2"/>
  <c r="Q18" i="2"/>
  <c r="Q19" i="2"/>
  <c r="J18" i="2"/>
  <c r="M17" i="2"/>
  <c r="N16" i="2"/>
  <c r="P19" i="2"/>
  <c r="M16" i="2"/>
  <c r="O19" i="2"/>
  <c r="P18" i="2"/>
  <c r="K17" i="2"/>
  <c r="L16" i="2"/>
  <c r="J16" i="2"/>
  <c r="N18" i="2"/>
  <c r="M18" i="2"/>
  <c r="M19" i="2"/>
  <c r="Q17" i="2"/>
  <c r="P17" i="2"/>
  <c r="L19" i="2"/>
  <c r="Q16" i="2"/>
  <c r="Q73" i="2"/>
  <c r="J72" i="2"/>
  <c r="K71" i="2"/>
  <c r="L70" i="2"/>
  <c r="P73" i="2"/>
  <c r="N73" i="2"/>
  <c r="O72" i="2"/>
  <c r="P71" i="2"/>
  <c r="Q70" i="2"/>
  <c r="Q72" i="2"/>
  <c r="M73" i="2"/>
  <c r="N72" i="2"/>
  <c r="O71" i="2"/>
  <c r="P70" i="2"/>
  <c r="J71" i="2"/>
  <c r="L73" i="2"/>
  <c r="M72" i="2"/>
  <c r="N71" i="2"/>
  <c r="O70" i="2"/>
  <c r="K73" i="2"/>
  <c r="L72" i="2"/>
  <c r="M71" i="2"/>
  <c r="N70" i="2"/>
  <c r="K70" i="2"/>
  <c r="J73" i="2"/>
  <c r="K72" i="2"/>
  <c r="L71" i="2"/>
  <c r="M70" i="2"/>
  <c r="Q71" i="2"/>
  <c r="J70" i="2"/>
  <c r="O73" i="2"/>
  <c r="P72" i="2"/>
  <c r="K28" i="2"/>
  <c r="L27" i="2"/>
  <c r="N26" i="2"/>
  <c r="O25" i="2"/>
  <c r="P28" i="2"/>
  <c r="Q27" i="2"/>
  <c r="K26" i="2"/>
  <c r="L25" i="2"/>
  <c r="P27" i="2"/>
  <c r="J26" i="2"/>
  <c r="K25" i="2"/>
  <c r="O28" i="2"/>
  <c r="N28" i="2"/>
  <c r="O27" i="2"/>
  <c r="Q26" i="2"/>
  <c r="J25" i="2"/>
  <c r="P26" i="2"/>
  <c r="M28" i="2"/>
  <c r="N27" i="2"/>
  <c r="Q25" i="2"/>
  <c r="L28" i="2"/>
  <c r="M27" i="2"/>
  <c r="O26" i="2"/>
  <c r="P25" i="2"/>
  <c r="Q28" i="2"/>
  <c r="J28" i="2"/>
  <c r="N25" i="2"/>
  <c r="M25" i="2"/>
  <c r="L26" i="2"/>
  <c r="K27" i="2"/>
  <c r="J27" i="2"/>
  <c r="M26" i="2"/>
  <c r="P10" i="2"/>
  <c r="Q9" i="2"/>
  <c r="L8" i="2"/>
  <c r="M7" i="2"/>
  <c r="M10" i="2"/>
  <c r="N9" i="2"/>
  <c r="Q8" i="2"/>
  <c r="J7" i="2"/>
  <c r="L10" i="2"/>
  <c r="M9" i="2"/>
  <c r="Q7" i="2"/>
  <c r="N8" i="2"/>
  <c r="P8" i="2"/>
  <c r="K10" i="2"/>
  <c r="L9" i="2"/>
  <c r="O8" i="2"/>
  <c r="P7" i="2"/>
  <c r="J10" i="2"/>
  <c r="K9" i="2"/>
  <c r="O7" i="2"/>
  <c r="Q10" i="2"/>
  <c r="J9" i="2"/>
  <c r="M8" i="2"/>
  <c r="N7" i="2"/>
  <c r="O9" i="2"/>
  <c r="K7" i="2"/>
  <c r="P9" i="2"/>
  <c r="L7" i="2"/>
  <c r="O10" i="2"/>
  <c r="K8" i="2"/>
  <c r="J8" i="2"/>
  <c r="N10" i="2"/>
  <c r="U24" i="2" l="1"/>
  <c r="S9" i="3" s="1"/>
  <c r="AZ22" i="2"/>
  <c r="T8" i="3" s="1"/>
  <c r="U15" i="2"/>
  <c r="S6" i="3" s="1"/>
  <c r="AZ17" i="2"/>
  <c r="T7" i="3" s="1"/>
  <c r="AZ6" i="2"/>
  <c r="T4" i="3" s="1"/>
  <c r="U8" i="2"/>
  <c r="S5" i="3" s="1"/>
  <c r="U22" i="2"/>
  <c r="S8" i="3" s="1"/>
  <c r="AZ24" i="2"/>
  <c r="T9" i="3" s="1"/>
  <c r="AZ33" i="2"/>
  <c r="T11" i="3" s="1"/>
  <c r="U31" i="2"/>
  <c r="S10" i="3" s="1"/>
  <c r="U6" i="2"/>
  <c r="S4" i="3" s="1"/>
  <c r="AZ8" i="2"/>
  <c r="T5" i="3" s="1"/>
  <c r="AZ31" i="2"/>
  <c r="T10" i="3" s="1"/>
  <c r="U33" i="2"/>
  <c r="S11" i="3" s="1"/>
  <c r="U17" i="2"/>
  <c r="S7" i="3" s="1"/>
  <c r="AZ15" i="2"/>
  <c r="T6" i="3" s="1"/>
</calcChain>
</file>

<file path=xl/sharedStrings.xml><?xml version="1.0" encoding="utf-8"?>
<sst xmlns="http://schemas.openxmlformats.org/spreadsheetml/2006/main" count="423" uniqueCount="111">
  <si>
    <t>Pix para participar:</t>
  </si>
  <si>
    <t>Premiação</t>
  </si>
  <si>
    <t>1º colocado</t>
  </si>
  <si>
    <t>65% do acumulado</t>
  </si>
  <si>
    <t>2º colocado</t>
  </si>
  <si>
    <t>25% do acumulado</t>
  </si>
  <si>
    <t>Pontuação do bolão</t>
  </si>
  <si>
    <t>3º colocado</t>
  </si>
  <si>
    <t>10% do acumulado</t>
  </si>
  <si>
    <t>Fase</t>
  </si>
  <si>
    <t>Critérios</t>
  </si>
  <si>
    <t>Pontuação</t>
  </si>
  <si>
    <t>Exemplo</t>
  </si>
  <si>
    <t>1ª Fase</t>
  </si>
  <si>
    <t>Acertar o placar correto</t>
  </si>
  <si>
    <t xml:space="preserve">25 pontos </t>
  </si>
  <si>
    <t>Placar final do jogo 2x0, palpite no bolão 2x0</t>
  </si>
  <si>
    <t>Acertar o vencedor + o número de gols da equipe vencedora</t>
  </si>
  <si>
    <t>18 pontos</t>
  </si>
  <si>
    <t>Placar final do jogo 3x0, palpite no bolão 3x1</t>
  </si>
  <si>
    <t xml:space="preserve">Acertar o empate 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</si>
  <si>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</si>
  <si>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</si>
  <si>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</si>
  <si>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</si>
  <si>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</si>
  <si>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</si>
  <si>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</si>
  <si>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2ª Fase</t>
  </si>
  <si>
    <t xml:space="preserve">Acertar os classificados de cada fase </t>
  </si>
  <si>
    <t xml:space="preserve">10 pontos </t>
  </si>
  <si>
    <t>Bônus por seleção correta que avança em cada etapa (independente do lado do chaveamento)</t>
  </si>
  <si>
    <t>Acertar o 3º colocado</t>
  </si>
  <si>
    <t>-</t>
  </si>
  <si>
    <t>Regras Gerais para participar do bolão</t>
  </si>
  <si>
    <t>Acerta o vice-campeão</t>
  </si>
  <si>
    <t>15 pontos</t>
  </si>
  <si>
    <r>
      <rPr>
        <sz val="11"/>
        <color rgb="FF000000"/>
        <rFont val="Calibri"/>
        <family val="2"/>
        <charset val="1"/>
      </rPr>
      <t xml:space="preserve">O envio dos palpites deverá ser enviado até o dia </t>
    </r>
    <r>
      <rPr>
        <b/>
        <sz val="11"/>
        <color rgb="FF000000"/>
        <rFont val="Calibri"/>
        <family val="2"/>
        <charset val="1"/>
      </rPr>
      <t>19/11</t>
    </r>
  </si>
  <si>
    <t>Acertar o campeão</t>
  </si>
  <si>
    <t>25 pontos</t>
  </si>
  <si>
    <r>
      <rPr>
        <sz val="11"/>
        <color rgb="FF000000"/>
        <rFont val="Calibri"/>
        <family val="2"/>
        <charset val="1"/>
      </rPr>
      <t xml:space="preserve">O pagamento do bolão no valor de </t>
    </r>
    <r>
      <rPr>
        <b/>
        <sz val="11"/>
        <color rgb="FF000000"/>
        <rFont val="Calibri"/>
        <family val="2"/>
        <charset val="1"/>
      </rPr>
      <t>R$ 100,00 (PIX acima)</t>
    </r>
    <r>
      <rPr>
        <sz val="11"/>
        <color rgb="FF000000"/>
        <rFont val="Calibri"/>
        <family val="2"/>
        <charset val="1"/>
      </rPr>
      <t xml:space="preserve"> deverá ser feito até o dia </t>
    </r>
    <r>
      <rPr>
        <b/>
        <sz val="11"/>
        <color rgb="FF000000"/>
        <rFont val="Calibri"/>
        <family val="2"/>
        <charset val="1"/>
      </rPr>
      <t>19/11;</t>
    </r>
    <r>
      <rPr>
        <sz val="11"/>
        <color rgb="FF000000"/>
        <rFont val="Calibri"/>
        <family val="2"/>
        <charset val="1"/>
      </rPr>
      <t xml:space="preserve"> enviar o comprovante para o meu whatsapp; palpites feitos após essa data não serão aceitos</t>
    </r>
  </si>
  <si>
    <r>
      <rPr>
        <b/>
        <sz val="11"/>
        <color rgb="FF000000"/>
        <rFont val="Calibri"/>
        <family val="2"/>
        <charset val="1"/>
      </rPr>
      <t xml:space="preserve">Critérios de desempate:
</t>
    </r>
    <r>
      <rPr>
        <sz val="11"/>
        <color rgb="FF000000"/>
        <rFont val="Calibri"/>
        <family val="2"/>
        <charset val="1"/>
      </rPr>
      <t>1º: Acertar o campeão
2º: Acertar o vice-campeão
3º: Acertar o 3º colocado
4º: Maior número de acerto de placar correto na 1ª Fase</t>
    </r>
  </si>
  <si>
    <t>Persistindo o empate:</t>
  </si>
  <si>
    <t>3.1.1</t>
  </si>
  <si>
    <r>
      <rPr>
        <b/>
        <sz val="11"/>
        <color rgb="FF000000"/>
        <rFont val="Calibri"/>
        <family val="2"/>
        <charset val="1"/>
      </rPr>
      <t>Caso haja 3 ou mais vencedores em 1º lugar</t>
    </r>
    <r>
      <rPr>
        <sz val="11"/>
        <color rgb="FF000000"/>
        <rFont val="Calibri"/>
        <family val="2"/>
        <charset val="1"/>
      </rPr>
      <t>: O valor total da premiação será dividido igualmente entre os participantes.</t>
    </r>
  </si>
  <si>
    <t>3.1.2</t>
  </si>
  <si>
    <r>
      <rPr>
        <b/>
        <sz val="11"/>
        <color rgb="FF000000"/>
        <rFont val="Calibri"/>
        <family val="2"/>
        <charset val="1"/>
      </rPr>
      <t>Caso haja 2 participantes empatados em 1º lugar</t>
    </r>
    <r>
      <rPr>
        <sz val="11"/>
        <color rgb="FF000000"/>
        <rFont val="Calibri"/>
        <family val="2"/>
        <charset val="1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</si>
  <si>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t>3.1.3</t>
  </si>
  <si>
    <r>
      <rPr>
        <b/>
        <sz val="11"/>
        <color rgb="FF000000"/>
        <rFont val="Calibri"/>
        <family val="2"/>
        <charset val="1"/>
      </rPr>
      <t xml:space="preserve">Caso haja 2 ou mais participantes empatados em 2º lugar: </t>
    </r>
    <r>
      <rPr>
        <sz val="11"/>
        <color rgb="FF000000"/>
        <rFont val="Calibri"/>
        <family val="2"/>
        <charset val="1"/>
      </rPr>
      <t>Será adicionado a porcentagem do 3º lugar (10%) ao do 2º lugar (25%), esse valor total (35%) será divido igualmente entre os participantes</t>
    </r>
    <r>
      <rPr>
        <b/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Calibri"/>
        <family val="2"/>
        <charset val="1"/>
      </rPr>
      <t>Nesse cenário premiariamos apenas o 1º lugar e os participantes empatados em 2º lugar</t>
    </r>
  </si>
  <si>
    <t>3.1.4</t>
  </si>
  <si>
    <r>
      <rPr>
        <b/>
        <sz val="11"/>
        <color rgb="FF000000"/>
        <rFont val="Calibri"/>
        <family val="2"/>
        <charset val="1"/>
      </rPr>
      <t xml:space="preserve">Caso haja 2 ou mais participantes empatados em 3º lugar: </t>
    </r>
    <r>
      <rPr>
        <sz val="11"/>
        <color rgb="FF000000"/>
        <rFont val="Calibri"/>
        <family val="2"/>
        <charset val="1"/>
      </rPr>
      <t>A premiação no valor de 10% será dividida igualmente entre os participantes</t>
    </r>
  </si>
  <si>
    <t>BOLÃO COPA DO MUNDO 2022 QATAR 1ª FASE</t>
  </si>
  <si>
    <t>BOLÃO COPA DO MUNDO 2022 QATAR 2ª FASE</t>
  </si>
  <si>
    <t>Data</t>
  </si>
  <si>
    <t>Grupo A</t>
  </si>
  <si>
    <t>Qatar</t>
  </si>
  <si>
    <t>x</t>
  </si>
  <si>
    <t>Equador</t>
  </si>
  <si>
    <t>Senegal</t>
  </si>
  <si>
    <t>Holanda</t>
  </si>
  <si>
    <t>PT</t>
  </si>
  <si>
    <t>V</t>
  </si>
  <si>
    <t>E</t>
  </si>
  <si>
    <t>D</t>
  </si>
  <si>
    <t>GP</t>
  </si>
  <si>
    <t>GC</t>
  </si>
  <si>
    <t>SG</t>
  </si>
  <si>
    <t>X</t>
  </si>
  <si>
    <t>Inglaterra</t>
  </si>
  <si>
    <t>Grupo B</t>
  </si>
  <si>
    <t>Argentina</t>
  </si>
  <si>
    <t>França</t>
  </si>
  <si>
    <t>Irã</t>
  </si>
  <si>
    <t>EUA</t>
  </si>
  <si>
    <t>País de Gales</t>
  </si>
  <si>
    <t>Grupo C</t>
  </si>
  <si>
    <t>Brasil</t>
  </si>
  <si>
    <t>Bélgica</t>
  </si>
  <si>
    <t>Arábia Saudita</t>
  </si>
  <si>
    <t>México</t>
  </si>
  <si>
    <t>Polônia</t>
  </si>
  <si>
    <t>Croácia</t>
  </si>
  <si>
    <t>Uruguai</t>
  </si>
  <si>
    <t>Grupo D</t>
  </si>
  <si>
    <t>Austrália</t>
  </si>
  <si>
    <t>Dinamarca</t>
  </si>
  <si>
    <t>Tunísia</t>
  </si>
  <si>
    <t>Grupo E</t>
  </si>
  <si>
    <t>Espanha</t>
  </si>
  <si>
    <t>Costa Rica</t>
  </si>
  <si>
    <t>Alemanha</t>
  </si>
  <si>
    <t>Japão</t>
  </si>
  <si>
    <t>Grupo F</t>
  </si>
  <si>
    <t>Canadá</t>
  </si>
  <si>
    <t>Marrocos</t>
  </si>
  <si>
    <t>Grupo G</t>
  </si>
  <si>
    <t>Sérvia</t>
  </si>
  <si>
    <t>Suíça</t>
  </si>
  <si>
    <t>Camarões</t>
  </si>
  <si>
    <t>Grupo H</t>
  </si>
  <si>
    <t>Portugal</t>
  </si>
  <si>
    <t>Gana</t>
  </si>
  <si>
    <t>Coréia do Sul</t>
  </si>
  <si>
    <t>Score</t>
  </si>
  <si>
    <t>Ordem</t>
  </si>
  <si>
    <t>País</t>
  </si>
  <si>
    <t>PTS</t>
  </si>
  <si>
    <t>Desempate</t>
  </si>
  <si>
    <t>J1</t>
  </si>
  <si>
    <t>J2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</si>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</sst>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3" x14ac:knownFonts="1">
    <font>
      <sz val="11"/>
      <color rgb="FF000000"/>
      <name val="Calibri"/>
      <family val="2"/>
      <charset val="1"/>
    </font>
    <font>
      <b/>
      <sz val="11"/>
      <color rgb="FFA40037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6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BF900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C55A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40037"/>
        <bgColor rgb="FF990033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FFFFFF"/>
      </patternFill>
    </fill>
  </fills>
  <borders count="27">
    <border>
      <left/>
      <right/>
      <top/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auto="1"/>
      </bottom>
      <diagonal/>
    </border>
    <border>
      <left style="medium">
        <color rgb="FFA40037"/>
      </left>
      <right/>
      <top/>
      <bottom/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/>
      <diagonal/>
    </border>
    <border>
      <left style="medium">
        <color rgb="FFBF9000"/>
      </left>
      <right style="medium">
        <color rgb="FFBF9000"/>
      </right>
      <top style="medium">
        <color rgb="FFBF9000"/>
      </top>
      <bottom style="medium">
        <color rgb="FFBF9000"/>
      </bottom>
      <diagonal/>
    </border>
    <border>
      <left/>
      <right/>
      <top style="medium">
        <color rgb="FFBF9000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 style="medium">
        <color rgb="FFC55A11"/>
      </left>
      <right style="medium">
        <color rgb="FFC55A11"/>
      </right>
      <top style="medium">
        <color rgb="FFC55A11"/>
      </top>
      <bottom style="medium">
        <color rgb="FFC55A1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4" xfId="0" applyBorder="1" applyAlignment="1">
      <alignment horizontal="center"/>
    </xf>
    <xf numFmtId="0" fontId="2" fillId="4" borderId="17" xfId="0" applyFont="1" applyFill="1" applyBorder="1" applyAlignment="1">
      <alignment horizontal="center" wrapText="1"/>
    </xf>
    <xf numFmtId="0" fontId="2" fillId="0" borderId="0" xfId="0" applyFont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 wrapText="1"/>
      <protection locked="0"/>
    </xf>
    <xf numFmtId="0" fontId="5" fillId="2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2" xfId="0" applyFont="1" applyBorder="1"/>
    <xf numFmtId="9" fontId="2" fillId="0" borderId="0" xfId="0" applyNumberFormat="1" applyFont="1"/>
    <xf numFmtId="0" fontId="0" fillId="0" borderId="3" xfId="0" applyBorder="1"/>
    <xf numFmtId="0" fontId="2" fillId="0" borderId="5" xfId="0" applyFont="1" applyBorder="1"/>
    <xf numFmtId="9" fontId="2" fillId="0" borderId="6" xfId="0" applyNumberFormat="1" applyFont="1" applyBorder="1"/>
    <xf numFmtId="0" fontId="0" fillId="0" borderId="7" xfId="0" applyBorder="1"/>
    <xf numFmtId="0" fontId="1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9" xfId="0" applyFont="1" applyBorder="1"/>
    <xf numFmtId="0" fontId="0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12" xfId="0" applyFont="1" applyBorder="1"/>
    <xf numFmtId="0" fontId="0" fillId="0" borderId="0" xfId="0" applyAlignment="1">
      <alignment horizontal="center"/>
    </xf>
    <xf numFmtId="0" fontId="4" fillId="0" borderId="13" xfId="0" applyFont="1" applyBorder="1"/>
    <xf numFmtId="0" fontId="0" fillId="0" borderId="1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13" xfId="0" applyFont="1" applyBorder="1" applyAlignment="1">
      <alignment horizontal="right"/>
    </xf>
    <xf numFmtId="0" fontId="4" fillId="0" borderId="16" xfId="0" applyFont="1" applyBorder="1"/>
    <xf numFmtId="0" fontId="0" fillId="0" borderId="0" xfId="0" applyProtection="1">
      <protection locked="0"/>
    </xf>
    <xf numFmtId="0" fontId="0" fillId="3" borderId="0" xfId="0" applyFill="1"/>
    <xf numFmtId="0" fontId="0" fillId="0" borderId="0" xfId="0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164" fontId="8" fillId="4" borderId="17" xfId="0" applyNumberFormat="1" applyFont="1" applyFill="1" applyBorder="1" applyAlignment="1" applyProtection="1">
      <alignment horizontal="center" wrapText="1"/>
      <protection locked="0"/>
    </xf>
    <xf numFmtId="0" fontId="2" fillId="4" borderId="17" xfId="0" applyFont="1" applyFill="1" applyBorder="1" applyAlignment="1">
      <alignment horizontal="center" wrapText="1"/>
    </xf>
    <xf numFmtId="0" fontId="2" fillId="4" borderId="17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9" fillId="0" borderId="0" xfId="0" applyFont="1"/>
    <xf numFmtId="0" fontId="2" fillId="0" borderId="0" xfId="0" applyFont="1" applyAlignment="1">
      <alignment horizontal="center"/>
    </xf>
    <xf numFmtId="0" fontId="0" fillId="0" borderId="2" xfId="0" applyBorder="1" applyProtection="1">
      <protection locked="0"/>
    </xf>
    <xf numFmtId="0" fontId="3" fillId="2" borderId="0" xfId="0" applyFont="1" applyFill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/>
    </xf>
    <xf numFmtId="164" fontId="0" fillId="4" borderId="17" xfId="0" applyNumberFormat="1" applyFill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20" xfId="0" applyFont="1" applyBorder="1" applyAlignment="1" applyProtection="1">
      <alignment horizontal="center"/>
      <protection locked="0"/>
    </xf>
    <xf numFmtId="0" fontId="6" fillId="2" borderId="0" xfId="0" applyFont="1" applyFill="1" applyBorder="1" applyAlignment="1">
      <alignment horizontal="center" wrapText="1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21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33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A40037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C55A1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png"/><Relationship Id="rId21" Type="http://schemas.openxmlformats.org/officeDocument/2006/relationships/image" Target="../media/image23.png"/><Relationship Id="rId34" Type="http://schemas.openxmlformats.org/officeDocument/2006/relationships/image" Target="../media/image36.png"/><Relationship Id="rId42" Type="http://schemas.openxmlformats.org/officeDocument/2006/relationships/image" Target="../media/image44.png"/><Relationship Id="rId47" Type="http://schemas.openxmlformats.org/officeDocument/2006/relationships/image" Target="../media/image49.png"/><Relationship Id="rId50" Type="http://schemas.openxmlformats.org/officeDocument/2006/relationships/image" Target="../media/image52.jpeg"/><Relationship Id="rId7" Type="http://schemas.openxmlformats.org/officeDocument/2006/relationships/image" Target="../media/image9.jpeg"/><Relationship Id="rId2" Type="http://schemas.openxmlformats.org/officeDocument/2006/relationships/image" Target="../media/image4.png"/><Relationship Id="rId16" Type="http://schemas.openxmlformats.org/officeDocument/2006/relationships/image" Target="../media/image18.jpeg"/><Relationship Id="rId29" Type="http://schemas.openxmlformats.org/officeDocument/2006/relationships/image" Target="../media/image31.png"/><Relationship Id="rId11" Type="http://schemas.openxmlformats.org/officeDocument/2006/relationships/image" Target="../media/image13.png"/><Relationship Id="rId24" Type="http://schemas.openxmlformats.org/officeDocument/2006/relationships/image" Target="../media/image26.jpe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40" Type="http://schemas.openxmlformats.org/officeDocument/2006/relationships/image" Target="../media/image42.png"/><Relationship Id="rId45" Type="http://schemas.openxmlformats.org/officeDocument/2006/relationships/image" Target="../media/image47.jpeg"/><Relationship Id="rId5" Type="http://schemas.openxmlformats.org/officeDocument/2006/relationships/image" Target="../media/image7.jpeg"/><Relationship Id="rId15" Type="http://schemas.openxmlformats.org/officeDocument/2006/relationships/image" Target="../media/image17.png"/><Relationship Id="rId23" Type="http://schemas.openxmlformats.org/officeDocument/2006/relationships/image" Target="../media/image25.jpe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49" Type="http://schemas.openxmlformats.org/officeDocument/2006/relationships/image" Target="../media/image51.jpeg"/><Relationship Id="rId10" Type="http://schemas.openxmlformats.org/officeDocument/2006/relationships/image" Target="../media/image12.png"/><Relationship Id="rId19" Type="http://schemas.openxmlformats.org/officeDocument/2006/relationships/image" Target="../media/image21.jpeg"/><Relationship Id="rId31" Type="http://schemas.openxmlformats.org/officeDocument/2006/relationships/image" Target="../media/image33.png"/><Relationship Id="rId44" Type="http://schemas.openxmlformats.org/officeDocument/2006/relationships/image" Target="../media/image46.jpeg"/><Relationship Id="rId52" Type="http://schemas.openxmlformats.org/officeDocument/2006/relationships/image" Target="../media/image54.png"/><Relationship Id="rId4" Type="http://schemas.openxmlformats.org/officeDocument/2006/relationships/image" Target="../media/image6.jpe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jpe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jpeg"/><Relationship Id="rId48" Type="http://schemas.openxmlformats.org/officeDocument/2006/relationships/image" Target="../media/image50.png"/><Relationship Id="rId8" Type="http://schemas.openxmlformats.org/officeDocument/2006/relationships/image" Target="../media/image10.jpeg"/><Relationship Id="rId51" Type="http://schemas.openxmlformats.org/officeDocument/2006/relationships/image" Target="../media/image53.jpeg"/><Relationship Id="rId3" Type="http://schemas.openxmlformats.org/officeDocument/2006/relationships/image" Target="../media/image5.jpeg"/><Relationship Id="rId12" Type="http://schemas.openxmlformats.org/officeDocument/2006/relationships/image" Target="../media/image14.png"/><Relationship Id="rId17" Type="http://schemas.openxmlformats.org/officeDocument/2006/relationships/image" Target="../media/image19.jpe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png"/><Relationship Id="rId20" Type="http://schemas.openxmlformats.org/officeDocument/2006/relationships/image" Target="../media/image22.jpeg"/><Relationship Id="rId41" Type="http://schemas.openxmlformats.org/officeDocument/2006/relationships/image" Target="../media/image43.png"/><Relationship Id="rId1" Type="http://schemas.openxmlformats.org/officeDocument/2006/relationships/image" Target="../media/image3.png"/><Relationship Id="rId6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83880</xdr:colOff>
      <xdr:row>4</xdr:row>
      <xdr:rowOff>60840</xdr:rowOff>
    </xdr:from>
    <xdr:to>
      <xdr:col>14</xdr:col>
      <xdr:colOff>533160</xdr:colOff>
      <xdr:row>22</xdr:row>
      <xdr:rowOff>120960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96000" y="803880"/>
          <a:ext cx="3484800" cy="34412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266760</xdr:colOff>
      <xdr:row>7</xdr:row>
      <xdr:rowOff>60840</xdr:rowOff>
    </xdr:from>
    <xdr:to>
      <xdr:col>8</xdr:col>
      <xdr:colOff>182520</xdr:colOff>
      <xdr:row>8</xdr:row>
      <xdr:rowOff>98640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513040" y="1375200"/>
          <a:ext cx="2156040" cy="22824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CPF: 43107868809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678240</xdr:colOff>
      <xdr:row>6</xdr:row>
      <xdr:rowOff>76320</xdr:rowOff>
    </xdr:from>
    <xdr:to>
      <xdr:col>8</xdr:col>
      <xdr:colOff>594000</xdr:colOff>
      <xdr:row>7</xdr:row>
      <xdr:rowOff>114120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24520" y="1200240"/>
          <a:ext cx="2156040" cy="22824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ou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6</xdr:col>
      <xdr:colOff>327600</xdr:colOff>
      <xdr:row>0</xdr:row>
      <xdr:rowOff>175320</xdr:rowOff>
    </xdr:from>
    <xdr:to>
      <xdr:col>7</xdr:col>
      <xdr:colOff>289080</xdr:colOff>
      <xdr:row>6</xdr:row>
      <xdr:rowOff>142560</xdr:rowOff>
    </xdr:to>
    <xdr:pic>
      <xdr:nvPicPr>
        <xdr:cNvPr id="5" name="Imagem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573880" y="175320"/>
          <a:ext cx="1442880" cy="1091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366120</xdr:colOff>
      <xdr:row>0</xdr:row>
      <xdr:rowOff>892440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883880" cy="89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243360</xdr:colOff>
      <xdr:row>0</xdr:row>
      <xdr:rowOff>0</xdr:rowOff>
    </xdr:from>
    <xdr:to>
      <xdr:col>17</xdr:col>
      <xdr:colOff>2880</xdr:colOff>
      <xdr:row>0</xdr:row>
      <xdr:rowOff>892440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941920" y="0"/>
          <a:ext cx="2036160" cy="89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22</xdr:col>
      <xdr:colOff>67680</xdr:colOff>
      <xdr:row>0</xdr:row>
      <xdr:rowOff>892440</xdr:rowOff>
    </xdr:to>
    <xdr:pic>
      <xdr:nvPicPr>
        <xdr:cNvPr id="6" name="Imagem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621120" y="0"/>
          <a:ext cx="1585080" cy="89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50</xdr:col>
      <xdr:colOff>254160</xdr:colOff>
      <xdr:row>0</xdr:row>
      <xdr:rowOff>0</xdr:rowOff>
    </xdr:from>
    <xdr:to>
      <xdr:col>52</xdr:col>
      <xdr:colOff>321480</xdr:colOff>
      <xdr:row>0</xdr:row>
      <xdr:rowOff>892440</xdr:rowOff>
    </xdr:to>
    <xdr:pic>
      <xdr:nvPicPr>
        <xdr:cNvPr id="7" name="Imagem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7467720" y="0"/>
          <a:ext cx="1585080" cy="892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26</xdr:col>
      <xdr:colOff>56160</xdr:colOff>
      <xdr:row>11</xdr:row>
      <xdr:rowOff>97920</xdr:rowOff>
    </xdr:from>
    <xdr:to>
      <xdr:col>28</xdr:col>
      <xdr:colOff>554760</xdr:colOff>
      <xdr:row>19</xdr:row>
      <xdr:rowOff>91800</xdr:rowOff>
    </xdr:to>
    <xdr:sp macro="" textlink="">
      <xdr:nvSpPr>
        <xdr:cNvPr id="8" name="Connector: Elbow 5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0230200" y="2907720"/>
          <a:ext cx="2016000" cy="1546560"/>
        </a:xfrm>
        <a:prstGeom prst="bentConnector3">
          <a:avLst>
            <a:gd name="adj1" fmla="val 50000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26</xdr:col>
      <xdr:colOff>43560</xdr:colOff>
      <xdr:row>19</xdr:row>
      <xdr:rowOff>102240</xdr:rowOff>
    </xdr:from>
    <xdr:to>
      <xdr:col>28</xdr:col>
      <xdr:colOff>542160</xdr:colOff>
      <xdr:row>27</xdr:row>
      <xdr:rowOff>108000</xdr:rowOff>
    </xdr:to>
    <xdr:sp macro="" textlink="">
      <xdr:nvSpPr>
        <xdr:cNvPr id="9" name="Connector: Elbow 5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flipV="1">
          <a:off x="20217600" y="4464360"/>
          <a:ext cx="2016000" cy="1567800"/>
        </a:xfrm>
        <a:prstGeom prst="bentConnector3">
          <a:avLst>
            <a:gd name="adj1" fmla="val 50633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22</xdr:col>
      <xdr:colOff>18720</xdr:colOff>
      <xdr:row>22</xdr:row>
      <xdr:rowOff>108720</xdr:rowOff>
    </xdr:from>
    <xdr:to>
      <xdr:col>23</xdr:col>
      <xdr:colOff>511200</xdr:colOff>
      <xdr:row>27</xdr:row>
      <xdr:rowOff>12960</xdr:rowOff>
    </xdr:to>
    <xdr:sp macro="" textlink="">
      <xdr:nvSpPr>
        <xdr:cNvPr id="10" name="Connector: Elbow 5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7157240" y="5080680"/>
          <a:ext cx="1251360" cy="856800"/>
        </a:xfrm>
        <a:prstGeom prst="bentConnector3">
          <a:avLst>
            <a:gd name="adj1" fmla="val 50000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22</xdr:col>
      <xdr:colOff>10800</xdr:colOff>
      <xdr:row>27</xdr:row>
      <xdr:rowOff>19080</xdr:rowOff>
    </xdr:from>
    <xdr:to>
      <xdr:col>23</xdr:col>
      <xdr:colOff>503280</xdr:colOff>
      <xdr:row>31</xdr:row>
      <xdr:rowOff>97200</xdr:rowOff>
    </xdr:to>
    <xdr:sp macro="" textlink="">
      <xdr:nvSpPr>
        <xdr:cNvPr id="11" name="Connector: Elbow 5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 flipV="1">
          <a:off x="17149320" y="5943240"/>
          <a:ext cx="1251360" cy="868680"/>
        </a:xfrm>
        <a:prstGeom prst="bentConnector3">
          <a:avLst>
            <a:gd name="adj1" fmla="val 50633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22</xdr:col>
      <xdr:colOff>40680</xdr:colOff>
      <xdr:row>6</xdr:row>
      <xdr:rowOff>141480</xdr:rowOff>
    </xdr:from>
    <xdr:to>
      <xdr:col>23</xdr:col>
      <xdr:colOff>533160</xdr:colOff>
      <xdr:row>11</xdr:row>
      <xdr:rowOff>60840</xdr:rowOff>
    </xdr:to>
    <xdr:sp macro="" textlink="">
      <xdr:nvSpPr>
        <xdr:cNvPr id="12" name="Connector: Elbow 5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7179200" y="2017800"/>
          <a:ext cx="1251360" cy="852840"/>
        </a:xfrm>
        <a:prstGeom prst="bentConnector3">
          <a:avLst>
            <a:gd name="adj1" fmla="val 50000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22</xdr:col>
      <xdr:colOff>32760</xdr:colOff>
      <xdr:row>11</xdr:row>
      <xdr:rowOff>66960</xdr:rowOff>
    </xdr:from>
    <xdr:to>
      <xdr:col>23</xdr:col>
      <xdr:colOff>525240</xdr:colOff>
      <xdr:row>15</xdr:row>
      <xdr:rowOff>141120</xdr:rowOff>
    </xdr:to>
    <xdr:sp macro="" textlink="">
      <xdr:nvSpPr>
        <xdr:cNvPr id="13" name="Connector: Elbow 5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flipV="1">
          <a:off x="17171280" y="2876760"/>
          <a:ext cx="1251360" cy="864720"/>
        </a:xfrm>
        <a:prstGeom prst="bentConnector3">
          <a:avLst>
            <a:gd name="adj1" fmla="val 50633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35</xdr:col>
      <xdr:colOff>558000</xdr:colOff>
      <xdr:row>10</xdr:row>
      <xdr:rowOff>144360</xdr:rowOff>
    </xdr:from>
    <xdr:to>
      <xdr:col>37</xdr:col>
      <xdr:colOff>149400</xdr:colOff>
      <xdr:row>17</xdr:row>
      <xdr:rowOff>116640</xdr:rowOff>
    </xdr:to>
    <xdr:pic>
      <xdr:nvPicPr>
        <xdr:cNvPr id="14" name="Imagem 1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6960760" y="2763720"/>
          <a:ext cx="1108800" cy="135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38</xdr:col>
      <xdr:colOff>108720</xdr:colOff>
      <xdr:row>24</xdr:row>
      <xdr:rowOff>73440</xdr:rowOff>
    </xdr:from>
    <xdr:to>
      <xdr:col>40</xdr:col>
      <xdr:colOff>121680</xdr:colOff>
      <xdr:row>28</xdr:row>
      <xdr:rowOff>103680</xdr:rowOff>
    </xdr:to>
    <xdr:pic>
      <xdr:nvPicPr>
        <xdr:cNvPr id="15" name="Imagem 13" descr="Medalha de prata, 2º lugar em prata | Vetor Premium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28787760" y="5426640"/>
          <a:ext cx="959040" cy="78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38</xdr:col>
      <xdr:colOff>122400</xdr:colOff>
      <xdr:row>31</xdr:row>
      <xdr:rowOff>65160</xdr:rowOff>
    </xdr:from>
    <xdr:to>
      <xdr:col>40</xdr:col>
      <xdr:colOff>163080</xdr:colOff>
      <xdr:row>35</xdr:row>
      <xdr:rowOff>94680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28801440" y="6780240"/>
          <a:ext cx="986760" cy="79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539280</xdr:colOff>
      <xdr:row>67</xdr:row>
      <xdr:rowOff>2160</xdr:rowOff>
    </xdr:from>
    <xdr:to>
      <xdr:col>2</xdr:col>
      <xdr:colOff>1046520</xdr:colOff>
      <xdr:row>68</xdr:row>
      <xdr:rowOff>720</xdr:rowOff>
    </xdr:to>
    <xdr:pic>
      <xdr:nvPicPr>
        <xdr:cNvPr id="17" name="Imagem 1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057040" y="13442040"/>
          <a:ext cx="507240" cy="17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540360</xdr:colOff>
      <xdr:row>71</xdr:row>
      <xdr:rowOff>3600</xdr:rowOff>
    </xdr:from>
    <xdr:to>
      <xdr:col>3</xdr:col>
      <xdr:colOff>720</xdr:colOff>
      <xdr:row>71</xdr:row>
      <xdr:rowOff>161280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2058120" y="14167440"/>
          <a:ext cx="507240" cy="15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541440</xdr:colOff>
      <xdr:row>69</xdr:row>
      <xdr:rowOff>0</xdr:rowOff>
    </xdr:from>
    <xdr:to>
      <xdr:col>3</xdr:col>
      <xdr:colOff>1800</xdr:colOff>
      <xdr:row>69</xdr:row>
      <xdr:rowOff>179640</xdr:rowOff>
    </xdr:to>
    <xdr:pic>
      <xdr:nvPicPr>
        <xdr:cNvPr id="19" name="Imagem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059200" y="13801680"/>
          <a:ext cx="50724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540360</xdr:colOff>
      <xdr:row>72</xdr:row>
      <xdr:rowOff>1800</xdr:rowOff>
    </xdr:from>
    <xdr:to>
      <xdr:col>2</xdr:col>
      <xdr:colOff>1047240</xdr:colOff>
      <xdr:row>73</xdr:row>
      <xdr:rowOff>3600</xdr:rowOff>
    </xdr:to>
    <xdr:pic>
      <xdr:nvPicPr>
        <xdr:cNvPr id="20" name="Imagem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058120" y="14327280"/>
          <a:ext cx="506880" cy="18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541440</xdr:colOff>
      <xdr:row>70</xdr:row>
      <xdr:rowOff>2160</xdr:rowOff>
    </xdr:from>
    <xdr:to>
      <xdr:col>3</xdr:col>
      <xdr:colOff>1440</xdr:colOff>
      <xdr:row>71</xdr:row>
      <xdr:rowOff>720</xdr:rowOff>
    </xdr:to>
    <xdr:pic>
      <xdr:nvPicPr>
        <xdr:cNvPr id="21" name="Imagem 3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059200" y="13984920"/>
          <a:ext cx="50688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67</xdr:row>
      <xdr:rowOff>360</xdr:rowOff>
    </xdr:from>
    <xdr:to>
      <xdr:col>6</xdr:col>
      <xdr:colOff>271800</xdr:colOff>
      <xdr:row>67</xdr:row>
      <xdr:rowOff>180720</xdr:rowOff>
    </xdr:to>
    <xdr:pic>
      <xdr:nvPicPr>
        <xdr:cNvPr id="22" name="Imagem 3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905720" y="13440240"/>
          <a:ext cx="269640" cy="18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5040</xdr:colOff>
      <xdr:row>72</xdr:row>
      <xdr:rowOff>2880</xdr:rowOff>
    </xdr:from>
    <xdr:to>
      <xdr:col>6</xdr:col>
      <xdr:colOff>271440</xdr:colOff>
      <xdr:row>72</xdr:row>
      <xdr:rowOff>179640</xdr:rowOff>
    </xdr:to>
    <xdr:pic>
      <xdr:nvPicPr>
        <xdr:cNvPr id="23" name="Imagem 37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908600" y="14328360"/>
          <a:ext cx="266400" cy="17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14040</xdr:colOff>
      <xdr:row>69</xdr:row>
      <xdr:rowOff>3240</xdr:rowOff>
    </xdr:from>
    <xdr:to>
      <xdr:col>6</xdr:col>
      <xdr:colOff>279000</xdr:colOff>
      <xdr:row>69</xdr:row>
      <xdr:rowOff>173520</xdr:rowOff>
    </xdr:to>
    <xdr:pic>
      <xdr:nvPicPr>
        <xdr:cNvPr id="24" name="Imagem 4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917600" y="13804920"/>
          <a:ext cx="264960" cy="17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540720</xdr:colOff>
      <xdr:row>68</xdr:row>
      <xdr:rowOff>7200</xdr:rowOff>
    </xdr:from>
    <xdr:to>
      <xdr:col>3</xdr:col>
      <xdr:colOff>1080</xdr:colOff>
      <xdr:row>68</xdr:row>
      <xdr:rowOff>177480</xdr:rowOff>
    </xdr:to>
    <xdr:pic>
      <xdr:nvPicPr>
        <xdr:cNvPr id="25" name="Imagem 4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2058480" y="13627800"/>
          <a:ext cx="507240" cy="17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720</xdr:colOff>
      <xdr:row>68</xdr:row>
      <xdr:rowOff>1440</xdr:rowOff>
    </xdr:from>
    <xdr:to>
      <xdr:col>6</xdr:col>
      <xdr:colOff>270360</xdr:colOff>
      <xdr:row>69</xdr:row>
      <xdr:rowOff>1080</xdr:rowOff>
    </xdr:to>
    <xdr:pic>
      <xdr:nvPicPr>
        <xdr:cNvPr id="26" name="Imagem 4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904280" y="13622040"/>
          <a:ext cx="269640" cy="18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70</xdr:row>
      <xdr:rowOff>2520</xdr:rowOff>
    </xdr:from>
    <xdr:to>
      <xdr:col>6</xdr:col>
      <xdr:colOff>271800</xdr:colOff>
      <xdr:row>71</xdr:row>
      <xdr:rowOff>1440</xdr:rowOff>
    </xdr:to>
    <xdr:pic>
      <xdr:nvPicPr>
        <xdr:cNvPr id="27" name="Imagem 4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905720" y="13985280"/>
          <a:ext cx="269640" cy="18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71</xdr:row>
      <xdr:rowOff>1440</xdr:rowOff>
    </xdr:from>
    <xdr:to>
      <xdr:col>6</xdr:col>
      <xdr:colOff>271800</xdr:colOff>
      <xdr:row>72</xdr:row>
      <xdr:rowOff>720</xdr:rowOff>
    </xdr:to>
    <xdr:pic>
      <xdr:nvPicPr>
        <xdr:cNvPr id="28" name="Imagem 4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905720" y="14165280"/>
          <a:ext cx="269640" cy="160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539280</xdr:colOff>
      <xdr:row>4</xdr:row>
      <xdr:rowOff>2520</xdr:rowOff>
    </xdr:from>
    <xdr:to>
      <xdr:col>3</xdr:col>
      <xdr:colOff>1800</xdr:colOff>
      <xdr:row>5</xdr:row>
      <xdr:rowOff>720</xdr:rowOff>
    </xdr:to>
    <xdr:pic>
      <xdr:nvPicPr>
        <xdr:cNvPr id="29" name="Imagem 5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2057040" y="1497960"/>
          <a:ext cx="509400" cy="18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536760</xdr:colOff>
      <xdr:row>6</xdr:row>
      <xdr:rowOff>5400</xdr:rowOff>
    </xdr:from>
    <xdr:to>
      <xdr:col>3</xdr:col>
      <xdr:colOff>1080</xdr:colOff>
      <xdr:row>7</xdr:row>
      <xdr:rowOff>2520</xdr:rowOff>
    </xdr:to>
    <xdr:pic>
      <xdr:nvPicPr>
        <xdr:cNvPr id="30" name="Imagem 5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2054520" y="1881720"/>
          <a:ext cx="511200" cy="18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537480</xdr:colOff>
      <xdr:row>8</xdr:row>
      <xdr:rowOff>4680</xdr:rowOff>
    </xdr:from>
    <xdr:to>
      <xdr:col>2</xdr:col>
      <xdr:colOff>1046880</xdr:colOff>
      <xdr:row>8</xdr:row>
      <xdr:rowOff>180720</xdr:rowOff>
    </xdr:to>
    <xdr:pic>
      <xdr:nvPicPr>
        <xdr:cNvPr id="31" name="Imagem 5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2055240" y="2262240"/>
          <a:ext cx="509400" cy="17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535680</xdr:colOff>
      <xdr:row>5</xdr:row>
      <xdr:rowOff>2520</xdr:rowOff>
    </xdr:from>
    <xdr:to>
      <xdr:col>2</xdr:col>
      <xdr:colOff>1046520</xdr:colOff>
      <xdr:row>6</xdr:row>
      <xdr:rowOff>2160</xdr:rowOff>
    </xdr:to>
    <xdr:pic>
      <xdr:nvPicPr>
        <xdr:cNvPr id="32" name="Imagem 55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2053440" y="1688400"/>
          <a:ext cx="510840" cy="19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6</xdr:row>
      <xdr:rowOff>1800</xdr:rowOff>
    </xdr:from>
    <xdr:to>
      <xdr:col>6</xdr:col>
      <xdr:colOff>270360</xdr:colOff>
      <xdr:row>6</xdr:row>
      <xdr:rowOff>188640</xdr:rowOff>
    </xdr:to>
    <xdr:pic>
      <xdr:nvPicPr>
        <xdr:cNvPr id="33" name="Imagem 58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905720" y="1878120"/>
          <a:ext cx="268200" cy="18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4680</xdr:colOff>
      <xdr:row>9</xdr:row>
      <xdr:rowOff>4680</xdr:rowOff>
    </xdr:from>
    <xdr:to>
      <xdr:col>6</xdr:col>
      <xdr:colOff>277920</xdr:colOff>
      <xdr:row>9</xdr:row>
      <xdr:rowOff>180720</xdr:rowOff>
    </xdr:to>
    <xdr:pic>
      <xdr:nvPicPr>
        <xdr:cNvPr id="34" name="Imagem 6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908240" y="2442960"/>
          <a:ext cx="273240" cy="17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1800</xdr:colOff>
      <xdr:row>4</xdr:row>
      <xdr:rowOff>4680</xdr:rowOff>
    </xdr:from>
    <xdr:to>
      <xdr:col>6</xdr:col>
      <xdr:colOff>271440</xdr:colOff>
      <xdr:row>5</xdr:row>
      <xdr:rowOff>14040</xdr:rowOff>
    </xdr:to>
    <xdr:pic>
      <xdr:nvPicPr>
        <xdr:cNvPr id="35" name="Imagem 6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905360" y="1500120"/>
          <a:ext cx="26964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537840</xdr:colOff>
      <xdr:row>7</xdr:row>
      <xdr:rowOff>4680</xdr:rowOff>
    </xdr:from>
    <xdr:to>
      <xdr:col>3</xdr:col>
      <xdr:colOff>1080</xdr:colOff>
      <xdr:row>8</xdr:row>
      <xdr:rowOff>2160</xdr:rowOff>
    </xdr:to>
    <xdr:pic>
      <xdr:nvPicPr>
        <xdr:cNvPr id="36" name="Imagem 6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2055600" y="2071440"/>
          <a:ext cx="51012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534960</xdr:colOff>
      <xdr:row>9</xdr:row>
      <xdr:rowOff>4320</xdr:rowOff>
    </xdr:from>
    <xdr:to>
      <xdr:col>3</xdr:col>
      <xdr:colOff>1080</xdr:colOff>
      <xdr:row>9</xdr:row>
      <xdr:rowOff>180720</xdr:rowOff>
    </xdr:to>
    <xdr:pic>
      <xdr:nvPicPr>
        <xdr:cNvPr id="37" name="Imagem 6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2052720" y="2442600"/>
          <a:ext cx="513000" cy="17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1800</xdr:colOff>
      <xdr:row>5</xdr:row>
      <xdr:rowOff>2160</xdr:rowOff>
    </xdr:from>
    <xdr:to>
      <xdr:col>6</xdr:col>
      <xdr:colOff>271440</xdr:colOff>
      <xdr:row>5</xdr:row>
      <xdr:rowOff>190800</xdr:rowOff>
    </xdr:to>
    <xdr:pic>
      <xdr:nvPicPr>
        <xdr:cNvPr id="38" name="Imagem 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4905360" y="1688040"/>
          <a:ext cx="269640" cy="18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7</xdr:row>
      <xdr:rowOff>5400</xdr:rowOff>
    </xdr:from>
    <xdr:to>
      <xdr:col>6</xdr:col>
      <xdr:colOff>272880</xdr:colOff>
      <xdr:row>7</xdr:row>
      <xdr:rowOff>190800</xdr:rowOff>
    </xdr:to>
    <xdr:pic>
      <xdr:nvPicPr>
        <xdr:cNvPr id="39" name="Imagem 73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4905720" y="2072160"/>
          <a:ext cx="270720" cy="18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609120</xdr:colOff>
      <xdr:row>8</xdr:row>
      <xdr:rowOff>720</xdr:rowOff>
    </xdr:from>
    <xdr:to>
      <xdr:col>6</xdr:col>
      <xdr:colOff>275400</xdr:colOff>
      <xdr:row>8</xdr:row>
      <xdr:rowOff>180720</xdr:rowOff>
    </xdr:to>
    <xdr:pic>
      <xdr:nvPicPr>
        <xdr:cNvPr id="40" name="Imagem 75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4722480" y="2258280"/>
          <a:ext cx="456480" cy="18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6480</xdr:colOff>
      <xdr:row>14</xdr:row>
      <xdr:rowOff>7200</xdr:rowOff>
    </xdr:from>
    <xdr:to>
      <xdr:col>6</xdr:col>
      <xdr:colOff>270720</xdr:colOff>
      <xdr:row>14</xdr:row>
      <xdr:rowOff>180360</xdr:rowOff>
    </xdr:to>
    <xdr:pic>
      <xdr:nvPicPr>
        <xdr:cNvPr id="41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4910040" y="3426840"/>
          <a:ext cx="264240" cy="17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6120</xdr:colOff>
      <xdr:row>16</xdr:row>
      <xdr:rowOff>5760</xdr:rowOff>
    </xdr:from>
    <xdr:to>
      <xdr:col>6</xdr:col>
      <xdr:colOff>270360</xdr:colOff>
      <xdr:row>17</xdr:row>
      <xdr:rowOff>1440</xdr:rowOff>
    </xdr:to>
    <xdr:pic>
      <xdr:nvPicPr>
        <xdr:cNvPr id="42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4909680" y="3796560"/>
          <a:ext cx="264240" cy="20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17</xdr:row>
      <xdr:rowOff>7200</xdr:rowOff>
    </xdr:from>
    <xdr:to>
      <xdr:col>6</xdr:col>
      <xdr:colOff>266400</xdr:colOff>
      <xdr:row>18</xdr:row>
      <xdr:rowOff>1440</xdr:rowOff>
    </xdr:to>
    <xdr:pic>
      <xdr:nvPicPr>
        <xdr:cNvPr id="43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905720" y="4007880"/>
          <a:ext cx="264240" cy="18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5040</xdr:colOff>
      <xdr:row>15</xdr:row>
      <xdr:rowOff>2880</xdr:rowOff>
    </xdr:from>
    <xdr:to>
      <xdr:col>6</xdr:col>
      <xdr:colOff>270000</xdr:colOff>
      <xdr:row>15</xdr:row>
      <xdr:rowOff>186480</xdr:rowOff>
    </xdr:to>
    <xdr:pic>
      <xdr:nvPicPr>
        <xdr:cNvPr id="44" name="Imagem 29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/>
      </xdr:nvPicPr>
      <xdr:blipFill>
        <a:blip xmlns:r="http://schemas.openxmlformats.org/officeDocument/2006/relationships" r:embed="rId25"/>
        <a:stretch/>
      </xdr:blipFill>
      <xdr:spPr>
        <a:xfrm>
          <a:off x="4908600" y="3603240"/>
          <a:ext cx="264960" cy="18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5040</xdr:colOff>
      <xdr:row>18</xdr:row>
      <xdr:rowOff>1800</xdr:rowOff>
    </xdr:from>
    <xdr:to>
      <xdr:col>6</xdr:col>
      <xdr:colOff>270000</xdr:colOff>
      <xdr:row>19</xdr:row>
      <xdr:rowOff>1440</xdr:rowOff>
    </xdr:to>
    <xdr:pic>
      <xdr:nvPicPr>
        <xdr:cNvPr id="45" name="Imagem 39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/>
      </xdr:nvPicPr>
      <xdr:blipFill>
        <a:blip xmlns:r="http://schemas.openxmlformats.org/officeDocument/2006/relationships" r:embed="rId26"/>
        <a:stretch/>
      </xdr:blipFill>
      <xdr:spPr>
        <a:xfrm>
          <a:off x="4908600" y="4192920"/>
          <a:ext cx="264960" cy="17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539280</xdr:colOff>
      <xdr:row>14</xdr:row>
      <xdr:rowOff>3960</xdr:rowOff>
    </xdr:from>
    <xdr:to>
      <xdr:col>3</xdr:col>
      <xdr:colOff>720</xdr:colOff>
      <xdr:row>14</xdr:row>
      <xdr:rowOff>178200</xdr:rowOff>
    </xdr:to>
    <xdr:pic>
      <xdr:nvPicPr>
        <xdr:cNvPr id="46" name="Imagem 4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/>
      </xdr:nvPicPr>
      <xdr:blipFill>
        <a:blip xmlns:r="http://schemas.openxmlformats.org/officeDocument/2006/relationships" r:embed="rId26"/>
        <a:stretch/>
      </xdr:blipFill>
      <xdr:spPr>
        <a:xfrm>
          <a:off x="2057040" y="3423600"/>
          <a:ext cx="508320" cy="174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538920</xdr:colOff>
      <xdr:row>13</xdr:row>
      <xdr:rowOff>5040</xdr:rowOff>
    </xdr:from>
    <xdr:to>
      <xdr:col>2</xdr:col>
      <xdr:colOff>1046880</xdr:colOff>
      <xdr:row>13</xdr:row>
      <xdr:rowOff>178560</xdr:rowOff>
    </xdr:to>
    <xdr:pic>
      <xdr:nvPicPr>
        <xdr:cNvPr id="47" name="Imagem 1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/>
      </xdr:nvPicPr>
      <xdr:blipFill>
        <a:blip xmlns:r="http://schemas.openxmlformats.org/officeDocument/2006/relationships" r:embed="rId27"/>
        <a:stretch/>
      </xdr:blipFill>
      <xdr:spPr>
        <a:xfrm>
          <a:off x="2056680" y="3233880"/>
          <a:ext cx="507960" cy="17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540720</xdr:colOff>
      <xdr:row>15</xdr:row>
      <xdr:rowOff>7200</xdr:rowOff>
    </xdr:from>
    <xdr:to>
      <xdr:col>2</xdr:col>
      <xdr:colOff>1046520</xdr:colOff>
      <xdr:row>15</xdr:row>
      <xdr:rowOff>180720</xdr:rowOff>
    </xdr:to>
    <xdr:pic>
      <xdr:nvPicPr>
        <xdr:cNvPr id="48" name="Imagem 44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/>
      </xdr:nvPicPr>
      <xdr:blipFill>
        <a:blip xmlns:r="http://schemas.openxmlformats.org/officeDocument/2006/relationships" r:embed="rId27"/>
        <a:stretch/>
      </xdr:blipFill>
      <xdr:spPr>
        <a:xfrm>
          <a:off x="2058480" y="3607560"/>
          <a:ext cx="505800" cy="17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540720</xdr:colOff>
      <xdr:row>17</xdr:row>
      <xdr:rowOff>7560</xdr:rowOff>
    </xdr:from>
    <xdr:to>
      <xdr:col>2</xdr:col>
      <xdr:colOff>1046520</xdr:colOff>
      <xdr:row>17</xdr:row>
      <xdr:rowOff>188280</xdr:rowOff>
    </xdr:to>
    <xdr:pic>
      <xdr:nvPicPr>
        <xdr:cNvPr id="49" name="Imagem 4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/>
      </xdr:nvPicPr>
      <xdr:blipFill>
        <a:blip xmlns:r="http://schemas.openxmlformats.org/officeDocument/2006/relationships" r:embed="rId27"/>
        <a:stretch/>
      </xdr:blipFill>
      <xdr:spPr>
        <a:xfrm>
          <a:off x="2058480" y="4008240"/>
          <a:ext cx="505800" cy="18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541440</xdr:colOff>
      <xdr:row>16</xdr:row>
      <xdr:rowOff>4680</xdr:rowOff>
    </xdr:from>
    <xdr:to>
      <xdr:col>2</xdr:col>
      <xdr:colOff>1046880</xdr:colOff>
      <xdr:row>17</xdr:row>
      <xdr:rowOff>1800</xdr:rowOff>
    </xdr:to>
    <xdr:pic>
      <xdr:nvPicPr>
        <xdr:cNvPr id="50" name="Imagem 3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/>
      </xdr:nvPicPr>
      <xdr:blipFill>
        <a:blip xmlns:r="http://schemas.openxmlformats.org/officeDocument/2006/relationships" r:embed="rId28"/>
        <a:stretch/>
      </xdr:blipFill>
      <xdr:spPr>
        <a:xfrm rot="10800000">
          <a:off x="2059200" y="3795480"/>
          <a:ext cx="505440" cy="20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539640</xdr:colOff>
      <xdr:row>18</xdr:row>
      <xdr:rowOff>2160</xdr:rowOff>
    </xdr:from>
    <xdr:to>
      <xdr:col>2</xdr:col>
      <xdr:colOff>1047240</xdr:colOff>
      <xdr:row>19</xdr:row>
      <xdr:rowOff>1800</xdr:rowOff>
    </xdr:to>
    <xdr:pic>
      <xdr:nvPicPr>
        <xdr:cNvPr id="51" name="Imagem 48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/>
      </xdr:nvPicPr>
      <xdr:blipFill>
        <a:blip xmlns:r="http://schemas.openxmlformats.org/officeDocument/2006/relationships" r:embed="rId28"/>
        <a:stretch/>
      </xdr:blipFill>
      <xdr:spPr>
        <a:xfrm rot="10800000">
          <a:off x="2057400" y="4193280"/>
          <a:ext cx="507600" cy="17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3960</xdr:colOff>
      <xdr:row>13</xdr:row>
      <xdr:rowOff>4320</xdr:rowOff>
    </xdr:from>
    <xdr:to>
      <xdr:col>6</xdr:col>
      <xdr:colOff>268560</xdr:colOff>
      <xdr:row>13</xdr:row>
      <xdr:rowOff>188640</xdr:rowOff>
    </xdr:to>
    <xdr:pic>
      <xdr:nvPicPr>
        <xdr:cNvPr id="52" name="Imagem 49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/>
      </xdr:nvPicPr>
      <xdr:blipFill>
        <a:blip xmlns:r="http://schemas.openxmlformats.org/officeDocument/2006/relationships" r:embed="rId28"/>
        <a:stretch/>
      </xdr:blipFill>
      <xdr:spPr>
        <a:xfrm rot="10800000">
          <a:off x="4907520" y="3233160"/>
          <a:ext cx="264600" cy="18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538200</xdr:colOff>
      <xdr:row>22</xdr:row>
      <xdr:rowOff>4320</xdr:rowOff>
    </xdr:from>
    <xdr:to>
      <xdr:col>3</xdr:col>
      <xdr:colOff>1800</xdr:colOff>
      <xdr:row>22</xdr:row>
      <xdr:rowOff>188640</xdr:rowOff>
    </xdr:to>
    <xdr:pic>
      <xdr:nvPicPr>
        <xdr:cNvPr id="53" name="Imagem 54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/>
      </xdr:nvPicPr>
      <xdr:blipFill>
        <a:blip xmlns:r="http://schemas.openxmlformats.org/officeDocument/2006/relationships" r:embed="rId29"/>
        <a:stretch/>
      </xdr:blipFill>
      <xdr:spPr>
        <a:xfrm>
          <a:off x="2055960" y="4976280"/>
          <a:ext cx="510480" cy="18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538200</xdr:colOff>
      <xdr:row>26</xdr:row>
      <xdr:rowOff>0</xdr:rowOff>
    </xdr:from>
    <xdr:to>
      <xdr:col>3</xdr:col>
      <xdr:colOff>1800</xdr:colOff>
      <xdr:row>27</xdr:row>
      <xdr:rowOff>1080</xdr:rowOff>
    </xdr:to>
    <xdr:pic>
      <xdr:nvPicPr>
        <xdr:cNvPr id="54" name="Imagem 5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/>
      </xdr:nvPicPr>
      <xdr:blipFill>
        <a:blip xmlns:r="http://schemas.openxmlformats.org/officeDocument/2006/relationships" r:embed="rId29"/>
        <a:stretch/>
      </xdr:blipFill>
      <xdr:spPr>
        <a:xfrm>
          <a:off x="2055960" y="5734080"/>
          <a:ext cx="510480" cy="19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538200</xdr:colOff>
      <xdr:row>24</xdr:row>
      <xdr:rowOff>3600</xdr:rowOff>
    </xdr:from>
    <xdr:to>
      <xdr:col>3</xdr:col>
      <xdr:colOff>1800</xdr:colOff>
      <xdr:row>25</xdr:row>
      <xdr:rowOff>2160</xdr:rowOff>
    </xdr:to>
    <xdr:pic>
      <xdr:nvPicPr>
        <xdr:cNvPr id="55" name="Imagem 6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/>
      </xdr:nvPicPr>
      <xdr:blipFill>
        <a:blip xmlns:r="http://schemas.openxmlformats.org/officeDocument/2006/relationships" r:embed="rId29"/>
        <a:stretch/>
      </xdr:blipFill>
      <xdr:spPr>
        <a:xfrm>
          <a:off x="2055960" y="5356800"/>
          <a:ext cx="510480" cy="18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539640</xdr:colOff>
      <xdr:row>25</xdr:row>
      <xdr:rowOff>0</xdr:rowOff>
    </xdr:from>
    <xdr:to>
      <xdr:col>3</xdr:col>
      <xdr:colOff>720</xdr:colOff>
      <xdr:row>25</xdr:row>
      <xdr:rowOff>187560</xdr:rowOff>
    </xdr:to>
    <xdr:pic>
      <xdr:nvPicPr>
        <xdr:cNvPr id="56" name="Imagem 66" descr="Bandeira da Arábia Saudita • Bandeiras do Mundo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/>
      </xdr:nvPicPr>
      <xdr:blipFill>
        <a:blip xmlns:r="http://schemas.openxmlformats.org/officeDocument/2006/relationships" r:embed="rId30"/>
        <a:stretch/>
      </xdr:blipFill>
      <xdr:spPr>
        <a:xfrm>
          <a:off x="2057400" y="5543640"/>
          <a:ext cx="507960" cy="18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538200</xdr:colOff>
      <xdr:row>27</xdr:row>
      <xdr:rowOff>2520</xdr:rowOff>
    </xdr:from>
    <xdr:to>
      <xdr:col>3</xdr:col>
      <xdr:colOff>1440</xdr:colOff>
      <xdr:row>27</xdr:row>
      <xdr:rowOff>181080</xdr:rowOff>
    </xdr:to>
    <xdr:pic>
      <xdr:nvPicPr>
        <xdr:cNvPr id="57" name="Imagem 67" descr="Bandeira da Arábia Saudita • Bandeiras do Mundo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/>
      </xdr:nvPicPr>
      <xdr:blipFill>
        <a:blip xmlns:r="http://schemas.openxmlformats.org/officeDocument/2006/relationships" r:embed="rId30"/>
        <a:stretch/>
      </xdr:blipFill>
      <xdr:spPr>
        <a:xfrm>
          <a:off x="2055960" y="5927040"/>
          <a:ext cx="510120" cy="178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2520</xdr:colOff>
      <xdr:row>22</xdr:row>
      <xdr:rowOff>2160</xdr:rowOff>
    </xdr:from>
    <xdr:to>
      <xdr:col>6</xdr:col>
      <xdr:colOff>270360</xdr:colOff>
      <xdr:row>23</xdr:row>
      <xdr:rowOff>3240</xdr:rowOff>
    </xdr:to>
    <xdr:pic>
      <xdr:nvPicPr>
        <xdr:cNvPr id="58" name="Imagem 70" descr="Bandeira da Arábia Saudita • Bandeiras do Mundo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/>
      </xdr:nvPicPr>
      <xdr:blipFill>
        <a:blip xmlns:r="http://schemas.openxmlformats.org/officeDocument/2006/relationships" r:embed="rId30"/>
        <a:stretch/>
      </xdr:blipFill>
      <xdr:spPr>
        <a:xfrm>
          <a:off x="4906080" y="4974120"/>
          <a:ext cx="267840" cy="19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5760</xdr:colOff>
      <xdr:row>23</xdr:row>
      <xdr:rowOff>6840</xdr:rowOff>
    </xdr:from>
    <xdr:to>
      <xdr:col>6</xdr:col>
      <xdr:colOff>270000</xdr:colOff>
      <xdr:row>23</xdr:row>
      <xdr:rowOff>190440</xdr:rowOff>
    </xdr:to>
    <xdr:pic>
      <xdr:nvPicPr>
        <xdr:cNvPr id="59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/>
      </xdr:nvPicPr>
      <xdr:blipFill>
        <a:blip xmlns:r="http://schemas.openxmlformats.org/officeDocument/2006/relationships" r:embed="rId31"/>
        <a:stretch/>
      </xdr:blipFill>
      <xdr:spPr>
        <a:xfrm>
          <a:off x="4909320" y="5169240"/>
          <a:ext cx="264240" cy="18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6120</xdr:colOff>
      <xdr:row>26</xdr:row>
      <xdr:rowOff>4680</xdr:rowOff>
    </xdr:from>
    <xdr:to>
      <xdr:col>6</xdr:col>
      <xdr:colOff>270360</xdr:colOff>
      <xdr:row>27</xdr:row>
      <xdr:rowOff>720</xdr:rowOff>
    </xdr:to>
    <xdr:pic>
      <xdr:nvPicPr>
        <xdr:cNvPr id="60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/>
      </xdr:nvPicPr>
      <xdr:blipFill>
        <a:blip xmlns:r="http://schemas.openxmlformats.org/officeDocument/2006/relationships" r:embed="rId31"/>
        <a:stretch/>
      </xdr:blipFill>
      <xdr:spPr>
        <a:xfrm>
          <a:off x="4909680" y="5738760"/>
          <a:ext cx="264240" cy="18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6120</xdr:colOff>
      <xdr:row>25</xdr:row>
      <xdr:rowOff>2520</xdr:rowOff>
    </xdr:from>
    <xdr:to>
      <xdr:col>6</xdr:col>
      <xdr:colOff>270360</xdr:colOff>
      <xdr:row>26</xdr:row>
      <xdr:rowOff>360</xdr:rowOff>
    </xdr:to>
    <xdr:pic>
      <xdr:nvPicPr>
        <xdr:cNvPr id="61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/>
      </xdr:nvPicPr>
      <xdr:blipFill>
        <a:blip xmlns:r="http://schemas.openxmlformats.org/officeDocument/2006/relationships" r:embed="rId31"/>
        <a:stretch/>
      </xdr:blipFill>
      <xdr:spPr>
        <a:xfrm>
          <a:off x="4909680" y="5546160"/>
          <a:ext cx="26424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6120</xdr:colOff>
      <xdr:row>24</xdr:row>
      <xdr:rowOff>720</xdr:rowOff>
    </xdr:from>
    <xdr:to>
      <xdr:col>6</xdr:col>
      <xdr:colOff>272160</xdr:colOff>
      <xdr:row>24</xdr:row>
      <xdr:rowOff>190080</xdr:rowOff>
    </xdr:to>
    <xdr:pic>
      <xdr:nvPicPr>
        <xdr:cNvPr id="62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/>
      </xdr:nvPicPr>
      <xdr:blipFill>
        <a:blip xmlns:r="http://schemas.openxmlformats.org/officeDocument/2006/relationships" r:embed="rId32"/>
        <a:stretch/>
      </xdr:blipFill>
      <xdr:spPr>
        <a:xfrm>
          <a:off x="4909680" y="5353920"/>
          <a:ext cx="266040" cy="18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538560</xdr:colOff>
      <xdr:row>23</xdr:row>
      <xdr:rowOff>2160</xdr:rowOff>
    </xdr:from>
    <xdr:to>
      <xdr:col>3</xdr:col>
      <xdr:colOff>1080</xdr:colOff>
      <xdr:row>23</xdr:row>
      <xdr:rowOff>190440</xdr:rowOff>
    </xdr:to>
    <xdr:pic>
      <xdr:nvPicPr>
        <xdr:cNvPr id="6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/>
      </xdr:nvPicPr>
      <xdr:blipFill>
        <a:blip xmlns:r="http://schemas.openxmlformats.org/officeDocument/2006/relationships" r:embed="rId32"/>
        <a:stretch/>
      </xdr:blipFill>
      <xdr:spPr>
        <a:xfrm>
          <a:off x="2056320" y="5164560"/>
          <a:ext cx="509400" cy="1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6120</xdr:colOff>
      <xdr:row>27</xdr:row>
      <xdr:rowOff>2160</xdr:rowOff>
    </xdr:from>
    <xdr:to>
      <xdr:col>6</xdr:col>
      <xdr:colOff>272160</xdr:colOff>
      <xdr:row>27</xdr:row>
      <xdr:rowOff>177480</xdr:rowOff>
    </xdr:to>
    <xdr:pic>
      <xdr:nvPicPr>
        <xdr:cNvPr id="6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/>
      </xdr:nvPicPr>
      <xdr:blipFill>
        <a:blip xmlns:r="http://schemas.openxmlformats.org/officeDocument/2006/relationships" r:embed="rId32"/>
        <a:stretch/>
      </xdr:blipFill>
      <xdr:spPr>
        <a:xfrm>
          <a:off x="4909680" y="5926680"/>
          <a:ext cx="266040" cy="175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538560</xdr:colOff>
      <xdr:row>31</xdr:row>
      <xdr:rowOff>6840</xdr:rowOff>
    </xdr:from>
    <xdr:to>
      <xdr:col>3</xdr:col>
      <xdr:colOff>1080</xdr:colOff>
      <xdr:row>31</xdr:row>
      <xdr:rowOff>186480</xdr:rowOff>
    </xdr:to>
    <xdr:pic>
      <xdr:nvPicPr>
        <xdr:cNvPr id="6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/>
      </xdr:nvPicPr>
      <xdr:blipFill>
        <a:blip xmlns:r="http://schemas.openxmlformats.org/officeDocument/2006/relationships" r:embed="rId33"/>
        <a:stretch/>
      </xdr:blipFill>
      <xdr:spPr>
        <a:xfrm>
          <a:off x="2056320" y="6721920"/>
          <a:ext cx="50940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540360</xdr:colOff>
      <xdr:row>33</xdr:row>
      <xdr:rowOff>2160</xdr:rowOff>
    </xdr:from>
    <xdr:to>
      <xdr:col>3</xdr:col>
      <xdr:colOff>2880</xdr:colOff>
      <xdr:row>33</xdr:row>
      <xdr:rowOff>187560</xdr:rowOff>
    </xdr:to>
    <xdr:pic>
      <xdr:nvPicPr>
        <xdr:cNvPr id="6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/>
      </xdr:nvPicPr>
      <xdr:blipFill>
        <a:blip xmlns:r="http://schemas.openxmlformats.org/officeDocument/2006/relationships" r:embed="rId33"/>
        <a:stretch/>
      </xdr:blipFill>
      <xdr:spPr>
        <a:xfrm>
          <a:off x="2058120" y="7098120"/>
          <a:ext cx="509400" cy="18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536040</xdr:colOff>
      <xdr:row>35</xdr:row>
      <xdr:rowOff>1800</xdr:rowOff>
    </xdr:from>
    <xdr:to>
      <xdr:col>3</xdr:col>
      <xdr:colOff>1800</xdr:colOff>
      <xdr:row>35</xdr:row>
      <xdr:rowOff>179640</xdr:rowOff>
    </xdr:to>
    <xdr:pic>
      <xdr:nvPicPr>
        <xdr:cNvPr id="6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/>
      </xdr:nvPicPr>
      <xdr:blipFill>
        <a:blip xmlns:r="http://schemas.openxmlformats.org/officeDocument/2006/relationships" r:embed="rId33"/>
        <a:stretch/>
      </xdr:blipFill>
      <xdr:spPr>
        <a:xfrm>
          <a:off x="2053800" y="7479000"/>
          <a:ext cx="512640" cy="17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539280</xdr:colOff>
      <xdr:row>32</xdr:row>
      <xdr:rowOff>0</xdr:rowOff>
    </xdr:from>
    <xdr:to>
      <xdr:col>2</xdr:col>
      <xdr:colOff>1046880</xdr:colOff>
      <xdr:row>32</xdr:row>
      <xdr:rowOff>187560</xdr:rowOff>
    </xdr:to>
    <xdr:pic>
      <xdr:nvPicPr>
        <xdr:cNvPr id="68" name="Imagem 87" descr="Significado da bandeira da Dinamarca - Estudo Prático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/>
      </xdr:nvPicPr>
      <xdr:blipFill>
        <a:blip xmlns:r="http://schemas.openxmlformats.org/officeDocument/2006/relationships" r:embed="rId34"/>
        <a:stretch/>
      </xdr:blipFill>
      <xdr:spPr>
        <a:xfrm>
          <a:off x="2057040" y="6905520"/>
          <a:ext cx="507600" cy="18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4320</xdr:colOff>
      <xdr:row>36</xdr:row>
      <xdr:rowOff>5400</xdr:rowOff>
    </xdr:from>
    <xdr:to>
      <xdr:col>6</xdr:col>
      <xdr:colOff>281520</xdr:colOff>
      <xdr:row>37</xdr:row>
      <xdr:rowOff>360</xdr:rowOff>
    </xdr:to>
    <xdr:pic>
      <xdr:nvPicPr>
        <xdr:cNvPr id="69" name="Imagem 88" descr="Significado da bandeira da Dinamarca - Estudo Prático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/>
      </xdr:nvPicPr>
      <xdr:blipFill>
        <a:blip xmlns:r="http://schemas.openxmlformats.org/officeDocument/2006/relationships" r:embed="rId34"/>
        <a:stretch/>
      </xdr:blipFill>
      <xdr:spPr>
        <a:xfrm>
          <a:off x="4907880" y="7663680"/>
          <a:ext cx="277200" cy="16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5040</xdr:colOff>
      <xdr:row>33</xdr:row>
      <xdr:rowOff>4320</xdr:rowOff>
    </xdr:from>
    <xdr:to>
      <xdr:col>6</xdr:col>
      <xdr:colOff>276480</xdr:colOff>
      <xdr:row>33</xdr:row>
      <xdr:rowOff>187560</xdr:rowOff>
    </xdr:to>
    <xdr:pic>
      <xdr:nvPicPr>
        <xdr:cNvPr id="70" name="Imagem 90" descr="Significado da bandeira da Dinamarca - Estudo Prático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/>
      </xdr:nvPicPr>
      <xdr:blipFill>
        <a:blip xmlns:r="http://schemas.openxmlformats.org/officeDocument/2006/relationships" r:embed="rId34"/>
        <a:stretch/>
      </xdr:blipFill>
      <xdr:spPr>
        <a:xfrm>
          <a:off x="4908600" y="7100280"/>
          <a:ext cx="271440" cy="18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6120</xdr:colOff>
      <xdr:row>31</xdr:row>
      <xdr:rowOff>1800</xdr:rowOff>
    </xdr:from>
    <xdr:to>
      <xdr:col>6</xdr:col>
      <xdr:colOff>279000</xdr:colOff>
      <xdr:row>32</xdr:row>
      <xdr:rowOff>5040</xdr:rowOff>
    </xdr:to>
    <xdr:pic>
      <xdr:nvPicPr>
        <xdr:cNvPr id="71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/>
      </xdr:nvPicPr>
      <xdr:blipFill>
        <a:blip xmlns:r="http://schemas.openxmlformats.org/officeDocument/2006/relationships" r:embed="rId35"/>
        <a:stretch/>
      </xdr:blipFill>
      <xdr:spPr>
        <a:xfrm>
          <a:off x="4909680" y="6716880"/>
          <a:ext cx="272880" cy="19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534960</xdr:colOff>
      <xdr:row>36</xdr:row>
      <xdr:rowOff>3600</xdr:rowOff>
    </xdr:from>
    <xdr:to>
      <xdr:col>3</xdr:col>
      <xdr:colOff>1800</xdr:colOff>
      <xdr:row>36</xdr:row>
      <xdr:rowOff>171000</xdr:rowOff>
    </xdr:to>
    <xdr:pic>
      <xdr:nvPicPr>
        <xdr:cNvPr id="72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/>
      </xdr:nvPicPr>
      <xdr:blipFill>
        <a:blip xmlns:r="http://schemas.openxmlformats.org/officeDocument/2006/relationships" r:embed="rId35"/>
        <a:stretch/>
      </xdr:blipFill>
      <xdr:spPr>
        <a:xfrm>
          <a:off x="2052720" y="7661880"/>
          <a:ext cx="513720" cy="16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537480</xdr:colOff>
      <xdr:row>34</xdr:row>
      <xdr:rowOff>2160</xdr:rowOff>
    </xdr:from>
    <xdr:to>
      <xdr:col>3</xdr:col>
      <xdr:colOff>720</xdr:colOff>
      <xdr:row>35</xdr:row>
      <xdr:rowOff>360</xdr:rowOff>
    </xdr:to>
    <xdr:pic>
      <xdr:nvPicPr>
        <xdr:cNvPr id="73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/>
      </xdr:nvPicPr>
      <xdr:blipFill>
        <a:blip xmlns:r="http://schemas.openxmlformats.org/officeDocument/2006/relationships" r:embed="rId35"/>
        <a:stretch/>
      </xdr:blipFill>
      <xdr:spPr>
        <a:xfrm>
          <a:off x="2055240" y="7288920"/>
          <a:ext cx="510120" cy="18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4320</xdr:colOff>
      <xdr:row>32</xdr:row>
      <xdr:rowOff>4320</xdr:rowOff>
    </xdr:from>
    <xdr:to>
      <xdr:col>6</xdr:col>
      <xdr:colOff>276120</xdr:colOff>
      <xdr:row>32</xdr:row>
      <xdr:rowOff>190080</xdr:rowOff>
    </xdr:to>
    <xdr:pic>
      <xdr:nvPicPr>
        <xdr:cNvPr id="74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/>
      </xdr:nvPicPr>
      <xdr:blipFill>
        <a:blip xmlns:r="http://schemas.openxmlformats.org/officeDocument/2006/relationships" r:embed="rId36"/>
        <a:stretch/>
      </xdr:blipFill>
      <xdr:spPr>
        <a:xfrm>
          <a:off x="4907880" y="6909840"/>
          <a:ext cx="271800" cy="18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4320</xdr:colOff>
      <xdr:row>34</xdr:row>
      <xdr:rowOff>2520</xdr:rowOff>
    </xdr:from>
    <xdr:to>
      <xdr:col>6</xdr:col>
      <xdr:colOff>279000</xdr:colOff>
      <xdr:row>35</xdr:row>
      <xdr:rowOff>2160</xdr:rowOff>
    </xdr:to>
    <xdr:pic>
      <xdr:nvPicPr>
        <xdr:cNvPr id="75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/>
      </xdr:nvPicPr>
      <xdr:blipFill>
        <a:blip xmlns:r="http://schemas.openxmlformats.org/officeDocument/2006/relationships" r:embed="rId36"/>
        <a:stretch/>
      </xdr:blipFill>
      <xdr:spPr>
        <a:xfrm>
          <a:off x="4907880" y="7289280"/>
          <a:ext cx="274680" cy="19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4320</xdr:colOff>
      <xdr:row>35</xdr:row>
      <xdr:rowOff>4320</xdr:rowOff>
    </xdr:from>
    <xdr:to>
      <xdr:col>6</xdr:col>
      <xdr:colOff>281520</xdr:colOff>
      <xdr:row>36</xdr:row>
      <xdr:rowOff>1080</xdr:rowOff>
    </xdr:to>
    <xdr:pic>
      <xdr:nvPicPr>
        <xdr:cNvPr id="76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/>
      </xdr:nvPicPr>
      <xdr:blipFill>
        <a:blip xmlns:r="http://schemas.openxmlformats.org/officeDocument/2006/relationships" r:embed="rId36"/>
        <a:stretch/>
      </xdr:blipFill>
      <xdr:spPr>
        <a:xfrm>
          <a:off x="4907880" y="7481520"/>
          <a:ext cx="277200" cy="17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533160</xdr:colOff>
      <xdr:row>40</xdr:row>
      <xdr:rowOff>2160</xdr:rowOff>
    </xdr:from>
    <xdr:to>
      <xdr:col>3</xdr:col>
      <xdr:colOff>1440</xdr:colOff>
      <xdr:row>40</xdr:row>
      <xdr:rowOff>180720</xdr:rowOff>
    </xdr:to>
    <xdr:pic>
      <xdr:nvPicPr>
        <xdr:cNvPr id="77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/>
      </xdr:nvPicPr>
      <xdr:blipFill>
        <a:blip xmlns:r="http://schemas.openxmlformats.org/officeDocument/2006/relationships" r:embed="rId37"/>
        <a:stretch/>
      </xdr:blipFill>
      <xdr:spPr>
        <a:xfrm>
          <a:off x="2050920" y="8422200"/>
          <a:ext cx="515160" cy="178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533160</xdr:colOff>
      <xdr:row>42</xdr:row>
      <xdr:rowOff>2160</xdr:rowOff>
    </xdr:from>
    <xdr:to>
      <xdr:col>3</xdr:col>
      <xdr:colOff>1800</xdr:colOff>
      <xdr:row>42</xdr:row>
      <xdr:rowOff>179280</xdr:rowOff>
    </xdr:to>
    <xdr:pic>
      <xdr:nvPicPr>
        <xdr:cNvPr id="78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/>
      </xdr:nvPicPr>
      <xdr:blipFill>
        <a:blip xmlns:r="http://schemas.openxmlformats.org/officeDocument/2006/relationships" r:embed="rId37"/>
        <a:stretch/>
      </xdr:blipFill>
      <xdr:spPr>
        <a:xfrm>
          <a:off x="2050920" y="8784360"/>
          <a:ext cx="515520" cy="17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533880</xdr:colOff>
      <xdr:row>44</xdr:row>
      <xdr:rowOff>2160</xdr:rowOff>
    </xdr:from>
    <xdr:to>
      <xdr:col>3</xdr:col>
      <xdr:colOff>1800</xdr:colOff>
      <xdr:row>44</xdr:row>
      <xdr:rowOff>179280</xdr:rowOff>
    </xdr:to>
    <xdr:pic>
      <xdr:nvPicPr>
        <xdr:cNvPr id="79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/>
      </xdr:nvPicPr>
      <xdr:blipFill>
        <a:blip xmlns:r="http://schemas.openxmlformats.org/officeDocument/2006/relationships" r:embed="rId37"/>
        <a:stretch/>
      </xdr:blipFill>
      <xdr:spPr>
        <a:xfrm>
          <a:off x="2051640" y="9146160"/>
          <a:ext cx="514800" cy="17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3960</xdr:colOff>
      <xdr:row>42</xdr:row>
      <xdr:rowOff>2160</xdr:rowOff>
    </xdr:from>
    <xdr:to>
      <xdr:col>6</xdr:col>
      <xdr:colOff>279000</xdr:colOff>
      <xdr:row>42</xdr:row>
      <xdr:rowOff>180360</xdr:rowOff>
    </xdr:to>
    <xdr:pic>
      <xdr:nvPicPr>
        <xdr:cNvPr id="80" name="Imagem 106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/>
      </xdr:nvPicPr>
      <xdr:blipFill>
        <a:blip xmlns:r="http://schemas.openxmlformats.org/officeDocument/2006/relationships" r:embed="rId38"/>
        <a:stretch/>
      </xdr:blipFill>
      <xdr:spPr>
        <a:xfrm>
          <a:off x="4907520" y="8784360"/>
          <a:ext cx="275040" cy="17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3600</xdr:colOff>
      <xdr:row>45</xdr:row>
      <xdr:rowOff>3960</xdr:rowOff>
    </xdr:from>
    <xdr:to>
      <xdr:col>6</xdr:col>
      <xdr:colOff>283680</xdr:colOff>
      <xdr:row>45</xdr:row>
      <xdr:rowOff>180720</xdr:rowOff>
    </xdr:to>
    <xdr:pic>
      <xdr:nvPicPr>
        <xdr:cNvPr id="81" name="Imagem 107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/>
      </xdr:nvPicPr>
      <xdr:blipFill>
        <a:blip xmlns:r="http://schemas.openxmlformats.org/officeDocument/2006/relationships" r:embed="rId38"/>
        <a:stretch/>
      </xdr:blipFill>
      <xdr:spPr>
        <a:xfrm>
          <a:off x="4907160" y="9329040"/>
          <a:ext cx="280080" cy="17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533160</xdr:colOff>
      <xdr:row>41</xdr:row>
      <xdr:rowOff>2160</xdr:rowOff>
    </xdr:from>
    <xdr:to>
      <xdr:col>3</xdr:col>
      <xdr:colOff>1440</xdr:colOff>
      <xdr:row>41</xdr:row>
      <xdr:rowOff>179280</xdr:rowOff>
    </xdr:to>
    <xdr:pic>
      <xdr:nvPicPr>
        <xdr:cNvPr id="82" name="Imagem 108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/>
      </xdr:nvPicPr>
      <xdr:blipFill>
        <a:blip xmlns:r="http://schemas.openxmlformats.org/officeDocument/2006/relationships" r:embed="rId38"/>
        <a:stretch/>
      </xdr:blipFill>
      <xdr:spPr>
        <a:xfrm>
          <a:off x="2050920" y="8603280"/>
          <a:ext cx="515160" cy="17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533880</xdr:colOff>
      <xdr:row>43</xdr:row>
      <xdr:rowOff>3600</xdr:rowOff>
    </xdr:from>
    <xdr:to>
      <xdr:col>3</xdr:col>
      <xdr:colOff>2520</xdr:colOff>
      <xdr:row>44</xdr:row>
      <xdr:rowOff>2160</xdr:rowOff>
    </xdr:to>
    <xdr:pic>
      <xdr:nvPicPr>
        <xdr:cNvPr id="83" name="Imagem 109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/>
      </xdr:nvPicPr>
      <xdr:blipFill>
        <a:blip xmlns:r="http://schemas.openxmlformats.org/officeDocument/2006/relationships" r:embed="rId39"/>
        <a:stretch/>
      </xdr:blipFill>
      <xdr:spPr>
        <a:xfrm>
          <a:off x="2051640" y="8966520"/>
          <a:ext cx="51552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3960</xdr:colOff>
      <xdr:row>40</xdr:row>
      <xdr:rowOff>1440</xdr:rowOff>
    </xdr:from>
    <xdr:to>
      <xdr:col>6</xdr:col>
      <xdr:colOff>278280</xdr:colOff>
      <xdr:row>40</xdr:row>
      <xdr:rowOff>181080</xdr:rowOff>
    </xdr:to>
    <xdr:pic>
      <xdr:nvPicPr>
        <xdr:cNvPr id="84" name="Imagem 11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/>
      </xdr:nvPicPr>
      <xdr:blipFill>
        <a:blip xmlns:r="http://schemas.openxmlformats.org/officeDocument/2006/relationships" r:embed="rId39"/>
        <a:stretch/>
      </xdr:blipFill>
      <xdr:spPr>
        <a:xfrm>
          <a:off x="4907520" y="8421480"/>
          <a:ext cx="27432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533880</xdr:colOff>
      <xdr:row>45</xdr:row>
      <xdr:rowOff>2520</xdr:rowOff>
    </xdr:from>
    <xdr:to>
      <xdr:col>3</xdr:col>
      <xdr:colOff>1800</xdr:colOff>
      <xdr:row>46</xdr:row>
      <xdr:rowOff>1080</xdr:rowOff>
    </xdr:to>
    <xdr:pic>
      <xdr:nvPicPr>
        <xdr:cNvPr id="85" name="Imagem 11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/>
      </xdr:nvPicPr>
      <xdr:blipFill>
        <a:blip xmlns:r="http://schemas.openxmlformats.org/officeDocument/2006/relationships" r:embed="rId39"/>
        <a:stretch/>
      </xdr:blipFill>
      <xdr:spPr>
        <a:xfrm>
          <a:off x="2051640" y="9327600"/>
          <a:ext cx="514800" cy="17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6480</xdr:colOff>
      <xdr:row>41</xdr:row>
      <xdr:rowOff>2520</xdr:rowOff>
    </xdr:from>
    <xdr:to>
      <xdr:col>6</xdr:col>
      <xdr:colOff>279360</xdr:colOff>
      <xdr:row>41</xdr:row>
      <xdr:rowOff>175680</xdr:rowOff>
    </xdr:to>
    <xdr:pic>
      <xdr:nvPicPr>
        <xdr:cNvPr id="86" name="Imagem 113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/>
      </xdr:nvPicPr>
      <xdr:blipFill>
        <a:blip xmlns:r="http://schemas.openxmlformats.org/officeDocument/2006/relationships" r:embed="rId40"/>
        <a:stretch/>
      </xdr:blipFill>
      <xdr:spPr>
        <a:xfrm>
          <a:off x="4910040" y="8603640"/>
          <a:ext cx="272880" cy="17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5040</xdr:colOff>
      <xdr:row>43</xdr:row>
      <xdr:rowOff>3240</xdr:rowOff>
    </xdr:from>
    <xdr:to>
      <xdr:col>6</xdr:col>
      <xdr:colOff>279720</xdr:colOff>
      <xdr:row>43</xdr:row>
      <xdr:rowOff>179640</xdr:rowOff>
    </xdr:to>
    <xdr:pic>
      <xdr:nvPicPr>
        <xdr:cNvPr id="87" name="Imagem 114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/>
      </xdr:nvPicPr>
      <xdr:blipFill>
        <a:blip xmlns:r="http://schemas.openxmlformats.org/officeDocument/2006/relationships" r:embed="rId40"/>
        <a:stretch/>
      </xdr:blipFill>
      <xdr:spPr>
        <a:xfrm>
          <a:off x="4908600" y="8966160"/>
          <a:ext cx="274680" cy="17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5400</xdr:colOff>
      <xdr:row>44</xdr:row>
      <xdr:rowOff>6120</xdr:rowOff>
    </xdr:from>
    <xdr:to>
      <xdr:col>6</xdr:col>
      <xdr:colOff>279720</xdr:colOff>
      <xdr:row>44</xdr:row>
      <xdr:rowOff>177840</xdr:rowOff>
    </xdr:to>
    <xdr:pic>
      <xdr:nvPicPr>
        <xdr:cNvPr id="88" name="Imagem 115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/>
      </xdr:nvPicPr>
      <xdr:blipFill>
        <a:blip xmlns:r="http://schemas.openxmlformats.org/officeDocument/2006/relationships" r:embed="rId40"/>
        <a:stretch/>
      </xdr:blipFill>
      <xdr:spPr>
        <a:xfrm>
          <a:off x="4908960" y="9150120"/>
          <a:ext cx="274320" cy="17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532080</xdr:colOff>
      <xdr:row>49</xdr:row>
      <xdr:rowOff>2160</xdr:rowOff>
    </xdr:from>
    <xdr:to>
      <xdr:col>3</xdr:col>
      <xdr:colOff>3240</xdr:colOff>
      <xdr:row>50</xdr:row>
      <xdr:rowOff>720</xdr:rowOff>
    </xdr:to>
    <xdr:pic>
      <xdr:nvPicPr>
        <xdr:cNvPr id="89" name="Imagem 117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/>
      </xdr:nvPicPr>
      <xdr:blipFill>
        <a:blip xmlns:r="http://schemas.openxmlformats.org/officeDocument/2006/relationships" r:embed="rId41"/>
        <a:stretch/>
      </xdr:blipFill>
      <xdr:spPr>
        <a:xfrm>
          <a:off x="2049840" y="10098720"/>
          <a:ext cx="51804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532800</xdr:colOff>
      <xdr:row>51</xdr:row>
      <xdr:rowOff>2880</xdr:rowOff>
    </xdr:from>
    <xdr:to>
      <xdr:col>2</xdr:col>
      <xdr:colOff>1046520</xdr:colOff>
      <xdr:row>51</xdr:row>
      <xdr:rowOff>180720</xdr:rowOff>
    </xdr:to>
    <xdr:pic>
      <xdr:nvPicPr>
        <xdr:cNvPr id="90" name="Imagem 118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/>
      </xdr:nvPicPr>
      <xdr:blipFill>
        <a:blip xmlns:r="http://schemas.openxmlformats.org/officeDocument/2006/relationships" r:embed="rId41"/>
        <a:stretch/>
      </xdr:blipFill>
      <xdr:spPr>
        <a:xfrm>
          <a:off x="2050560" y="10461240"/>
          <a:ext cx="513720" cy="17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528120</xdr:colOff>
      <xdr:row>53</xdr:row>
      <xdr:rowOff>2160</xdr:rowOff>
    </xdr:from>
    <xdr:to>
      <xdr:col>3</xdr:col>
      <xdr:colOff>1440</xdr:colOff>
      <xdr:row>53</xdr:row>
      <xdr:rowOff>171000</xdr:rowOff>
    </xdr:to>
    <xdr:pic>
      <xdr:nvPicPr>
        <xdr:cNvPr id="91" name="Imagem 119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/>
      </xdr:nvPicPr>
      <xdr:blipFill>
        <a:blip xmlns:r="http://schemas.openxmlformats.org/officeDocument/2006/relationships" r:embed="rId41"/>
        <a:stretch/>
      </xdr:blipFill>
      <xdr:spPr>
        <a:xfrm>
          <a:off x="2045880" y="10822680"/>
          <a:ext cx="52020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533880</xdr:colOff>
      <xdr:row>50</xdr:row>
      <xdr:rowOff>1080</xdr:rowOff>
    </xdr:from>
    <xdr:to>
      <xdr:col>3</xdr:col>
      <xdr:colOff>2520</xdr:colOff>
      <xdr:row>50</xdr:row>
      <xdr:rowOff>180360</xdr:rowOff>
    </xdr:to>
    <xdr:pic>
      <xdr:nvPicPr>
        <xdr:cNvPr id="92" name="Imagem 120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/>
      </xdr:nvPicPr>
      <xdr:blipFill>
        <a:blip xmlns:r="http://schemas.openxmlformats.org/officeDocument/2006/relationships" r:embed="rId42"/>
        <a:stretch/>
      </xdr:blipFill>
      <xdr:spPr>
        <a:xfrm>
          <a:off x="2051640" y="10278720"/>
          <a:ext cx="515520" cy="17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3600</xdr:colOff>
      <xdr:row>51</xdr:row>
      <xdr:rowOff>1080</xdr:rowOff>
    </xdr:from>
    <xdr:to>
      <xdr:col>6</xdr:col>
      <xdr:colOff>279360</xdr:colOff>
      <xdr:row>51</xdr:row>
      <xdr:rowOff>180720</xdr:rowOff>
    </xdr:to>
    <xdr:pic>
      <xdr:nvPicPr>
        <xdr:cNvPr id="93" name="Imagem 12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/>
      </xdr:nvPicPr>
      <xdr:blipFill>
        <a:blip xmlns:r="http://schemas.openxmlformats.org/officeDocument/2006/relationships" r:embed="rId42"/>
        <a:stretch/>
      </xdr:blipFill>
      <xdr:spPr>
        <a:xfrm>
          <a:off x="4907160" y="10459440"/>
          <a:ext cx="27576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4320</xdr:colOff>
      <xdr:row>54</xdr:row>
      <xdr:rowOff>1800</xdr:rowOff>
    </xdr:from>
    <xdr:to>
      <xdr:col>6</xdr:col>
      <xdr:colOff>279360</xdr:colOff>
      <xdr:row>55</xdr:row>
      <xdr:rowOff>360</xdr:rowOff>
    </xdr:to>
    <xdr:pic>
      <xdr:nvPicPr>
        <xdr:cNvPr id="94" name="Imagem 12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/>
      </xdr:nvPicPr>
      <xdr:blipFill>
        <a:blip xmlns:r="http://schemas.openxmlformats.org/officeDocument/2006/relationships" r:embed="rId42"/>
        <a:stretch/>
      </xdr:blipFill>
      <xdr:spPr>
        <a:xfrm>
          <a:off x="4907880" y="10993680"/>
          <a:ext cx="27504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2880</xdr:colOff>
      <xdr:row>49</xdr:row>
      <xdr:rowOff>2160</xdr:rowOff>
    </xdr:from>
    <xdr:to>
      <xdr:col>6</xdr:col>
      <xdr:colOff>275400</xdr:colOff>
      <xdr:row>50</xdr:row>
      <xdr:rowOff>720</xdr:rowOff>
    </xdr:to>
    <xdr:pic>
      <xdr:nvPicPr>
        <xdr:cNvPr id="95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/>
      </xdr:nvPicPr>
      <xdr:blipFill>
        <a:blip xmlns:r="http://schemas.openxmlformats.org/officeDocument/2006/relationships" r:embed="rId43"/>
        <a:stretch/>
      </xdr:blipFill>
      <xdr:spPr>
        <a:xfrm>
          <a:off x="4906440" y="10098720"/>
          <a:ext cx="27252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525960</xdr:colOff>
      <xdr:row>54</xdr:row>
      <xdr:rowOff>2880</xdr:rowOff>
    </xdr:from>
    <xdr:to>
      <xdr:col>3</xdr:col>
      <xdr:colOff>3240</xdr:colOff>
      <xdr:row>55</xdr:row>
      <xdr:rowOff>1440</xdr:rowOff>
    </xdr:to>
    <xdr:pic>
      <xdr:nvPicPr>
        <xdr:cNvPr id="96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/>
      </xdr:nvPicPr>
      <xdr:blipFill>
        <a:blip xmlns:r="http://schemas.openxmlformats.org/officeDocument/2006/relationships" r:embed="rId44"/>
        <a:stretch/>
      </xdr:blipFill>
      <xdr:spPr>
        <a:xfrm>
          <a:off x="2043720" y="10994760"/>
          <a:ext cx="52416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529920</xdr:colOff>
      <xdr:row>52</xdr:row>
      <xdr:rowOff>1800</xdr:rowOff>
    </xdr:from>
    <xdr:to>
      <xdr:col>2</xdr:col>
      <xdr:colOff>1046520</xdr:colOff>
      <xdr:row>53</xdr:row>
      <xdr:rowOff>360</xdr:rowOff>
    </xdr:to>
    <xdr:pic>
      <xdr:nvPicPr>
        <xdr:cNvPr id="97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/>
      </xdr:nvPicPr>
      <xdr:blipFill>
        <a:blip xmlns:r="http://schemas.openxmlformats.org/officeDocument/2006/relationships" r:embed="rId45"/>
        <a:stretch/>
      </xdr:blipFill>
      <xdr:spPr>
        <a:xfrm>
          <a:off x="2047680" y="10641240"/>
          <a:ext cx="51660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50</xdr:row>
      <xdr:rowOff>1080</xdr:rowOff>
    </xdr:from>
    <xdr:to>
      <xdr:col>6</xdr:col>
      <xdr:colOff>275400</xdr:colOff>
      <xdr:row>50</xdr:row>
      <xdr:rowOff>180360</xdr:rowOff>
    </xdr:to>
    <xdr:pic>
      <xdr:nvPicPr>
        <xdr:cNvPr id="98" name="Imagem 126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/>
      </xdr:nvPicPr>
      <xdr:blipFill>
        <a:blip xmlns:r="http://schemas.openxmlformats.org/officeDocument/2006/relationships" r:embed="rId46"/>
        <a:stretch/>
      </xdr:blipFill>
      <xdr:spPr>
        <a:xfrm>
          <a:off x="4905720" y="10278720"/>
          <a:ext cx="273240" cy="17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3600</xdr:colOff>
      <xdr:row>52</xdr:row>
      <xdr:rowOff>360</xdr:rowOff>
    </xdr:from>
    <xdr:to>
      <xdr:col>6</xdr:col>
      <xdr:colOff>278280</xdr:colOff>
      <xdr:row>52</xdr:row>
      <xdr:rowOff>177480</xdr:rowOff>
    </xdr:to>
    <xdr:pic>
      <xdr:nvPicPr>
        <xdr:cNvPr id="99" name="Imagem 127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/>
      </xdr:nvPicPr>
      <xdr:blipFill>
        <a:blip xmlns:r="http://schemas.openxmlformats.org/officeDocument/2006/relationships" r:embed="rId46"/>
        <a:stretch/>
      </xdr:blipFill>
      <xdr:spPr>
        <a:xfrm>
          <a:off x="4907160" y="10639800"/>
          <a:ext cx="274680" cy="17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3240</xdr:colOff>
      <xdr:row>53</xdr:row>
      <xdr:rowOff>2160</xdr:rowOff>
    </xdr:from>
    <xdr:to>
      <xdr:col>6</xdr:col>
      <xdr:colOff>278280</xdr:colOff>
      <xdr:row>53</xdr:row>
      <xdr:rowOff>171000</xdr:rowOff>
    </xdr:to>
    <xdr:pic>
      <xdr:nvPicPr>
        <xdr:cNvPr id="100" name="Imagem 128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/>
      </xdr:nvPicPr>
      <xdr:blipFill>
        <a:blip xmlns:r="http://schemas.openxmlformats.org/officeDocument/2006/relationships" r:embed="rId46"/>
        <a:stretch/>
      </xdr:blipFill>
      <xdr:spPr>
        <a:xfrm>
          <a:off x="4906800" y="10822680"/>
          <a:ext cx="275040" cy="1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533880</xdr:colOff>
      <xdr:row>58</xdr:row>
      <xdr:rowOff>2160</xdr:rowOff>
    </xdr:from>
    <xdr:to>
      <xdr:col>3</xdr:col>
      <xdr:colOff>3240</xdr:colOff>
      <xdr:row>59</xdr:row>
      <xdr:rowOff>720</xdr:rowOff>
    </xdr:to>
    <xdr:pic>
      <xdr:nvPicPr>
        <xdr:cNvPr id="101" name="Imagem 129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/>
      </xdr:nvPicPr>
      <xdr:blipFill>
        <a:blip xmlns:r="http://schemas.openxmlformats.org/officeDocument/2006/relationships" r:embed="rId47"/>
        <a:stretch/>
      </xdr:blipFill>
      <xdr:spPr>
        <a:xfrm>
          <a:off x="2051640" y="11765520"/>
          <a:ext cx="51624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533880</xdr:colOff>
      <xdr:row>60</xdr:row>
      <xdr:rowOff>3960</xdr:rowOff>
    </xdr:from>
    <xdr:to>
      <xdr:col>3</xdr:col>
      <xdr:colOff>3240</xdr:colOff>
      <xdr:row>60</xdr:row>
      <xdr:rowOff>180720</xdr:rowOff>
    </xdr:to>
    <xdr:pic>
      <xdr:nvPicPr>
        <xdr:cNvPr id="102" name="Imagem 130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/>
      </xdr:nvPicPr>
      <xdr:blipFill>
        <a:blip xmlns:r="http://schemas.openxmlformats.org/officeDocument/2006/relationships" r:embed="rId47"/>
        <a:stretch/>
      </xdr:blipFill>
      <xdr:spPr>
        <a:xfrm>
          <a:off x="2051640" y="12129120"/>
          <a:ext cx="516240" cy="17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535680</xdr:colOff>
      <xdr:row>62</xdr:row>
      <xdr:rowOff>2880</xdr:rowOff>
    </xdr:from>
    <xdr:to>
      <xdr:col>2</xdr:col>
      <xdr:colOff>1046880</xdr:colOff>
      <xdr:row>62</xdr:row>
      <xdr:rowOff>180720</xdr:rowOff>
    </xdr:to>
    <xdr:pic>
      <xdr:nvPicPr>
        <xdr:cNvPr id="103" name="Imagem 13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/>
      </xdr:nvPicPr>
      <xdr:blipFill>
        <a:blip xmlns:r="http://schemas.openxmlformats.org/officeDocument/2006/relationships" r:embed="rId47"/>
        <a:stretch/>
      </xdr:blipFill>
      <xdr:spPr>
        <a:xfrm>
          <a:off x="2053440" y="12490200"/>
          <a:ext cx="511200" cy="17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533520</xdr:colOff>
      <xdr:row>59</xdr:row>
      <xdr:rowOff>2520</xdr:rowOff>
    </xdr:from>
    <xdr:to>
      <xdr:col>3</xdr:col>
      <xdr:colOff>2520</xdr:colOff>
      <xdr:row>60</xdr:row>
      <xdr:rowOff>1800</xdr:rowOff>
    </xdr:to>
    <xdr:pic>
      <xdr:nvPicPr>
        <xdr:cNvPr id="104" name="Imagem 132" descr="Suiça, Bandeiras, Bandeiras do mundo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/>
      </xdr:nvPicPr>
      <xdr:blipFill>
        <a:blip xmlns:r="http://schemas.openxmlformats.org/officeDocument/2006/relationships" r:embed="rId48"/>
        <a:stretch/>
      </xdr:blipFill>
      <xdr:spPr>
        <a:xfrm>
          <a:off x="2051280" y="11946960"/>
          <a:ext cx="515880" cy="18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60</xdr:row>
      <xdr:rowOff>0</xdr:rowOff>
    </xdr:from>
    <xdr:to>
      <xdr:col>6</xdr:col>
      <xdr:colOff>277560</xdr:colOff>
      <xdr:row>60</xdr:row>
      <xdr:rowOff>179640</xdr:rowOff>
    </xdr:to>
    <xdr:pic>
      <xdr:nvPicPr>
        <xdr:cNvPr id="105" name="Imagem 133" descr="Suiça, Bandeiras, Bandeiras do mundo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/>
      </xdr:nvPicPr>
      <xdr:blipFill>
        <a:blip xmlns:r="http://schemas.openxmlformats.org/officeDocument/2006/relationships" r:embed="rId48"/>
        <a:stretch/>
      </xdr:blipFill>
      <xdr:spPr>
        <a:xfrm>
          <a:off x="4905720" y="12125160"/>
          <a:ext cx="275400" cy="17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63</xdr:row>
      <xdr:rowOff>2160</xdr:rowOff>
    </xdr:from>
    <xdr:to>
      <xdr:col>6</xdr:col>
      <xdr:colOff>275760</xdr:colOff>
      <xdr:row>63</xdr:row>
      <xdr:rowOff>179280</xdr:rowOff>
    </xdr:to>
    <xdr:pic>
      <xdr:nvPicPr>
        <xdr:cNvPr id="106" name="Imagem 134" descr="Suiça, Bandeiras, Bandeiras do mundo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/>
      </xdr:nvPicPr>
      <xdr:blipFill>
        <a:blip xmlns:r="http://schemas.openxmlformats.org/officeDocument/2006/relationships" r:embed="rId48"/>
        <a:stretch/>
      </xdr:blipFill>
      <xdr:spPr>
        <a:xfrm>
          <a:off x="4905720" y="12670560"/>
          <a:ext cx="273600" cy="17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1440</xdr:colOff>
      <xdr:row>59</xdr:row>
      <xdr:rowOff>2160</xdr:rowOff>
    </xdr:from>
    <xdr:to>
      <xdr:col>6</xdr:col>
      <xdr:colOff>275400</xdr:colOff>
      <xdr:row>59</xdr:row>
      <xdr:rowOff>179280</xdr:rowOff>
    </xdr:to>
    <xdr:pic>
      <xdr:nvPicPr>
        <xdr:cNvPr id="107" name="Imagem 135" descr="Guia da Copa - Camarões | GZH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/>
      </xdr:nvPicPr>
      <xdr:blipFill>
        <a:blip xmlns:r="http://schemas.openxmlformats.org/officeDocument/2006/relationships" r:embed="rId49"/>
        <a:stretch/>
      </xdr:blipFill>
      <xdr:spPr>
        <a:xfrm>
          <a:off x="4905000" y="11946600"/>
          <a:ext cx="273960" cy="17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2160</xdr:colOff>
      <xdr:row>61</xdr:row>
      <xdr:rowOff>2520</xdr:rowOff>
    </xdr:from>
    <xdr:to>
      <xdr:col>6</xdr:col>
      <xdr:colOff>277560</xdr:colOff>
      <xdr:row>61</xdr:row>
      <xdr:rowOff>179640</xdr:rowOff>
    </xdr:to>
    <xdr:pic>
      <xdr:nvPicPr>
        <xdr:cNvPr id="108" name="Imagem 136" descr="Guia da Copa - Camarões | GZH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/>
      </xdr:nvPicPr>
      <xdr:blipFill>
        <a:blip xmlns:r="http://schemas.openxmlformats.org/officeDocument/2006/relationships" r:embed="rId50"/>
        <a:stretch/>
      </xdr:blipFill>
      <xdr:spPr>
        <a:xfrm>
          <a:off x="4905720" y="12308760"/>
          <a:ext cx="275400" cy="17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1440</xdr:colOff>
      <xdr:row>61</xdr:row>
      <xdr:rowOff>180000</xdr:rowOff>
    </xdr:from>
    <xdr:to>
      <xdr:col>6</xdr:col>
      <xdr:colOff>277560</xdr:colOff>
      <xdr:row>62</xdr:row>
      <xdr:rowOff>180720</xdr:rowOff>
    </xdr:to>
    <xdr:pic>
      <xdr:nvPicPr>
        <xdr:cNvPr id="109" name="Imagem 137" descr="Guia da Copa - Camarões | GZH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/>
      </xdr:nvPicPr>
      <xdr:blipFill>
        <a:blip xmlns:r="http://schemas.openxmlformats.org/officeDocument/2006/relationships" r:embed="rId51"/>
        <a:stretch/>
      </xdr:blipFill>
      <xdr:spPr>
        <a:xfrm>
          <a:off x="4905000" y="12486240"/>
          <a:ext cx="27612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536760</xdr:colOff>
      <xdr:row>61</xdr:row>
      <xdr:rowOff>2880</xdr:rowOff>
    </xdr:from>
    <xdr:to>
      <xdr:col>2</xdr:col>
      <xdr:colOff>1046520</xdr:colOff>
      <xdr:row>61</xdr:row>
      <xdr:rowOff>180720</xdr:rowOff>
    </xdr:to>
    <xdr:pic>
      <xdr:nvPicPr>
        <xdr:cNvPr id="110" name="Imagem 138" descr="Bandeira da Sérvia – Autentica Bandeiras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/>
      </xdr:nvPicPr>
      <xdr:blipFill>
        <a:blip xmlns:r="http://schemas.openxmlformats.org/officeDocument/2006/relationships" r:embed="rId52"/>
        <a:stretch/>
      </xdr:blipFill>
      <xdr:spPr>
        <a:xfrm>
          <a:off x="2054520" y="12309120"/>
          <a:ext cx="509760" cy="17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3240</xdr:colOff>
      <xdr:row>58</xdr:row>
      <xdr:rowOff>1440</xdr:rowOff>
    </xdr:from>
    <xdr:to>
      <xdr:col>6</xdr:col>
      <xdr:colOff>275040</xdr:colOff>
      <xdr:row>58</xdr:row>
      <xdr:rowOff>180720</xdr:rowOff>
    </xdr:to>
    <xdr:pic>
      <xdr:nvPicPr>
        <xdr:cNvPr id="111" name="Imagem 139" descr="Bandeira da Sérvia – Autentica Bandeiras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/>
      </xdr:nvPicPr>
      <xdr:blipFill>
        <a:blip xmlns:r="http://schemas.openxmlformats.org/officeDocument/2006/relationships" r:embed="rId52"/>
        <a:stretch/>
      </xdr:blipFill>
      <xdr:spPr>
        <a:xfrm>
          <a:off x="4906800" y="11764800"/>
          <a:ext cx="271800" cy="17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538200</xdr:colOff>
      <xdr:row>63</xdr:row>
      <xdr:rowOff>2160</xdr:rowOff>
    </xdr:from>
    <xdr:to>
      <xdr:col>3</xdr:col>
      <xdr:colOff>1800</xdr:colOff>
      <xdr:row>63</xdr:row>
      <xdr:rowOff>181080</xdr:rowOff>
    </xdr:to>
    <xdr:pic>
      <xdr:nvPicPr>
        <xdr:cNvPr id="112" name="Imagem 140" descr="Bandeira da Sérvia – Autentica Bandeiras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/>
      </xdr:nvPicPr>
      <xdr:blipFill>
        <a:blip xmlns:r="http://schemas.openxmlformats.org/officeDocument/2006/relationships" r:embed="rId52"/>
        <a:stretch/>
      </xdr:blipFill>
      <xdr:spPr>
        <a:xfrm>
          <a:off x="2055960" y="12670560"/>
          <a:ext cx="510480" cy="178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31</xdr:col>
      <xdr:colOff>41400</xdr:colOff>
      <xdr:row>18</xdr:row>
      <xdr:rowOff>76320</xdr:rowOff>
    </xdr:from>
    <xdr:to>
      <xdr:col>31</xdr:col>
      <xdr:colOff>570960</xdr:colOff>
      <xdr:row>19</xdr:row>
      <xdr:rowOff>104040</xdr:rowOff>
    </xdr:to>
    <xdr:sp macro="" textlink="">
      <xdr:nvSpPr>
        <xdr:cNvPr id="113" name="Connector: Elbow 53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24009480" y="4267440"/>
          <a:ext cx="529560" cy="199080"/>
        </a:xfrm>
        <a:prstGeom prst="bentConnector3">
          <a:avLst>
            <a:gd name="adj1" fmla="val 50000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31</xdr:col>
      <xdr:colOff>38160</xdr:colOff>
      <xdr:row>19</xdr:row>
      <xdr:rowOff>105480</xdr:rowOff>
    </xdr:from>
    <xdr:to>
      <xdr:col>31</xdr:col>
      <xdr:colOff>567720</xdr:colOff>
      <xdr:row>20</xdr:row>
      <xdr:rowOff>117000</xdr:rowOff>
    </xdr:to>
    <xdr:sp macro="" textlink="">
      <xdr:nvSpPr>
        <xdr:cNvPr id="114" name="Connector: Elbow 56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 flipV="1">
          <a:off x="24006240" y="4467600"/>
          <a:ext cx="529560" cy="201960"/>
        </a:xfrm>
        <a:prstGeom prst="bentConnector3">
          <a:avLst>
            <a:gd name="adj1" fmla="val 50633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41</xdr:col>
      <xdr:colOff>30960</xdr:colOff>
      <xdr:row>19</xdr:row>
      <xdr:rowOff>109080</xdr:rowOff>
    </xdr:from>
    <xdr:to>
      <xdr:col>41</xdr:col>
      <xdr:colOff>560520</xdr:colOff>
      <xdr:row>20</xdr:row>
      <xdr:rowOff>117720</xdr:rowOff>
    </xdr:to>
    <xdr:sp macro="" textlink="">
      <xdr:nvSpPr>
        <xdr:cNvPr id="115" name="Connector: Elbow 53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 rot="10800000">
          <a:off x="30414960" y="4471560"/>
          <a:ext cx="529560" cy="199080"/>
        </a:xfrm>
        <a:prstGeom prst="bentConnector3">
          <a:avLst>
            <a:gd name="adj1" fmla="val 50000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41</xdr:col>
      <xdr:colOff>563760</xdr:colOff>
      <xdr:row>19</xdr:row>
      <xdr:rowOff>106560</xdr:rowOff>
    </xdr:from>
    <xdr:to>
      <xdr:col>42</xdr:col>
      <xdr:colOff>334440</xdr:colOff>
      <xdr:row>20</xdr:row>
      <xdr:rowOff>118080</xdr:rowOff>
    </xdr:to>
    <xdr:sp macro="" textlink="">
      <xdr:nvSpPr>
        <xdr:cNvPr id="116" name="Connector: Elbow 56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 rot="10800000" flipV="1">
          <a:off x="30418200" y="4267080"/>
          <a:ext cx="529560" cy="201960"/>
        </a:xfrm>
        <a:prstGeom prst="bentConnector3">
          <a:avLst>
            <a:gd name="adj1" fmla="val 50633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44</xdr:col>
      <xdr:colOff>66960</xdr:colOff>
      <xdr:row>19</xdr:row>
      <xdr:rowOff>111960</xdr:rowOff>
    </xdr:from>
    <xdr:to>
      <xdr:col>46</xdr:col>
      <xdr:colOff>565560</xdr:colOff>
      <xdr:row>27</xdr:row>
      <xdr:rowOff>96480</xdr:rowOff>
    </xdr:to>
    <xdr:sp macro="" textlink="">
      <xdr:nvSpPr>
        <xdr:cNvPr id="117" name="Connector: Elbow 53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 rot="10800000">
          <a:off x="32727600" y="4474440"/>
          <a:ext cx="2016360" cy="1546560"/>
        </a:xfrm>
        <a:prstGeom prst="bentConnector3">
          <a:avLst>
            <a:gd name="adj1" fmla="val 50000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46</xdr:col>
      <xdr:colOff>578160</xdr:colOff>
      <xdr:row>19</xdr:row>
      <xdr:rowOff>100440</xdr:rowOff>
    </xdr:from>
    <xdr:to>
      <xdr:col>49</xdr:col>
      <xdr:colOff>318240</xdr:colOff>
      <xdr:row>27</xdr:row>
      <xdr:rowOff>106200</xdr:rowOff>
    </xdr:to>
    <xdr:sp macro="" textlink="">
      <xdr:nvSpPr>
        <xdr:cNvPr id="118" name="Connector: Elbow 56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 rot="10800000" flipV="1">
          <a:off x="32740200" y="2895120"/>
          <a:ext cx="2016360" cy="1567800"/>
        </a:xfrm>
        <a:prstGeom prst="bentConnector3">
          <a:avLst>
            <a:gd name="adj1" fmla="val 50633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49</xdr:col>
      <xdr:colOff>57600</xdr:colOff>
      <xdr:row>11</xdr:row>
      <xdr:rowOff>32760</xdr:rowOff>
    </xdr:from>
    <xdr:to>
      <xdr:col>50</xdr:col>
      <xdr:colOff>570240</xdr:colOff>
      <xdr:row>15</xdr:row>
      <xdr:rowOff>76320</xdr:rowOff>
    </xdr:to>
    <xdr:sp macro="" textlink="">
      <xdr:nvSpPr>
        <xdr:cNvPr id="119" name="Connector: Elbow 53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 rot="10800000">
          <a:off x="36512280" y="2842560"/>
          <a:ext cx="1271520" cy="834120"/>
        </a:xfrm>
        <a:prstGeom prst="bentConnector3">
          <a:avLst>
            <a:gd name="adj1" fmla="val 50000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50</xdr:col>
      <xdr:colOff>578160</xdr:colOff>
      <xdr:row>11</xdr:row>
      <xdr:rowOff>25920</xdr:rowOff>
    </xdr:from>
    <xdr:to>
      <xdr:col>52</xdr:col>
      <xdr:colOff>331920</xdr:colOff>
      <xdr:row>15</xdr:row>
      <xdr:rowOff>81000</xdr:rowOff>
    </xdr:to>
    <xdr:sp macro="" textlink="">
      <xdr:nvSpPr>
        <xdr:cNvPr id="120" name="Connector: Elbow 56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 rot="10800000" flipV="1">
          <a:off x="36520200" y="1990080"/>
          <a:ext cx="1271520" cy="845640"/>
        </a:xfrm>
        <a:prstGeom prst="bentConnector3">
          <a:avLst>
            <a:gd name="adj1" fmla="val 50633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49</xdr:col>
      <xdr:colOff>29160</xdr:colOff>
      <xdr:row>27</xdr:row>
      <xdr:rowOff>61200</xdr:rowOff>
    </xdr:from>
    <xdr:to>
      <xdr:col>50</xdr:col>
      <xdr:colOff>541800</xdr:colOff>
      <xdr:row>31</xdr:row>
      <xdr:rowOff>104760</xdr:rowOff>
    </xdr:to>
    <xdr:sp macro="" textlink="">
      <xdr:nvSpPr>
        <xdr:cNvPr id="121" name="Connector: Elbow 53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 rot="10800000">
          <a:off x="36483840" y="5985720"/>
          <a:ext cx="1271520" cy="834120"/>
        </a:xfrm>
        <a:prstGeom prst="bentConnector3">
          <a:avLst>
            <a:gd name="adj1" fmla="val 50000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50</xdr:col>
      <xdr:colOff>549720</xdr:colOff>
      <xdr:row>27</xdr:row>
      <xdr:rowOff>54360</xdr:rowOff>
    </xdr:from>
    <xdr:to>
      <xdr:col>52</xdr:col>
      <xdr:colOff>303480</xdr:colOff>
      <xdr:row>31</xdr:row>
      <xdr:rowOff>109440</xdr:rowOff>
    </xdr:to>
    <xdr:sp macro="" textlink="">
      <xdr:nvSpPr>
        <xdr:cNvPr id="122" name="Connector: Elbow 56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 rot="10800000" flipV="1">
          <a:off x="36491760" y="5133240"/>
          <a:ext cx="1271520" cy="845640"/>
        </a:xfrm>
        <a:prstGeom prst="bentConnector3">
          <a:avLst>
            <a:gd name="adj1" fmla="val 50633"/>
          </a:avLst>
        </a:prstGeom>
        <a:noFill/>
        <a:ln>
          <a:solidFill>
            <a:srgbClr val="000000"/>
          </a:solidFill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zoomScaleNormal="100" workbookViewId="0">
      <selection activeCell="C51" sqref="C51"/>
    </sheetView>
  </sheetViews>
  <sheetFormatPr defaultColWidth="8.5546875" defaultRowHeight="14.4" x14ac:dyDescent="0.3"/>
  <cols>
    <col min="3" max="3" width="16.33203125" customWidth="1"/>
    <col min="7" max="7" width="16.6640625" customWidth="1"/>
    <col min="10" max="10" width="12" customWidth="1"/>
    <col min="18" max="18" width="6.88671875" customWidth="1"/>
    <col min="19" max="19" width="49.77734375" customWidth="1"/>
    <col min="20" max="20" width="9.77734375" customWidth="1"/>
    <col min="21" max="21" width="82.77734375" customWidth="1"/>
  </cols>
  <sheetData>
    <row r="1" spans="2:21" x14ac:dyDescent="0.3">
      <c r="G1" s="14" t="s">
        <v>0</v>
      </c>
      <c r="H1" s="14"/>
      <c r="I1" s="15"/>
      <c r="J1" s="16"/>
    </row>
    <row r="4" spans="2:21" x14ac:dyDescent="0.3">
      <c r="C4" s="13" t="s">
        <v>1</v>
      </c>
      <c r="D4" s="13"/>
      <c r="E4" s="13"/>
    </row>
    <row r="5" spans="2:21" x14ac:dyDescent="0.3">
      <c r="C5" s="17" t="s">
        <v>2</v>
      </c>
      <c r="D5" s="18" t="s">
        <v>3</v>
      </c>
      <c r="E5" s="19"/>
    </row>
    <row r="6" spans="2:21" x14ac:dyDescent="0.3">
      <c r="C6" s="17" t="s">
        <v>4</v>
      </c>
      <c r="D6" s="18" t="s">
        <v>5</v>
      </c>
      <c r="E6" s="19"/>
      <c r="R6" s="12" t="s">
        <v>6</v>
      </c>
      <c r="S6" s="12"/>
      <c r="T6" s="12"/>
      <c r="U6" s="12"/>
    </row>
    <row r="7" spans="2:21" x14ac:dyDescent="0.3">
      <c r="C7" s="20" t="s">
        <v>7</v>
      </c>
      <c r="D7" s="21" t="s">
        <v>8</v>
      </c>
      <c r="E7" s="22"/>
      <c r="R7" s="23" t="s">
        <v>9</v>
      </c>
      <c r="S7" s="23" t="s">
        <v>10</v>
      </c>
      <c r="T7" s="23" t="s">
        <v>11</v>
      </c>
      <c r="U7" s="23" t="s">
        <v>12</v>
      </c>
    </row>
    <row r="8" spans="2:21" x14ac:dyDescent="0.3">
      <c r="R8" s="23" t="s">
        <v>13</v>
      </c>
      <c r="S8" s="24" t="s">
        <v>14</v>
      </c>
      <c r="T8" s="24" t="s">
        <v>15</v>
      </c>
      <c r="U8" s="24" t="s">
        <v>16</v>
      </c>
    </row>
    <row r="9" spans="2:21" x14ac:dyDescent="0.3">
      <c r="R9" s="23" t="s">
        <v>13</v>
      </c>
      <c r="S9" s="24" t="s">
        <v>17</v>
      </c>
      <c r="T9" s="24" t="s">
        <v>18</v>
      </c>
      <c r="U9" s="24" t="s">
        <v>19</v>
      </c>
    </row>
    <row r="10" spans="2:21" x14ac:dyDescent="0.3">
      <c r="G10" s="16"/>
      <c r="R10" s="23" t="s">
        <v>13</v>
      </c>
      <c r="S10" s="24" t="s">
        <v>20</v>
      </c>
      <c r="T10" s="24" t="s">
        <v>18</v>
      </c>
      <c r="U10" s="24" t="s">
        <v>21</v>
      </c>
    </row>
    <row r="11" spans="2:21" x14ac:dyDescent="0.3">
      <c r="R11" s="23" t="s">
        <v>13</v>
      </c>
      <c r="S11" s="24" t="s">
        <v>22</v>
      </c>
      <c r="T11" s="24" t="s">
        <v>23</v>
      </c>
      <c r="U11" s="24" t="s">
        <v>24</v>
      </c>
    </row>
    <row r="12" spans="2:21" x14ac:dyDescent="0.3">
      <c r="R12" s="23" t="s">
        <v>13</v>
      </c>
      <c r="S12" s="24" t="s">
        <v>25</v>
      </c>
      <c r="T12" s="24" t="s">
        <v>26</v>
      </c>
      <c r="U12" s="24" t="s">
        <v>27</v>
      </c>
    </row>
    <row r="13" spans="2:21" x14ac:dyDescent="0.3">
      <c r="R13" s="23" t="s">
        <v>28</v>
      </c>
      <c r="S13" s="24" t="s">
        <v>29</v>
      </c>
      <c r="T13" s="24" t="s">
        <v>30</v>
      </c>
      <c r="U13" s="24" t="s">
        <v>31</v>
      </c>
    </row>
    <row r="14" spans="2:21" x14ac:dyDescent="0.3">
      <c r="R14" s="23" t="s">
        <v>28</v>
      </c>
      <c r="S14" s="24" t="s">
        <v>32</v>
      </c>
      <c r="T14" s="24" t="s">
        <v>30</v>
      </c>
      <c r="U14" s="24" t="s">
        <v>33</v>
      </c>
    </row>
    <row r="15" spans="2:21" x14ac:dyDescent="0.3">
      <c r="B15" s="11" t="s">
        <v>34</v>
      </c>
      <c r="C15" s="11"/>
      <c r="D15" s="11"/>
      <c r="E15" s="11"/>
      <c r="F15" s="11"/>
      <c r="G15" s="11"/>
      <c r="H15" s="11"/>
      <c r="R15" s="23" t="s">
        <v>28</v>
      </c>
      <c r="S15" s="24" t="s">
        <v>35</v>
      </c>
      <c r="T15" s="24" t="s">
        <v>36</v>
      </c>
      <c r="U15" s="24" t="s">
        <v>33</v>
      </c>
    </row>
    <row r="16" spans="2:21" x14ac:dyDescent="0.3">
      <c r="B16" s="25">
        <v>1</v>
      </c>
      <c r="C16" s="26" t="s">
        <v>37</v>
      </c>
      <c r="D16" s="26"/>
      <c r="E16" s="26"/>
      <c r="F16" s="26"/>
      <c r="G16" s="26"/>
      <c r="H16" s="27"/>
      <c r="R16" s="23" t="s">
        <v>28</v>
      </c>
      <c r="S16" s="24" t="s">
        <v>38</v>
      </c>
      <c r="T16" s="24" t="s">
        <v>39</v>
      </c>
      <c r="U16" s="24" t="s">
        <v>33</v>
      </c>
    </row>
    <row r="17" spans="2:19" ht="15" customHeight="1" x14ac:dyDescent="0.3">
      <c r="B17" s="28">
        <v>2</v>
      </c>
      <c r="C17" s="10" t="s">
        <v>40</v>
      </c>
      <c r="D17" s="10"/>
      <c r="E17" s="10"/>
      <c r="F17" s="10"/>
      <c r="G17" s="10"/>
      <c r="H17" s="10"/>
      <c r="S17" s="29"/>
    </row>
    <row r="18" spans="2:19" x14ac:dyDescent="0.3">
      <c r="B18" s="30"/>
      <c r="C18" s="10"/>
      <c r="D18" s="10"/>
      <c r="E18" s="10"/>
      <c r="F18" s="10"/>
      <c r="G18" s="10"/>
      <c r="H18" s="10"/>
      <c r="S18" s="29"/>
    </row>
    <row r="19" spans="2:19" x14ac:dyDescent="0.3">
      <c r="B19" s="30"/>
      <c r="C19" s="10"/>
      <c r="D19" s="10"/>
      <c r="E19" s="10"/>
      <c r="F19" s="10"/>
      <c r="G19" s="10"/>
      <c r="H19" s="10"/>
    </row>
    <row r="20" spans="2:19" ht="14.25" customHeight="1" x14ac:dyDescent="0.3">
      <c r="B20" s="28">
        <v>3</v>
      </c>
      <c r="C20" s="9" t="s">
        <v>41</v>
      </c>
      <c r="D20" s="9"/>
      <c r="E20" s="9"/>
      <c r="F20" s="9"/>
      <c r="G20" s="9"/>
      <c r="H20" s="31"/>
    </row>
    <row r="21" spans="2:19" x14ac:dyDescent="0.3">
      <c r="B21" s="30"/>
      <c r="C21" s="9"/>
      <c r="D21" s="9"/>
      <c r="E21" s="9"/>
      <c r="F21" s="9"/>
      <c r="G21" s="9"/>
      <c r="H21" s="32"/>
    </row>
    <row r="22" spans="2:19" x14ac:dyDescent="0.3">
      <c r="B22" s="30"/>
      <c r="C22" s="9"/>
      <c r="D22" s="9"/>
      <c r="E22" s="9"/>
      <c r="F22" s="9"/>
      <c r="G22" s="9"/>
      <c r="H22" s="32"/>
    </row>
    <row r="23" spans="2:19" x14ac:dyDescent="0.3">
      <c r="B23" s="30"/>
      <c r="C23" s="9"/>
      <c r="D23" s="9"/>
      <c r="E23" s="9"/>
      <c r="F23" s="9"/>
      <c r="G23" s="9"/>
      <c r="H23" s="32"/>
    </row>
    <row r="24" spans="2:19" x14ac:dyDescent="0.3">
      <c r="B24" s="25"/>
      <c r="C24" s="9"/>
      <c r="D24" s="9"/>
      <c r="E24" s="9"/>
      <c r="F24" s="9"/>
      <c r="G24" s="9"/>
      <c r="H24" s="33"/>
    </row>
    <row r="25" spans="2:19" x14ac:dyDescent="0.3">
      <c r="B25" s="30">
        <v>3.1</v>
      </c>
      <c r="C25" s="34" t="s">
        <v>42</v>
      </c>
      <c r="D25" s="35"/>
      <c r="E25" s="35"/>
      <c r="F25" s="35"/>
      <c r="G25" s="35"/>
      <c r="H25" s="32"/>
    </row>
    <row r="26" spans="2:19" ht="14.25" customHeight="1" x14ac:dyDescent="0.3">
      <c r="B26" s="36" t="s">
        <v>43</v>
      </c>
      <c r="C26" s="8" t="s">
        <v>44</v>
      </c>
      <c r="D26" s="8"/>
      <c r="E26" s="8"/>
      <c r="F26" s="8"/>
      <c r="G26" s="8"/>
      <c r="H26" s="8"/>
    </row>
    <row r="27" spans="2:19" x14ac:dyDescent="0.3">
      <c r="B27" s="36"/>
      <c r="C27" s="8"/>
      <c r="D27" s="8"/>
      <c r="E27" s="8"/>
      <c r="F27" s="8"/>
      <c r="G27" s="8"/>
      <c r="H27" s="8"/>
    </row>
    <row r="28" spans="2:19" ht="14.25" customHeight="1" x14ac:dyDescent="0.3">
      <c r="B28" s="36" t="s">
        <v>45</v>
      </c>
      <c r="C28" s="7" t="s">
        <v>46</v>
      </c>
      <c r="D28" s="7"/>
      <c r="E28" s="7"/>
      <c r="F28" s="7"/>
      <c r="G28" s="7"/>
      <c r="H28" s="7"/>
    </row>
    <row r="29" spans="2:19" x14ac:dyDescent="0.3">
      <c r="B29" s="30"/>
      <c r="C29" s="7"/>
      <c r="D29" s="7"/>
      <c r="E29" s="7"/>
      <c r="F29" s="7"/>
      <c r="G29" s="7"/>
      <c r="H29" s="7"/>
    </row>
    <row r="30" spans="2:19" x14ac:dyDescent="0.3">
      <c r="B30" s="30"/>
      <c r="C30" s="7"/>
      <c r="D30" s="7"/>
      <c r="E30" s="7"/>
      <c r="F30" s="7"/>
      <c r="G30" s="7"/>
      <c r="H30" s="7"/>
    </row>
    <row r="31" spans="2:19" x14ac:dyDescent="0.3">
      <c r="B31" s="30"/>
      <c r="C31" s="7"/>
      <c r="D31" s="7"/>
      <c r="E31" s="7"/>
      <c r="F31" s="7"/>
      <c r="G31" s="7"/>
      <c r="H31" s="7"/>
    </row>
    <row r="32" spans="2:19" x14ac:dyDescent="0.3">
      <c r="B32" s="30"/>
      <c r="C32" s="7"/>
      <c r="D32" s="7"/>
      <c r="E32" s="7"/>
      <c r="F32" s="7"/>
      <c r="G32" s="7"/>
      <c r="H32" s="7"/>
    </row>
    <row r="33" spans="2:8" ht="13.5" customHeight="1" x14ac:dyDescent="0.3">
      <c r="B33" s="36" t="s">
        <v>47</v>
      </c>
      <c r="C33" s="8" t="s">
        <v>48</v>
      </c>
      <c r="D33" s="8"/>
      <c r="E33" s="8"/>
      <c r="F33" s="8"/>
      <c r="G33" s="8"/>
      <c r="H33" s="8"/>
    </row>
    <row r="34" spans="2:8" x14ac:dyDescent="0.3">
      <c r="B34" s="30"/>
      <c r="C34" s="8"/>
      <c r="D34" s="8"/>
      <c r="E34" s="8"/>
      <c r="F34" s="8"/>
      <c r="G34" s="8"/>
      <c r="H34" s="8"/>
    </row>
    <row r="35" spans="2:8" x14ac:dyDescent="0.3">
      <c r="B35" s="30"/>
      <c r="C35" s="8"/>
      <c r="D35" s="8"/>
      <c r="E35" s="8"/>
      <c r="F35" s="8"/>
      <c r="G35" s="8"/>
      <c r="H35" s="8"/>
    </row>
    <row r="36" spans="2:8" x14ac:dyDescent="0.3">
      <c r="B36" s="30"/>
      <c r="C36" s="8"/>
      <c r="D36" s="8"/>
      <c r="E36" s="8"/>
      <c r="F36" s="8"/>
      <c r="G36" s="8"/>
      <c r="H36" s="8"/>
    </row>
    <row r="37" spans="2:8" x14ac:dyDescent="0.3">
      <c r="B37" s="30"/>
      <c r="C37" s="8"/>
      <c r="D37" s="8"/>
      <c r="E37" s="8"/>
      <c r="F37" s="8"/>
      <c r="G37" s="8"/>
      <c r="H37" s="8"/>
    </row>
    <row r="38" spans="2:8" ht="13.5" customHeight="1" x14ac:dyDescent="0.3">
      <c r="B38" s="36" t="s">
        <v>49</v>
      </c>
      <c r="C38" s="6" t="s">
        <v>50</v>
      </c>
      <c r="D38" s="6"/>
      <c r="E38" s="6"/>
      <c r="F38" s="6"/>
      <c r="G38" s="6"/>
      <c r="H38" s="6"/>
    </row>
    <row r="39" spans="2:8" x14ac:dyDescent="0.3">
      <c r="B39" s="37"/>
      <c r="C39" s="6"/>
      <c r="D39" s="6"/>
      <c r="E39" s="6"/>
      <c r="F39" s="6"/>
      <c r="G39" s="6"/>
      <c r="H39" s="6"/>
    </row>
  </sheetData>
  <mergeCells count="10">
    <mergeCell ref="C20:G24"/>
    <mergeCell ref="C26:H27"/>
    <mergeCell ref="C28:H32"/>
    <mergeCell ref="C33:H37"/>
    <mergeCell ref="C38:H39"/>
    <mergeCell ref="G1:H1"/>
    <mergeCell ref="C4:E4"/>
    <mergeCell ref="R6:U6"/>
    <mergeCell ref="B15:H15"/>
    <mergeCell ref="C17:H19"/>
  </mergeCells>
  <pageMargins left="0.51180555555555596" right="0.51180555555555596" top="0.78749999999999998" bottom="0.78749999999999998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79"/>
  <sheetViews>
    <sheetView showGridLines="0" tabSelected="1" zoomScale="91" zoomScaleNormal="91" workbookViewId="0">
      <selection sqref="A1:Q1"/>
    </sheetView>
  </sheetViews>
  <sheetFormatPr defaultColWidth="8.5546875" defaultRowHeight="14.4" x14ac:dyDescent="0.3"/>
  <cols>
    <col min="3" max="3" width="11.77734375" customWidth="1"/>
    <col min="4" max="4" width="8.88671875" style="29" customWidth="1"/>
    <col min="6" max="6" width="8.88671875" style="29" customWidth="1"/>
    <col min="7" max="7" width="11.77734375" customWidth="1"/>
    <col min="10" max="10" width="13.44140625" customWidth="1"/>
    <col min="19" max="19" width="1.44140625" customWidth="1"/>
    <col min="35" max="35" width="1.77734375" customWidth="1"/>
    <col min="39" max="39" width="2.109375" customWidth="1"/>
    <col min="54" max="56" width="8.88671875" style="38" customWidth="1"/>
  </cols>
  <sheetData>
    <row r="1" spans="1:53" ht="71.25" customHeight="1" x14ac:dyDescent="0.3">
      <c r="A1" s="5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s="39"/>
      <c r="U1" s="5" t="s">
        <v>52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s="38" customFormat="1" x14ac:dyDescent="0.3">
      <c r="D2" s="40"/>
      <c r="F2" s="40"/>
      <c r="S2" s="41"/>
    </row>
    <row r="3" spans="1:53" s="38" customFormat="1" ht="18" customHeight="1" x14ac:dyDescent="0.35">
      <c r="A3" s="42" t="s">
        <v>53</v>
      </c>
      <c r="B3" s="43"/>
      <c r="C3" s="4" t="s">
        <v>54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S3" s="41"/>
    </row>
    <row r="4" spans="1:53" s="38" customFormat="1" x14ac:dyDescent="0.3">
      <c r="D4" s="40"/>
      <c r="F4" s="40"/>
      <c r="S4" s="41"/>
      <c r="U4" s="3"/>
      <c r="V4" s="3"/>
    </row>
    <row r="5" spans="1:53" s="38" customFormat="1" ht="15" customHeight="1" x14ac:dyDescent="0.3">
      <c r="A5" s="44">
        <v>44885</v>
      </c>
      <c r="B5" s="2" t="s">
        <v>55</v>
      </c>
      <c r="C5" s="2"/>
      <c r="D5" s="46">
        <v>0</v>
      </c>
      <c r="E5" s="45" t="s">
        <v>56</v>
      </c>
      <c r="F5" s="46">
        <v>2</v>
      </c>
      <c r="G5" s="2" t="s">
        <v>57</v>
      </c>
      <c r="H5" s="2"/>
      <c r="I5" s="47">
        <f t="shared" ref="I5:I10" si="0">IF(AND(D5="",F5=""),"",IF(AND(ISNUMBER(D5),ISNUMBER(F5)),1,-1))</f>
        <v>1</v>
      </c>
      <c r="S5" s="41"/>
    </row>
    <row r="6" spans="1:53" ht="15" customHeight="1" x14ac:dyDescent="0.3">
      <c r="A6" s="44">
        <v>44886</v>
      </c>
      <c r="B6" s="2" t="s">
        <v>58</v>
      </c>
      <c r="C6" s="2"/>
      <c r="D6" s="46">
        <v>0</v>
      </c>
      <c r="E6" s="45" t="s">
        <v>56</v>
      </c>
      <c r="F6" s="46">
        <v>2</v>
      </c>
      <c r="G6" s="2" t="s">
        <v>59</v>
      </c>
      <c r="H6" s="2"/>
      <c r="I6" s="48">
        <f t="shared" si="0"/>
        <v>1</v>
      </c>
      <c r="K6" s="49" t="s">
        <v>60</v>
      </c>
      <c r="L6" s="49" t="s">
        <v>61</v>
      </c>
      <c r="M6" s="49" t="s">
        <v>62</v>
      </c>
      <c r="N6" s="49" t="s">
        <v>63</v>
      </c>
      <c r="O6" s="49" t="s">
        <v>64</v>
      </c>
      <c r="P6" s="49" t="s">
        <v>65</v>
      </c>
      <c r="Q6" s="49" t="s">
        <v>66</v>
      </c>
      <c r="S6" s="39"/>
      <c r="T6" s="38"/>
      <c r="U6" s="1" t="str">
        <f>IF(AND(SUM(L7:N7)=3,SUM(L8:N8)=3,SUM(L9:N9)=3,SUM(L10:N10)=3),J7,"")</f>
        <v>Holanda</v>
      </c>
      <c r="V6" s="1"/>
      <c r="W6" s="50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T6" s="61"/>
      <c r="AU6" s="61"/>
      <c r="AV6" s="38"/>
      <c r="AW6" s="38"/>
      <c r="AX6" s="38"/>
      <c r="AY6" s="38"/>
      <c r="AZ6" s="1" t="str">
        <f>IF(AND(SUM(L16:N16)=3,SUM(L17:N17)=3,SUM(L18:N18)=3,SUM(L19:N19)=3),J16,"")</f>
        <v>Inglaterra</v>
      </c>
      <c r="BA6" s="1"/>
    </row>
    <row r="7" spans="1:53" ht="15" customHeight="1" x14ac:dyDescent="0.3">
      <c r="A7" s="44">
        <v>44890</v>
      </c>
      <c r="B7" s="2" t="s">
        <v>55</v>
      </c>
      <c r="C7" s="2"/>
      <c r="D7" s="46">
        <v>0</v>
      </c>
      <c r="E7" s="45" t="s">
        <v>56</v>
      </c>
      <c r="F7" s="46">
        <v>1</v>
      </c>
      <c r="G7" s="2" t="s">
        <v>58</v>
      </c>
      <c r="H7" s="2"/>
      <c r="I7" s="48">
        <f t="shared" si="0"/>
        <v>1</v>
      </c>
      <c r="J7" s="51" t="str">
        <f>VLOOKUP(1,Planilha1!$B$5:$J$8,2,0)</f>
        <v>Holanda</v>
      </c>
      <c r="K7" s="52">
        <f>VLOOKUP(1,Planilha1!$B$5:$J$8,3,0)</f>
        <v>9</v>
      </c>
      <c r="L7" s="52">
        <f>VLOOKUP(1,Planilha1!$B$5:$J$8,6,0)</f>
        <v>3</v>
      </c>
      <c r="M7" s="52">
        <f>VLOOKUP(1,Planilha1!$B$5:$J$8,7,0)</f>
        <v>0</v>
      </c>
      <c r="N7" s="52">
        <f>VLOOKUP(1,Planilha1!$B$5:$J$8,8,0)</f>
        <v>0</v>
      </c>
      <c r="O7" s="52">
        <f>VLOOKUP(1,Planilha1!$B$5:$J$8,5,0)</f>
        <v>7</v>
      </c>
      <c r="P7" s="52">
        <f>VLOOKUP(1,Planilha1!$B$5:$J$8,9,0)</f>
        <v>0</v>
      </c>
      <c r="Q7" s="52">
        <f>VLOOKUP(1,Planilha1!$B$5:$J$8,4,0)</f>
        <v>7</v>
      </c>
      <c r="S7" s="39"/>
      <c r="T7" s="38"/>
      <c r="U7" s="62" t="s">
        <v>67</v>
      </c>
      <c r="V7" s="62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T7" s="63"/>
      <c r="AU7" s="63"/>
      <c r="AV7" s="38"/>
      <c r="AW7" s="38"/>
      <c r="AX7" s="38"/>
      <c r="AY7" s="38"/>
      <c r="AZ7" s="62" t="s">
        <v>67</v>
      </c>
      <c r="BA7" s="62"/>
    </row>
    <row r="8" spans="1:53" ht="15" customHeight="1" x14ac:dyDescent="0.3">
      <c r="A8" s="44">
        <v>44890</v>
      </c>
      <c r="B8" s="2" t="s">
        <v>57</v>
      </c>
      <c r="C8" s="2"/>
      <c r="D8" s="46">
        <v>0</v>
      </c>
      <c r="E8" s="45" t="s">
        <v>56</v>
      </c>
      <c r="F8" s="46">
        <v>1</v>
      </c>
      <c r="G8" s="2" t="s">
        <v>59</v>
      </c>
      <c r="H8" s="2"/>
      <c r="I8" s="48">
        <f t="shared" si="0"/>
        <v>1</v>
      </c>
      <c r="J8" s="51" t="str">
        <f>VLOOKUP(2,Planilha1!$B$5:$J$8,2,0)</f>
        <v>Equador</v>
      </c>
      <c r="K8" s="52">
        <f>VLOOKUP(2,Planilha1!$B$5:$J$8,3,0)</f>
        <v>6</v>
      </c>
      <c r="L8" s="52">
        <f>VLOOKUP(2,Planilha1!$B$5:$J$8,6,0)</f>
        <v>2</v>
      </c>
      <c r="M8" s="52">
        <f>VLOOKUP(2,Planilha1!$B$5:$J$8,7,0)</f>
        <v>0</v>
      </c>
      <c r="N8" s="52">
        <f>VLOOKUP(2,Planilha1!$B$5:$J$8,8,0)</f>
        <v>1</v>
      </c>
      <c r="O8" s="52">
        <f>VLOOKUP(2,Planilha1!$B$5:$J$8,5,0)</f>
        <v>4</v>
      </c>
      <c r="P8" s="52">
        <f>VLOOKUP(2,Planilha1!$B$5:$J$8,9,0)</f>
        <v>2</v>
      </c>
      <c r="Q8" s="52">
        <f>VLOOKUP(2,Planilha1!$B$5:$J$8,4,0)</f>
        <v>2</v>
      </c>
      <c r="S8" s="39"/>
      <c r="T8" s="38"/>
      <c r="U8" s="1" t="str">
        <f>IF(AND(SUM(L16:N16)=3,SUM(L17:N17)=3,SUM(L18:N18)=3,SUM(L19:N19)=3),J17,"")</f>
        <v>EUA</v>
      </c>
      <c r="V8" s="1"/>
      <c r="W8" s="50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T8" s="61"/>
      <c r="AU8" s="61"/>
      <c r="AV8" s="38"/>
      <c r="AW8" s="38"/>
      <c r="AX8" s="38"/>
      <c r="AY8" s="38"/>
      <c r="AZ8" s="1" t="str">
        <f>IF(AND(SUM(L7:N7)=3,SUM(L8:N8)=3,SUM(L9:N9)=3,SUM(L10:N10)=3),J8,"")</f>
        <v>Equador</v>
      </c>
      <c r="BA8" s="1"/>
    </row>
    <row r="9" spans="1:53" ht="14.25" customHeight="1" x14ac:dyDescent="0.3">
      <c r="A9" s="44">
        <v>44894</v>
      </c>
      <c r="B9" s="2" t="s">
        <v>55</v>
      </c>
      <c r="C9" s="2"/>
      <c r="D9" s="46">
        <v>0</v>
      </c>
      <c r="E9" s="45" t="s">
        <v>56</v>
      </c>
      <c r="F9" s="46">
        <v>4</v>
      </c>
      <c r="G9" s="2" t="s">
        <v>59</v>
      </c>
      <c r="H9" s="2"/>
      <c r="I9" s="48">
        <f t="shared" si="0"/>
        <v>1</v>
      </c>
      <c r="J9" s="51" t="str">
        <f>VLOOKUP(3,Planilha1!$B$5:$J$8,2,0)</f>
        <v>Senegal</v>
      </c>
      <c r="K9" s="52">
        <f>VLOOKUP(3,Planilha1!$B$5:$J$8,3,0)</f>
        <v>3</v>
      </c>
      <c r="L9" s="52">
        <f>VLOOKUP(3,Planilha1!$B$5:$J$8,6,0)</f>
        <v>1</v>
      </c>
      <c r="M9" s="52">
        <f>VLOOKUP(3,Planilha1!$B$5:$J$8,7,0)</f>
        <v>0</v>
      </c>
      <c r="N9" s="52">
        <f>VLOOKUP(3,Planilha1!$B$5:$J$8,8,0)</f>
        <v>2</v>
      </c>
      <c r="O9" s="52">
        <f>VLOOKUP(3,Planilha1!$B$5:$J$8,5,0)</f>
        <v>2</v>
      </c>
      <c r="P9" s="52">
        <f>VLOOKUP(3,Planilha1!$B$5:$J$8,9,0)</f>
        <v>4</v>
      </c>
      <c r="Q9" s="52">
        <f>VLOOKUP(3,Planilha1!$B$5:$J$8,4,0)</f>
        <v>-2</v>
      </c>
      <c r="S9" s="39"/>
      <c r="T9" s="38"/>
      <c r="U9" s="53"/>
      <c r="V9" s="53"/>
      <c r="W9" s="38"/>
      <c r="X9" s="38"/>
      <c r="Y9" s="3"/>
      <c r="Z9" s="3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T9" s="38"/>
      <c r="AU9" s="38"/>
      <c r="AV9" s="38"/>
      <c r="AW9" s="38"/>
      <c r="AX9" s="38"/>
      <c r="AY9" s="38"/>
      <c r="AZ9" s="53"/>
      <c r="BA9" s="53"/>
    </row>
    <row r="10" spans="1:53" ht="14.25" customHeight="1" x14ac:dyDescent="0.3">
      <c r="A10" s="44">
        <v>44894</v>
      </c>
      <c r="B10" s="2" t="s">
        <v>57</v>
      </c>
      <c r="C10" s="2"/>
      <c r="D10" s="46">
        <v>2</v>
      </c>
      <c r="E10" s="45" t="s">
        <v>56</v>
      </c>
      <c r="F10" s="46">
        <v>1</v>
      </c>
      <c r="G10" s="2" t="s">
        <v>58</v>
      </c>
      <c r="H10" s="2"/>
      <c r="I10" s="48">
        <f t="shared" si="0"/>
        <v>1</v>
      </c>
      <c r="J10" s="51" t="str">
        <f>VLOOKUP(4,Planilha1!$B$5:$J$8,2,0)</f>
        <v>Qatar</v>
      </c>
      <c r="K10" s="52">
        <f>VLOOKUP(4,Planilha1!$B$5:$J$8,3,0)</f>
        <v>0</v>
      </c>
      <c r="L10" s="52">
        <f>VLOOKUP(4,Planilha1!$B$5:$J$8,6,0)</f>
        <v>0</v>
      </c>
      <c r="M10" s="52">
        <f>VLOOKUP(4,Planilha1!$B$5:$J$8,7,0)</f>
        <v>0</v>
      </c>
      <c r="N10" s="52">
        <f>VLOOKUP(4,Planilha1!$B$5:$J$8,8,0)</f>
        <v>3</v>
      </c>
      <c r="O10" s="52">
        <f>VLOOKUP(4,Planilha1!$B$5:$J$8,5,0)</f>
        <v>0</v>
      </c>
      <c r="P10" s="52">
        <f>VLOOKUP(4,Planilha1!$B$5:$J$8,9,0)</f>
        <v>7</v>
      </c>
      <c r="Q10" s="52">
        <f>VLOOKUP(4,Planilha1!$B$5:$J$8,4,0)</f>
        <v>-7</v>
      </c>
      <c r="S10" s="39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T10" s="38"/>
      <c r="AU10" s="38"/>
      <c r="AV10" s="38"/>
      <c r="AW10" s="38"/>
      <c r="AX10" s="38"/>
      <c r="AY10" s="38"/>
      <c r="AZ10" s="38"/>
      <c r="BA10" s="38"/>
    </row>
    <row r="11" spans="1:53" x14ac:dyDescent="0.3">
      <c r="A11" s="38"/>
      <c r="B11" s="54"/>
      <c r="C11" s="54"/>
      <c r="D11" s="55"/>
      <c r="E11" s="54"/>
      <c r="F11" s="55"/>
      <c r="G11" s="54"/>
      <c r="H11" s="54"/>
      <c r="I11" s="38"/>
      <c r="J11" s="38"/>
      <c r="K11" s="38"/>
      <c r="L11" s="38"/>
      <c r="M11" s="38"/>
      <c r="N11" s="38"/>
      <c r="O11" s="38"/>
      <c r="P11" s="38"/>
      <c r="Q11" s="38"/>
      <c r="S11" s="39"/>
      <c r="T11" s="38"/>
      <c r="U11" s="38"/>
      <c r="V11" s="38"/>
      <c r="W11" s="38"/>
      <c r="X11" s="38"/>
      <c r="Y11" s="64" t="s">
        <v>59</v>
      </c>
      <c r="Z11" s="64"/>
      <c r="AA11" s="50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T11" s="38"/>
      <c r="AU11" s="38"/>
      <c r="AV11" s="64" t="s">
        <v>68</v>
      </c>
      <c r="AW11" s="64"/>
      <c r="AX11" s="50"/>
      <c r="AY11" s="38"/>
      <c r="AZ11" s="38"/>
      <c r="BA11" s="38"/>
    </row>
    <row r="12" spans="1:53" ht="18" customHeight="1" x14ac:dyDescent="0.35">
      <c r="A12" s="42" t="s">
        <v>53</v>
      </c>
      <c r="B12" s="43"/>
      <c r="C12" s="65" t="s">
        <v>69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S12" s="39"/>
      <c r="T12" s="38"/>
      <c r="U12" s="38"/>
      <c r="V12" s="38"/>
      <c r="W12" s="38"/>
      <c r="X12" s="38"/>
      <c r="Y12" s="66" t="s">
        <v>67</v>
      </c>
      <c r="Z12" s="66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T12" s="38"/>
      <c r="AU12" s="38"/>
      <c r="AV12" s="66" t="s">
        <v>67</v>
      </c>
      <c r="AW12" s="66"/>
      <c r="AX12" s="38"/>
      <c r="AY12" s="38"/>
      <c r="AZ12" s="38"/>
      <c r="BA12" s="38"/>
    </row>
    <row r="13" spans="1:53" x14ac:dyDescent="0.3">
      <c r="A13" s="38"/>
      <c r="B13" s="54"/>
      <c r="C13" s="54"/>
      <c r="D13" s="55"/>
      <c r="E13" s="54"/>
      <c r="F13" s="55"/>
      <c r="G13" s="54"/>
      <c r="H13" s="54"/>
      <c r="I13" s="38"/>
      <c r="K13" s="38"/>
      <c r="L13" s="38"/>
      <c r="M13" s="38"/>
      <c r="N13" s="38"/>
      <c r="O13" s="38"/>
      <c r="P13" s="38"/>
      <c r="Q13" s="38"/>
      <c r="S13" s="39"/>
      <c r="T13" s="38"/>
      <c r="U13" s="38"/>
      <c r="V13" s="38"/>
      <c r="W13" s="38"/>
      <c r="X13" s="38"/>
      <c r="Y13" s="67" t="s">
        <v>70</v>
      </c>
      <c r="Z13" s="67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T13" s="38"/>
      <c r="AU13" s="38"/>
      <c r="AV13" s="68" t="s">
        <v>71</v>
      </c>
      <c r="AW13" s="68"/>
      <c r="AX13" s="38"/>
      <c r="AY13" s="38"/>
      <c r="AZ13" s="38"/>
      <c r="BA13" s="38"/>
    </row>
    <row r="14" spans="1:53" ht="15" customHeight="1" x14ac:dyDescent="0.3">
      <c r="A14" s="44">
        <v>44886</v>
      </c>
      <c r="B14" s="2" t="s">
        <v>68</v>
      </c>
      <c r="C14" s="2"/>
      <c r="D14" s="46">
        <v>2</v>
      </c>
      <c r="E14" s="45" t="s">
        <v>56</v>
      </c>
      <c r="F14" s="46">
        <v>0</v>
      </c>
      <c r="G14" s="2" t="s">
        <v>72</v>
      </c>
      <c r="H14" s="2"/>
      <c r="I14" s="47">
        <f t="shared" ref="I14:I19" si="1">IF(AND(D14="",F14=""),"",IF(AND(ISNUMBER(D14),ISNUMBER(F14)),1,-1))</f>
        <v>1</v>
      </c>
      <c r="J14" s="38"/>
      <c r="K14" s="38"/>
      <c r="L14" s="38"/>
      <c r="M14" s="38"/>
      <c r="N14" s="38"/>
      <c r="O14" s="38"/>
      <c r="P14" s="38"/>
      <c r="Q14" s="38"/>
      <c r="S14" s="39"/>
      <c r="T14" s="38"/>
      <c r="U14" s="56"/>
      <c r="V14" s="56"/>
      <c r="W14" s="38"/>
      <c r="X14" s="38"/>
      <c r="Y14" s="53"/>
      <c r="Z14" s="53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T14" s="56"/>
      <c r="AU14" s="56"/>
      <c r="AV14" s="38"/>
      <c r="AW14" s="38"/>
      <c r="AX14" s="38"/>
      <c r="AY14" s="38"/>
      <c r="AZ14" s="56"/>
      <c r="BA14" s="56"/>
    </row>
    <row r="15" spans="1:53" ht="14.25" customHeight="1" x14ac:dyDescent="0.3">
      <c r="A15" s="44">
        <v>44886</v>
      </c>
      <c r="B15" s="2" t="s">
        <v>73</v>
      </c>
      <c r="C15" s="2"/>
      <c r="D15" s="46">
        <v>1</v>
      </c>
      <c r="E15" s="45" t="s">
        <v>56</v>
      </c>
      <c r="F15" s="46">
        <v>0</v>
      </c>
      <c r="G15" s="2" t="s">
        <v>74</v>
      </c>
      <c r="H15" s="2"/>
      <c r="I15" s="47">
        <f t="shared" si="1"/>
        <v>1</v>
      </c>
      <c r="K15" s="49" t="s">
        <v>60</v>
      </c>
      <c r="L15" s="49" t="s">
        <v>61</v>
      </c>
      <c r="M15" s="49" t="s">
        <v>62</v>
      </c>
      <c r="N15" s="49" t="s">
        <v>63</v>
      </c>
      <c r="O15" s="49" t="s">
        <v>64</v>
      </c>
      <c r="P15" s="49" t="s">
        <v>65</v>
      </c>
      <c r="Q15" s="49" t="s">
        <v>66</v>
      </c>
      <c r="S15" s="39"/>
      <c r="T15" s="38"/>
      <c r="U15" s="1" t="str">
        <f>IF(AND(SUM(L25:N25)=3,SUM(L26:N26)=3,SUM(L27:N27)=3,SUM(L28:N28)=3),J25,"")</f>
        <v>Argentina</v>
      </c>
      <c r="V15" s="1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T15" s="61"/>
      <c r="AU15" s="61"/>
      <c r="AV15" s="38"/>
      <c r="AW15" s="38"/>
      <c r="AX15" s="38"/>
      <c r="AY15" s="38"/>
      <c r="AZ15" s="1" t="str">
        <f>IF(AND(SUM(L34:N34)=3,SUM(L35:N35)=3,SUM(L36:N36)=3,SUM(L37:N37)=3),J34,"")</f>
        <v>França</v>
      </c>
      <c r="BA15" s="1"/>
    </row>
    <row r="16" spans="1:53" ht="15" customHeight="1" x14ac:dyDescent="0.3">
      <c r="A16" s="44">
        <v>44890</v>
      </c>
      <c r="B16" s="2" t="s">
        <v>68</v>
      </c>
      <c r="C16" s="2"/>
      <c r="D16" s="46">
        <v>1</v>
      </c>
      <c r="E16" s="45" t="s">
        <v>56</v>
      </c>
      <c r="F16" s="46">
        <v>1</v>
      </c>
      <c r="G16" s="2" t="s">
        <v>73</v>
      </c>
      <c r="H16" s="2"/>
      <c r="I16" s="47">
        <f t="shared" si="1"/>
        <v>1</v>
      </c>
      <c r="J16" s="51" t="str">
        <f>VLOOKUP(1,Planilha1!$B$14:$J$17,2,0)</f>
        <v>Inglaterra</v>
      </c>
      <c r="K16" s="52">
        <f>VLOOKUP(1,Planilha1!$B$14:$J$17,3,0)</f>
        <v>7</v>
      </c>
      <c r="L16" s="52">
        <f>VLOOKUP(1,Planilha1!$B$14:$J$17,6,0)</f>
        <v>2</v>
      </c>
      <c r="M16" s="52">
        <f>VLOOKUP(1,Planilha1!$B$14:$J$17,7,0)</f>
        <v>1</v>
      </c>
      <c r="N16" s="52">
        <f>VLOOKUP(1,Planilha1!$B$14:$J$17,8,0)</f>
        <v>0</v>
      </c>
      <c r="O16" s="52">
        <f>VLOOKUP(1,Planilha1!$B$14:$J$17,5,0)</f>
        <v>5</v>
      </c>
      <c r="P16" s="52">
        <f>VLOOKUP(1,Planilha1!$B$14:$J$17,9,0)</f>
        <v>1</v>
      </c>
      <c r="Q16" s="52">
        <f>VLOOKUP(1,Planilha1!$B$14:$J$17,4,0)</f>
        <v>4</v>
      </c>
      <c r="S16" s="39"/>
      <c r="T16" s="38"/>
      <c r="U16" s="66" t="s">
        <v>67</v>
      </c>
      <c r="V16" s="66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T16" s="63"/>
      <c r="AU16" s="63"/>
      <c r="AV16" s="38"/>
      <c r="AW16" s="38"/>
      <c r="AX16" s="38"/>
      <c r="AY16" s="38"/>
      <c r="AZ16" s="66" t="s">
        <v>67</v>
      </c>
      <c r="BA16" s="66"/>
    </row>
    <row r="17" spans="1:54" ht="16.5" customHeight="1" x14ac:dyDescent="0.3">
      <c r="A17" s="44">
        <v>44890</v>
      </c>
      <c r="B17" s="2" t="s">
        <v>72</v>
      </c>
      <c r="C17" s="2"/>
      <c r="D17" s="46">
        <v>0</v>
      </c>
      <c r="E17" s="45" t="s">
        <v>56</v>
      </c>
      <c r="F17" s="46">
        <v>0</v>
      </c>
      <c r="G17" s="2" t="s">
        <v>74</v>
      </c>
      <c r="H17" s="2"/>
      <c r="I17" s="47">
        <f t="shared" si="1"/>
        <v>1</v>
      </c>
      <c r="J17" s="51" t="str">
        <f>VLOOKUP(2,Planilha1!$B$14:$J$17,2,0)</f>
        <v>EUA</v>
      </c>
      <c r="K17" s="52">
        <f>VLOOKUP(2,Planilha1!$B$14:$J$17,3,0)</f>
        <v>7</v>
      </c>
      <c r="L17" s="52">
        <f>VLOOKUP(2,Planilha1!$B$14:$J$17,6,0)</f>
        <v>2</v>
      </c>
      <c r="M17" s="52">
        <f>VLOOKUP(2,Planilha1!$B$14:$J$17,7,0)</f>
        <v>1</v>
      </c>
      <c r="N17" s="52">
        <f>VLOOKUP(2,Planilha1!$B$14:$J$17,8,0)</f>
        <v>0</v>
      </c>
      <c r="O17" s="52">
        <f>VLOOKUP(2,Planilha1!$B$14:$J$17,5,0)</f>
        <v>4</v>
      </c>
      <c r="P17" s="52">
        <f>VLOOKUP(2,Planilha1!$B$14:$J$17,9,0)</f>
        <v>1</v>
      </c>
      <c r="Q17" s="52">
        <f>VLOOKUP(2,Planilha1!$B$14:$J$17,4,0)</f>
        <v>3</v>
      </c>
      <c r="S17" s="39"/>
      <c r="T17" s="38"/>
      <c r="U17" s="1" t="str">
        <f>IF(AND(SUM(L34:N34)=3,SUM(L35:N35)=3,SUM(L36:N36)=3,SUM(L37:N37)=3),J35,"")</f>
        <v>Austrália</v>
      </c>
      <c r="V17" s="1"/>
      <c r="W17" s="50"/>
      <c r="X17" s="38"/>
      <c r="Y17" s="38"/>
      <c r="Z17" s="38"/>
      <c r="AA17" s="38"/>
      <c r="AB17" s="38"/>
      <c r="AC17" s="38"/>
      <c r="AD17" s="3"/>
      <c r="AE17" s="3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T17" s="61"/>
      <c r="AU17" s="61"/>
      <c r="AV17" s="38"/>
      <c r="AW17" s="38"/>
      <c r="AX17" s="38"/>
      <c r="AY17" s="38"/>
      <c r="AZ17" s="1" t="str">
        <f>IF(AND(SUM(L25:N25)=3,SUM(L26:N26)=3,SUM(L27:N27)=3,SUM(L28:N28)=3),J26,"")</f>
        <v>México</v>
      </c>
      <c r="BA17" s="1"/>
      <c r="BB17" s="50"/>
    </row>
    <row r="18" spans="1:54" ht="15" customHeight="1" x14ac:dyDescent="0.3">
      <c r="A18" s="44">
        <v>44894</v>
      </c>
      <c r="B18" s="2" t="s">
        <v>68</v>
      </c>
      <c r="C18" s="2"/>
      <c r="D18" s="46">
        <v>2</v>
      </c>
      <c r="E18" s="45" t="s">
        <v>56</v>
      </c>
      <c r="F18" s="46">
        <v>0</v>
      </c>
      <c r="G18" s="2" t="s">
        <v>74</v>
      </c>
      <c r="H18" s="2"/>
      <c r="I18" s="47">
        <f t="shared" si="1"/>
        <v>1</v>
      </c>
      <c r="J18" s="51" t="str">
        <f>VLOOKUP(3,Planilha1!$B$14:$J$17,2,0)</f>
        <v>País de Gales</v>
      </c>
      <c r="K18" s="52">
        <f>VLOOKUP(3,Planilha1!$B$14:$J$17,3,0)</f>
        <v>1</v>
      </c>
      <c r="L18" s="52">
        <f>VLOOKUP(3,Planilha1!$B$14:$J$17,6,0)</f>
        <v>0</v>
      </c>
      <c r="M18" s="52">
        <f>VLOOKUP(3,Planilha1!$B$14:$J$17,7,0)</f>
        <v>1</v>
      </c>
      <c r="N18" s="52">
        <f>VLOOKUP(3,Planilha1!$B$14:$J$17,8,0)</f>
        <v>2</v>
      </c>
      <c r="O18" s="52">
        <f>VLOOKUP(3,Planilha1!$B$14:$J$17,5,0)</f>
        <v>0</v>
      </c>
      <c r="P18" s="52">
        <f>VLOOKUP(3,Planilha1!$B$14:$J$17,9,0)</f>
        <v>3</v>
      </c>
      <c r="Q18" s="52">
        <f>VLOOKUP(3,Planilha1!$B$14:$J$17,4,0)</f>
        <v>-3</v>
      </c>
      <c r="S18" s="39"/>
      <c r="T18" s="38"/>
      <c r="U18" s="53"/>
      <c r="V18" s="53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T18" s="38"/>
      <c r="AU18" s="38"/>
      <c r="AV18" s="38"/>
      <c r="AW18" s="38"/>
      <c r="AX18" s="38"/>
      <c r="AY18" s="38"/>
      <c r="AZ18" s="53"/>
      <c r="BA18" s="53"/>
    </row>
    <row r="19" spans="1:54" ht="13.5" customHeight="1" x14ac:dyDescent="0.3">
      <c r="A19" s="44">
        <v>44894</v>
      </c>
      <c r="B19" s="2" t="s">
        <v>72</v>
      </c>
      <c r="C19" s="2"/>
      <c r="D19" s="46">
        <v>0</v>
      </c>
      <c r="E19" s="45" t="s">
        <v>56</v>
      </c>
      <c r="F19" s="46">
        <v>2</v>
      </c>
      <c r="G19" s="2" t="s">
        <v>73</v>
      </c>
      <c r="H19" s="2"/>
      <c r="I19" s="47">
        <f t="shared" si="1"/>
        <v>1</v>
      </c>
      <c r="J19" s="51" t="str">
        <f>VLOOKUP(4,Planilha1!$B$14:$J$17,2,0)</f>
        <v>Irã</v>
      </c>
      <c r="K19" s="52">
        <f>VLOOKUP(4,Planilha1!$B$14:$J$17,3,0)</f>
        <v>1</v>
      </c>
      <c r="L19" s="52">
        <f>VLOOKUP(4,Planilha1!$B$14:$J$17,6,0)</f>
        <v>0</v>
      </c>
      <c r="M19" s="52">
        <f>VLOOKUP(4,Planilha1!$B$14:$J$17,7,0)</f>
        <v>1</v>
      </c>
      <c r="N19" s="52">
        <f>VLOOKUP(4,Planilha1!$B$14:$J$17,8,0)</f>
        <v>2</v>
      </c>
      <c r="O19" s="52">
        <f>VLOOKUP(4,Planilha1!$B$14:$J$17,5,0)</f>
        <v>0</v>
      </c>
      <c r="P19" s="52">
        <f>VLOOKUP(4,Planilha1!$B$14:$J$17,9,0)</f>
        <v>4</v>
      </c>
      <c r="Q19" s="52">
        <f>VLOOKUP(4,Planilha1!$B$14:$J$17,4,0)</f>
        <v>-4</v>
      </c>
      <c r="S19" s="39"/>
      <c r="T19" s="38"/>
      <c r="U19" s="38"/>
      <c r="V19" s="38"/>
      <c r="W19" s="38"/>
      <c r="X19" s="38"/>
      <c r="Y19" s="38"/>
      <c r="Z19" s="38" t="s">
        <v>33</v>
      </c>
      <c r="AA19" s="38"/>
      <c r="AB19" s="38"/>
      <c r="AC19" s="38"/>
      <c r="AD19" s="68" t="s">
        <v>59</v>
      </c>
      <c r="AE19" s="68"/>
      <c r="AF19" s="40"/>
      <c r="AG19" s="40"/>
      <c r="AH19" s="40"/>
      <c r="AI19" s="40"/>
      <c r="AJ19" s="69" t="s">
        <v>59</v>
      </c>
      <c r="AK19" s="69"/>
      <c r="AL19" s="69"/>
      <c r="AM19" s="57"/>
      <c r="AN19" s="57"/>
      <c r="AO19" s="57"/>
      <c r="AP19" s="38"/>
      <c r="AQ19" s="68" t="s">
        <v>68</v>
      </c>
      <c r="AR19" s="68"/>
      <c r="AT19" s="38"/>
      <c r="AU19" s="38"/>
      <c r="AV19" s="38"/>
      <c r="AW19" s="38"/>
      <c r="AX19" s="38"/>
      <c r="AY19" s="38"/>
      <c r="AZ19" s="38"/>
      <c r="BA19" s="38"/>
    </row>
    <row r="20" spans="1:54" x14ac:dyDescent="0.3">
      <c r="A20" s="38"/>
      <c r="B20" s="54"/>
      <c r="C20" s="54"/>
      <c r="D20" s="55"/>
      <c r="E20" s="54"/>
      <c r="F20" s="55"/>
      <c r="G20" s="54"/>
      <c r="H20" s="54"/>
      <c r="J20" s="38"/>
      <c r="K20" s="38"/>
      <c r="L20" s="38"/>
      <c r="M20" s="38"/>
      <c r="N20" s="38"/>
      <c r="O20" s="38"/>
      <c r="P20" s="38"/>
      <c r="Q20" s="38"/>
      <c r="S20" s="39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66" t="s">
        <v>67</v>
      </c>
      <c r="AE20" s="66"/>
      <c r="AF20" s="58"/>
      <c r="AG20" s="68" t="s">
        <v>59</v>
      </c>
      <c r="AH20" s="68"/>
      <c r="AI20" s="58"/>
      <c r="AJ20" s="69"/>
      <c r="AK20" s="69"/>
      <c r="AL20" s="69"/>
      <c r="AM20" s="57"/>
      <c r="AN20" s="68" t="s">
        <v>68</v>
      </c>
      <c r="AO20" s="68"/>
      <c r="AP20" s="38"/>
      <c r="AQ20" s="66" t="s">
        <v>67</v>
      </c>
      <c r="AR20" s="66"/>
      <c r="AT20" s="38"/>
      <c r="AU20" s="38"/>
      <c r="AV20" s="38"/>
      <c r="AW20" s="38"/>
      <c r="AX20" s="38"/>
      <c r="AY20" s="38"/>
      <c r="AZ20" s="38"/>
      <c r="BA20" s="38"/>
    </row>
    <row r="21" spans="1:54" ht="18" customHeight="1" x14ac:dyDescent="0.35">
      <c r="A21" s="42" t="s">
        <v>53</v>
      </c>
      <c r="B21" s="59"/>
      <c r="C21" s="65" t="s">
        <v>75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S21" s="39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67" t="s">
        <v>76</v>
      </c>
      <c r="AE21" s="67"/>
      <c r="AF21" s="40"/>
      <c r="AG21" s="40"/>
      <c r="AH21" s="40"/>
      <c r="AI21" s="40"/>
      <c r="AJ21" s="69"/>
      <c r="AK21" s="69"/>
      <c r="AL21" s="69"/>
      <c r="AM21" s="57"/>
      <c r="AN21" s="57"/>
      <c r="AO21" s="57"/>
      <c r="AP21" s="38"/>
      <c r="AQ21" s="67" t="s">
        <v>77</v>
      </c>
      <c r="AR21" s="67"/>
      <c r="AT21" s="38"/>
      <c r="AU21" s="38"/>
      <c r="AV21" s="38"/>
      <c r="AW21" s="38"/>
      <c r="AX21" s="38"/>
      <c r="AY21" s="38"/>
      <c r="AZ21" s="38"/>
      <c r="BA21" s="38"/>
    </row>
    <row r="22" spans="1:54" x14ac:dyDescent="0.3">
      <c r="A22" s="38"/>
      <c r="B22" s="54"/>
      <c r="C22" s="54"/>
      <c r="D22" s="55"/>
      <c r="H22" s="54"/>
      <c r="J22" s="38"/>
      <c r="K22" s="38"/>
      <c r="L22" s="38"/>
      <c r="M22" s="38"/>
      <c r="N22" s="38"/>
      <c r="O22" s="38"/>
      <c r="P22" s="38"/>
      <c r="Q22" s="38"/>
      <c r="S22" s="39"/>
      <c r="T22" s="38"/>
      <c r="U22" s="1" t="str">
        <f>IF(AND(SUM(L43:N43)=3,SUM(L44:N44)=3,SUM(L45:N45)=3,SUM(L46:N46)=3),J43,"")</f>
        <v>Alemanha</v>
      </c>
      <c r="V22" s="1"/>
      <c r="W22" s="50"/>
      <c r="X22" s="38"/>
      <c r="Y22" s="38"/>
      <c r="Z22" s="38"/>
      <c r="AA22" s="38"/>
      <c r="AB22" s="38"/>
      <c r="AC22" s="38"/>
      <c r="AD22" s="53"/>
      <c r="AE22" s="53"/>
      <c r="AF22" s="38"/>
      <c r="AG22" s="38"/>
      <c r="AH22" s="38"/>
      <c r="AI22" s="38"/>
      <c r="AJ22" s="70"/>
      <c r="AK22" s="70"/>
      <c r="AL22" s="70"/>
      <c r="AM22" s="38"/>
      <c r="AN22" s="38"/>
      <c r="AO22" s="38"/>
      <c r="AP22" s="38"/>
      <c r="AQ22" s="53"/>
      <c r="AR22" s="53"/>
      <c r="AT22" s="61"/>
      <c r="AU22" s="61"/>
      <c r="AV22" s="38"/>
      <c r="AW22" s="38"/>
      <c r="AX22" s="38"/>
      <c r="AY22" s="38"/>
      <c r="AZ22" s="1" t="str">
        <f>IF(AND(SUM(L52:N52)=3,SUM(L53:N53)=3,SUM(L54:N54)=3,SUM(L55:N55)=3),J52,"")</f>
        <v>Bélgica</v>
      </c>
      <c r="BA22" s="1"/>
      <c r="BB22" s="50"/>
    </row>
    <row r="23" spans="1:54" ht="15" customHeight="1" x14ac:dyDescent="0.3">
      <c r="A23" s="44">
        <v>44887</v>
      </c>
      <c r="B23" s="2" t="s">
        <v>70</v>
      </c>
      <c r="C23" s="2"/>
      <c r="D23" s="46">
        <v>4</v>
      </c>
      <c r="E23" s="45" t="s">
        <v>56</v>
      </c>
      <c r="F23" s="46">
        <v>0</v>
      </c>
      <c r="G23" s="2" t="s">
        <v>78</v>
      </c>
      <c r="H23" s="2"/>
      <c r="I23" s="47">
        <f t="shared" ref="I23:I28" si="2">IF(AND(D23="",F23=""),"",IF(AND(ISNUMBER(D23),ISNUMBER(F23)),1,-1))</f>
        <v>1</v>
      </c>
      <c r="J23" s="38"/>
      <c r="K23" s="38"/>
      <c r="L23" s="38"/>
      <c r="M23" s="38"/>
      <c r="N23" s="38"/>
      <c r="O23" s="38"/>
      <c r="P23" s="38"/>
      <c r="Q23" s="38"/>
      <c r="S23" s="39"/>
      <c r="T23" s="38"/>
      <c r="U23" s="63" t="s">
        <v>67</v>
      </c>
      <c r="V23" s="63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T23" s="63"/>
      <c r="AU23" s="63"/>
      <c r="AV23" s="38"/>
      <c r="AW23" s="38"/>
      <c r="AX23" s="38"/>
      <c r="AY23" s="38"/>
      <c r="AZ23" s="63" t="s">
        <v>67</v>
      </c>
      <c r="BA23" s="63"/>
    </row>
    <row r="24" spans="1:54" ht="15" customHeight="1" x14ac:dyDescent="0.3">
      <c r="A24" s="44">
        <v>44887</v>
      </c>
      <c r="B24" s="2" t="s">
        <v>79</v>
      </c>
      <c r="C24" s="2"/>
      <c r="D24" s="46">
        <v>3</v>
      </c>
      <c r="E24" s="45" t="s">
        <v>56</v>
      </c>
      <c r="F24" s="46">
        <v>2</v>
      </c>
      <c r="G24" s="2" t="s">
        <v>80</v>
      </c>
      <c r="H24" s="2"/>
      <c r="I24" s="47">
        <f t="shared" si="2"/>
        <v>1</v>
      </c>
      <c r="K24" s="49" t="s">
        <v>60</v>
      </c>
      <c r="L24" s="49" t="s">
        <v>61</v>
      </c>
      <c r="M24" s="49" t="s">
        <v>62</v>
      </c>
      <c r="N24" s="49" t="s">
        <v>63</v>
      </c>
      <c r="O24" s="49" t="s">
        <v>64</v>
      </c>
      <c r="P24" s="49" t="s">
        <v>65</v>
      </c>
      <c r="Q24" s="49" t="s">
        <v>66</v>
      </c>
      <c r="S24" s="39"/>
      <c r="T24" s="38"/>
      <c r="U24" s="1" t="str">
        <f>IF(AND(SUM(L52:N52)=3,SUM(L53:N53)=3,SUM(L54:N54)=3,SUM(L55:N55)=3),J53,"")</f>
        <v>Croácia</v>
      </c>
      <c r="V24" s="1"/>
      <c r="W24" s="50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T24" s="61"/>
      <c r="AU24" s="61"/>
      <c r="AV24" s="38"/>
      <c r="AW24" s="38"/>
      <c r="AX24" s="38"/>
      <c r="AY24" s="38"/>
      <c r="AZ24" s="1" t="str">
        <f>IF(AND(SUM(L43:N43)=3,SUM(L44:N44)=3,SUM(L45:N45)=3,SUM(L46:N46)=3),J44,"")</f>
        <v>Espanha</v>
      </c>
      <c r="BA24" s="1"/>
      <c r="BB24" s="50"/>
    </row>
    <row r="25" spans="1:54" ht="15" customHeight="1" x14ac:dyDescent="0.3">
      <c r="A25" s="44">
        <v>44891</v>
      </c>
      <c r="B25" s="2" t="s">
        <v>70</v>
      </c>
      <c r="C25" s="2"/>
      <c r="D25" s="46">
        <v>1</v>
      </c>
      <c r="E25" s="45" t="s">
        <v>56</v>
      </c>
      <c r="F25" s="46">
        <v>1</v>
      </c>
      <c r="G25" s="2" t="s">
        <v>79</v>
      </c>
      <c r="H25" s="2"/>
      <c r="I25" s="47">
        <f t="shared" si="2"/>
        <v>1</v>
      </c>
      <c r="J25" s="51" t="str">
        <f>VLOOKUP(1,Planilha1!$B$23:$J$26,2,0)</f>
        <v>Argentina</v>
      </c>
      <c r="K25" s="52">
        <f>VLOOKUP(1,Planilha1!$B$23:$J$26,3,0)</f>
        <v>7</v>
      </c>
      <c r="L25" s="52">
        <f>VLOOKUP(1,Planilha1!$B$23:$J$26,6,0)</f>
        <v>2</v>
      </c>
      <c r="M25" s="52">
        <f>VLOOKUP(1,Planilha1!$B$23:$J$26,7,0)</f>
        <v>1</v>
      </c>
      <c r="N25" s="52">
        <f>VLOOKUP(1,Planilha1!$B$23:$J$26,8,0)</f>
        <v>0</v>
      </c>
      <c r="O25" s="52">
        <f>VLOOKUP(1,Planilha1!$B$23:$J$26,5,0)</f>
        <v>7</v>
      </c>
      <c r="P25" s="52">
        <f>VLOOKUP(1,Planilha1!$B$23:$J$26,9,0)</f>
        <v>2</v>
      </c>
      <c r="Q25" s="52">
        <f>VLOOKUP(1,Planilha1!$B$23:$J$26,4,0)</f>
        <v>5</v>
      </c>
      <c r="S25" s="39"/>
      <c r="T25" s="38"/>
      <c r="U25" s="53"/>
      <c r="V25" s="53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T25" s="38"/>
      <c r="AU25" s="38"/>
      <c r="AV25" s="38"/>
      <c r="AW25" s="38"/>
      <c r="AX25" s="38"/>
      <c r="AY25" s="38"/>
      <c r="AZ25" s="53"/>
      <c r="BA25" s="53"/>
    </row>
    <row r="26" spans="1:54" ht="15" customHeight="1" x14ac:dyDescent="0.3">
      <c r="A26" s="44">
        <v>44891</v>
      </c>
      <c r="B26" s="2" t="s">
        <v>78</v>
      </c>
      <c r="C26" s="2"/>
      <c r="D26" s="46">
        <v>0</v>
      </c>
      <c r="E26" s="45" t="s">
        <v>56</v>
      </c>
      <c r="F26" s="46">
        <v>1</v>
      </c>
      <c r="G26" s="2" t="s">
        <v>80</v>
      </c>
      <c r="H26" s="2"/>
      <c r="I26" s="47">
        <f t="shared" si="2"/>
        <v>1</v>
      </c>
      <c r="J26" s="51" t="str">
        <f>VLOOKUP(2,Planilha1!$B$23:$J$26,2,0)</f>
        <v>México</v>
      </c>
      <c r="K26" s="52">
        <f>VLOOKUP(2,Planilha1!$B$23:$J$26,3,0)</f>
        <v>7</v>
      </c>
      <c r="L26" s="52">
        <f>VLOOKUP(2,Planilha1!$B$23:$J$26,6,0)</f>
        <v>2</v>
      </c>
      <c r="M26" s="52">
        <f>VLOOKUP(2,Planilha1!$B$23:$J$26,7,0)</f>
        <v>1</v>
      </c>
      <c r="N26" s="52">
        <f>VLOOKUP(2,Planilha1!$B$23:$J$26,8,0)</f>
        <v>0</v>
      </c>
      <c r="O26" s="52">
        <f>VLOOKUP(2,Planilha1!$B$23:$J$26,5,0)</f>
        <v>7</v>
      </c>
      <c r="P26" s="52">
        <f>VLOOKUP(2,Planilha1!$B$23:$J$26,9,0)</f>
        <v>3</v>
      </c>
      <c r="Q26" s="52">
        <f>VLOOKUP(2,Planilha1!$B$23:$J$26,4,0)</f>
        <v>4</v>
      </c>
      <c r="S26" s="39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71" t="str">
        <f>IF(AJ19="","",IF(AJ19=Planilha1!S21,Planilha1!T21,Planilha1!S21))</f>
        <v>Inglaterra</v>
      </c>
      <c r="AK26" s="71"/>
      <c r="AL26" s="71"/>
      <c r="AM26" s="38"/>
      <c r="AN26" s="38"/>
      <c r="AO26" s="38"/>
      <c r="AP26" s="38"/>
      <c r="AQ26" s="38"/>
      <c r="AR26" s="38"/>
      <c r="AT26" s="38"/>
      <c r="AU26" s="38"/>
      <c r="AV26" s="38"/>
      <c r="AW26" s="38"/>
      <c r="AX26" s="38"/>
      <c r="AY26" s="38"/>
      <c r="AZ26" s="38"/>
      <c r="BA26" s="38"/>
    </row>
    <row r="27" spans="1:54" ht="15" customHeight="1" x14ac:dyDescent="0.3">
      <c r="A27" s="44">
        <v>44895</v>
      </c>
      <c r="B27" s="2" t="s">
        <v>70</v>
      </c>
      <c r="C27" s="2"/>
      <c r="D27" s="46">
        <v>2</v>
      </c>
      <c r="E27" s="45" t="s">
        <v>56</v>
      </c>
      <c r="F27" s="46">
        <v>1</v>
      </c>
      <c r="G27" s="2" t="s">
        <v>80</v>
      </c>
      <c r="H27" s="2"/>
      <c r="I27" s="47">
        <f t="shared" si="2"/>
        <v>1</v>
      </c>
      <c r="J27" s="51" t="str">
        <f>VLOOKUP(3,Planilha1!$B$23:$J$26,2,0)</f>
        <v>Polônia</v>
      </c>
      <c r="K27" s="52">
        <f>VLOOKUP(3,Planilha1!$B$23:$J$26,3,0)</f>
        <v>3</v>
      </c>
      <c r="L27" s="52">
        <f>VLOOKUP(3,Planilha1!$B$23:$J$26,6,0)</f>
        <v>1</v>
      </c>
      <c r="M27" s="52">
        <f>VLOOKUP(3,Planilha1!$B$23:$J$26,7,0)</f>
        <v>0</v>
      </c>
      <c r="N27" s="52">
        <f>VLOOKUP(3,Planilha1!$B$23:$J$26,8,0)</f>
        <v>2</v>
      </c>
      <c r="O27" s="52">
        <f>VLOOKUP(3,Planilha1!$B$23:$J$26,5,0)</f>
        <v>4</v>
      </c>
      <c r="P27" s="52">
        <f>VLOOKUP(3,Planilha1!$B$23:$J$26,9,0)</f>
        <v>5</v>
      </c>
      <c r="Q27" s="52">
        <f>VLOOKUP(3,Planilha1!$B$23:$J$26,4,0)</f>
        <v>-1</v>
      </c>
      <c r="S27" s="39"/>
      <c r="T27" s="38"/>
      <c r="U27" s="38"/>
      <c r="V27" s="38"/>
      <c r="W27" s="38"/>
      <c r="X27" s="38"/>
      <c r="Y27" s="68" t="s">
        <v>81</v>
      </c>
      <c r="Z27" s="68"/>
      <c r="AA27" s="38"/>
      <c r="AB27" s="38"/>
      <c r="AC27" s="38"/>
      <c r="AD27" s="38"/>
      <c r="AE27" s="38"/>
      <c r="AF27" s="38"/>
      <c r="AG27" s="38"/>
      <c r="AH27" s="38"/>
      <c r="AI27" s="38"/>
      <c r="AJ27" s="71"/>
      <c r="AK27" s="71"/>
      <c r="AL27" s="71"/>
      <c r="AM27" s="38"/>
      <c r="AN27" s="38"/>
      <c r="AO27" s="38"/>
      <c r="AP27" s="38"/>
      <c r="AQ27" s="38"/>
      <c r="AR27" s="38"/>
      <c r="AT27" s="38"/>
      <c r="AU27" s="38"/>
      <c r="AV27" s="64" t="s">
        <v>77</v>
      </c>
      <c r="AW27" s="64"/>
      <c r="AX27" s="50"/>
      <c r="AY27" s="38"/>
      <c r="AZ27" s="38"/>
      <c r="BA27" s="38"/>
    </row>
    <row r="28" spans="1:54" ht="14.25" customHeight="1" x14ac:dyDescent="0.3">
      <c r="A28" s="44">
        <v>44895</v>
      </c>
      <c r="B28" s="2" t="s">
        <v>78</v>
      </c>
      <c r="C28" s="2"/>
      <c r="D28" s="46">
        <v>0</v>
      </c>
      <c r="E28" s="45" t="s">
        <v>56</v>
      </c>
      <c r="F28" s="46">
        <v>3</v>
      </c>
      <c r="G28" s="2" t="s">
        <v>79</v>
      </c>
      <c r="H28" s="2"/>
      <c r="I28" s="47">
        <f t="shared" si="2"/>
        <v>1</v>
      </c>
      <c r="J28" s="51" t="str">
        <f>VLOOKUP(4,Planilha1!$B$23:$J$26,2,0)</f>
        <v>Arábia Saudita</v>
      </c>
      <c r="K28" s="52">
        <f>VLOOKUP(4,Planilha1!$B$23:$J$26,3,0)</f>
        <v>0</v>
      </c>
      <c r="L28" s="52">
        <f>VLOOKUP(4,Planilha1!$B$23:$J$26,6,0)</f>
        <v>0</v>
      </c>
      <c r="M28" s="52">
        <f>VLOOKUP(4,Planilha1!$B$23:$J$26,7,0)</f>
        <v>0</v>
      </c>
      <c r="N28" s="52">
        <f>VLOOKUP(4,Planilha1!$B$23:$J$26,8,0)</f>
        <v>3</v>
      </c>
      <c r="O28" s="52">
        <f>VLOOKUP(4,Planilha1!$B$23:$J$26,5,0)</f>
        <v>0</v>
      </c>
      <c r="P28" s="52">
        <f>VLOOKUP(4,Planilha1!$B$23:$J$26,9,0)</f>
        <v>8</v>
      </c>
      <c r="Q28" s="52">
        <f>VLOOKUP(4,Planilha1!$B$23:$J$26,4,0)</f>
        <v>-8</v>
      </c>
      <c r="S28" s="39"/>
      <c r="T28" s="38"/>
      <c r="U28" s="38"/>
      <c r="V28" s="38"/>
      <c r="W28" s="38"/>
      <c r="X28" s="38"/>
      <c r="Y28" s="62" t="s">
        <v>67</v>
      </c>
      <c r="Z28" s="62"/>
      <c r="AA28" s="38"/>
      <c r="AB28" s="38"/>
      <c r="AC28" s="38"/>
      <c r="AD28" s="38"/>
      <c r="AE28" s="38"/>
      <c r="AF28" s="38"/>
      <c r="AG28" s="38"/>
      <c r="AH28" s="38"/>
      <c r="AI28" s="38"/>
      <c r="AJ28" s="71"/>
      <c r="AK28" s="71"/>
      <c r="AL28" s="71"/>
      <c r="AM28" s="38"/>
      <c r="AN28" s="38"/>
      <c r="AO28" s="38"/>
      <c r="AP28" s="38"/>
      <c r="AQ28" s="38"/>
      <c r="AR28" s="38"/>
      <c r="AT28" s="38"/>
      <c r="AU28" s="38"/>
      <c r="AV28" s="66" t="s">
        <v>67</v>
      </c>
      <c r="AW28" s="66"/>
      <c r="AX28" s="38"/>
      <c r="AY28" s="38"/>
      <c r="AZ28" s="38"/>
      <c r="BA28" s="38"/>
    </row>
    <row r="29" spans="1:54" x14ac:dyDescent="0.3">
      <c r="A29" s="38"/>
      <c r="B29" s="54"/>
      <c r="C29" s="54"/>
      <c r="D29" s="55"/>
      <c r="E29" s="54"/>
      <c r="F29" s="55"/>
      <c r="G29" s="54"/>
      <c r="H29" s="54"/>
      <c r="I29" s="38"/>
      <c r="J29" s="38"/>
      <c r="K29" s="38"/>
      <c r="L29" s="38"/>
      <c r="M29" s="38"/>
      <c r="N29" s="38"/>
      <c r="O29" s="38"/>
      <c r="P29" s="38"/>
      <c r="Q29" s="38"/>
      <c r="S29" s="39"/>
      <c r="T29" s="38"/>
      <c r="U29" s="38"/>
      <c r="V29" s="38"/>
      <c r="W29" s="38"/>
      <c r="X29" s="38"/>
      <c r="Y29" s="72" t="s">
        <v>76</v>
      </c>
      <c r="Z29" s="72"/>
      <c r="AA29" s="50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T29" s="38"/>
      <c r="AU29" s="38"/>
      <c r="AV29" s="67" t="s">
        <v>82</v>
      </c>
      <c r="AW29" s="67"/>
      <c r="AX29" s="38"/>
      <c r="AY29" s="38"/>
      <c r="AZ29" s="38"/>
      <c r="BA29" s="38"/>
    </row>
    <row r="30" spans="1:54" ht="18" customHeight="1" x14ac:dyDescent="0.35">
      <c r="A30" s="42" t="s">
        <v>53</v>
      </c>
      <c r="B30" s="59"/>
      <c r="C30" s="65" t="s">
        <v>83</v>
      </c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S30" s="39"/>
      <c r="T30" s="38"/>
      <c r="U30" s="56"/>
      <c r="V30" s="56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T30" s="56"/>
      <c r="AU30" s="56"/>
      <c r="AV30" s="53"/>
      <c r="AW30" s="53"/>
      <c r="AX30" s="38"/>
      <c r="AY30" s="38"/>
      <c r="AZ30" s="56"/>
      <c r="BA30" s="56"/>
    </row>
    <row r="31" spans="1:54" x14ac:dyDescent="0.3">
      <c r="A31" s="38"/>
      <c r="B31" s="54"/>
      <c r="C31" s="54"/>
      <c r="D31" s="55"/>
      <c r="E31" s="54"/>
      <c r="G31" s="54"/>
      <c r="J31" s="38"/>
      <c r="K31" s="38"/>
      <c r="L31" s="38"/>
      <c r="M31" s="38"/>
      <c r="N31" s="38"/>
      <c r="O31" s="38"/>
      <c r="P31" s="38"/>
      <c r="Q31" s="38"/>
      <c r="S31" s="39"/>
      <c r="T31" s="38"/>
      <c r="U31" s="1" t="str">
        <f>IF(AND(SUM(L61:N61)=3,SUM(L62:N62)=3,SUM(L63:N63)=3,SUM(L64:N64)=3),J61,"")</f>
        <v>Brasil</v>
      </c>
      <c r="V31" s="1"/>
      <c r="W31" s="50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T31" s="61"/>
      <c r="AU31" s="61"/>
      <c r="AV31" s="38"/>
      <c r="AW31" s="38"/>
      <c r="AX31" s="38"/>
      <c r="AY31" s="38"/>
      <c r="AZ31" s="1" t="str">
        <f>IF(AND(SUM(L70:N70)=3,SUM(L71:N71)=3,SUM(L72:N72)=3,SUM(L73:N73)=3),J70,"")</f>
        <v>Uruguai</v>
      </c>
      <c r="BA31" s="1"/>
      <c r="BB31" s="50"/>
    </row>
    <row r="32" spans="1:54" ht="15" customHeight="1" x14ac:dyDescent="0.3">
      <c r="A32" s="44">
        <v>44887</v>
      </c>
      <c r="B32" s="2" t="s">
        <v>71</v>
      </c>
      <c r="C32" s="2"/>
      <c r="D32" s="46">
        <v>2</v>
      </c>
      <c r="E32" s="45" t="s">
        <v>56</v>
      </c>
      <c r="F32" s="46">
        <v>1</v>
      </c>
      <c r="G32" s="2" t="s">
        <v>84</v>
      </c>
      <c r="H32" s="2"/>
      <c r="I32" s="47">
        <f t="shared" ref="I32:I37" si="3">IF(AND(D32="",F32=""),"",IF(AND(ISNUMBER(D32),ISNUMBER(F32)),1,-1))</f>
        <v>1</v>
      </c>
      <c r="K32" s="38"/>
      <c r="L32" s="38"/>
      <c r="M32" s="38"/>
      <c r="N32" s="38"/>
      <c r="O32" s="38"/>
      <c r="P32" s="38"/>
      <c r="Q32" s="38"/>
      <c r="S32" s="39"/>
      <c r="T32" s="38"/>
      <c r="U32" s="62" t="s">
        <v>67</v>
      </c>
      <c r="V32" s="62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P32" s="38"/>
      <c r="AQ32" s="38"/>
      <c r="AR32" s="38"/>
      <c r="AT32" s="63"/>
      <c r="AU32" s="63"/>
      <c r="AV32" s="38"/>
      <c r="AW32" s="38"/>
      <c r="AX32" s="38"/>
      <c r="AY32" s="38"/>
      <c r="AZ32" s="62" t="s">
        <v>67</v>
      </c>
      <c r="BA32" s="62"/>
    </row>
    <row r="33" spans="1:54" ht="15" customHeight="1" x14ac:dyDescent="0.3">
      <c r="A33" s="44">
        <v>44887</v>
      </c>
      <c r="B33" s="2" t="s">
        <v>85</v>
      </c>
      <c r="C33" s="2"/>
      <c r="D33" s="46">
        <v>1</v>
      </c>
      <c r="E33" s="45" t="s">
        <v>56</v>
      </c>
      <c r="F33" s="46">
        <v>2</v>
      </c>
      <c r="G33" s="2" t="s">
        <v>86</v>
      </c>
      <c r="H33" s="2"/>
      <c r="I33" s="47">
        <f t="shared" si="3"/>
        <v>1</v>
      </c>
      <c r="K33" s="49" t="s">
        <v>60</v>
      </c>
      <c r="L33" s="49" t="s">
        <v>61</v>
      </c>
      <c r="M33" s="49" t="s">
        <v>62</v>
      </c>
      <c r="N33" s="49" t="s">
        <v>63</v>
      </c>
      <c r="O33" s="49" t="s">
        <v>64</v>
      </c>
      <c r="P33" s="49" t="s">
        <v>65</v>
      </c>
      <c r="Q33" s="49" t="s">
        <v>66</v>
      </c>
      <c r="S33" s="39"/>
      <c r="T33" s="38"/>
      <c r="U33" s="1" t="str">
        <f>IF(AND(SUM(L70:N70)=3,SUM(L71:N71)=3,SUM(L72:N72)=3,SUM(L73:N73)=3),J71,"")</f>
        <v>Portugal</v>
      </c>
      <c r="V33" s="1"/>
      <c r="W33" s="50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73" t="s">
        <v>77</v>
      </c>
      <c r="AK33" s="73"/>
      <c r="AL33" s="73"/>
      <c r="AM33" s="38"/>
      <c r="AN33" s="38"/>
      <c r="AO33" s="38"/>
      <c r="AP33" s="38"/>
      <c r="AQ33" s="38"/>
      <c r="AR33" s="38"/>
      <c r="AT33" s="61"/>
      <c r="AU33" s="61"/>
      <c r="AV33" s="38"/>
      <c r="AW33" s="38"/>
      <c r="AX33" s="38"/>
      <c r="AY33" s="38"/>
      <c r="AZ33" s="1" t="str">
        <f>IF(AND(SUM(L61:N61)=3,SUM(L62:N62)=3,SUM(L63:N63)=3,SUM(L64:N64)=3),J62,"")</f>
        <v>Camarões</v>
      </c>
      <c r="BA33" s="1"/>
      <c r="BB33" s="50"/>
    </row>
    <row r="34" spans="1:54" ht="15" customHeight="1" x14ac:dyDescent="0.3">
      <c r="A34" s="44">
        <v>44891</v>
      </c>
      <c r="B34" s="2" t="s">
        <v>71</v>
      </c>
      <c r="C34" s="2"/>
      <c r="D34" s="46">
        <v>1</v>
      </c>
      <c r="E34" s="45" t="s">
        <v>56</v>
      </c>
      <c r="F34" s="46">
        <v>1</v>
      </c>
      <c r="G34" s="2" t="s">
        <v>85</v>
      </c>
      <c r="H34" s="2"/>
      <c r="I34" s="47">
        <f t="shared" si="3"/>
        <v>1</v>
      </c>
      <c r="J34" s="51" t="str">
        <f>VLOOKUP(1,Planilha1!$B$32:$J$35,2,0)</f>
        <v>França</v>
      </c>
      <c r="K34" s="52">
        <f>VLOOKUP(1,Planilha1!$B$32:$J$35,3,0)</f>
        <v>7</v>
      </c>
      <c r="L34" s="52">
        <f>VLOOKUP(1,Planilha1!$B$32:$J$35,6,0)</f>
        <v>2</v>
      </c>
      <c r="M34" s="52">
        <f>VLOOKUP(1,Planilha1!$B$32:$J$35,7,0)</f>
        <v>1</v>
      </c>
      <c r="N34" s="52">
        <f>VLOOKUP(1,Planilha1!$B$32:$J$35,8,0)</f>
        <v>0</v>
      </c>
      <c r="O34" s="52">
        <f>VLOOKUP(1,Planilha1!$B$32:$J$35,5,0)</f>
        <v>6</v>
      </c>
      <c r="P34" s="52">
        <f>VLOOKUP(1,Planilha1!$B$32:$J$35,9,0)</f>
        <v>2</v>
      </c>
      <c r="Q34" s="52">
        <f>VLOOKUP(1,Planilha1!$B$32:$J$35,4,0)</f>
        <v>4</v>
      </c>
      <c r="S34" s="39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73"/>
      <c r="AK34" s="73"/>
      <c r="AL34" s="73"/>
      <c r="AM34" s="38"/>
      <c r="AN34" s="38"/>
      <c r="AO34" s="38"/>
      <c r="AP34" s="38"/>
      <c r="AQ34" s="38"/>
      <c r="AR34" s="38"/>
      <c r="AT34" s="38"/>
      <c r="AU34" s="38"/>
      <c r="AV34" s="38"/>
      <c r="AW34" s="38"/>
      <c r="AX34" s="38"/>
      <c r="AY34" s="38"/>
      <c r="AZ34" s="38"/>
      <c r="BA34" s="38"/>
    </row>
    <row r="35" spans="1:54" ht="15" customHeight="1" x14ac:dyDescent="0.3">
      <c r="A35" s="44">
        <v>44891</v>
      </c>
      <c r="B35" s="2" t="s">
        <v>84</v>
      </c>
      <c r="C35" s="2"/>
      <c r="D35" s="46">
        <v>2</v>
      </c>
      <c r="E35" s="45" t="s">
        <v>56</v>
      </c>
      <c r="F35" s="46">
        <v>0</v>
      </c>
      <c r="G35" s="2" t="s">
        <v>86</v>
      </c>
      <c r="H35" s="2"/>
      <c r="I35" s="47">
        <f t="shared" si="3"/>
        <v>1</v>
      </c>
      <c r="J35" s="51" t="str">
        <f>VLOOKUP(2,Planilha1!$B$32:$J$35,2,0)</f>
        <v>Austrália</v>
      </c>
      <c r="K35" s="52">
        <f>VLOOKUP(2,Planilha1!$B$32:$J$35,3,0)</f>
        <v>4</v>
      </c>
      <c r="L35" s="52">
        <f>VLOOKUP(2,Planilha1!$B$32:$J$35,6,0)</f>
        <v>1</v>
      </c>
      <c r="M35" s="52">
        <f>VLOOKUP(2,Planilha1!$B$32:$J$35,7,0)</f>
        <v>1</v>
      </c>
      <c r="N35" s="52">
        <f>VLOOKUP(2,Planilha1!$B$32:$J$35,8,0)</f>
        <v>1</v>
      </c>
      <c r="O35" s="52">
        <f>VLOOKUP(2,Planilha1!$B$32:$J$35,5,0)</f>
        <v>5</v>
      </c>
      <c r="P35" s="52">
        <f>VLOOKUP(2,Planilha1!$B$32:$J$35,9,0)</f>
        <v>4</v>
      </c>
      <c r="Q35" s="52">
        <f>VLOOKUP(2,Planilha1!$B$32:$J$35,4,0)</f>
        <v>1</v>
      </c>
      <c r="S35" s="39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73"/>
      <c r="AK35" s="73"/>
      <c r="AL35" s="73"/>
      <c r="AM35" s="38"/>
      <c r="AN35" s="38"/>
      <c r="AO35" s="38"/>
      <c r="AP35" s="38"/>
      <c r="AQ35" s="38"/>
      <c r="AR35" s="38"/>
      <c r="AT35" s="38"/>
      <c r="AU35" s="38"/>
      <c r="AV35" s="38"/>
      <c r="AW35" s="38"/>
      <c r="AX35" s="38"/>
      <c r="AY35" s="38"/>
      <c r="AZ35" s="38"/>
      <c r="BA35" s="38"/>
    </row>
    <row r="36" spans="1:54" ht="14.25" customHeight="1" x14ac:dyDescent="0.3">
      <c r="A36" s="44">
        <v>44895</v>
      </c>
      <c r="B36" s="2" t="s">
        <v>71</v>
      </c>
      <c r="C36" s="2"/>
      <c r="D36" s="46">
        <v>3</v>
      </c>
      <c r="E36" s="45" t="s">
        <v>56</v>
      </c>
      <c r="F36" s="46">
        <v>0</v>
      </c>
      <c r="G36" s="2" t="s">
        <v>86</v>
      </c>
      <c r="H36" s="2"/>
      <c r="I36" s="47">
        <f t="shared" si="3"/>
        <v>1</v>
      </c>
      <c r="J36" s="51" t="str">
        <f>VLOOKUP(3,Planilha1!$B$32:$J$35,2,0)</f>
        <v>Tunísia</v>
      </c>
      <c r="K36" s="52">
        <f>VLOOKUP(3,Planilha1!$B$32:$J$35,3,0)</f>
        <v>3</v>
      </c>
      <c r="L36" s="52">
        <f>VLOOKUP(3,Planilha1!$B$32:$J$35,6,0)</f>
        <v>1</v>
      </c>
      <c r="M36" s="52">
        <f>VLOOKUP(3,Planilha1!$B$32:$J$35,7,0)</f>
        <v>0</v>
      </c>
      <c r="N36" s="52">
        <f>VLOOKUP(3,Planilha1!$B$32:$J$35,8,0)</f>
        <v>2</v>
      </c>
      <c r="O36" s="52">
        <f>VLOOKUP(3,Planilha1!$B$32:$J$35,5,0)</f>
        <v>2</v>
      </c>
      <c r="P36" s="52">
        <f>VLOOKUP(3,Planilha1!$B$32:$J$35,9,0)</f>
        <v>6</v>
      </c>
      <c r="Q36" s="52">
        <f>VLOOKUP(3,Planilha1!$B$32:$J$35,4,0)</f>
        <v>-4</v>
      </c>
      <c r="S36" s="39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T36" s="38"/>
      <c r="AU36" s="38"/>
      <c r="AV36" s="38"/>
      <c r="AW36" s="38"/>
      <c r="AX36" s="38"/>
      <c r="AY36" s="38"/>
      <c r="AZ36" s="38"/>
      <c r="BA36" s="38"/>
    </row>
    <row r="37" spans="1:54" ht="13.5" customHeight="1" x14ac:dyDescent="0.3">
      <c r="A37" s="44">
        <v>44895</v>
      </c>
      <c r="B37" s="2" t="s">
        <v>84</v>
      </c>
      <c r="C37" s="2"/>
      <c r="D37" s="46">
        <v>2</v>
      </c>
      <c r="E37" s="45" t="s">
        <v>56</v>
      </c>
      <c r="F37" s="46">
        <v>2</v>
      </c>
      <c r="G37" s="2" t="s">
        <v>85</v>
      </c>
      <c r="H37" s="2"/>
      <c r="I37" s="47">
        <f t="shared" si="3"/>
        <v>1</v>
      </c>
      <c r="J37" s="51" t="str">
        <f>VLOOKUP(4,Planilha1!$B$32:$J$35,2,0)</f>
        <v>Dinamarca</v>
      </c>
      <c r="K37" s="52">
        <f>VLOOKUP(4,Planilha1!$B$32:$J$35,3,0)</f>
        <v>2</v>
      </c>
      <c r="L37" s="52">
        <f>VLOOKUP(4,Planilha1!$B$32:$J$35,6,0)</f>
        <v>0</v>
      </c>
      <c r="M37" s="52">
        <f>VLOOKUP(4,Planilha1!$B$32:$J$35,7,0)</f>
        <v>2</v>
      </c>
      <c r="N37" s="52">
        <f>VLOOKUP(4,Planilha1!$B$32:$J$35,8,0)</f>
        <v>1</v>
      </c>
      <c r="O37" s="52">
        <f>VLOOKUP(4,Planilha1!$B$32:$J$35,5,0)</f>
        <v>4</v>
      </c>
      <c r="P37" s="52">
        <f>VLOOKUP(4,Planilha1!$B$32:$J$35,9,0)</f>
        <v>5</v>
      </c>
      <c r="Q37" s="52">
        <f>VLOOKUP(4,Planilha1!$B$32:$J$35,4,0)</f>
        <v>-1</v>
      </c>
      <c r="S37" s="39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T37" s="38"/>
      <c r="AU37" s="38"/>
      <c r="AV37" s="38"/>
      <c r="AW37" s="38"/>
      <c r="AX37" s="38"/>
      <c r="AY37" s="38"/>
      <c r="AZ37" s="38"/>
      <c r="BA37" s="38"/>
    </row>
    <row r="38" spans="1:54" x14ac:dyDescent="0.3">
      <c r="A38" s="38"/>
      <c r="B38" s="54"/>
      <c r="C38" s="54"/>
      <c r="D38" s="55"/>
      <c r="E38" s="54"/>
      <c r="F38" s="55"/>
      <c r="G38" s="54"/>
      <c r="H38" s="54"/>
      <c r="I38" s="38"/>
      <c r="J38" s="38"/>
      <c r="K38" s="38"/>
      <c r="L38" s="38"/>
      <c r="M38" s="38"/>
      <c r="N38" s="38"/>
      <c r="O38" s="38"/>
      <c r="P38" s="38"/>
      <c r="Q38" s="38"/>
      <c r="S38" s="39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T38" s="38"/>
      <c r="AU38" s="38"/>
      <c r="AV38" s="38"/>
      <c r="AW38" s="38"/>
      <c r="AX38" s="38"/>
      <c r="AY38" s="38"/>
      <c r="AZ38" s="38"/>
      <c r="BA38" s="38"/>
    </row>
    <row r="39" spans="1:54" ht="18" customHeight="1" x14ac:dyDescent="0.35">
      <c r="A39" s="42" t="s">
        <v>53</v>
      </c>
      <c r="B39" s="59"/>
      <c r="C39" s="65" t="s">
        <v>87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S39" s="39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T39" s="38"/>
      <c r="AU39" s="38"/>
      <c r="AV39" s="38"/>
      <c r="AW39" s="38"/>
      <c r="AX39" s="38"/>
      <c r="AY39" s="38"/>
      <c r="AZ39" s="38"/>
      <c r="BA39" s="38"/>
    </row>
    <row r="40" spans="1:54" x14ac:dyDescent="0.3">
      <c r="A40" s="38"/>
      <c r="B40" s="54"/>
      <c r="C40" s="54"/>
      <c r="D40" s="55"/>
      <c r="E40" s="54"/>
      <c r="F40" s="55"/>
      <c r="G40" s="54"/>
      <c r="H40" s="54"/>
      <c r="I40" s="38"/>
      <c r="J40" s="38"/>
      <c r="L40" s="38"/>
      <c r="M40" s="38"/>
      <c r="N40" s="38"/>
      <c r="O40" s="38"/>
      <c r="P40" s="38"/>
      <c r="Q40" s="38"/>
      <c r="S40" s="39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T40" s="38"/>
      <c r="AU40" s="38"/>
      <c r="AV40" s="38"/>
      <c r="AW40" s="38"/>
      <c r="AX40" s="38"/>
      <c r="AY40" s="38"/>
      <c r="AZ40" s="38"/>
      <c r="BA40" s="38"/>
    </row>
    <row r="41" spans="1:54" ht="14.25" customHeight="1" x14ac:dyDescent="0.3">
      <c r="A41" s="44">
        <v>44888</v>
      </c>
      <c r="B41" s="2" t="s">
        <v>88</v>
      </c>
      <c r="C41" s="2"/>
      <c r="D41" s="46">
        <v>1</v>
      </c>
      <c r="E41" s="45" t="s">
        <v>56</v>
      </c>
      <c r="F41" s="46">
        <v>0</v>
      </c>
      <c r="G41" s="2" t="s">
        <v>89</v>
      </c>
      <c r="H41" s="2"/>
      <c r="I41" s="47">
        <f>IF(AND(D41="",F41=""),"",IF(AND(ISNUMBER(D41),ISNUMBER(F41)),1,-1))</f>
        <v>1</v>
      </c>
      <c r="K41" s="38"/>
      <c r="L41" s="38"/>
      <c r="M41" s="38"/>
      <c r="N41" s="38"/>
      <c r="O41" s="38"/>
      <c r="P41" s="38"/>
      <c r="Q41" s="38"/>
      <c r="S41" s="39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T41" s="38"/>
      <c r="AU41" s="38"/>
      <c r="AV41" s="38"/>
      <c r="AW41" s="38"/>
      <c r="AX41" s="38"/>
      <c r="AY41" s="38"/>
      <c r="AZ41" s="38"/>
      <c r="BA41" s="38"/>
    </row>
    <row r="42" spans="1:54" ht="14.25" customHeight="1" x14ac:dyDescent="0.3">
      <c r="A42" s="44">
        <v>44888</v>
      </c>
      <c r="B42" s="2" t="s">
        <v>90</v>
      </c>
      <c r="C42" s="2"/>
      <c r="D42" s="46">
        <v>3</v>
      </c>
      <c r="E42" s="45" t="s">
        <v>56</v>
      </c>
      <c r="F42" s="46">
        <v>0</v>
      </c>
      <c r="G42" s="2" t="s">
        <v>91</v>
      </c>
      <c r="H42" s="2"/>
      <c r="I42" s="47">
        <f>IF(AND(D42="",F42=""),"",IF(AND(ISNUMBER(D42),ISNUMBER(F42)),1,-1))</f>
        <v>1</v>
      </c>
      <c r="K42" s="49" t="s">
        <v>60</v>
      </c>
      <c r="L42" s="49" t="s">
        <v>61</v>
      </c>
      <c r="M42" s="49" t="s">
        <v>62</v>
      </c>
      <c r="N42" s="49" t="s">
        <v>63</v>
      </c>
      <c r="O42" s="49" t="s">
        <v>64</v>
      </c>
      <c r="P42" s="49" t="s">
        <v>65</v>
      </c>
      <c r="Q42" s="49" t="s">
        <v>66</v>
      </c>
      <c r="S42" s="39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T42" s="38"/>
      <c r="AU42" s="38"/>
      <c r="AV42" s="38"/>
      <c r="AW42" s="38"/>
      <c r="AX42" s="38"/>
      <c r="AY42" s="38"/>
      <c r="AZ42" s="38"/>
      <c r="BA42" s="38"/>
    </row>
    <row r="43" spans="1:54" ht="14.25" customHeight="1" x14ac:dyDescent="0.3">
      <c r="A43" s="44">
        <v>44892</v>
      </c>
      <c r="B43" s="2" t="s">
        <v>88</v>
      </c>
      <c r="C43" s="2"/>
      <c r="D43" s="46">
        <v>2</v>
      </c>
      <c r="E43" s="45" t="s">
        <v>56</v>
      </c>
      <c r="F43" s="46">
        <v>2</v>
      </c>
      <c r="G43" s="2" t="s">
        <v>90</v>
      </c>
      <c r="H43" s="2"/>
      <c r="I43" s="47">
        <f>IF(AND(D43="",F43=""),"",IF(AND(ISNUMBER(D43),ISNUMBER(F43)),1,-1))</f>
        <v>1</v>
      </c>
      <c r="J43" s="51" t="str">
        <f>VLOOKUP(1,Planilha1!$B$41:$J44,2,0)</f>
        <v>Alemanha</v>
      </c>
      <c r="K43" s="52">
        <f>VLOOKUP(1,Planilha1!$B$41:$J44,3,0)</f>
        <v>7</v>
      </c>
      <c r="L43" s="52">
        <f>VLOOKUP(1,Planilha1!$B$41:$J44,6,0)</f>
        <v>2</v>
      </c>
      <c r="M43" s="52">
        <f>VLOOKUP(1,Planilha1!$B$41:$J44,7,0)</f>
        <v>1</v>
      </c>
      <c r="N43" s="52">
        <f>VLOOKUP(1,Planilha1!$B$41:$J44,8,0)</f>
        <v>0</v>
      </c>
      <c r="O43" s="52">
        <f>VLOOKUP(1,Planilha1!$B$41:$J44,5,0)</f>
        <v>8</v>
      </c>
      <c r="P43" s="52">
        <f>VLOOKUP(1,Planilha1!$B$41:$J44,9,0)</f>
        <v>3</v>
      </c>
      <c r="Q43" s="52">
        <f>VLOOKUP(1,Planilha1!$B$41:$J44,4,0)</f>
        <v>5</v>
      </c>
      <c r="S43" s="39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T43" s="38"/>
      <c r="AU43" s="38"/>
      <c r="AV43" s="38"/>
      <c r="AW43" s="38"/>
      <c r="AX43" s="38"/>
      <c r="AY43" s="38"/>
      <c r="AZ43" s="38"/>
      <c r="BA43" s="38"/>
    </row>
    <row r="44" spans="1:54" ht="14.25" customHeight="1" x14ac:dyDescent="0.3">
      <c r="A44" s="44">
        <v>44892</v>
      </c>
      <c r="B44" s="2" t="s">
        <v>89</v>
      </c>
      <c r="C44" s="2"/>
      <c r="D44" s="46">
        <v>2</v>
      </c>
      <c r="E44" s="45" t="s">
        <v>56</v>
      </c>
      <c r="F44" s="46">
        <v>0</v>
      </c>
      <c r="G44" s="2" t="s">
        <v>91</v>
      </c>
      <c r="H44" s="2"/>
      <c r="I44" s="47">
        <f>IF(AND(D44="",F44=""),"",IF(AND(ISNUMBER(D44),ISNUMBER(F44)),1,-1))</f>
        <v>1</v>
      </c>
      <c r="J44" s="51" t="str">
        <f>VLOOKUP(2,Planilha1!$B$41:$J44,2,0)</f>
        <v>Espanha</v>
      </c>
      <c r="K44" s="52">
        <f>VLOOKUP(2,Planilha1!$B$41:$J44,3,0)</f>
        <v>7</v>
      </c>
      <c r="L44" s="52">
        <f>VLOOKUP(2,Planilha1!$B$41:$J44,6,0)</f>
        <v>2</v>
      </c>
      <c r="M44" s="52">
        <f>VLOOKUP(2,Planilha1!$B$41:$J44,7,0)</f>
        <v>1</v>
      </c>
      <c r="N44" s="52">
        <f>VLOOKUP(2,Planilha1!$B$41:$J44,8,0)</f>
        <v>0</v>
      </c>
      <c r="O44" s="52">
        <f>VLOOKUP(2,Planilha1!$B$41:$J44,5,0)</f>
        <v>5</v>
      </c>
      <c r="P44" s="52">
        <f>VLOOKUP(2,Planilha1!$B$41:$J44,9,0)</f>
        <v>3</v>
      </c>
      <c r="Q44" s="52">
        <f>VLOOKUP(2,Planilha1!$B$41:$J44,4,0)</f>
        <v>2</v>
      </c>
      <c r="S44" s="39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T44" s="38"/>
      <c r="AU44" s="38"/>
      <c r="AV44" s="38"/>
      <c r="AW44" s="38"/>
      <c r="AX44" s="38"/>
      <c r="AY44" s="38"/>
      <c r="AZ44" s="38"/>
      <c r="BA44" s="38"/>
    </row>
    <row r="45" spans="1:54" ht="14.25" customHeight="1" x14ac:dyDescent="0.3">
      <c r="A45" s="44">
        <v>44896</v>
      </c>
      <c r="B45" s="2" t="s">
        <v>88</v>
      </c>
      <c r="C45" s="2"/>
      <c r="D45" s="46">
        <v>2</v>
      </c>
      <c r="E45" s="45" t="s">
        <v>56</v>
      </c>
      <c r="F45" s="46">
        <v>1</v>
      </c>
      <c r="G45" s="2" t="s">
        <v>91</v>
      </c>
      <c r="H45" s="2"/>
      <c r="I45" s="47">
        <f>IF(AND(D45="",F45=""),"",IF(AND(ISNUMBER(D45),ISNUMBER(F45)),1,-1))</f>
        <v>1</v>
      </c>
      <c r="J45" s="51" t="str">
        <f>VLOOKUP(3,Planilha1!$B$41:$J44,2,0)</f>
        <v>Costa Rica</v>
      </c>
      <c r="K45" s="52">
        <f>VLOOKUP(3,Planilha1!$B$41:$J44,3,0)</f>
        <v>3</v>
      </c>
      <c r="L45" s="52">
        <f>VLOOKUP(3,Planilha1!$B$41:$J44,6,0)</f>
        <v>1</v>
      </c>
      <c r="M45" s="52">
        <f>VLOOKUP(3,Planilha1!$B$41:$J44,7,0)</f>
        <v>0</v>
      </c>
      <c r="N45" s="52">
        <f>VLOOKUP(3,Planilha1!$B$41:$J44,8,0)</f>
        <v>2</v>
      </c>
      <c r="O45" s="52">
        <f>VLOOKUP(3,Planilha1!$B$41:$J44,5,0)</f>
        <v>3</v>
      </c>
      <c r="P45" s="52">
        <f>VLOOKUP(3,Planilha1!$B$41:$J44,9,0)</f>
        <v>4</v>
      </c>
      <c r="Q45" s="52">
        <f>VLOOKUP(3,Planilha1!$B$41:$J44,4,0)</f>
        <v>-1</v>
      </c>
      <c r="S45" s="39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T45" s="38"/>
      <c r="AU45" s="38"/>
      <c r="AV45" s="38"/>
      <c r="AW45" s="38"/>
      <c r="AX45" s="38"/>
      <c r="AY45" s="38"/>
      <c r="AZ45" s="38"/>
      <c r="BA45" s="38"/>
    </row>
    <row r="46" spans="1:54" ht="14.25" customHeight="1" x14ac:dyDescent="0.3">
      <c r="A46" s="44">
        <v>44896</v>
      </c>
      <c r="B46" s="2" t="s">
        <v>89</v>
      </c>
      <c r="C46" s="2"/>
      <c r="D46" s="46">
        <v>1</v>
      </c>
      <c r="E46" s="45" t="s">
        <v>56</v>
      </c>
      <c r="F46" s="46">
        <v>3</v>
      </c>
      <c r="G46" s="2" t="s">
        <v>90</v>
      </c>
      <c r="H46" s="2"/>
      <c r="I46" s="48">
        <f>IF(AND(D45="",F45=""),"",IF(AND(ISNUMBER(D45),ISNUMBER(F45)),1,-1))</f>
        <v>1</v>
      </c>
      <c r="J46" s="51" t="str">
        <f>VLOOKUP(4,Planilha1!$B$41:$J44,2,0)</f>
        <v>Japão</v>
      </c>
      <c r="K46" s="52">
        <f>VLOOKUP(4,Planilha1!$B$41:$J44,3,0)</f>
        <v>0</v>
      </c>
      <c r="L46" s="52">
        <f>VLOOKUP(4,Planilha1!$B$41:$J44,6,0)</f>
        <v>0</v>
      </c>
      <c r="M46" s="52">
        <f>VLOOKUP(4,Planilha1!$B$41:$J44,7,0)</f>
        <v>0</v>
      </c>
      <c r="N46" s="52">
        <f>VLOOKUP(4,Planilha1!$B$41:$J44,8,0)</f>
        <v>3</v>
      </c>
      <c r="O46" s="52">
        <f>VLOOKUP(4,Planilha1!$B$41:$J44,5,0)</f>
        <v>1</v>
      </c>
      <c r="P46" s="52">
        <f>VLOOKUP(4,Planilha1!$B$41:$J44,9,0)</f>
        <v>7</v>
      </c>
      <c r="Q46" s="52">
        <f>VLOOKUP(4,Planilha1!$B$41:$J44,4,0)</f>
        <v>-6</v>
      </c>
      <c r="S46" s="39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T46" s="38"/>
      <c r="AU46" s="38"/>
      <c r="AV46" s="38"/>
      <c r="AW46" s="38"/>
      <c r="AX46" s="38"/>
      <c r="AY46" s="38"/>
      <c r="AZ46" s="38"/>
      <c r="BA46" s="38"/>
    </row>
    <row r="47" spans="1:54" x14ac:dyDescent="0.3">
      <c r="A47" s="38"/>
      <c r="B47" s="54"/>
      <c r="C47" s="54"/>
      <c r="D47" s="55"/>
      <c r="E47" s="54"/>
      <c r="F47" s="55"/>
      <c r="G47" s="54"/>
      <c r="H47" s="54"/>
      <c r="I47" s="38"/>
      <c r="J47" s="38"/>
      <c r="K47" s="38"/>
      <c r="L47" s="38"/>
      <c r="M47" s="38"/>
      <c r="N47" s="38"/>
      <c r="O47" s="38"/>
      <c r="P47" s="38"/>
      <c r="Q47" s="38"/>
      <c r="S47" s="39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T47" s="38"/>
      <c r="AU47" s="38"/>
      <c r="AV47" s="38"/>
      <c r="AW47" s="38"/>
      <c r="AX47" s="38"/>
      <c r="AY47" s="38"/>
      <c r="AZ47" s="38"/>
      <c r="BA47" s="38"/>
    </row>
    <row r="48" spans="1:54" ht="18" customHeight="1" x14ac:dyDescent="0.35">
      <c r="A48" s="42" t="s">
        <v>53</v>
      </c>
      <c r="B48" s="59"/>
      <c r="C48" s="65" t="s">
        <v>92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S48" s="39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</row>
    <row r="49" spans="1:44" x14ac:dyDescent="0.3">
      <c r="A49" s="38"/>
      <c r="B49" s="54"/>
      <c r="C49" s="54"/>
      <c r="D49" s="55"/>
      <c r="E49" s="54"/>
      <c r="F49" s="55"/>
      <c r="G49" s="54"/>
      <c r="H49" s="54"/>
      <c r="K49" s="38"/>
      <c r="L49" s="38"/>
      <c r="M49" s="38"/>
      <c r="N49" s="38"/>
      <c r="O49" s="38"/>
      <c r="P49" s="38"/>
      <c r="Q49" s="38"/>
      <c r="S49" s="39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</row>
    <row r="50" spans="1:44" ht="14.25" customHeight="1" x14ac:dyDescent="0.3">
      <c r="A50" s="60">
        <v>44888</v>
      </c>
      <c r="B50" s="2" t="s">
        <v>77</v>
      </c>
      <c r="C50" s="2"/>
      <c r="D50" s="46">
        <v>3</v>
      </c>
      <c r="E50" s="45" t="s">
        <v>56</v>
      </c>
      <c r="F50" s="46">
        <v>0</v>
      </c>
      <c r="G50" s="2" t="s">
        <v>93</v>
      </c>
      <c r="H50" s="2"/>
      <c r="I50" s="47">
        <f t="shared" ref="I50:I55" si="4">IF(AND(D50="",F50=""),"",IF(AND(ISNUMBER(D50),ISNUMBER(F50)),1,-1))</f>
        <v>1</v>
      </c>
      <c r="J50" s="38"/>
      <c r="K50" s="38"/>
      <c r="L50" s="38"/>
      <c r="M50" s="38"/>
      <c r="N50" s="38"/>
      <c r="O50" s="38"/>
      <c r="P50" s="38"/>
      <c r="Q50" s="38"/>
      <c r="S50" s="39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</row>
    <row r="51" spans="1:44" ht="14.25" customHeight="1" x14ac:dyDescent="0.3">
      <c r="A51" s="60">
        <v>44888</v>
      </c>
      <c r="B51" s="2" t="s">
        <v>94</v>
      </c>
      <c r="C51" s="2"/>
      <c r="D51" s="46">
        <v>1</v>
      </c>
      <c r="E51" s="45" t="s">
        <v>56</v>
      </c>
      <c r="F51" s="46">
        <v>1</v>
      </c>
      <c r="G51" s="2" t="s">
        <v>81</v>
      </c>
      <c r="H51" s="2"/>
      <c r="I51" s="47">
        <f t="shared" si="4"/>
        <v>1</v>
      </c>
      <c r="K51" s="49" t="s">
        <v>60</v>
      </c>
      <c r="L51" s="49" t="s">
        <v>61</v>
      </c>
      <c r="M51" s="49" t="s">
        <v>62</v>
      </c>
      <c r="N51" s="49" t="s">
        <v>63</v>
      </c>
      <c r="O51" s="49" t="s">
        <v>64</v>
      </c>
      <c r="P51" s="49" t="s">
        <v>65</v>
      </c>
      <c r="Q51" s="49" t="s">
        <v>66</v>
      </c>
      <c r="S51" s="39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</row>
    <row r="52" spans="1:44" ht="14.25" customHeight="1" x14ac:dyDescent="0.3">
      <c r="A52" s="60">
        <v>44892</v>
      </c>
      <c r="B52" s="2" t="s">
        <v>77</v>
      </c>
      <c r="C52" s="2"/>
      <c r="D52" s="46">
        <v>2</v>
      </c>
      <c r="E52" s="45" t="s">
        <v>56</v>
      </c>
      <c r="F52" s="46">
        <v>0</v>
      </c>
      <c r="G52" s="2" t="s">
        <v>94</v>
      </c>
      <c r="H52" s="2"/>
      <c r="I52" s="47">
        <f t="shared" si="4"/>
        <v>1</v>
      </c>
      <c r="J52" s="51" t="str">
        <f>VLOOKUP(1,Planilha1!$B$50:$J53,2,0)</f>
        <v>Bélgica</v>
      </c>
      <c r="K52" s="52">
        <f>VLOOKUP(1,Planilha1!$B$50:$J53,3,0)</f>
        <v>7</v>
      </c>
      <c r="L52" s="52">
        <f>VLOOKUP(1,Planilha1!$B$50:$J53,6,0)</f>
        <v>2</v>
      </c>
      <c r="M52" s="52">
        <f>VLOOKUP(1,Planilha1!$B$50:$J53,7,0)</f>
        <v>1</v>
      </c>
      <c r="N52" s="52">
        <f>VLOOKUP(1,Planilha1!$B$50:$J53,8,0)</f>
        <v>0</v>
      </c>
      <c r="O52" s="52">
        <f>VLOOKUP(1,Planilha1!$B$50:$J53,5,0)</f>
        <v>6</v>
      </c>
      <c r="P52" s="52">
        <f>VLOOKUP(1,Planilha1!$B$50:$J53,9,0)</f>
        <v>1</v>
      </c>
      <c r="Q52" s="52">
        <f>VLOOKUP(1,Planilha1!$B$50:$J53,4,0)</f>
        <v>5</v>
      </c>
      <c r="S52" s="39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</row>
    <row r="53" spans="1:44" ht="14.25" customHeight="1" x14ac:dyDescent="0.3">
      <c r="A53" s="60">
        <v>44892</v>
      </c>
      <c r="B53" s="2" t="s">
        <v>93</v>
      </c>
      <c r="C53" s="2"/>
      <c r="D53" s="46">
        <v>1</v>
      </c>
      <c r="E53" s="45" t="s">
        <v>56</v>
      </c>
      <c r="F53" s="46">
        <v>1</v>
      </c>
      <c r="G53" s="2" t="s">
        <v>81</v>
      </c>
      <c r="H53" s="2"/>
      <c r="I53" s="47">
        <f t="shared" si="4"/>
        <v>1</v>
      </c>
      <c r="J53" s="51" t="str">
        <f>VLOOKUP(2,Planilha1!$B$50:$J53,2,0)</f>
        <v>Croácia</v>
      </c>
      <c r="K53" s="52">
        <f>VLOOKUP(2,Planilha1!$B$50:$J53,3,0)</f>
        <v>3</v>
      </c>
      <c r="L53" s="52">
        <f>VLOOKUP(2,Planilha1!$B$50:$J53,6,0)</f>
        <v>0</v>
      </c>
      <c r="M53" s="52">
        <f>VLOOKUP(2,Planilha1!$B$50:$J53,7,0)</f>
        <v>3</v>
      </c>
      <c r="N53" s="52">
        <f>VLOOKUP(2,Planilha1!$B$50:$J53,8,0)</f>
        <v>0</v>
      </c>
      <c r="O53" s="52">
        <f>VLOOKUP(2,Planilha1!$B$50:$J53,5,0)</f>
        <v>3</v>
      </c>
      <c r="P53" s="52">
        <f>VLOOKUP(2,Planilha1!$B$50:$J53,9,0)</f>
        <v>3</v>
      </c>
      <c r="Q53" s="52">
        <f>VLOOKUP(2,Planilha1!$B$50:$J53,4,0)</f>
        <v>0</v>
      </c>
      <c r="S53" s="39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</row>
    <row r="54" spans="1:44" ht="13.5" customHeight="1" x14ac:dyDescent="0.3">
      <c r="A54" s="60">
        <v>44896</v>
      </c>
      <c r="B54" s="2" t="s">
        <v>77</v>
      </c>
      <c r="C54" s="2"/>
      <c r="D54" s="46">
        <v>1</v>
      </c>
      <c r="E54" s="45" t="s">
        <v>56</v>
      </c>
      <c r="F54" s="46">
        <v>1</v>
      </c>
      <c r="G54" s="2" t="s">
        <v>81</v>
      </c>
      <c r="H54" s="2"/>
      <c r="I54" s="47">
        <f t="shared" si="4"/>
        <v>1</v>
      </c>
      <c r="J54" s="51" t="str">
        <f>VLOOKUP(3,Planilha1!$B$50:$J53,2,0)</f>
        <v>Marrocos</v>
      </c>
      <c r="K54" s="52">
        <f>VLOOKUP(3,Planilha1!$B$50:$J53,3,0)</f>
        <v>2</v>
      </c>
      <c r="L54" s="52">
        <f>VLOOKUP(3,Planilha1!$B$50:$J53,6,0)</f>
        <v>0</v>
      </c>
      <c r="M54" s="52">
        <f>VLOOKUP(3,Planilha1!$B$50:$J53,7,0)</f>
        <v>2</v>
      </c>
      <c r="N54" s="52">
        <f>VLOOKUP(3,Planilha1!$B$50:$J53,8,0)</f>
        <v>1</v>
      </c>
      <c r="O54" s="52">
        <f>VLOOKUP(3,Planilha1!$B$50:$J53,5,0)</f>
        <v>1</v>
      </c>
      <c r="P54" s="52">
        <f>VLOOKUP(3,Planilha1!$B$50:$J53,9,0)</f>
        <v>3</v>
      </c>
      <c r="Q54" s="52">
        <f>VLOOKUP(3,Planilha1!$B$50:$J53,4,0)</f>
        <v>-2</v>
      </c>
      <c r="S54" s="39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</row>
    <row r="55" spans="1:44" ht="14.25" customHeight="1" x14ac:dyDescent="0.3">
      <c r="A55" s="60">
        <v>44896</v>
      </c>
      <c r="B55" s="2" t="s">
        <v>93</v>
      </c>
      <c r="C55" s="2"/>
      <c r="D55" s="46">
        <v>0</v>
      </c>
      <c r="E55" s="45" t="s">
        <v>56</v>
      </c>
      <c r="F55" s="46">
        <v>0</v>
      </c>
      <c r="G55" s="2" t="s">
        <v>94</v>
      </c>
      <c r="H55" s="2"/>
      <c r="I55" s="47">
        <f t="shared" si="4"/>
        <v>1</v>
      </c>
      <c r="J55" s="51" t="str">
        <f>VLOOKUP(4,Planilha1!$B$50:$J53,2,0)</f>
        <v>Canadá</v>
      </c>
      <c r="K55" s="52">
        <f>VLOOKUP(4,Planilha1!$B$50:$J53,3,0)</f>
        <v>2</v>
      </c>
      <c r="L55" s="52">
        <f>VLOOKUP(4,Planilha1!$B$50:$J53,6,0)</f>
        <v>0</v>
      </c>
      <c r="M55" s="52">
        <f>VLOOKUP(4,Planilha1!$B$50:$J53,7,0)</f>
        <v>2</v>
      </c>
      <c r="N55" s="52">
        <f>VLOOKUP(4,Planilha1!$B$50:$J53,8,0)</f>
        <v>1</v>
      </c>
      <c r="O55" s="52">
        <f>VLOOKUP(4,Planilha1!$B$50:$J53,5,0)</f>
        <v>1</v>
      </c>
      <c r="P55" s="52">
        <f>VLOOKUP(4,Planilha1!$B$50:$J53,9,0)</f>
        <v>4</v>
      </c>
      <c r="Q55" s="52">
        <f>VLOOKUP(4,Planilha1!$B$50:$J53,4,0)</f>
        <v>-3</v>
      </c>
      <c r="S55" s="39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</row>
    <row r="56" spans="1:44" x14ac:dyDescent="0.3">
      <c r="A56" s="38"/>
      <c r="B56" s="54"/>
      <c r="C56" s="54"/>
      <c r="D56" s="55"/>
      <c r="E56" s="54"/>
      <c r="F56" s="55"/>
      <c r="G56" s="54"/>
      <c r="H56" s="54"/>
      <c r="I56" s="38"/>
      <c r="J56" s="38"/>
      <c r="K56" s="38"/>
      <c r="L56" s="38"/>
      <c r="M56" s="38"/>
      <c r="N56" s="38"/>
      <c r="O56" s="38"/>
      <c r="P56" s="38"/>
      <c r="Q56" s="38"/>
      <c r="S56" s="39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</row>
    <row r="57" spans="1:44" ht="18" customHeight="1" x14ac:dyDescent="0.35">
      <c r="A57" s="42" t="s">
        <v>53</v>
      </c>
      <c r="B57" s="59"/>
      <c r="C57" s="65" t="s">
        <v>95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S57" s="39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</row>
    <row r="58" spans="1:44" x14ac:dyDescent="0.3">
      <c r="A58" s="38"/>
      <c r="B58" s="54"/>
      <c r="C58" s="54"/>
      <c r="D58" s="55"/>
      <c r="E58" s="54"/>
      <c r="F58" s="55"/>
      <c r="G58" s="54"/>
      <c r="H58" s="54"/>
      <c r="I58" s="38"/>
      <c r="K58" s="38"/>
      <c r="L58" s="38"/>
      <c r="M58" s="38"/>
      <c r="N58" s="38"/>
      <c r="O58" s="38"/>
      <c r="P58" s="38"/>
      <c r="Q58" s="38"/>
      <c r="S58" s="39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</row>
    <row r="59" spans="1:44" ht="14.25" customHeight="1" x14ac:dyDescent="0.3">
      <c r="A59" s="44">
        <v>44889</v>
      </c>
      <c r="B59" s="2" t="s">
        <v>76</v>
      </c>
      <c r="C59" s="2"/>
      <c r="D59" s="46">
        <v>2</v>
      </c>
      <c r="E59" s="45" t="s">
        <v>56</v>
      </c>
      <c r="F59" s="46">
        <v>0</v>
      </c>
      <c r="G59" s="2" t="s">
        <v>96</v>
      </c>
      <c r="H59" s="2"/>
      <c r="I59" s="47">
        <f t="shared" ref="I59:I64" si="5">IF(AND(D59="",F59=""),"",IF(AND(ISNUMBER(D59),ISNUMBER(F59)),1,-1))</f>
        <v>1</v>
      </c>
      <c r="K59" s="38"/>
      <c r="L59" s="38"/>
      <c r="M59" s="38"/>
      <c r="N59" s="38"/>
      <c r="O59" s="38"/>
      <c r="P59" s="38"/>
      <c r="Q59" s="38"/>
      <c r="S59" s="39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</row>
    <row r="60" spans="1:44" ht="14.25" customHeight="1" x14ac:dyDescent="0.3">
      <c r="A60" s="44">
        <v>44889</v>
      </c>
      <c r="B60" s="2" t="s">
        <v>97</v>
      </c>
      <c r="C60" s="2"/>
      <c r="D60" s="46">
        <v>1</v>
      </c>
      <c r="E60" s="45" t="s">
        <v>56</v>
      </c>
      <c r="F60" s="46">
        <v>1</v>
      </c>
      <c r="G60" s="2" t="s">
        <v>98</v>
      </c>
      <c r="H60" s="2"/>
      <c r="I60" s="47">
        <f t="shared" si="5"/>
        <v>1</v>
      </c>
      <c r="K60" s="49" t="s">
        <v>60</v>
      </c>
      <c r="L60" s="49" t="s">
        <v>61</v>
      </c>
      <c r="M60" s="49" t="s">
        <v>62</v>
      </c>
      <c r="N60" s="49" t="s">
        <v>63</v>
      </c>
      <c r="O60" s="49" t="s">
        <v>64</v>
      </c>
      <c r="P60" s="49" t="s">
        <v>65</v>
      </c>
      <c r="Q60" s="49" t="s">
        <v>66</v>
      </c>
      <c r="S60" s="39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</row>
    <row r="61" spans="1:44" ht="14.25" customHeight="1" x14ac:dyDescent="0.3">
      <c r="A61" s="44">
        <v>44893</v>
      </c>
      <c r="B61" s="2" t="s">
        <v>76</v>
      </c>
      <c r="C61" s="2"/>
      <c r="D61" s="46">
        <v>1</v>
      </c>
      <c r="E61" s="45" t="s">
        <v>56</v>
      </c>
      <c r="F61" s="46">
        <v>0</v>
      </c>
      <c r="G61" s="2" t="s">
        <v>97</v>
      </c>
      <c r="H61" s="2"/>
      <c r="I61" s="47">
        <f t="shared" si="5"/>
        <v>1</v>
      </c>
      <c r="J61" s="51" t="str">
        <f>VLOOKUP(1,Planilha1!$B$59:$J62,2,0)</f>
        <v>Brasil</v>
      </c>
      <c r="K61" s="52">
        <f>VLOOKUP(1,Planilha1!$B$59:$J62,3,0)</f>
        <v>9</v>
      </c>
      <c r="L61" s="52">
        <f>VLOOKUP(1,Planilha1!$B$59:$J62,6,0)</f>
        <v>3</v>
      </c>
      <c r="M61" s="52">
        <f>VLOOKUP(1,Planilha1!$B$59:$J62,7,0)</f>
        <v>0</v>
      </c>
      <c r="N61" s="52">
        <f>VLOOKUP(1,Planilha1!$B$59:$J62,8,0)</f>
        <v>0</v>
      </c>
      <c r="O61" s="52">
        <f>VLOOKUP(1,Planilha1!$B$59:$J62,5,0)</f>
        <v>5</v>
      </c>
      <c r="P61" s="52">
        <f>VLOOKUP(1,Planilha1!$B$59:$J62,9,0)</f>
        <v>1</v>
      </c>
      <c r="Q61" s="52">
        <f>VLOOKUP(1,Planilha1!$B$59:$J62,4,0)</f>
        <v>4</v>
      </c>
      <c r="S61" s="39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</row>
    <row r="62" spans="1:44" ht="14.25" customHeight="1" x14ac:dyDescent="0.3">
      <c r="A62" s="44">
        <v>44893</v>
      </c>
      <c r="B62" s="2" t="s">
        <v>96</v>
      </c>
      <c r="C62" s="2"/>
      <c r="D62" s="46">
        <v>1</v>
      </c>
      <c r="E62" s="45" t="s">
        <v>56</v>
      </c>
      <c r="F62" s="46">
        <v>2</v>
      </c>
      <c r="G62" s="2" t="s">
        <v>98</v>
      </c>
      <c r="H62" s="2"/>
      <c r="I62" s="47">
        <f t="shared" si="5"/>
        <v>1</v>
      </c>
      <c r="J62" s="51" t="str">
        <f>VLOOKUP(2,Planilha1!$B$59:$J62,2,0)</f>
        <v>Camarões</v>
      </c>
      <c r="K62" s="52">
        <f>VLOOKUP(2,Planilha1!$B$59:$J62,3,0)</f>
        <v>4</v>
      </c>
      <c r="L62" s="52">
        <f>VLOOKUP(2,Planilha1!$B$59:$J62,6,0)</f>
        <v>1</v>
      </c>
      <c r="M62" s="52">
        <f>VLOOKUP(2,Planilha1!$B$59:$J62,7,0)</f>
        <v>1</v>
      </c>
      <c r="N62" s="52">
        <f>VLOOKUP(2,Planilha1!$B$59:$J62,8,0)</f>
        <v>1</v>
      </c>
      <c r="O62" s="52">
        <f>VLOOKUP(2,Planilha1!$B$59:$J62,5,0)</f>
        <v>4</v>
      </c>
      <c r="P62" s="52">
        <f>VLOOKUP(2,Planilha1!$B$59:$J62,9,0)</f>
        <v>4</v>
      </c>
      <c r="Q62" s="52">
        <f>VLOOKUP(2,Planilha1!$B$59:$J62,4,0)</f>
        <v>0</v>
      </c>
      <c r="S62" s="39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</row>
    <row r="63" spans="1:44" ht="14.25" customHeight="1" x14ac:dyDescent="0.3">
      <c r="A63" s="44">
        <v>44897</v>
      </c>
      <c r="B63" s="2" t="s">
        <v>76</v>
      </c>
      <c r="C63" s="2"/>
      <c r="D63" s="46">
        <v>2</v>
      </c>
      <c r="E63" s="45" t="s">
        <v>56</v>
      </c>
      <c r="F63" s="46">
        <v>1</v>
      </c>
      <c r="G63" s="2" t="s">
        <v>98</v>
      </c>
      <c r="H63" s="2"/>
      <c r="I63" s="47">
        <f t="shared" si="5"/>
        <v>1</v>
      </c>
      <c r="J63" s="51" t="str">
        <f>VLOOKUP(3,Planilha1!$B$59:$J62,2,0)</f>
        <v>Suíça</v>
      </c>
      <c r="K63" s="52">
        <f>VLOOKUP(3,Planilha1!$B$59:$J62,3,0)</f>
        <v>2</v>
      </c>
      <c r="L63" s="52">
        <f>VLOOKUP(3,Planilha1!$B$59:$J62,6,0)</f>
        <v>0</v>
      </c>
      <c r="M63" s="52">
        <f>VLOOKUP(3,Planilha1!$B$59:$J62,7,0)</f>
        <v>2</v>
      </c>
      <c r="N63" s="52">
        <f>VLOOKUP(3,Planilha1!$B$59:$J62,8,0)</f>
        <v>1</v>
      </c>
      <c r="O63" s="52">
        <f>VLOOKUP(3,Planilha1!$B$59:$J62,5,0)</f>
        <v>1</v>
      </c>
      <c r="P63" s="52">
        <f>VLOOKUP(3,Planilha1!$B$59:$J62,9,0)</f>
        <v>2</v>
      </c>
      <c r="Q63" s="52">
        <f>VLOOKUP(3,Planilha1!$B$59:$J62,4,0)</f>
        <v>-1</v>
      </c>
      <c r="S63" s="39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</row>
    <row r="64" spans="1:44" ht="14.25" customHeight="1" x14ac:dyDescent="0.3">
      <c r="A64" s="44">
        <v>44897</v>
      </c>
      <c r="B64" s="2" t="s">
        <v>96</v>
      </c>
      <c r="C64" s="2"/>
      <c r="D64" s="46">
        <v>0</v>
      </c>
      <c r="E64" s="45" t="s">
        <v>56</v>
      </c>
      <c r="F64" s="46">
        <v>0</v>
      </c>
      <c r="G64" s="2" t="s">
        <v>97</v>
      </c>
      <c r="H64" s="2"/>
      <c r="I64" s="47">
        <f t="shared" si="5"/>
        <v>1</v>
      </c>
      <c r="J64" s="51" t="str">
        <f>VLOOKUP(4,Planilha1!$B$59:$J62,2,0)</f>
        <v>Sérvia</v>
      </c>
      <c r="K64" s="52">
        <f>VLOOKUP(4,Planilha1!$B$59:$J62,3,0)</f>
        <v>1</v>
      </c>
      <c r="L64" s="52">
        <f>VLOOKUP(4,Planilha1!$B$59:$J62,6,0)</f>
        <v>0</v>
      </c>
      <c r="M64" s="52">
        <f>VLOOKUP(4,Planilha1!$B$59:$J62,7,0)</f>
        <v>1</v>
      </c>
      <c r="N64" s="52">
        <f>VLOOKUP(4,Planilha1!$B$59:$J62,8,0)</f>
        <v>2</v>
      </c>
      <c r="O64" s="52">
        <f>VLOOKUP(4,Planilha1!$B$59:$J62,5,0)</f>
        <v>1</v>
      </c>
      <c r="P64" s="52">
        <f>VLOOKUP(4,Planilha1!$B$59:$J62,9,0)</f>
        <v>4</v>
      </c>
      <c r="Q64" s="52">
        <f>VLOOKUP(4,Planilha1!$B$59:$J62,4,0)</f>
        <v>-3</v>
      </c>
      <c r="S64" s="39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</row>
    <row r="65" spans="1:19" x14ac:dyDescent="0.3">
      <c r="A65" s="38"/>
      <c r="B65" s="54"/>
      <c r="C65" s="54"/>
      <c r="D65" s="55"/>
      <c r="E65" s="54"/>
      <c r="F65" s="55"/>
      <c r="G65" s="54"/>
      <c r="H65" s="54"/>
      <c r="I65" s="38"/>
      <c r="J65" s="38"/>
      <c r="K65" s="38"/>
      <c r="L65" s="38"/>
      <c r="M65" s="38"/>
      <c r="N65" s="38"/>
      <c r="O65" s="38"/>
      <c r="P65" s="38"/>
      <c r="Q65" s="38"/>
      <c r="S65" s="39"/>
    </row>
    <row r="66" spans="1:19" ht="18" customHeight="1" x14ac:dyDescent="0.35">
      <c r="A66" s="42" t="s">
        <v>53</v>
      </c>
      <c r="B66" s="59"/>
      <c r="C66" s="65" t="s">
        <v>99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S66" s="39"/>
    </row>
    <row r="67" spans="1:19" x14ac:dyDescent="0.3">
      <c r="A67" s="38"/>
      <c r="B67" s="54"/>
      <c r="C67" s="54"/>
      <c r="D67" s="55"/>
      <c r="E67" s="54"/>
      <c r="F67" s="55"/>
      <c r="G67" s="54"/>
      <c r="H67" s="54"/>
      <c r="I67" s="38"/>
      <c r="K67" s="38"/>
      <c r="L67" s="38"/>
      <c r="M67" s="38"/>
      <c r="N67" s="38"/>
      <c r="O67" s="38"/>
      <c r="P67" s="38"/>
      <c r="Q67" s="38"/>
      <c r="S67" s="39"/>
    </row>
    <row r="68" spans="1:19" ht="14.25" customHeight="1" x14ac:dyDescent="0.3">
      <c r="A68" s="44">
        <v>44889</v>
      </c>
      <c r="B68" s="2" t="s">
        <v>100</v>
      </c>
      <c r="C68" s="2"/>
      <c r="D68" s="46">
        <v>1</v>
      </c>
      <c r="E68" s="45" t="s">
        <v>56</v>
      </c>
      <c r="F68" s="46">
        <v>0</v>
      </c>
      <c r="G68" s="2" t="s">
        <v>101</v>
      </c>
      <c r="H68" s="2"/>
      <c r="I68" s="47">
        <f t="shared" ref="I68:I73" si="6">IF(AND(D68="",F68=""),"",IF(AND(ISNUMBER(D68),ISNUMBER(F68)),1,-1))</f>
        <v>1</v>
      </c>
      <c r="J68" s="38"/>
      <c r="K68" s="38"/>
      <c r="L68" s="38"/>
      <c r="M68" s="38"/>
      <c r="N68" s="38"/>
      <c r="O68" s="38"/>
      <c r="P68" s="38"/>
      <c r="Q68" s="38"/>
      <c r="S68" s="39"/>
    </row>
    <row r="69" spans="1:19" ht="14.25" customHeight="1" x14ac:dyDescent="0.3">
      <c r="A69" s="44">
        <v>44889</v>
      </c>
      <c r="B69" s="2" t="s">
        <v>82</v>
      </c>
      <c r="C69" s="2"/>
      <c r="D69" s="46">
        <v>3</v>
      </c>
      <c r="E69" s="45" t="s">
        <v>56</v>
      </c>
      <c r="F69" s="46">
        <v>1</v>
      </c>
      <c r="G69" s="2" t="s">
        <v>102</v>
      </c>
      <c r="H69" s="2"/>
      <c r="I69" s="47">
        <f t="shared" si="6"/>
        <v>1</v>
      </c>
      <c r="K69" s="49" t="s">
        <v>60</v>
      </c>
      <c r="L69" s="49" t="s">
        <v>61</v>
      </c>
      <c r="M69" s="49" t="s">
        <v>62</v>
      </c>
      <c r="N69" s="49" t="s">
        <v>63</v>
      </c>
      <c r="O69" s="49" t="s">
        <v>64</v>
      </c>
      <c r="P69" s="49" t="s">
        <v>65</v>
      </c>
      <c r="Q69" s="49" t="s">
        <v>66</v>
      </c>
      <c r="S69" s="39"/>
    </row>
    <row r="70" spans="1:19" ht="14.25" customHeight="1" x14ac:dyDescent="0.3">
      <c r="A70" s="44">
        <v>44893</v>
      </c>
      <c r="B70" s="2" t="s">
        <v>100</v>
      </c>
      <c r="C70" s="2"/>
      <c r="D70" s="46">
        <v>2</v>
      </c>
      <c r="E70" s="45" t="s">
        <v>56</v>
      </c>
      <c r="F70" s="46">
        <v>2</v>
      </c>
      <c r="G70" s="2" t="s">
        <v>82</v>
      </c>
      <c r="H70" s="2"/>
      <c r="I70" s="47">
        <f t="shared" si="6"/>
        <v>1</v>
      </c>
      <c r="J70" s="51" t="str">
        <f>VLOOKUP(1,Planilha1!$B$68:$J71,2,0)</f>
        <v>Uruguai</v>
      </c>
      <c r="K70" s="52">
        <f>VLOOKUP(1,Planilha1!$B$68:$J71,3,0)</f>
        <v>7</v>
      </c>
      <c r="L70" s="52">
        <f>VLOOKUP(1,Planilha1!$B$68:$J71,6,0)</f>
        <v>2</v>
      </c>
      <c r="M70" s="52">
        <f>VLOOKUP(1,Planilha1!$B$68:$J71,7,0)</f>
        <v>1</v>
      </c>
      <c r="N70" s="52">
        <f>VLOOKUP(1,Planilha1!$B$68:$J71,8,0)</f>
        <v>0</v>
      </c>
      <c r="O70" s="52">
        <f>VLOOKUP(1,Planilha1!$B$68:$J71,5,0)</f>
        <v>7</v>
      </c>
      <c r="P70" s="52">
        <f>VLOOKUP(1,Planilha1!$B$68:$J71,9,0)</f>
        <v>4</v>
      </c>
      <c r="Q70" s="52">
        <f>VLOOKUP(1,Planilha1!$B$68:$J71,4,0)</f>
        <v>3</v>
      </c>
      <c r="S70" s="39"/>
    </row>
    <row r="71" spans="1:19" ht="14.25" customHeight="1" x14ac:dyDescent="0.3">
      <c r="A71" s="44">
        <v>44893</v>
      </c>
      <c r="B71" s="2" t="s">
        <v>101</v>
      </c>
      <c r="C71" s="2"/>
      <c r="D71" s="46">
        <v>3</v>
      </c>
      <c r="E71" s="45" t="s">
        <v>56</v>
      </c>
      <c r="F71" s="46">
        <v>1</v>
      </c>
      <c r="G71" s="2" t="s">
        <v>102</v>
      </c>
      <c r="H71" s="2"/>
      <c r="I71" s="47">
        <f t="shared" si="6"/>
        <v>1</v>
      </c>
      <c r="J71" s="51" t="str">
        <f>VLOOKUP(2,Planilha1!$B$68:$J71,2,0)</f>
        <v>Portugal</v>
      </c>
      <c r="K71" s="52">
        <f>VLOOKUP(2,Planilha1!$B$68:$J71,3,0)</f>
        <v>7</v>
      </c>
      <c r="L71" s="52">
        <f>VLOOKUP(2,Planilha1!$B$68:$J71,6,0)</f>
        <v>2</v>
      </c>
      <c r="M71" s="52">
        <f>VLOOKUP(2,Planilha1!$B$68:$J71,7,0)</f>
        <v>1</v>
      </c>
      <c r="N71" s="52">
        <f>VLOOKUP(2,Planilha1!$B$68:$J71,8,0)</f>
        <v>0</v>
      </c>
      <c r="O71" s="52">
        <f>VLOOKUP(2,Planilha1!$B$68:$J71,5,0)</f>
        <v>5</v>
      </c>
      <c r="P71" s="52">
        <f>VLOOKUP(2,Planilha1!$B$68:$J71,9,0)</f>
        <v>2</v>
      </c>
      <c r="Q71" s="52">
        <f>VLOOKUP(2,Planilha1!$B$68:$J71,4,0)</f>
        <v>3</v>
      </c>
      <c r="S71" s="39"/>
    </row>
    <row r="72" spans="1:19" ht="12.75" customHeight="1" x14ac:dyDescent="0.3">
      <c r="A72" s="44">
        <v>44897</v>
      </c>
      <c r="B72" s="2" t="s">
        <v>100</v>
      </c>
      <c r="C72" s="2"/>
      <c r="D72" s="46">
        <v>2</v>
      </c>
      <c r="E72" s="45" t="s">
        <v>56</v>
      </c>
      <c r="F72" s="46">
        <v>0</v>
      </c>
      <c r="G72" s="2" t="s">
        <v>102</v>
      </c>
      <c r="H72" s="2"/>
      <c r="I72" s="47">
        <f t="shared" si="6"/>
        <v>1</v>
      </c>
      <c r="J72" s="51" t="str">
        <f>VLOOKUP(3,Planilha1!$B$68:$J71,2,0)</f>
        <v>Gana</v>
      </c>
      <c r="K72" s="52">
        <f>VLOOKUP(3,Planilha1!$B$68:$J71,3,0)</f>
        <v>3</v>
      </c>
      <c r="L72" s="52">
        <f>VLOOKUP(3,Planilha1!$B$68:$J71,6,0)</f>
        <v>1</v>
      </c>
      <c r="M72" s="52">
        <f>VLOOKUP(3,Planilha1!$B$68:$J71,7,0)</f>
        <v>0</v>
      </c>
      <c r="N72" s="52">
        <f>VLOOKUP(3,Planilha1!$B$68:$J71,8,0)</f>
        <v>2</v>
      </c>
      <c r="O72" s="52">
        <f>VLOOKUP(3,Planilha1!$B$68:$J71,5,0)</f>
        <v>4</v>
      </c>
      <c r="P72" s="52">
        <f>VLOOKUP(3,Planilha1!$B$68:$J71,9,0)</f>
        <v>4</v>
      </c>
      <c r="Q72" s="52">
        <f>VLOOKUP(3,Planilha1!$B$68:$J71,4,0)</f>
        <v>0</v>
      </c>
      <c r="S72" s="39"/>
    </row>
    <row r="73" spans="1:19" ht="14.25" customHeight="1" x14ac:dyDescent="0.3">
      <c r="A73" s="44">
        <v>44897</v>
      </c>
      <c r="B73" s="2" t="s">
        <v>101</v>
      </c>
      <c r="C73" s="2"/>
      <c r="D73" s="46">
        <v>1</v>
      </c>
      <c r="E73" s="45" t="s">
        <v>56</v>
      </c>
      <c r="F73" s="46">
        <v>2</v>
      </c>
      <c r="G73" s="2" t="s">
        <v>82</v>
      </c>
      <c r="H73" s="2"/>
      <c r="I73" s="47">
        <f t="shared" si="6"/>
        <v>1</v>
      </c>
      <c r="J73" s="51" t="str">
        <f>VLOOKUP(4,Planilha1!$B$68:$J71,2,0)</f>
        <v>Coréia do Sul</v>
      </c>
      <c r="K73" s="52">
        <f>VLOOKUP(4,Planilha1!$B$68:$J71,3,0)</f>
        <v>0</v>
      </c>
      <c r="L73" s="52">
        <f>VLOOKUP(4,Planilha1!$B$68:$J71,6,0)</f>
        <v>0</v>
      </c>
      <c r="M73" s="52">
        <f>VLOOKUP(4,Planilha1!$B$68:$J71,7,0)</f>
        <v>0</v>
      </c>
      <c r="N73" s="52">
        <f>VLOOKUP(4,Planilha1!$B$68:$J71,8,0)</f>
        <v>3</v>
      </c>
      <c r="O73" s="52">
        <f>VLOOKUP(4,Planilha1!$B$68:$J71,5,0)</f>
        <v>2</v>
      </c>
      <c r="P73" s="52">
        <f>VLOOKUP(4,Planilha1!$B$68:$J71,9,0)</f>
        <v>8</v>
      </c>
      <c r="Q73" s="52">
        <f>VLOOKUP(4,Planilha1!$B$68:$J71,4,0)</f>
        <v>-6</v>
      </c>
      <c r="S73" s="39"/>
    </row>
    <row r="74" spans="1:19" s="38" customFormat="1" x14ac:dyDescent="0.3">
      <c r="D74" s="40"/>
      <c r="F74" s="40"/>
      <c r="S74" s="41"/>
    </row>
    <row r="75" spans="1:19" s="38" customFormat="1" x14ac:dyDescent="0.3">
      <c r="D75" s="40"/>
      <c r="F75" s="40"/>
    </row>
    <row r="76" spans="1:19" s="38" customFormat="1" x14ac:dyDescent="0.3">
      <c r="D76" s="40"/>
      <c r="F76" s="40"/>
    </row>
    <row r="77" spans="1:19" s="38" customFormat="1" x14ac:dyDescent="0.3">
      <c r="D77" s="40"/>
      <c r="F77" s="40"/>
    </row>
    <row r="78" spans="1:19" s="38" customFormat="1" x14ac:dyDescent="0.3">
      <c r="D78" s="40"/>
      <c r="F78" s="40"/>
    </row>
    <row r="79" spans="1:19" s="38" customFormat="1" x14ac:dyDescent="0.3">
      <c r="D79" s="40"/>
      <c r="F79" s="40"/>
    </row>
  </sheetData>
  <sheetProtection selectLockedCells="1"/>
  <mergeCells count="169">
    <mergeCell ref="B69:C69"/>
    <mergeCell ref="G69:H69"/>
    <mergeCell ref="B70:C70"/>
    <mergeCell ref="G70:H70"/>
    <mergeCell ref="B71:C71"/>
    <mergeCell ref="G71:H71"/>
    <mergeCell ref="B72:C72"/>
    <mergeCell ref="G72:H72"/>
    <mergeCell ref="B73:C73"/>
    <mergeCell ref="G73:H73"/>
    <mergeCell ref="B62:C62"/>
    <mergeCell ref="G62:H62"/>
    <mergeCell ref="B63:C63"/>
    <mergeCell ref="G63:H63"/>
    <mergeCell ref="B64:C64"/>
    <mergeCell ref="G64:H64"/>
    <mergeCell ref="C66:Q66"/>
    <mergeCell ref="B68:C68"/>
    <mergeCell ref="G68:H68"/>
    <mergeCell ref="B55:C55"/>
    <mergeCell ref="G55:H55"/>
    <mergeCell ref="C57:Q57"/>
    <mergeCell ref="B59:C59"/>
    <mergeCell ref="G59:H59"/>
    <mergeCell ref="B60:C60"/>
    <mergeCell ref="G60:H60"/>
    <mergeCell ref="B61:C61"/>
    <mergeCell ref="G61:H61"/>
    <mergeCell ref="B50:C50"/>
    <mergeCell ref="G50:H50"/>
    <mergeCell ref="B51:C51"/>
    <mergeCell ref="G51:H51"/>
    <mergeCell ref="B52:C52"/>
    <mergeCell ref="G52:H52"/>
    <mergeCell ref="B53:C53"/>
    <mergeCell ref="G53:H53"/>
    <mergeCell ref="B54:C54"/>
    <mergeCell ref="G54:H54"/>
    <mergeCell ref="B43:C43"/>
    <mergeCell ref="G43:H43"/>
    <mergeCell ref="B44:C44"/>
    <mergeCell ref="G44:H44"/>
    <mergeCell ref="B45:C45"/>
    <mergeCell ref="G45:H45"/>
    <mergeCell ref="B46:C46"/>
    <mergeCell ref="G46:H46"/>
    <mergeCell ref="C48:Q48"/>
    <mergeCell ref="B36:C36"/>
    <mergeCell ref="G36:H36"/>
    <mergeCell ref="B37:C37"/>
    <mergeCell ref="G37:H37"/>
    <mergeCell ref="C39:Q39"/>
    <mergeCell ref="B41:C41"/>
    <mergeCell ref="G41:H41"/>
    <mergeCell ref="B42:C42"/>
    <mergeCell ref="G42:H42"/>
    <mergeCell ref="B33:C33"/>
    <mergeCell ref="G33:H33"/>
    <mergeCell ref="U33:V33"/>
    <mergeCell ref="AJ33:AL35"/>
    <mergeCell ref="AT33:AU33"/>
    <mergeCell ref="AZ33:BA33"/>
    <mergeCell ref="B34:C34"/>
    <mergeCell ref="G34:H34"/>
    <mergeCell ref="B35:C35"/>
    <mergeCell ref="G35:H35"/>
    <mergeCell ref="Y29:Z29"/>
    <mergeCell ref="AV29:AW29"/>
    <mergeCell ref="C30:Q30"/>
    <mergeCell ref="U31:V31"/>
    <mergeCell ref="AT31:AU31"/>
    <mergeCell ref="AZ31:BA31"/>
    <mergeCell ref="B32:C32"/>
    <mergeCell ref="G32:H32"/>
    <mergeCell ref="U32:V32"/>
    <mergeCell ref="AT32:AU32"/>
    <mergeCell ref="AZ32:BA32"/>
    <mergeCell ref="B24:C24"/>
    <mergeCell ref="G24:H24"/>
    <mergeCell ref="U24:V24"/>
    <mergeCell ref="AT24:AU24"/>
    <mergeCell ref="AZ24:BA24"/>
    <mergeCell ref="B25:C25"/>
    <mergeCell ref="G25:H25"/>
    <mergeCell ref="B26:C26"/>
    <mergeCell ref="G26:H26"/>
    <mergeCell ref="AJ26:AL28"/>
    <mergeCell ref="B27:C27"/>
    <mergeCell ref="G27:H27"/>
    <mergeCell ref="Y27:Z27"/>
    <mergeCell ref="AV27:AW27"/>
    <mergeCell ref="B28:C28"/>
    <mergeCell ref="G28:H28"/>
    <mergeCell ref="Y28:Z28"/>
    <mergeCell ref="AV28:AW28"/>
    <mergeCell ref="U22:V22"/>
    <mergeCell ref="AJ22:AL22"/>
    <mergeCell ref="AT22:AU22"/>
    <mergeCell ref="AZ22:BA22"/>
    <mergeCell ref="B23:C23"/>
    <mergeCell ref="G23:H23"/>
    <mergeCell ref="U23:V23"/>
    <mergeCell ref="AT23:AU23"/>
    <mergeCell ref="AZ23:BA23"/>
    <mergeCell ref="B18:C18"/>
    <mergeCell ref="G18:H18"/>
    <mergeCell ref="B19:C19"/>
    <mergeCell ref="G19:H19"/>
    <mergeCell ref="AD19:AE19"/>
    <mergeCell ref="AJ19:AL21"/>
    <mergeCell ref="AQ19:AR19"/>
    <mergeCell ref="AD20:AE20"/>
    <mergeCell ref="AG20:AH20"/>
    <mergeCell ref="AN20:AO20"/>
    <mergeCell ref="AQ20:AR20"/>
    <mergeCell ref="C21:Q21"/>
    <mergeCell ref="AD21:AE21"/>
    <mergeCell ref="AQ21:AR21"/>
    <mergeCell ref="B16:C16"/>
    <mergeCell ref="G16:H16"/>
    <mergeCell ref="U16:V16"/>
    <mergeCell ref="AT16:AU16"/>
    <mergeCell ref="AZ16:BA16"/>
    <mergeCell ref="B17:C17"/>
    <mergeCell ref="G17:H17"/>
    <mergeCell ref="U17:V17"/>
    <mergeCell ref="AD17:AE17"/>
    <mergeCell ref="AT17:AU17"/>
    <mergeCell ref="AZ17:BA17"/>
    <mergeCell ref="Y13:Z13"/>
    <mergeCell ref="AV13:AW13"/>
    <mergeCell ref="B14:C14"/>
    <mergeCell ref="G14:H14"/>
    <mergeCell ref="B15:C15"/>
    <mergeCell ref="G15:H15"/>
    <mergeCell ref="U15:V15"/>
    <mergeCell ref="AT15:AU15"/>
    <mergeCell ref="AZ15:BA15"/>
    <mergeCell ref="B9:C9"/>
    <mergeCell ref="G9:H9"/>
    <mergeCell ref="Y9:Z9"/>
    <mergeCell ref="B10:C10"/>
    <mergeCell ref="G10:H10"/>
    <mergeCell ref="Y11:Z11"/>
    <mergeCell ref="AV11:AW11"/>
    <mergeCell ref="C12:Q12"/>
    <mergeCell ref="Y12:Z12"/>
    <mergeCell ref="AV12:AW12"/>
    <mergeCell ref="B7:C7"/>
    <mergeCell ref="G7:H7"/>
    <mergeCell ref="U7:V7"/>
    <mergeCell ref="AT7:AU7"/>
    <mergeCell ref="AZ7:BA7"/>
    <mergeCell ref="B8:C8"/>
    <mergeCell ref="G8:H8"/>
    <mergeCell ref="U8:V8"/>
    <mergeCell ref="AT8:AU8"/>
    <mergeCell ref="AZ8:BA8"/>
    <mergeCell ref="A1:Q1"/>
    <mergeCell ref="U1:BA1"/>
    <mergeCell ref="C3:Q3"/>
    <mergeCell ref="U4:V4"/>
    <mergeCell ref="B5:C5"/>
    <mergeCell ref="G5:H5"/>
    <mergeCell ref="B6:C6"/>
    <mergeCell ref="G6:H6"/>
    <mergeCell ref="U6:V6"/>
    <mergeCell ref="AT6:AU6"/>
    <mergeCell ref="AZ6:BA6"/>
  </mergeCells>
  <conditionalFormatting sqref="I5:I10">
    <cfRule type="iconSet" priority="2">
      <iconSet>
        <cfvo type="percent" val="0"/>
        <cfvo type="num" val="0"/>
        <cfvo type="num" val="0"/>
      </iconSet>
    </cfRule>
  </conditionalFormatting>
  <conditionalFormatting sqref="I6">
    <cfRule type="iconSet" priority="3">
      <iconSet>
        <cfvo type="percent" val="0"/>
        <cfvo type="num" val="0"/>
        <cfvo type="num" val="0"/>
      </iconSet>
    </cfRule>
  </conditionalFormatting>
  <conditionalFormatting sqref="I14:I19">
    <cfRule type="iconSet" priority="4">
      <iconSet>
        <cfvo type="percent" val="0"/>
        <cfvo type="num" val="0"/>
        <cfvo type="num" val="0"/>
      </iconSet>
    </cfRule>
  </conditionalFormatting>
  <conditionalFormatting sqref="I23:I28">
    <cfRule type="iconSet" priority="5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7">
      <iconSet>
        <cfvo type="percent" val="0"/>
        <cfvo type="num" val="0"/>
        <cfvo type="num" val="0"/>
      </iconSet>
    </cfRule>
  </conditionalFormatting>
  <conditionalFormatting sqref="I50:I55">
    <cfRule type="iconSet" priority="8">
      <iconSet>
        <cfvo type="percent" val="0"/>
        <cfvo type="num" val="0"/>
        <cfvo type="num" val="0"/>
      </iconSet>
    </cfRule>
  </conditionalFormatting>
  <conditionalFormatting sqref="I59:I64">
    <cfRule type="iconSet" priority="9">
      <iconSet>
        <cfvo type="percent" val="0"/>
        <cfvo type="num" val="0"/>
        <cfvo type="num" val="0"/>
      </iconSet>
    </cfRule>
  </conditionalFormatting>
  <conditionalFormatting sqref="I68:I73">
    <cfRule type="iconSet" priority="10">
      <iconSet>
        <cfvo type="percent" val="0"/>
        <cfvo type="num" val="0"/>
        <cfvo type="num" val="0"/>
      </iconSet>
    </cfRule>
  </conditionalFormatting>
  <conditionalFormatting sqref="I46">
    <cfRule type="iconSet" priority="11">
      <iconSet>
        <cfvo type="percent" val="0"/>
        <cfvo type="num" val="0"/>
        <cfvo type="num" val="0"/>
      </iconSet>
    </cfRule>
  </conditionalFormatting>
  <dataValidations disablePrompts="1" count="2">
    <dataValidation type="whole" allowBlank="1" showInputMessage="1" showErrorMessage="1" sqref="D5:D10 D14:D19 D23:D28 D32:D37 D41:D46 D50:D55 D59:D64 D68:D73" xr:uid="{00000000-0002-0000-0100-000000000000}">
      <formula1>0</formula1>
      <formula2>10000000000000000000</formula2>
    </dataValidation>
    <dataValidation type="whole" allowBlank="1" showInputMessage="1" showErrorMessage="1" sqref="F5:F10 F14:F19 F23:F28 F32:F37 F41:F46 F50:F55 F59:F64 F68:F73" xr:uid="{00000000-0002-0000-0100-000001000000}">
      <formula1>0</formula1>
      <formula2>999999999999999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6">
        <x14:dataValidation type="list" allowBlank="1" showInputMessage="1" showErrorMessage="1" xr:uid="{00000000-0002-0000-0100-000002000000}">
          <x14:formula1>
            <xm:f>Planilha1!$S$4:$S$5</xm:f>
          </x14:formula1>
          <x14:formula2>
            <xm:f>0</xm:f>
          </x14:formula2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14:formula2>
            <xm:f>0</xm:f>
          </x14:formula2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14:formula2>
            <xm:f>0</xm:f>
          </x14:formula2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14:formula2>
            <xm:f>0</xm:f>
          </x14:formula2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14:formula2>
            <xm:f>0</xm:f>
          </x14:formula2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14:formula2>
            <xm:f>0</xm:f>
          </x14:formula2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14:formula2>
            <xm:f>0</xm:f>
          </x14:formula2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14:formula2>
            <xm:f>0</xm:f>
          </x14:formula2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14:formula2>
            <xm:f>0</xm:f>
          </x14:formula2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14:formula2>
            <xm:f>0</xm:f>
          </x14:formula2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14:formula2>
            <xm:f>0</xm:f>
          </x14:formula2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14:formula2>
            <xm:f>0</xm:f>
          </x14:formula2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14:formula2>
            <xm:f>0</xm:f>
          </x14:formula2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14:formula2>
            <xm:f>0</xm:f>
          </x14:formula2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14:formula2>
            <xm:f>0</xm:f>
          </x14:formula2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14:formula2>
            <xm:f>0</xm:f>
          </x14:formula2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29" customWidth="1"/>
    <col min="2" max="2" width="9" style="29"/>
    <col min="3" max="3" width="13.44140625" style="29" customWidth="1"/>
    <col min="4" max="10" width="9" style="29"/>
    <col min="11" max="11" width="16.21875" style="29" customWidth="1"/>
    <col min="12" max="12" width="12.109375" style="29" customWidth="1"/>
    <col min="13" max="1024" width="9" style="29"/>
  </cols>
  <sheetData>
    <row r="3" spans="1:20" x14ac:dyDescent="0.3"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20" x14ac:dyDescent="0.3">
      <c r="A4" s="29" t="s">
        <v>103</v>
      </c>
      <c r="B4" s="29" t="s">
        <v>104</v>
      </c>
      <c r="C4" s="29" t="s">
        <v>105</v>
      </c>
      <c r="D4" s="29" t="s">
        <v>106</v>
      </c>
      <c r="E4" s="29" t="s">
        <v>66</v>
      </c>
      <c r="F4" s="29" t="s">
        <v>64</v>
      </c>
      <c r="G4" s="29" t="s">
        <v>61</v>
      </c>
      <c r="H4" s="29" t="s">
        <v>62</v>
      </c>
      <c r="I4" s="29" t="s">
        <v>63</v>
      </c>
      <c r="J4" s="29" t="s">
        <v>65</v>
      </c>
      <c r="K4" s="29" t="s">
        <v>107</v>
      </c>
      <c r="L4" s="29" t="s">
        <v>108</v>
      </c>
      <c r="M4" s="29" t="s">
        <v>109</v>
      </c>
      <c r="N4" s="29" t="s">
        <v>110</v>
      </c>
      <c r="S4" s="29" t="str">
        <f>Palpites!U6</f>
        <v>Holanda</v>
      </c>
      <c r="T4" s="29" t="str">
        <f>Palpites!AZ6</f>
        <v>Inglaterra</v>
      </c>
    </row>
    <row r="5" spans="1:20" x14ac:dyDescent="0.3">
      <c r="A5" s="29">
        <f>100000000*D5+100000*E5+1000*F5+K5*10</f>
        <v>-699960</v>
      </c>
      <c r="B5" s="29">
        <f>RANK(A5,$A$5:$A$8)</f>
        <v>4</v>
      </c>
      <c r="C5" s="29" t="str">
        <f>Palpites!B5</f>
        <v>Qatar</v>
      </c>
      <c r="D5" s="29">
        <f>3*COUNTIF(L5:N5,"V")+COUNTIF(L5:N5,"E")</f>
        <v>0</v>
      </c>
      <c r="E5" s="29">
        <f>(Palpites!D5-Palpites!F5)+(Palpites!D7-Palpites!F7)+(Palpites!D9-Palpites!F9)</f>
        <v>-7</v>
      </c>
      <c r="F5" s="29">
        <f>Palpites!D5+Palpites!D7+Palpites!D9</f>
        <v>0</v>
      </c>
      <c r="G5" s="29">
        <f>COUNTIF(L5:N5,"V")</f>
        <v>0</v>
      </c>
      <c r="H5" s="29">
        <f>COUNTIF(L5:N5,"e")</f>
        <v>0</v>
      </c>
      <c r="I5" s="29">
        <f>COUNTIF(L5:N5,"D")</f>
        <v>3</v>
      </c>
      <c r="J5" s="29">
        <f>F5-E5</f>
        <v>7</v>
      </c>
      <c r="K5" s="29">
        <v>4</v>
      </c>
      <c r="L5" s="29" t="str">
        <f>IF(OR(Palpites!D5="",Palpites!F5=""),0,IF(Palpites!D5&gt;Palpites!F5,"V",IF(Palpites!D5=Palpites!F5,"E",IF(Palpites!D5&lt;Palpites!F5,"D"))))</f>
        <v>D</v>
      </c>
      <c r="M5" s="29" t="str">
        <f>IF(OR(Palpites!D7="",Palpites!F7=""),0,IF(Palpites!D7&gt;Palpites!F7,"V",IF(Palpites!D7=Palpites!F7,"E",IF(Palpites!D7&lt;Palpites!F7,"D"))))</f>
        <v>D</v>
      </c>
      <c r="N5" s="29" t="str">
        <f>IF(OR(Palpites!D9="",Palpites!F9=""),0,IF(Palpites!D9&gt;Palpites!F9,"V",IF(Palpites!D9=Palpites!F9,"E",IF(Palpites!D9&lt;Palpites!F9,"D"))))</f>
        <v>D</v>
      </c>
      <c r="S5" s="29" t="str">
        <f>Palpites!U8</f>
        <v>EUA</v>
      </c>
      <c r="T5" s="29" t="str">
        <f>Palpites!AZ8</f>
        <v>Equador</v>
      </c>
    </row>
    <row r="6" spans="1:20" x14ac:dyDescent="0.3">
      <c r="A6" s="29">
        <f>100000000*D6+100000*E6+1000*F6+K6*10</f>
        <v>299802030</v>
      </c>
      <c r="B6" s="29">
        <f>RANK(A6,$A$5:$A$8)</f>
        <v>3</v>
      </c>
      <c r="C6" s="29" t="str">
        <f>Palpites!B6</f>
        <v>Senegal</v>
      </c>
      <c r="D6" s="29">
        <f>3*COUNTIF(L6:N6,"V")+COUNTIF(L6:N6,"E")</f>
        <v>3</v>
      </c>
      <c r="E6" s="29">
        <f>(Palpites!D6-Palpites!F6)+(Palpites!F7-Palpites!D7)+(Palpites!F10-Palpites!D10)</f>
        <v>-2</v>
      </c>
      <c r="F6" s="29">
        <f>Palpites!D6+Palpites!F7+Palpites!F10</f>
        <v>2</v>
      </c>
      <c r="G6" s="29">
        <f>COUNTIF(L6:N6,"V")</f>
        <v>1</v>
      </c>
      <c r="H6" s="29">
        <f>COUNTIF(L6:N6,"e")</f>
        <v>0</v>
      </c>
      <c r="I6" s="29">
        <f>COUNTIF(L6:N6,"D")</f>
        <v>2</v>
      </c>
      <c r="J6" s="29">
        <f>F6-E6</f>
        <v>4</v>
      </c>
      <c r="K6" s="29">
        <v>3</v>
      </c>
      <c r="L6" s="29" t="str">
        <f>IF(OR(Palpites!D6="",Palpites!F6=""),0,IF(Palpites!D6&gt;Palpites!F6,"V",IF(Palpites!D6=Palpites!F6,"E",IF(Palpites!D6&lt;Palpites!F6,"D"))))</f>
        <v>D</v>
      </c>
      <c r="M6" s="29" t="str">
        <f>IF(OR(Palpites!F7="",Palpites!D7=""),0,IF(Palpites!F7&gt;Palpites!D7,"V",IF(Palpites!F7=Palpites!D7,"E",IF(Palpites!F7&lt;Palpites!D7,"D"))))</f>
        <v>V</v>
      </c>
      <c r="N6" s="29" t="str">
        <f>IF(OR(Palpites!F10="",Palpites!D10=""),0,IF(Palpites!F10&gt;Palpites!D10,"V",IF(Palpites!F10=Palpites!D10,"E",IF(Palpites!F10&lt;Palpites!D10,"D"))))</f>
        <v>D</v>
      </c>
      <c r="S6" s="29" t="str">
        <f>Palpites!U15</f>
        <v>Argentina</v>
      </c>
      <c r="T6" s="29" t="str">
        <f>Palpites!AZ15</f>
        <v>França</v>
      </c>
    </row>
    <row r="7" spans="1:20" x14ac:dyDescent="0.3">
      <c r="A7" s="29">
        <f>100000000*D7+100000*E7+1000*F7+K7*10</f>
        <v>600204020</v>
      </c>
      <c r="B7" s="29">
        <f>RANK(A7,$A$5:$A$8)</f>
        <v>2</v>
      </c>
      <c r="C7" s="29" t="str">
        <f>Palpites!G5</f>
        <v>Equador</v>
      </c>
      <c r="D7" s="29">
        <f>3*COUNTIF(L7:N7,"V")+COUNTIF(L7:N7,"E")</f>
        <v>6</v>
      </c>
      <c r="E7" s="29">
        <f>(Palpites!F5-Palpites!D5)+(Palpites!D8-Palpites!F8)+(Palpites!D10-Palpites!F10)</f>
        <v>2</v>
      </c>
      <c r="F7" s="29">
        <f>Palpites!F5+Palpites!D8+Palpites!D10</f>
        <v>4</v>
      </c>
      <c r="G7" s="29">
        <f>COUNTIF(L7:N7,"V")</f>
        <v>2</v>
      </c>
      <c r="H7" s="29">
        <f>COUNTIF(L7:N7,"e")</f>
        <v>0</v>
      </c>
      <c r="I7" s="29">
        <f>COUNTIF(L7:N7,"D")</f>
        <v>1</v>
      </c>
      <c r="J7" s="29">
        <f>F7-E7</f>
        <v>2</v>
      </c>
      <c r="K7" s="29">
        <v>2</v>
      </c>
      <c r="L7" s="29" t="str">
        <f>IF(OR(Palpites!F5="",Palpites!D5=""),0,IF(Palpites!F5&gt;Palpites!D5,"V",IF(Palpites!F5=Palpites!D5,"E",IF(Palpites!F5&lt;Palpites!D5,"D"))))</f>
        <v>V</v>
      </c>
      <c r="M7" s="29" t="str">
        <f>IF(OR(Palpites!D8="",Palpites!F8=""),0,IF(Palpites!D8&gt;Palpites!F8,"V",IF(Palpites!D8=Palpites!F8,"E",IF(Palpites!D8&lt;Palpites!F8,"D"))))</f>
        <v>D</v>
      </c>
      <c r="N7" s="29" t="str">
        <f>IF(OR(Palpites!D10="",Palpites!F10=""),0,IF(Palpites!D10&gt;Palpites!F10,"V",IF(Palpites!D10=Palpites!F10,"E",IF(Palpites!D10&lt;Palpites!F10,"D"))))</f>
        <v>V</v>
      </c>
      <c r="S7" s="29" t="str">
        <f>Palpites!U17</f>
        <v>Austrália</v>
      </c>
      <c r="T7" s="29" t="str">
        <f>Palpites!AZ17</f>
        <v>México</v>
      </c>
    </row>
    <row r="8" spans="1:20" x14ac:dyDescent="0.3">
      <c r="A8" s="29">
        <f>100000000*D8+100000*E8+1000*F8+K8*10</f>
        <v>900707010</v>
      </c>
      <c r="B8" s="29">
        <f>RANK(A8,$A$5:$A$8)</f>
        <v>1</v>
      </c>
      <c r="C8" s="29" t="str">
        <f>Palpites!G6</f>
        <v>Holanda</v>
      </c>
      <c r="D8" s="29">
        <f>3*COUNTIF(L8:N8,"V")+COUNTIF(L8:N8,"E")</f>
        <v>9</v>
      </c>
      <c r="E8" s="29">
        <f>(Palpites!F6-Palpites!D6)+(Palpites!F8-Palpites!D8)+(Palpites!F9-Palpites!D9)</f>
        <v>7</v>
      </c>
      <c r="F8" s="29">
        <f>Palpites!F9+Palpites!F8+Palpites!F6</f>
        <v>7</v>
      </c>
      <c r="G8" s="29">
        <f>COUNTIF(L8:N8,"V")</f>
        <v>3</v>
      </c>
      <c r="H8" s="29">
        <f>COUNTIF(L8:N8,"e")</f>
        <v>0</v>
      </c>
      <c r="I8" s="29">
        <f>COUNTIF(L8:N8,"D")</f>
        <v>0</v>
      </c>
      <c r="J8" s="29">
        <f>F8-E8</f>
        <v>0</v>
      </c>
      <c r="K8" s="29">
        <v>1</v>
      </c>
      <c r="L8" s="29" t="str">
        <f>IF(OR(Palpites!F6="",Palpites!D6=""),0,IF(Palpites!F6&gt;Palpites!D6,"V",IF(Palpites!F6=Palpites!D6,"E",IF(Palpites!F6&lt;Palpites!D6,"D"))))</f>
        <v>V</v>
      </c>
      <c r="M8" s="29" t="str">
        <f>IF(OR(Palpites!F8="",Palpites!D8=""),0,IF(Palpites!F8&gt;Palpites!D8,"V",IF(Palpites!F8=Palpites!D8,"E",IF(Palpites!F8&lt;Palpites!D8,"D"))))</f>
        <v>V</v>
      </c>
      <c r="N8" s="29" t="str">
        <f>IF(OR(Palpites!F9="",Palpites!D9=""),0,IF(Palpites!F9&gt;Palpites!D9,"V",IF(Palpites!F9=Palpites!D9,"E",IF(Palpites!F9&lt;Palpites!D9,"D"))))</f>
        <v>V</v>
      </c>
      <c r="S8" s="29" t="str">
        <f>Palpites!U22</f>
        <v>Alemanha</v>
      </c>
      <c r="T8" s="29" t="str">
        <f>Palpites!AZ22</f>
        <v>Bélgica</v>
      </c>
    </row>
    <row r="9" spans="1:20" x14ac:dyDescent="0.3">
      <c r="S9" s="29" t="str">
        <f>Palpites!U24</f>
        <v>Croácia</v>
      </c>
      <c r="T9" s="29" t="str">
        <f>Palpites!AZ24</f>
        <v>Espanha</v>
      </c>
    </row>
    <row r="10" spans="1:20" x14ac:dyDescent="0.3">
      <c r="S10" s="29" t="str">
        <f>Palpites!U31</f>
        <v>Brasil</v>
      </c>
      <c r="T10" s="29" t="str">
        <f>Palpites!AZ31</f>
        <v>Uruguai</v>
      </c>
    </row>
    <row r="11" spans="1:20" x14ac:dyDescent="0.3">
      <c r="S11" s="29" t="str">
        <f>Palpites!U33</f>
        <v>Portugal</v>
      </c>
      <c r="T11" s="29" t="str">
        <f>Palpites!AZ33</f>
        <v>Camarões</v>
      </c>
    </row>
    <row r="12" spans="1:20" x14ac:dyDescent="0.3"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</row>
    <row r="13" spans="1:20" x14ac:dyDescent="0.3">
      <c r="A13" s="29" t="s">
        <v>103</v>
      </c>
      <c r="B13" s="29" t="s">
        <v>104</v>
      </c>
      <c r="C13" s="29" t="s">
        <v>105</v>
      </c>
      <c r="D13" s="29" t="s">
        <v>106</v>
      </c>
      <c r="E13" s="29" t="s">
        <v>66</v>
      </c>
      <c r="F13" s="29" t="s">
        <v>64</v>
      </c>
      <c r="G13" s="29" t="s">
        <v>61</v>
      </c>
      <c r="H13" s="29" t="s">
        <v>62</v>
      </c>
      <c r="I13" s="29" t="s">
        <v>63</v>
      </c>
      <c r="J13" s="29" t="s">
        <v>65</v>
      </c>
      <c r="K13" s="29" t="s">
        <v>107</v>
      </c>
      <c r="L13" s="29" t="s">
        <v>108</v>
      </c>
      <c r="M13" s="29" t="s">
        <v>109</v>
      </c>
      <c r="N13" s="29" t="s">
        <v>110</v>
      </c>
      <c r="S13" s="29" t="str">
        <f>Palpites!Y11</f>
        <v>Holanda</v>
      </c>
      <c r="T13" s="29" t="str">
        <f>Palpites!AV11</f>
        <v>Inglaterra</v>
      </c>
    </row>
    <row r="14" spans="1:20" x14ac:dyDescent="0.3">
      <c r="A14" s="29">
        <f>100000000*D14+100000*E14+1000*F14+K14*10</f>
        <v>700405040</v>
      </c>
      <c r="B14" s="29">
        <f>RANK(A14,$A$14:$A$17)</f>
        <v>1</v>
      </c>
      <c r="C14" s="29" t="str">
        <f>Palpites!B14</f>
        <v>Inglaterra</v>
      </c>
      <c r="D14" s="29">
        <f>3*COUNTIF(L14:N14,"V")+COUNTIF(L14:N14,"E")</f>
        <v>7</v>
      </c>
      <c r="E14" s="29">
        <f>Palpites!D14-Palpites!F14+Palpites!D16-Palpites!F16+Palpites!D18-Palpites!F18</f>
        <v>4</v>
      </c>
      <c r="F14" s="29">
        <f>Palpites!D14+Palpites!D16+Palpites!D18</f>
        <v>5</v>
      </c>
      <c r="G14" s="29">
        <f>COUNTIF(L14:N14,"V")</f>
        <v>2</v>
      </c>
      <c r="H14" s="29">
        <f>COUNTIF(L14:N14,"e")</f>
        <v>1</v>
      </c>
      <c r="I14" s="29">
        <f>COUNTIF(L14:N14,"D")</f>
        <v>0</v>
      </c>
      <c r="J14" s="29">
        <f>F14-E14</f>
        <v>1</v>
      </c>
      <c r="K14" s="29">
        <v>4</v>
      </c>
      <c r="L14" s="29" t="str">
        <f>IF(OR(Palpites!D14="",Palpites!F14=""),0,IF(Palpites!D14&gt;Palpites!F14,"V",IF(Palpites!D14=Palpites!F14,"E",IF(Palpites!D14&lt;Palpites!F14,"D"))))</f>
        <v>V</v>
      </c>
      <c r="M14" s="29" t="str">
        <f>IF(OR(Palpites!D16="",Palpites!F16=""),0,IF(Palpites!D16&gt;Palpites!F16,"V",IF(Palpites!D16=Palpites!F16,"E",IF(Palpites!D16&lt;Palpites!F16,"D"))))</f>
        <v>E</v>
      </c>
      <c r="N14" s="29" t="str">
        <f>IF(OR(Palpites!D18="",Palpites!F18=""),0,IF(Palpites!D18&gt;Palpites!F18,"V",IF(Palpites!D18=Palpites!F18,"E",IF(Palpites!D18&lt;Palpites!F18,"D"))))</f>
        <v>V</v>
      </c>
      <c r="S14" s="29" t="str">
        <f>Palpites!Y13</f>
        <v>Argentina</v>
      </c>
      <c r="T14" s="29" t="str">
        <f>Palpites!AV13</f>
        <v>França</v>
      </c>
    </row>
    <row r="15" spans="1:20" x14ac:dyDescent="0.3">
      <c r="A15" s="29">
        <f>100000000*D15+100000*E15+1000*F15+K15*10</f>
        <v>700304030</v>
      </c>
      <c r="B15" s="29">
        <f>RANK(A15,$A$14:$A$17)</f>
        <v>2</v>
      </c>
      <c r="C15" s="29" t="str">
        <f>Palpites!B15</f>
        <v>EUA</v>
      </c>
      <c r="D15" s="29">
        <f>3*COUNTIF(L15:N15,"V")+COUNTIF(L15:N15,"E")</f>
        <v>7</v>
      </c>
      <c r="E15" s="29">
        <f>Palpites!D15-Palpites!F15+Palpites!F16-Palpites!D16+Palpites!F19-Palpites!D19</f>
        <v>3</v>
      </c>
      <c r="F15" s="29">
        <f>Palpites!D15+Palpites!F16+Palpites!F19</f>
        <v>4</v>
      </c>
      <c r="G15" s="29">
        <f>COUNTIF(L15:N15,"V")</f>
        <v>2</v>
      </c>
      <c r="H15" s="29">
        <f>COUNTIF(L15:N15,"e")</f>
        <v>1</v>
      </c>
      <c r="I15" s="29">
        <f>COUNTIF(L15:N15,"D")</f>
        <v>0</v>
      </c>
      <c r="J15" s="29">
        <f>F15-E15</f>
        <v>1</v>
      </c>
      <c r="K15" s="29">
        <v>3</v>
      </c>
      <c r="L15" s="29" t="str">
        <f>IF(OR(Palpites!D15="",Palpites!F15=""),0,IF(Palpites!D15&gt;Palpites!F15,"V",IF(Palpites!D15=Palpites!F15,"E",IF(Palpites!D15&lt;Palpites!F15,"D"))))</f>
        <v>V</v>
      </c>
      <c r="M15" s="29" t="str">
        <f>IF(OR(Palpites!F16="",Palpites!D16=""),0,IF(Palpites!F16&gt;Palpites!D16,"V",IF(Palpites!F16=Palpites!D16,"E",IF(Palpites!F16&lt;Palpites!D16,"D"))))</f>
        <v>E</v>
      </c>
      <c r="N15" s="29" t="str">
        <f>IF(OR(Palpites!F19="",Palpites!D19=""),0,IF(Palpites!F19&gt;Palpites!D19,"V",IF(Palpites!F19=Palpites!D19,"E",IF(Palpites!F19&lt;Palpites!D19,"D"))))</f>
        <v>V</v>
      </c>
      <c r="S15" s="29" t="str">
        <f>Palpites!Y27</f>
        <v>Croácia</v>
      </c>
      <c r="T15" s="29" t="str">
        <f>Palpites!AV27</f>
        <v>Bélgica</v>
      </c>
    </row>
    <row r="16" spans="1:20" x14ac:dyDescent="0.3">
      <c r="A16" s="29">
        <f>100000000*D16+100000*E16+1000*F16+K16*10</f>
        <v>99600020</v>
      </c>
      <c r="B16" s="29">
        <f>RANK(A16,$A$14:$A$17)</f>
        <v>4</v>
      </c>
      <c r="C16" s="29" t="str">
        <f>Palpites!G14</f>
        <v>Irã</v>
      </c>
      <c r="D16" s="29">
        <f>3*COUNTIF(L16:N16,"V")+COUNTIF(L16:N16,"E")</f>
        <v>1</v>
      </c>
      <c r="E16" s="29">
        <f>Palpites!F14-Palpites!D14+Palpites!D17-Palpites!F17+Palpites!D19-Palpites!F19</f>
        <v>-4</v>
      </c>
      <c r="F16" s="29">
        <f>Palpites!F14+Palpites!D17+Palpites!D19</f>
        <v>0</v>
      </c>
      <c r="G16" s="29">
        <f>COUNTIF(L16:N16,"V")</f>
        <v>0</v>
      </c>
      <c r="H16" s="29">
        <f>COUNTIF(L16:N16,"e")</f>
        <v>1</v>
      </c>
      <c r="I16" s="29">
        <f>COUNTIF(L16:N16,"D")</f>
        <v>2</v>
      </c>
      <c r="J16" s="29">
        <f>F16-E16</f>
        <v>4</v>
      </c>
      <c r="K16" s="29">
        <v>2</v>
      </c>
      <c r="L16" s="29" t="str">
        <f>IF(OR(Palpites!F14="",Palpites!D14=""),0,IF(Palpites!F14&gt;Palpites!D14,"V",IF(Palpites!F14=Palpites!D14,"E",IF(Palpites!F14&lt;Palpites!D14,"D"))))</f>
        <v>D</v>
      </c>
      <c r="M16" s="29" t="str">
        <f>IF(OR(Palpites!D17="",Palpites!F17=""),0,IF(Palpites!D17&gt;Palpites!F17,"V",IF(Palpites!D17=Palpites!F17,"E",IF(Palpites!D17&lt;Palpites!F17,"D"))))</f>
        <v>E</v>
      </c>
      <c r="N16" s="29" t="str">
        <f>IF(OR(Palpites!D19="",Palpites!F19=""),0,IF(Palpites!D19&gt;Palpites!F19,"V",IF(Palpites!D19=Palpites!F19,"E",IF(Palpites!D19&lt;Palpites!F19,"D"))))</f>
        <v>D</v>
      </c>
      <c r="S16" s="29" t="str">
        <f>Palpites!Y29</f>
        <v>Brasil</v>
      </c>
      <c r="T16" s="29" t="str">
        <f>Palpites!AV29</f>
        <v>Uruguai</v>
      </c>
    </row>
    <row r="17" spans="1:23" x14ac:dyDescent="0.3">
      <c r="A17" s="29">
        <f>100000000*D17+100000*E17+1000*F17+K17*10</f>
        <v>99700010</v>
      </c>
      <c r="B17" s="29">
        <f>RANK(A17,$A$14:$A$17)</f>
        <v>3</v>
      </c>
      <c r="C17" s="29" t="str">
        <f>Palpites!G15</f>
        <v>País de Gales</v>
      </c>
      <c r="D17" s="29">
        <f>3*COUNTIF(L17:N17,"V")+COUNTIF(L17:N17,"E")</f>
        <v>1</v>
      </c>
      <c r="E17" s="29">
        <f>Palpites!F15-Palpites!D15+Palpites!F17-Palpites!D17+Palpites!F18-Palpites!D18</f>
        <v>-3</v>
      </c>
      <c r="F17" s="29">
        <f>Palpites!F15+Palpites!F17+Palpites!F18</f>
        <v>0</v>
      </c>
      <c r="G17" s="29">
        <f>COUNTIF(L17:N17,"V")</f>
        <v>0</v>
      </c>
      <c r="H17" s="29">
        <f>COUNTIF(L17:N17,"e")</f>
        <v>1</v>
      </c>
      <c r="I17" s="29">
        <f>COUNTIF(L17:N17,"D")</f>
        <v>2</v>
      </c>
      <c r="J17" s="29">
        <f>F17-E17</f>
        <v>3</v>
      </c>
      <c r="K17" s="29">
        <v>1</v>
      </c>
      <c r="L17" s="29" t="str">
        <f>IF(OR(Palpites!F15="",Palpites!D15=""),0,IF(Palpites!F15&gt;Palpites!D15,"V",IF(Palpites!F15=Palpites!D15,"E",IF(Palpites!F15&lt;Palpites!D15,"D"))))</f>
        <v>D</v>
      </c>
      <c r="M17" s="29" t="str">
        <f>IF(OR(Palpites!F17="",Palpites!D17=""),0,IF(Palpites!F17&gt;Palpites!D17,"V",IF(Palpites!F17=Palpites!D17,"E",IF(Palpites!F17&lt;Palpites!D17,"D"))))</f>
        <v>E</v>
      </c>
      <c r="N17" s="29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29" t="str">
        <f>Palpites!AD19</f>
        <v>Holanda</v>
      </c>
      <c r="T18" s="29" t="str">
        <f>Palpites!AQ19</f>
        <v>Inglaterra</v>
      </c>
    </row>
    <row r="19" spans="1:23" x14ac:dyDescent="0.3">
      <c r="S19" s="29" t="str">
        <f>Palpites!AD21</f>
        <v>Brasil</v>
      </c>
      <c r="T19" s="29" t="str">
        <f>Palpites!AQ21</f>
        <v>Bélgica</v>
      </c>
    </row>
    <row r="21" spans="1:23" x14ac:dyDescent="0.3"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S21" s="29" t="str">
        <f>Palpites!AG20</f>
        <v>Holanda</v>
      </c>
      <c r="T21" s="29" t="str">
        <f>Palpites!AN20</f>
        <v>Inglaterra</v>
      </c>
      <c r="V21" s="29" t="str">
        <f>IF(S21=S18,S19,S18)</f>
        <v>Brasil</v>
      </c>
      <c r="W21" s="29" t="str">
        <f>IF(T21=T18,T19,T18)</f>
        <v>Bélgica</v>
      </c>
    </row>
    <row r="22" spans="1:23" x14ac:dyDescent="0.3">
      <c r="A22" s="29" t="s">
        <v>103</v>
      </c>
      <c r="B22" s="29" t="s">
        <v>104</v>
      </c>
      <c r="C22" s="29" t="s">
        <v>105</v>
      </c>
      <c r="D22" s="29" t="s">
        <v>106</v>
      </c>
      <c r="E22" s="29" t="s">
        <v>66</v>
      </c>
      <c r="F22" s="29" t="s">
        <v>64</v>
      </c>
      <c r="G22" s="29" t="s">
        <v>61</v>
      </c>
      <c r="H22" s="29" t="s">
        <v>62</v>
      </c>
      <c r="I22" s="29" t="s">
        <v>63</v>
      </c>
      <c r="J22" s="29" t="s">
        <v>65</v>
      </c>
      <c r="K22" s="29" t="s">
        <v>107</v>
      </c>
      <c r="L22" s="29" t="s">
        <v>108</v>
      </c>
      <c r="M22" s="29" t="s">
        <v>109</v>
      </c>
      <c r="N22" s="29" t="s">
        <v>110</v>
      </c>
    </row>
    <row r="23" spans="1:23" x14ac:dyDescent="0.3">
      <c r="A23" s="29">
        <f>100000000*D23+100000*E23+1000*F23+K23*10</f>
        <v>700507040</v>
      </c>
      <c r="B23" s="29">
        <f>RANK(A23,$A$23:$A$26)</f>
        <v>1</v>
      </c>
      <c r="C23" s="29" t="str">
        <f>Palpites!B23</f>
        <v>Argentina</v>
      </c>
      <c r="D23" s="29">
        <f>3*COUNTIF(L23:N23,"V")+COUNTIF(L23:N23,"E")</f>
        <v>7</v>
      </c>
      <c r="E23" s="29">
        <f>Palpites!D23-Palpites!F23+Palpites!D25-Palpites!F25+Palpites!D27-Palpites!F27</f>
        <v>5</v>
      </c>
      <c r="F23" s="29">
        <f>Palpites!D23+Palpites!D25+Palpites!D27</f>
        <v>7</v>
      </c>
      <c r="G23" s="29">
        <f>COUNTIF(L23:N23,"V")</f>
        <v>2</v>
      </c>
      <c r="H23" s="29">
        <f>COUNTIF(L23:N23,"e")</f>
        <v>1</v>
      </c>
      <c r="I23" s="29">
        <f>COUNTIF(L23:N23,"D")</f>
        <v>0</v>
      </c>
      <c r="J23" s="29">
        <f>F23-E23</f>
        <v>2</v>
      </c>
      <c r="K23" s="29">
        <v>4</v>
      </c>
      <c r="L23" s="29" t="str">
        <f>IF(OR(Palpites!D23="",Palpites!F23=""),0,IF(Palpites!D23&gt;Palpites!F23,"V",IF(Palpites!D23=Palpites!F23,"E",IF(Palpites!D23&lt;Palpites!F23,"D"))))</f>
        <v>V</v>
      </c>
      <c r="M23" s="29" t="str">
        <f>IF(OR(Palpites!D25="",Palpites!F25=""),0,IF(Palpites!D25&gt;Palpites!F25,"V",IF(Palpites!D25=Palpites!F25,"E",IF(Palpites!D25&lt;Palpites!F25,"D"))))</f>
        <v>E</v>
      </c>
      <c r="N23" s="29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29">
        <f>100000000*D24+100000*E24+1000*F24+K24*10</f>
        <v>700407030</v>
      </c>
      <c r="B24" s="29">
        <f>RANK(A24,$A$23:$A$26)</f>
        <v>2</v>
      </c>
      <c r="C24" s="29" t="str">
        <f>Palpites!B24</f>
        <v>México</v>
      </c>
      <c r="D24" s="29">
        <f>3*COUNTIF(L24:N24,"V")+COUNTIF(L24:N24,"E")</f>
        <v>7</v>
      </c>
      <c r="E24" s="29">
        <f>Palpites!D24-Palpites!F24+Palpites!F25-Palpites!D25+Palpites!F28-Palpites!D28</f>
        <v>4</v>
      </c>
      <c r="F24" s="29">
        <f>Palpites!D24+Palpites!F25+Palpites!F28</f>
        <v>7</v>
      </c>
      <c r="G24" s="29">
        <f>COUNTIF(L24:N24,"V")</f>
        <v>2</v>
      </c>
      <c r="H24" s="29">
        <f>COUNTIF(L24:N24,"e")</f>
        <v>1</v>
      </c>
      <c r="I24" s="29">
        <f>COUNTIF(L24:N24,"D")</f>
        <v>0</v>
      </c>
      <c r="J24" s="29">
        <f>F24-E24</f>
        <v>3</v>
      </c>
      <c r="K24" s="29">
        <v>3</v>
      </c>
      <c r="L24" s="29" t="str">
        <f>IF(OR(Palpites!D24="",Palpites!F24=""),0,IF(Palpites!D24&gt;Palpites!F24,"V",IF(Palpites!D24=Palpites!F24,"E",IF(Palpites!D24&lt;Palpites!F24,"D"))))</f>
        <v>V</v>
      </c>
      <c r="M24" s="29" t="str">
        <f>IF(OR(Palpites!F25="",Palpites!D25=""),0,IF(Palpites!F25&gt;Palpites!D25,"V",IF(Palpites!F25=Palpites!D25,"E",IF(Palpites!F25&lt;Palpites!D25,"D"))))</f>
        <v>E</v>
      </c>
      <c r="N24" s="29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29">
        <f>100000000*D25+100000*E25+1000*F25+K25*10</f>
        <v>-799980</v>
      </c>
      <c r="B25" s="29">
        <f>RANK(A25,$A$23:$A$26)</f>
        <v>4</v>
      </c>
      <c r="C25" s="29" t="str">
        <f>Palpites!G23</f>
        <v>Arábia Saudita</v>
      </c>
      <c r="D25" s="29">
        <f>3*COUNTIF(L25:N25,"V")+COUNTIF(L25:N25,"E")</f>
        <v>0</v>
      </c>
      <c r="E25" s="29">
        <f>Palpites!F23-Palpites!D23+Palpites!D26-Palpites!F26+Palpites!D28-Palpites!F28</f>
        <v>-8</v>
      </c>
      <c r="F25" s="29">
        <f>Palpites!F23+Palpites!D26+Palpites!D28</f>
        <v>0</v>
      </c>
      <c r="G25" s="29">
        <f>COUNTIF(L25:N25,"V")</f>
        <v>0</v>
      </c>
      <c r="H25" s="29">
        <f>COUNTIF(L25:N25,"e")</f>
        <v>0</v>
      </c>
      <c r="I25" s="29">
        <f>COUNTIF(L25:N25,"D")</f>
        <v>3</v>
      </c>
      <c r="J25" s="29">
        <f>F25-E25</f>
        <v>8</v>
      </c>
      <c r="K25" s="29">
        <v>2</v>
      </c>
      <c r="L25" s="29" t="str">
        <f>IF(OR(Palpites!F23="",Palpites!D23=""),0,IF(Palpites!F23&gt;Palpites!D23,"V",IF(Palpites!F23=Palpites!D23,"E",IF(Palpites!F23&lt;Palpites!D23,"D"))))</f>
        <v>D</v>
      </c>
      <c r="M25" s="29" t="str">
        <f>IF(OR(Palpites!D26="",Palpites!F26=""),0,IF(Palpites!D26&gt;Palpites!F26,"V",IF(Palpites!D26=Palpites!F26,"E",IF(Palpites!D26&lt;Palpites!F26,"D"))))</f>
        <v>D</v>
      </c>
      <c r="N25" s="29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29">
        <f>100000000*D26+100000*E26+1000*F26+K26*10</f>
        <v>299904010</v>
      </c>
      <c r="B26" s="29">
        <f>RANK(A26,$A$23:$A$26)</f>
        <v>3</v>
      </c>
      <c r="C26" s="29" t="str">
        <f>Palpites!G24</f>
        <v>Polônia</v>
      </c>
      <c r="D26" s="29">
        <f>3*COUNTIF(L26:N26,"V")+COUNTIF(L26:N26,"E")</f>
        <v>3</v>
      </c>
      <c r="E26" s="29">
        <f>Palpites!F24-Palpites!D24+Palpites!F26-Palpites!D26+Palpites!F27-Palpites!D27</f>
        <v>-1</v>
      </c>
      <c r="F26" s="29">
        <f>Palpites!F24+Palpites!F26+Palpites!F27</f>
        <v>4</v>
      </c>
      <c r="G26" s="29">
        <f>COUNTIF(L26:N26,"V")</f>
        <v>1</v>
      </c>
      <c r="H26" s="29">
        <f>COUNTIF(L26:N26,"e")</f>
        <v>0</v>
      </c>
      <c r="I26" s="29">
        <f>COUNTIF(L26:N26,"D")</f>
        <v>2</v>
      </c>
      <c r="J26" s="29">
        <f>F26-E26</f>
        <v>5</v>
      </c>
      <c r="K26" s="29">
        <v>1</v>
      </c>
      <c r="L26" s="29" t="str">
        <f>IF(OR(Palpites!F24="",Palpites!D24=""),0,IF(Palpites!F24&gt;Palpites!D24,"V",IF(Palpites!F24=Palpites!D24,"E",IF(Palpites!F24&lt;Palpites!D24,"D"))))</f>
        <v>D</v>
      </c>
      <c r="M26" s="29" t="str">
        <f>IF(OR(Palpites!F26="",Palpites!D26=""),0,IF(Palpites!F26&gt;Palpites!D26,"V",IF(Palpites!F26=Palpites!D26,"E",IF(Palpites!F26&lt;Palpites!D26,"D"))))</f>
        <v>V</v>
      </c>
      <c r="N26" s="29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1:23" x14ac:dyDescent="0.3">
      <c r="A31" s="29" t="s">
        <v>103</v>
      </c>
      <c r="B31" s="29" t="s">
        <v>104</v>
      </c>
      <c r="C31" s="29" t="s">
        <v>105</v>
      </c>
      <c r="D31" s="29" t="s">
        <v>106</v>
      </c>
      <c r="E31" s="29" t="s">
        <v>66</v>
      </c>
      <c r="F31" s="29" t="s">
        <v>64</v>
      </c>
      <c r="G31" s="29" t="s">
        <v>61</v>
      </c>
      <c r="H31" s="29" t="s">
        <v>62</v>
      </c>
      <c r="I31" s="29" t="s">
        <v>63</v>
      </c>
      <c r="J31" s="29" t="s">
        <v>65</v>
      </c>
      <c r="K31" s="29" t="s">
        <v>107</v>
      </c>
      <c r="L31" s="29" t="s">
        <v>108</v>
      </c>
      <c r="M31" s="29" t="s">
        <v>109</v>
      </c>
      <c r="N31" s="29" t="s">
        <v>110</v>
      </c>
    </row>
    <row r="32" spans="1:23" x14ac:dyDescent="0.3">
      <c r="A32" s="29">
        <f>100000000*D32+100000*E32+1000*F32+K32*10</f>
        <v>700406040</v>
      </c>
      <c r="B32" s="29">
        <f>RANK(A32,$A$32:$A$35)</f>
        <v>1</v>
      </c>
      <c r="C32" s="29" t="str">
        <f>Palpites!B32</f>
        <v>França</v>
      </c>
      <c r="D32" s="29">
        <f>3*COUNTIF(L32:N32,"V")+COUNTIF(L32:N32,"E")</f>
        <v>7</v>
      </c>
      <c r="E32" s="29">
        <f>Palpites!D32-Palpites!F32+Palpites!D34-Palpites!F34+Palpites!D36-Palpites!F36</f>
        <v>4</v>
      </c>
      <c r="F32" s="29">
        <f>Palpites!D32+Palpites!D34+Palpites!D36</f>
        <v>6</v>
      </c>
      <c r="G32" s="29">
        <f>COUNTIF(L32:N32,"V")</f>
        <v>2</v>
      </c>
      <c r="H32" s="29">
        <f>COUNTIF(L32:N32,"e")</f>
        <v>1</v>
      </c>
      <c r="I32" s="29">
        <f>COUNTIF(L32:N32,"D")</f>
        <v>0</v>
      </c>
      <c r="J32" s="29">
        <f>F32-E32</f>
        <v>2</v>
      </c>
      <c r="K32" s="29">
        <v>4</v>
      </c>
      <c r="L32" s="29" t="str">
        <f>IF(OR(Palpites!D32="",Palpites!F32=""),0,IF(Palpites!D32&gt;Palpites!F32,"V",IF(Palpites!D32=Palpites!F32,"E",IF(Palpites!D32&lt;Palpites!F32,"D"))))</f>
        <v>V</v>
      </c>
      <c r="M32" s="29" t="str">
        <f>IF(OR(Palpites!D34="",Palpites!F34=""),0,IF(Palpites!D34&gt;Palpites!F34,"V",IF(Palpites!D34=Palpites!F34,"E",IF(Palpites!D34&lt;Palpites!F34,"D"))))</f>
        <v>E</v>
      </c>
      <c r="N32" s="29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29">
        <f>100000000*D33+100000*E33+1000*F33+K33*10</f>
        <v>199904030</v>
      </c>
      <c r="B33" s="29">
        <f>RANK(A33,$A$32:$A$35)</f>
        <v>4</v>
      </c>
      <c r="C33" s="29" t="str">
        <f>Palpites!B33</f>
        <v>Dinamarca</v>
      </c>
      <c r="D33" s="29">
        <f>3*COUNTIF(L33:N33,"V")+COUNTIF(L33:N33,"E")</f>
        <v>2</v>
      </c>
      <c r="E33" s="29">
        <f>Palpites!D33-Palpites!F33+Palpites!F34-Palpites!D34+Palpites!F37-Palpites!D37</f>
        <v>-1</v>
      </c>
      <c r="F33" s="29">
        <f>Palpites!D33+Palpites!F34+Palpites!F37</f>
        <v>4</v>
      </c>
      <c r="G33" s="29">
        <f>COUNTIF(L33:N33,"V")</f>
        <v>0</v>
      </c>
      <c r="H33" s="29">
        <f>COUNTIF(L33:N33,"e")</f>
        <v>2</v>
      </c>
      <c r="I33" s="29">
        <f>COUNTIF(L33:N33,"D")</f>
        <v>1</v>
      </c>
      <c r="J33" s="29">
        <f>F33-E33</f>
        <v>5</v>
      </c>
      <c r="K33" s="29">
        <v>3</v>
      </c>
      <c r="L33" s="29" t="str">
        <f>IF(OR(Palpites!D33="",Palpites!F33=""),0,IF(Palpites!D33&gt;Palpites!F33,"V",IF(Palpites!D33=Palpites!F33,"E",IF(Palpites!D33&lt;Palpites!F33,"D"))))</f>
        <v>D</v>
      </c>
      <c r="M33" s="29" t="str">
        <f>IF(OR(Palpites!F34="",Palpites!D34=""),0,IF(Palpites!F34&gt;Palpites!D34,"V",IF(Palpites!F34=Palpites!D34,"E",IF(Palpites!F34&lt;Palpites!D34,"D"))))</f>
        <v>E</v>
      </c>
      <c r="N33" s="29" t="str">
        <f>IF(OR(Palpites!F37="",Palpites!D37=""),0,IF(Palpites!F37&gt;Palpites!D37,"V",IF(Palpites!F37=Palpites!D37,"E",IF(Palpites!F37&lt;Palpites!D37,"D"))))</f>
        <v>E</v>
      </c>
    </row>
    <row r="34" spans="1:14" x14ac:dyDescent="0.3">
      <c r="A34" s="29">
        <f>100000000*D34+100000*E34+1000*F34+K34*10</f>
        <v>400105020</v>
      </c>
      <c r="B34" s="29">
        <f>RANK(A34,$A$32:$A$35)</f>
        <v>2</v>
      </c>
      <c r="C34" s="29" t="str">
        <f>Palpites!G32</f>
        <v>Austrália</v>
      </c>
      <c r="D34" s="29">
        <f>3*COUNTIF(L34:N34,"V")+COUNTIF(L34:N34,"E")</f>
        <v>4</v>
      </c>
      <c r="E34" s="29">
        <f>Palpites!F32-Palpites!D32+Palpites!D35-Palpites!F35+Palpites!D37-Palpites!F37</f>
        <v>1</v>
      </c>
      <c r="F34" s="29">
        <f>Palpites!F32+Palpites!D35+Palpites!D37</f>
        <v>5</v>
      </c>
      <c r="G34" s="29">
        <f>COUNTIF(L34:N34,"V")</f>
        <v>1</v>
      </c>
      <c r="H34" s="29">
        <f>COUNTIF(L34:N34,"e")</f>
        <v>1</v>
      </c>
      <c r="I34" s="29">
        <f>COUNTIF(L34:N34,"D")</f>
        <v>1</v>
      </c>
      <c r="J34" s="29">
        <f>F34-E34</f>
        <v>4</v>
      </c>
      <c r="K34" s="29">
        <v>2</v>
      </c>
      <c r="L34" s="29" t="str">
        <f>IF(OR(Palpites!F32="",Palpites!D32=""),0,IF(Palpites!F32&gt;Palpites!D32,"V",IF(Palpites!F32=Palpites!D32,"E",IF(Palpites!F32&lt;Palpites!D32,"D"))))</f>
        <v>D</v>
      </c>
      <c r="M34" s="29" t="str">
        <f>IF(OR(Palpites!D35="",Palpites!F35=""),0,IF(Palpites!D35&gt;Palpites!F35,"V",IF(Palpites!D35=Palpites!F35,"E",IF(Palpites!D35&lt;Palpites!F35,"D"))))</f>
        <v>V</v>
      </c>
      <c r="N34" s="29" t="str">
        <f>IF(OR(Palpites!D37="",Palpites!F37=""),0,IF(Palpites!D37&gt;Palpites!F37,"V",IF(Palpites!D37=Palpites!F37,"E",IF(Palpites!D37&lt;Palpites!F37,"D"))))</f>
        <v>E</v>
      </c>
    </row>
    <row r="35" spans="1:14" x14ac:dyDescent="0.3">
      <c r="A35" s="29">
        <f>100000000*D35+100000*E35+1000*F35+K35*10</f>
        <v>299602010</v>
      </c>
      <c r="B35" s="29">
        <f>RANK(A35,$A$32:$A$35)</f>
        <v>3</v>
      </c>
      <c r="C35" s="29" t="str">
        <f>Palpites!G33</f>
        <v>Tunísia</v>
      </c>
      <c r="D35" s="29">
        <f>3*COUNTIF(L35:N35,"V")+COUNTIF(L35:N35,"E")</f>
        <v>3</v>
      </c>
      <c r="E35" s="29">
        <f>Palpites!F33-Palpites!D33+Palpites!F35-Palpites!D35+Palpites!F36-Palpites!D36</f>
        <v>-4</v>
      </c>
      <c r="F35" s="29">
        <f>Palpites!F33+Palpites!F35+Palpites!F36</f>
        <v>2</v>
      </c>
      <c r="G35" s="29">
        <f>COUNTIF(L35:N35,"V")</f>
        <v>1</v>
      </c>
      <c r="H35" s="29">
        <f>COUNTIF(L35:N35,"e")</f>
        <v>0</v>
      </c>
      <c r="I35" s="29">
        <f>COUNTIF(L35:N35,"D")</f>
        <v>2</v>
      </c>
      <c r="J35" s="29">
        <f>F35-E35</f>
        <v>6</v>
      </c>
      <c r="K35" s="29">
        <v>1</v>
      </c>
      <c r="L35" s="29" t="str">
        <f>IF(OR(Palpites!F33="",Palpites!D33=""),0,IF(Palpites!F33&gt;Palpites!D33,"V",IF(Palpites!F33=Palpites!D33,"E",IF(Palpites!F33&lt;Palpites!D33,"D"))))</f>
        <v>V</v>
      </c>
      <c r="M35" s="29" t="str">
        <f>IF(OR(Palpites!F35="",Palpites!D35=""),0,IF(Palpites!F35&gt;Palpites!D35,"V",IF(Palpites!F35=Palpites!D35,"E",IF(Palpites!F35&lt;Palpites!D35,"D"))))</f>
        <v>D</v>
      </c>
      <c r="N35" s="29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0" spans="1:14" x14ac:dyDescent="0.3">
      <c r="A40" s="29" t="s">
        <v>103</v>
      </c>
      <c r="B40" s="29" t="s">
        <v>104</v>
      </c>
      <c r="C40" s="29" t="s">
        <v>105</v>
      </c>
      <c r="D40" s="29" t="s">
        <v>106</v>
      </c>
      <c r="E40" s="29" t="s">
        <v>66</v>
      </c>
      <c r="F40" s="29" t="s">
        <v>64</v>
      </c>
      <c r="G40" s="29" t="s">
        <v>61</v>
      </c>
      <c r="H40" s="29" t="s">
        <v>62</v>
      </c>
      <c r="I40" s="29" t="s">
        <v>63</v>
      </c>
      <c r="J40" s="29" t="s">
        <v>65</v>
      </c>
      <c r="K40" s="29" t="s">
        <v>107</v>
      </c>
      <c r="L40" s="29" t="s">
        <v>108</v>
      </c>
      <c r="M40" s="29" t="s">
        <v>109</v>
      </c>
      <c r="N40" s="29" t="s">
        <v>110</v>
      </c>
    </row>
    <row r="41" spans="1:14" x14ac:dyDescent="0.3">
      <c r="A41" s="29">
        <f>100000000*D41+100000*E41+1000*F41+K41*10</f>
        <v>700205040</v>
      </c>
      <c r="B41" s="29">
        <f>RANK(A41,$A$41:$A$44)</f>
        <v>2</v>
      </c>
      <c r="C41" s="29" t="str">
        <f>Palpites!B41</f>
        <v>Espanha</v>
      </c>
      <c r="D41" s="29">
        <f>3*COUNTIF(L41:N41,"V")+COUNTIF(L41:N41,"E")</f>
        <v>7</v>
      </c>
      <c r="E41" s="29">
        <f>Palpites!D41-Palpites!F41+Palpites!D43-Palpites!F43+Palpites!D45-Palpites!F45</f>
        <v>2</v>
      </c>
      <c r="F41" s="29">
        <f>Palpites!D41+Palpites!D43+Palpites!D45</f>
        <v>5</v>
      </c>
      <c r="G41" s="29">
        <f>COUNTIF(L41:N41,"V")</f>
        <v>2</v>
      </c>
      <c r="H41" s="29">
        <f>COUNTIF(L41:N41,"e")</f>
        <v>1</v>
      </c>
      <c r="I41" s="29">
        <f>COUNTIF(L41:N41,"D")</f>
        <v>0</v>
      </c>
      <c r="J41" s="29">
        <f>F41-E41</f>
        <v>3</v>
      </c>
      <c r="K41" s="29">
        <v>4</v>
      </c>
      <c r="L41" s="29" t="str">
        <f>IF(OR(Palpites!D41="",Palpites!F41=""),0,IF(Palpites!D41&gt;Palpites!F41,"V",IF(Palpites!D41=Palpites!F41,"E",IF(Palpites!D41&lt;Palpites!F41,"D"))))</f>
        <v>V</v>
      </c>
      <c r="M41" s="29" t="str">
        <f>IF(OR(Palpites!D43="",Palpites!F43=""),0,IF(Palpites!D43&gt;Palpites!F43,"V",IF(Palpites!D43=Palpites!F43,"E",IF(Palpites!D43&lt;Palpites!F43,"D"))))</f>
        <v>E</v>
      </c>
      <c r="N41" s="29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29">
        <f>100000000*D42+100000*E42+1000*F42+K42*10</f>
        <v>700508030</v>
      </c>
      <c r="B42" s="29">
        <f>RANK(A42,$A$41:$A$44)</f>
        <v>1</v>
      </c>
      <c r="C42" s="29" t="str">
        <f>Palpites!B42</f>
        <v>Alemanha</v>
      </c>
      <c r="D42" s="29">
        <f>3*COUNTIF(L42:N42,"V")+COUNTIF(L42:N42,"E")</f>
        <v>7</v>
      </c>
      <c r="E42" s="29">
        <f>Palpites!D42-Palpites!F42+Palpites!F43-Palpites!D43+Palpites!F46-Palpites!D46</f>
        <v>5</v>
      </c>
      <c r="F42" s="29">
        <f>Palpites!D42+Palpites!F43+Palpites!F46</f>
        <v>8</v>
      </c>
      <c r="G42" s="29">
        <f>COUNTIF(L42:N42,"V")</f>
        <v>2</v>
      </c>
      <c r="H42" s="29">
        <f>COUNTIF(L42:N42,"e")</f>
        <v>1</v>
      </c>
      <c r="I42" s="29">
        <f>COUNTIF(L42:N42,"D")</f>
        <v>0</v>
      </c>
      <c r="J42" s="29">
        <f>F42-E42</f>
        <v>3</v>
      </c>
      <c r="K42" s="29">
        <v>3</v>
      </c>
      <c r="L42" s="29" t="str">
        <f>IF(OR(Palpites!D42="",Palpites!F42=""),0,IF(Palpites!D42&gt;Palpites!F42,"V",IF(Palpites!D42=Palpites!F42,"E",IF(Palpites!D42&lt;Palpites!F42,"D"))))</f>
        <v>V</v>
      </c>
      <c r="M42" s="29" t="str">
        <f>IF(OR(Palpites!F43="",Palpites!D43=""),0,IF(Palpites!F43&gt;Palpites!D43,"V",IF(Palpites!F43=Palpites!D43,"E",IF(Palpites!F43&lt;Palpites!D43,"D"))))</f>
        <v>E</v>
      </c>
      <c r="N42" s="29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29">
        <f>100000000*D43+100000*E43+1000*F43+K43*10</f>
        <v>299903020</v>
      </c>
      <c r="B43" s="29">
        <f>RANK(A43,$A$41:$A$44)</f>
        <v>3</v>
      </c>
      <c r="C43" s="29" t="str">
        <f>Palpites!G41</f>
        <v>Costa Rica</v>
      </c>
      <c r="D43" s="29">
        <f>3*COUNTIF(L43:N43,"V")+COUNTIF(L43:N43,"E")</f>
        <v>3</v>
      </c>
      <c r="E43" s="29">
        <f>Palpites!F41-Palpites!D41+Palpites!D44-Palpites!F44+Palpites!D46-Palpites!F46</f>
        <v>-1</v>
      </c>
      <c r="F43" s="29">
        <f>Palpites!F41+Palpites!D44+Palpites!D46</f>
        <v>3</v>
      </c>
      <c r="G43" s="29">
        <f>COUNTIF(L43:N43,"V")</f>
        <v>1</v>
      </c>
      <c r="H43" s="29">
        <f>COUNTIF(L43:N43,"e")</f>
        <v>0</v>
      </c>
      <c r="I43" s="29">
        <f>COUNTIF(L43:N43,"D")</f>
        <v>2</v>
      </c>
      <c r="J43" s="29">
        <f>F43-E43</f>
        <v>4</v>
      </c>
      <c r="K43" s="29">
        <v>2</v>
      </c>
      <c r="L43" s="29" t="str">
        <f>IF(OR(Palpites!F41="",Palpites!D41=""),0,IF(Palpites!F41&gt;Palpites!D41,"V",IF(Palpites!F41=Palpites!D41,"E",IF(Palpites!F41&lt;Palpites!D41,"D"))))</f>
        <v>D</v>
      </c>
      <c r="M43" s="29" t="str">
        <f>IF(OR(Palpites!D44="",Palpites!F44=""),0,IF(Palpites!D44&gt;Palpites!F44,"V",IF(Palpites!D44=Palpites!F44,"E",IF(Palpites!D44&lt;Palpites!F44,"D"))))</f>
        <v>V</v>
      </c>
      <c r="N43" s="29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29">
        <f>100000000*D44+100000*E44+1000*F44+K44*10</f>
        <v>-598990</v>
      </c>
      <c r="B44" s="29">
        <f>RANK(A44,$A$41:$A$44)</f>
        <v>4</v>
      </c>
      <c r="C44" s="29" t="str">
        <f>Palpites!G42</f>
        <v>Japão</v>
      </c>
      <c r="D44" s="29">
        <f>3*COUNTIF(L44:N44,"V")+COUNTIF(L44:N44,"E")</f>
        <v>0</v>
      </c>
      <c r="E44" s="29">
        <f>Palpites!F42-Palpites!D42+Palpites!F44-Palpites!D44+Palpites!F45-Palpites!D45</f>
        <v>-6</v>
      </c>
      <c r="F44" s="29">
        <f>Palpites!F42+Palpites!F44+Palpites!F45</f>
        <v>1</v>
      </c>
      <c r="G44" s="29">
        <f>COUNTIF(L44:N44,"V")</f>
        <v>0</v>
      </c>
      <c r="H44" s="29">
        <f>COUNTIF(L44:N44,"e")</f>
        <v>0</v>
      </c>
      <c r="I44" s="29">
        <f>COUNTIF(L44:N44,"D")</f>
        <v>3</v>
      </c>
      <c r="J44" s="29">
        <f>F44-E44</f>
        <v>7</v>
      </c>
      <c r="K44" s="29">
        <v>1</v>
      </c>
      <c r="L44" s="29" t="str">
        <f>IF(OR(Palpites!F42="",Palpites!D42=""),0,IF(Palpites!F42&gt;Palpites!D42,"V",IF(Palpites!F42=Palpites!D42,"E",IF(Palpites!F42&lt;Palpites!D42,"D"))))</f>
        <v>D</v>
      </c>
      <c r="M44" s="29" t="str">
        <f>IF(OR(Palpites!F44="",Palpites!D44=""),0,IF(Palpites!F44&gt;Palpites!D44,"V",IF(Palpites!F44=Palpites!D44,"E",IF(Palpites!F44&lt;Palpites!D44,"D"))))</f>
        <v>D</v>
      </c>
      <c r="N44" s="29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4" x14ac:dyDescent="0.3">
      <c r="A49" s="29" t="s">
        <v>103</v>
      </c>
      <c r="B49" s="29" t="s">
        <v>104</v>
      </c>
      <c r="C49" s="29" t="s">
        <v>105</v>
      </c>
      <c r="D49" s="29" t="s">
        <v>106</v>
      </c>
      <c r="E49" s="29" t="s">
        <v>66</v>
      </c>
      <c r="F49" s="29" t="s">
        <v>64</v>
      </c>
      <c r="G49" s="29" t="s">
        <v>61</v>
      </c>
      <c r="H49" s="29" t="s">
        <v>62</v>
      </c>
      <c r="I49" s="29" t="s">
        <v>63</v>
      </c>
      <c r="J49" s="29" t="s">
        <v>65</v>
      </c>
      <c r="K49" s="29" t="s">
        <v>107</v>
      </c>
      <c r="L49" s="29" t="s">
        <v>108</v>
      </c>
      <c r="M49" s="29" t="s">
        <v>109</v>
      </c>
      <c r="N49" s="29" t="s">
        <v>110</v>
      </c>
    </row>
    <row r="50" spans="1:14" x14ac:dyDescent="0.3">
      <c r="A50" s="29">
        <f>100000000*D50+100000*E50+1000*F50+K50*10</f>
        <v>700506040</v>
      </c>
      <c r="B50" s="29">
        <f>RANK(A50,$A$50:$A$53)</f>
        <v>1</v>
      </c>
      <c r="C50" s="29" t="str">
        <f>Palpites!B50</f>
        <v>Bélgica</v>
      </c>
      <c r="D50" s="29">
        <f>3*COUNTIF(L50:N50,"V")+COUNTIF(L50:N50,"E")</f>
        <v>7</v>
      </c>
      <c r="E50" s="29">
        <f>Palpites!D50-Palpites!F50+Palpites!D52-Palpites!F52+Palpites!D54-Palpites!F54</f>
        <v>5</v>
      </c>
      <c r="F50" s="29">
        <f>Palpites!D50+Palpites!D52+Palpites!D54</f>
        <v>6</v>
      </c>
      <c r="G50" s="29">
        <f>COUNTIF(L50:N50,"V")</f>
        <v>2</v>
      </c>
      <c r="H50" s="29">
        <f>COUNTIF(L50:N50,"e")</f>
        <v>1</v>
      </c>
      <c r="I50" s="29">
        <f>COUNTIF(L50:N50,"D")</f>
        <v>0</v>
      </c>
      <c r="J50" s="29">
        <f>F50-E50</f>
        <v>1</v>
      </c>
      <c r="K50" s="29">
        <v>4</v>
      </c>
      <c r="L50" s="29" t="str">
        <f>IF(OR(Palpites!D50="",Palpites!F50=""),0,IF(Palpites!D50&gt;Palpites!F50,"V",IF(Palpites!D50=Palpites!F50,"E",IF(Palpites!D50&lt;Palpites!F50,"D"))))</f>
        <v>V</v>
      </c>
      <c r="M50" s="29" t="str">
        <f>IF(OR(Palpites!D52="",Palpites!F52=""),0,IF(Palpites!D52&gt;Palpites!F52,"V",IF(Palpites!D52=Palpites!F52,"E",IF(Palpites!D52&lt;Palpites!F52,"D"))))</f>
        <v>V</v>
      </c>
      <c r="N50" s="29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29">
        <f>100000000*D51+100000*E51+1000*F51+K51*10</f>
        <v>199801030</v>
      </c>
      <c r="B51" s="29">
        <f>RANK(A51,$A$50:$A$53)</f>
        <v>3</v>
      </c>
      <c r="C51" s="29" t="str">
        <f>Palpites!B51</f>
        <v>Marrocos</v>
      </c>
      <c r="D51" s="29">
        <f>3*COUNTIF(L51:N51,"V")+COUNTIF(L51:N51,"E")</f>
        <v>2</v>
      </c>
      <c r="E51" s="29">
        <f>Palpites!D51-Palpites!F51+Palpites!F52-Palpites!D52+Palpites!F55-Palpites!D55</f>
        <v>-2</v>
      </c>
      <c r="F51" s="29">
        <f>Palpites!D51+Palpites!F52+Palpites!F55</f>
        <v>1</v>
      </c>
      <c r="G51" s="29">
        <f>COUNTIF(L51:N51,"V")</f>
        <v>0</v>
      </c>
      <c r="H51" s="29">
        <f>COUNTIF(L51:N51,"e")</f>
        <v>2</v>
      </c>
      <c r="I51" s="29">
        <f>COUNTIF(L51:N51,"D")</f>
        <v>1</v>
      </c>
      <c r="J51" s="29">
        <f>F51-E51</f>
        <v>3</v>
      </c>
      <c r="K51" s="29">
        <v>3</v>
      </c>
      <c r="L51" s="29" t="str">
        <f>IF(OR(Palpites!D51="",Palpites!F51=""),0,IF(Palpites!D51&gt;Palpites!F51,"V",IF(Palpites!D51=Palpites!F51,"E",IF(Palpites!D51&lt;Palpites!F51,"D"))))</f>
        <v>E</v>
      </c>
      <c r="M51" s="29" t="str">
        <f>IF(OR(Palpites!F52="",Palpites!D52=""),0,IF(Palpites!F52&gt;Palpites!D52,"V",IF(Palpites!F52=Palpites!D52,"E",IF(Palpites!F52&lt;Palpites!D52,"D"))))</f>
        <v>D</v>
      </c>
      <c r="N51" s="29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29">
        <f>100000000*D52+100000*E52+1000*F52+K52*10</f>
        <v>199701020</v>
      </c>
      <c r="B52" s="29">
        <f>RANK(A52,$A$50:$A$53)</f>
        <v>4</v>
      </c>
      <c r="C52" s="29" t="str">
        <f>Palpites!G50</f>
        <v>Canadá</v>
      </c>
      <c r="D52" s="29">
        <f>3*COUNTIF(L52:N52,"V")+COUNTIF(L52:N52,"E")</f>
        <v>2</v>
      </c>
      <c r="E52" s="29">
        <f>Palpites!F50-Palpites!D50+Palpites!D53-Palpites!F53+Palpites!D55-Palpites!F55</f>
        <v>-3</v>
      </c>
      <c r="F52" s="29">
        <f>Palpites!F50+Palpites!D53+Palpites!D55</f>
        <v>1</v>
      </c>
      <c r="G52" s="29">
        <f>COUNTIF(L52:N52,"V")</f>
        <v>0</v>
      </c>
      <c r="H52" s="29">
        <f>COUNTIF(L52:N52,"e")</f>
        <v>2</v>
      </c>
      <c r="I52" s="29">
        <f>COUNTIF(L52:N52,"D")</f>
        <v>1</v>
      </c>
      <c r="J52" s="29">
        <f>F52-E52</f>
        <v>4</v>
      </c>
      <c r="K52" s="29">
        <v>2</v>
      </c>
      <c r="L52" s="29" t="str">
        <f>IF(OR(Palpites!F50="",Palpites!D50=""),0,IF(Palpites!F50&gt;Palpites!D50,"V",IF(Palpites!F50=Palpites!D50,"E",IF(Palpites!F50&lt;Palpites!D50,"D"))))</f>
        <v>D</v>
      </c>
      <c r="M52" s="29" t="str">
        <f>IF(OR(Palpites!D53="",Palpites!F53=""),0,IF(Palpites!D53&gt;Palpites!F53,"V",IF(Palpites!D53=Palpites!F53,"E",IF(Palpites!D53&lt;Palpites!F53,"D"))))</f>
        <v>E</v>
      </c>
      <c r="N52" s="29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29">
        <f>100000000*D53+100000*E53+1000*F53+K53*10</f>
        <v>300003010</v>
      </c>
      <c r="B53" s="29">
        <f>RANK(A53,$A$50:$A$53)</f>
        <v>2</v>
      </c>
      <c r="C53" s="29" t="str">
        <f>Palpites!G51</f>
        <v>Croácia</v>
      </c>
      <c r="D53" s="29">
        <f>3*COUNTIF(L53:N53,"V")+COUNTIF(L53:N53,"E")</f>
        <v>3</v>
      </c>
      <c r="E53" s="29">
        <f>Palpites!F51-Palpites!D51+Palpites!F53-Palpites!D53+Palpites!F54-Palpites!D54</f>
        <v>0</v>
      </c>
      <c r="F53" s="29">
        <f>Palpites!F51+Palpites!F53+Palpites!F54</f>
        <v>3</v>
      </c>
      <c r="G53" s="29">
        <f>COUNTIF(L53:N53,"V")</f>
        <v>0</v>
      </c>
      <c r="H53" s="29">
        <f>COUNTIF(L53:N53,"e")</f>
        <v>3</v>
      </c>
      <c r="I53" s="29">
        <f>COUNTIF(L53:N53,"D")</f>
        <v>0</v>
      </c>
      <c r="J53" s="29">
        <f>F53-E53</f>
        <v>3</v>
      </c>
      <c r="K53" s="29">
        <v>1</v>
      </c>
      <c r="L53" s="29" t="str">
        <f>IF(OR(Palpites!F51="",Palpites!D51=""),0,IF(Palpites!F51&gt;Palpites!D51,"V",IF(Palpites!F51=Palpites!D51,"E",IF(Palpites!F51&lt;Palpites!D51,"D"))))</f>
        <v>E</v>
      </c>
      <c r="M53" s="29" t="str">
        <f>IF(OR(Palpites!F53="",Palpites!D53=""),0,IF(Palpites!F53&gt;Palpites!D53,"V",IF(Palpites!F53=Palpites!D53,"E",IF(Palpites!F53&lt;Palpites!D53,"D"))))</f>
        <v>E</v>
      </c>
      <c r="N53" s="29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</row>
    <row r="58" spans="1:14" x14ac:dyDescent="0.3">
      <c r="A58" s="29" t="s">
        <v>103</v>
      </c>
      <c r="B58" s="29" t="s">
        <v>104</v>
      </c>
      <c r="C58" s="29" t="s">
        <v>105</v>
      </c>
      <c r="D58" s="29" t="s">
        <v>106</v>
      </c>
      <c r="E58" s="29" t="s">
        <v>66</v>
      </c>
      <c r="F58" s="29" t="s">
        <v>64</v>
      </c>
      <c r="G58" s="29" t="s">
        <v>61</v>
      </c>
      <c r="H58" s="29" t="s">
        <v>62</v>
      </c>
      <c r="I58" s="29" t="s">
        <v>63</v>
      </c>
      <c r="J58" s="29" t="s">
        <v>65</v>
      </c>
      <c r="K58" s="29" t="s">
        <v>107</v>
      </c>
      <c r="L58" s="29" t="s">
        <v>108</v>
      </c>
      <c r="M58" s="29" t="s">
        <v>109</v>
      </c>
      <c r="N58" s="29" t="s">
        <v>110</v>
      </c>
    </row>
    <row r="59" spans="1:14" x14ac:dyDescent="0.3">
      <c r="A59" s="29">
        <f>100000000*D59+100000*E59+1000*F59+K59*10</f>
        <v>900405040</v>
      </c>
      <c r="B59" s="29">
        <f>RANK(A59,$A$59:$A$62)</f>
        <v>1</v>
      </c>
      <c r="C59" s="29" t="str">
        <f>Palpites!B59</f>
        <v>Brasil</v>
      </c>
      <c r="D59" s="29">
        <f>3*COUNTIF(L59:N59,"V")+COUNTIF(L59:N59,"E")</f>
        <v>9</v>
      </c>
      <c r="E59" s="29">
        <f>Palpites!D59-Palpites!F59+Palpites!D61-Palpites!F61+Palpites!D63-Palpites!F63</f>
        <v>4</v>
      </c>
      <c r="F59" s="29">
        <f>Palpites!D59+Palpites!D61+Palpites!D63</f>
        <v>5</v>
      </c>
      <c r="G59" s="29">
        <f>COUNTIF(L59:N59,"V")</f>
        <v>3</v>
      </c>
      <c r="H59" s="29">
        <f>COUNTIF(L59:N59,"e")</f>
        <v>0</v>
      </c>
      <c r="I59" s="29">
        <f>COUNTIF(L59:N59,"D")</f>
        <v>0</v>
      </c>
      <c r="J59" s="29">
        <f>F59-E59</f>
        <v>1</v>
      </c>
      <c r="K59" s="29">
        <v>4</v>
      </c>
      <c r="L59" s="29" t="str">
        <f>IF(OR(Palpites!D59="",Palpites!F59=""),0,IF(Palpites!D59&gt;Palpites!F59,"V",IF(Palpites!D59=Palpites!F59,"E",IF(Palpites!D59&lt;Palpites!F59,"D"))))</f>
        <v>V</v>
      </c>
      <c r="M59" s="29" t="str">
        <f>IF(OR(Palpites!D61="",Palpites!F61=""),0,IF(Palpites!D61&gt;Palpites!F61,"V",IF(Palpites!D61=Palpites!F61,"E",IF(Palpites!D61&lt;Palpites!F61,"D"))))</f>
        <v>V</v>
      </c>
      <c r="N59" s="29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29">
        <f>100000000*D60+100000*E60+1000*F60+K60*10</f>
        <v>199901030</v>
      </c>
      <c r="B60" s="29">
        <f>RANK(A60,$A$59:$A$62)</f>
        <v>3</v>
      </c>
      <c r="C60" s="29" t="str">
        <f>Palpites!B60</f>
        <v>Suíça</v>
      </c>
      <c r="D60" s="29">
        <f>3*COUNTIF(L60:N60,"V")+COUNTIF(L60:N60,"E")</f>
        <v>2</v>
      </c>
      <c r="E60" s="29">
        <f>Palpites!D60-Palpites!F60+Palpites!F61-Palpites!D61+Palpites!F64-Palpites!D64</f>
        <v>-1</v>
      </c>
      <c r="F60" s="29">
        <f>Palpites!D60+Palpites!F61+Palpites!F64</f>
        <v>1</v>
      </c>
      <c r="G60" s="29">
        <f>COUNTIF(L60:N60,"V")</f>
        <v>0</v>
      </c>
      <c r="H60" s="29">
        <f>COUNTIF(L60:N60,"e")</f>
        <v>2</v>
      </c>
      <c r="I60" s="29">
        <f>COUNTIF(L60:N60,"D")</f>
        <v>1</v>
      </c>
      <c r="J60" s="29">
        <f>F60-E60</f>
        <v>2</v>
      </c>
      <c r="K60" s="29">
        <v>3</v>
      </c>
      <c r="L60" s="29" t="str">
        <f>IF(OR(Palpites!D60="",Palpites!F60=""),0,IF(Palpites!D60&gt;Palpites!F60,"V",IF(Palpites!D60=Palpites!F60,"E",IF(Palpites!D60&lt;Palpites!F60,"D"))))</f>
        <v>E</v>
      </c>
      <c r="M60" s="29" t="str">
        <f>IF(OR(Palpites!F61="",Palpites!D61=""),0,IF(Palpites!F61&gt;Palpites!D61,"V",IF(Palpites!F61=Palpites!D61,"E",IF(Palpites!F61&lt;Palpites!D61,"D"))))</f>
        <v>D</v>
      </c>
      <c r="N60" s="29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29">
        <f>100000000*D61+100000*E61+1000*F61+K61*10</f>
        <v>99701020</v>
      </c>
      <c r="B61" s="29">
        <f>RANK(A61,$A$59:$A$62)</f>
        <v>4</v>
      </c>
      <c r="C61" s="29" t="str">
        <f>Palpites!G59</f>
        <v>Sérvia</v>
      </c>
      <c r="D61" s="29">
        <f>3*COUNTIF(L61:N61,"V")+COUNTIF(L61:N61,"E")</f>
        <v>1</v>
      </c>
      <c r="E61" s="29">
        <f>Palpites!F59-Palpites!D59+Palpites!D62-Palpites!F62+Palpites!D64-Palpites!F64</f>
        <v>-3</v>
      </c>
      <c r="F61" s="29">
        <f>Palpites!F59+Palpites!D62+Palpites!D64</f>
        <v>1</v>
      </c>
      <c r="G61" s="29">
        <f>COUNTIF(L61:N61,"V")</f>
        <v>0</v>
      </c>
      <c r="H61" s="29">
        <f>COUNTIF(L61:N61,"e")</f>
        <v>1</v>
      </c>
      <c r="I61" s="29">
        <f>COUNTIF(L61:N61,"D")</f>
        <v>2</v>
      </c>
      <c r="J61" s="29">
        <f>F61-E61</f>
        <v>4</v>
      </c>
      <c r="K61" s="29">
        <v>2</v>
      </c>
      <c r="L61" s="29" t="str">
        <f>IF(OR(Palpites!F59="",Palpites!D59=""),0,IF(Palpites!F59&gt;Palpites!D59,"V",IF(Palpites!F59=Palpites!D59,"E",IF(Palpites!F59&lt;Palpites!D59,"D"))))</f>
        <v>D</v>
      </c>
      <c r="M61" s="29" t="str">
        <f>IF(OR(Palpites!D62="",Palpites!F62=""),0,IF(Palpites!D62&gt;Palpites!F62,"V",IF(Palpites!D62=Palpites!F62,"E",IF(Palpites!D62&lt;Palpites!F62,"D"))))</f>
        <v>D</v>
      </c>
      <c r="N61" s="29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29">
        <f>100000000*D62+100000*E62+1000*F62+K62*10</f>
        <v>400004010</v>
      </c>
      <c r="B62" s="29">
        <f>RANK(A62,$A$59:$A$62)</f>
        <v>2</v>
      </c>
      <c r="C62" s="29" t="str">
        <f>Palpites!G60</f>
        <v>Camarões</v>
      </c>
      <c r="D62" s="29">
        <f>3*COUNTIF(L62:N62,"V")+COUNTIF(L62:N62,"E")</f>
        <v>4</v>
      </c>
      <c r="E62" s="29">
        <f>Palpites!F60-Palpites!D60+Palpites!F62-Palpites!D62+Palpites!F63-Palpites!D63</f>
        <v>0</v>
      </c>
      <c r="F62" s="29">
        <f>Palpites!F60+Palpites!F62+Palpites!F63</f>
        <v>4</v>
      </c>
      <c r="G62" s="29">
        <f>COUNTIF(L62:N62,"V")</f>
        <v>1</v>
      </c>
      <c r="H62" s="29">
        <f>COUNTIF(L62:N62,"e")</f>
        <v>1</v>
      </c>
      <c r="I62" s="29">
        <f>COUNTIF(L62:N62,"D")</f>
        <v>1</v>
      </c>
      <c r="J62" s="29">
        <f>F62-E62</f>
        <v>4</v>
      </c>
      <c r="K62" s="29">
        <v>1</v>
      </c>
      <c r="L62" s="29" t="str">
        <f>IF(OR(Palpites!F60="",Palpites!D60=""),0,IF(Palpites!F60&gt;Palpites!D60,"V",IF(Palpites!F60=Palpites!D60,"E",IF(Palpites!F60&lt;Palpites!D60,"D"))))</f>
        <v>E</v>
      </c>
      <c r="M62" s="29" t="str">
        <f>IF(OR(Palpites!F62="",Palpites!D62=""),0,IF(Palpites!F62&gt;Palpites!D62,"V",IF(Palpites!F62=Palpites!D62,"E",IF(Palpites!F62&lt;Palpites!D62,"D"))))</f>
        <v>V</v>
      </c>
      <c r="N62" s="29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 spans="1:14" x14ac:dyDescent="0.3">
      <c r="A67" s="29" t="s">
        <v>103</v>
      </c>
      <c r="B67" s="29" t="s">
        <v>104</v>
      </c>
      <c r="C67" s="29" t="s">
        <v>105</v>
      </c>
      <c r="D67" s="29" t="s">
        <v>106</v>
      </c>
      <c r="E67" s="29" t="s">
        <v>66</v>
      </c>
      <c r="F67" s="29" t="s">
        <v>64</v>
      </c>
      <c r="G67" s="29" t="s">
        <v>61</v>
      </c>
      <c r="H67" s="29" t="s">
        <v>62</v>
      </c>
      <c r="I67" s="29" t="s">
        <v>63</v>
      </c>
      <c r="J67" s="29" t="s">
        <v>65</v>
      </c>
      <c r="K67" s="29" t="s">
        <v>107</v>
      </c>
      <c r="L67" s="29" t="s">
        <v>108</v>
      </c>
      <c r="M67" s="29" t="s">
        <v>109</v>
      </c>
      <c r="N67" s="29" t="s">
        <v>110</v>
      </c>
    </row>
    <row r="68" spans="1:14" x14ac:dyDescent="0.3">
      <c r="A68" s="29">
        <f>100000000*D68+100000*E68+1000*F68+K68*10</f>
        <v>700305040</v>
      </c>
      <c r="B68" s="29">
        <f>RANK(A68,$A$68:$A$71)</f>
        <v>2</v>
      </c>
      <c r="C68" s="29" t="str">
        <f>Palpites!B68</f>
        <v>Portugal</v>
      </c>
      <c r="D68" s="29">
        <f>3*COUNTIF(L68:N68,"V")+COUNTIF(L68:N68,"E")</f>
        <v>7</v>
      </c>
      <c r="E68" s="29">
        <f>Palpites!D68-Palpites!F68+Palpites!D70-Palpites!F70+Palpites!D72-Palpites!F72</f>
        <v>3</v>
      </c>
      <c r="F68" s="29">
        <f>Palpites!D68+Palpites!D70+Palpites!D72</f>
        <v>5</v>
      </c>
      <c r="G68" s="29">
        <f>COUNTIF(L68:N68,"V")</f>
        <v>2</v>
      </c>
      <c r="H68" s="29">
        <f>COUNTIF(L68:N68,"e")</f>
        <v>1</v>
      </c>
      <c r="I68" s="29">
        <f>COUNTIF(L68:N68,"D")</f>
        <v>0</v>
      </c>
      <c r="J68" s="29">
        <f>F68-E68</f>
        <v>2</v>
      </c>
      <c r="K68" s="29">
        <v>4</v>
      </c>
      <c r="L68" s="29" t="str">
        <f>IF(OR(Palpites!D68="",Palpites!F68=""),0,IF(Palpites!D68&gt;Palpites!F68,"V",IF(Palpites!D68=Palpites!F68,"E",IF(Palpites!D68&lt;Palpites!F68,"D"))))</f>
        <v>V</v>
      </c>
      <c r="M68" s="29" t="str">
        <f>IF(OR(Palpites!D70="",Palpites!F70=""),0,IF(Palpites!D70&gt;Palpites!F70,"V",IF(Palpites!D70=Palpites!F70,"E",IF(Palpites!D70&lt;Palpites!F70,"D"))))</f>
        <v>E</v>
      </c>
      <c r="N68" s="29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29">
        <f>100000000*D69+100000*E69+1000*F69+K69*10</f>
        <v>700307030</v>
      </c>
      <c r="B69" s="29">
        <f>RANK(A69,$A$68:$A$71)</f>
        <v>1</v>
      </c>
      <c r="C69" s="29" t="str">
        <f>Palpites!B69</f>
        <v>Uruguai</v>
      </c>
      <c r="D69" s="29">
        <f>3*COUNTIF(L69:N69,"V")+COUNTIF(L69:N69,"E")</f>
        <v>7</v>
      </c>
      <c r="E69" s="29">
        <f>Palpites!D69-Palpites!F69+Palpites!F70-Palpites!D70+Palpites!F73-Palpites!D73</f>
        <v>3</v>
      </c>
      <c r="F69" s="29">
        <f>Palpites!D69+Palpites!F70+Palpites!F73</f>
        <v>7</v>
      </c>
      <c r="G69" s="29">
        <f>COUNTIF(L69:N69,"V")</f>
        <v>2</v>
      </c>
      <c r="H69" s="29">
        <f>COUNTIF(L69:N69,"e")</f>
        <v>1</v>
      </c>
      <c r="I69" s="29">
        <f>COUNTIF(L69:N69,"D")</f>
        <v>0</v>
      </c>
      <c r="J69" s="29">
        <f>F69-E69</f>
        <v>4</v>
      </c>
      <c r="K69" s="29">
        <v>3</v>
      </c>
      <c r="L69" s="29" t="str">
        <f>IF(OR(Palpites!D69="",Palpites!F69=""),0,IF(Palpites!D69&gt;Palpites!F69,"V",IF(Palpites!D69=Palpites!F69,"E",IF(Palpites!D69&lt;Palpites!F69,"D"))))</f>
        <v>V</v>
      </c>
      <c r="M69" s="29" t="str">
        <f>IF(OR(Palpites!F70="",Palpites!D70=""),0,IF(Palpites!F70&gt;Palpites!D70,"V",IF(Palpites!F70=Palpites!D70,"E",IF(Palpites!F70&lt;Palpites!D70,"D"))))</f>
        <v>E</v>
      </c>
      <c r="N69" s="29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29">
        <f>100000000*D70+100000*E70+1000*F70+K70*10</f>
        <v>300004020</v>
      </c>
      <c r="B70" s="29">
        <f>RANK(A70,$A$68:$A$71)</f>
        <v>3</v>
      </c>
      <c r="C70" s="29" t="str">
        <f>Palpites!G68</f>
        <v>Gana</v>
      </c>
      <c r="D70" s="29">
        <f>3*COUNTIF(L70:N70,"V")+COUNTIF(L70:N70,"E")</f>
        <v>3</v>
      </c>
      <c r="E70" s="29">
        <f>Palpites!F68-Palpites!D68+Palpites!D71-Palpites!F71+Palpites!D73-Palpites!F73</f>
        <v>0</v>
      </c>
      <c r="F70" s="29">
        <f>Palpites!F68+Palpites!D71+Palpites!D73</f>
        <v>4</v>
      </c>
      <c r="G70" s="29">
        <f>COUNTIF(L70:N70,"V")</f>
        <v>1</v>
      </c>
      <c r="H70" s="29">
        <f>COUNTIF(L70:N70,"e")</f>
        <v>0</v>
      </c>
      <c r="I70" s="29">
        <f>COUNTIF(L70:N70,"D")</f>
        <v>2</v>
      </c>
      <c r="J70" s="29">
        <f>F70-E70</f>
        <v>4</v>
      </c>
      <c r="K70" s="29">
        <v>2</v>
      </c>
      <c r="L70" s="29" t="str">
        <f>IF(OR(Palpites!F68="",Palpites!D68=""),0,IF(Palpites!F68&gt;Palpites!D68,"V",IF(Palpites!F68=Palpites!D68,"E",IF(Palpites!F68&lt;Palpites!D68,"D"))))</f>
        <v>D</v>
      </c>
      <c r="M70" s="29" t="str">
        <f>IF(OR(Palpites!D71="",Palpites!F71=""),0,IF(Palpites!D71&gt;Palpites!F71,"V",IF(Palpites!D71=Palpites!F71,"E",IF(Palpites!D71&lt;Palpites!F71,"D"))))</f>
        <v>V</v>
      </c>
      <c r="N70" s="29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29">
        <f>100000000*D71+100000*E71+1000*F71+K71*10</f>
        <v>-597990</v>
      </c>
      <c r="B71" s="29">
        <f>RANK(A71,$A$68:$A$71)</f>
        <v>4</v>
      </c>
      <c r="C71" s="29" t="str">
        <f>Palpites!G69</f>
        <v>Coréia do Sul</v>
      </c>
      <c r="D71" s="29">
        <f>3*COUNTIF(L71:N71,"V")+COUNTIF(L71:N71,"E")</f>
        <v>0</v>
      </c>
      <c r="E71" s="29">
        <f>Palpites!F69-Palpites!D69+Palpites!F71-Palpites!D71+Palpites!F72-Palpites!D72</f>
        <v>-6</v>
      </c>
      <c r="F71" s="29">
        <f>Palpites!F69+Palpites!F71+Palpites!F72</f>
        <v>2</v>
      </c>
      <c r="G71" s="29">
        <f>COUNTIF(L71:N71,"V")</f>
        <v>0</v>
      </c>
      <c r="H71" s="29">
        <f>COUNTIF(L71:N71,"e")</f>
        <v>0</v>
      </c>
      <c r="I71" s="29">
        <f>COUNTIF(L71:N71,"D")</f>
        <v>3</v>
      </c>
      <c r="J71" s="29">
        <f>F71-E71</f>
        <v>8</v>
      </c>
      <c r="K71" s="29">
        <v>1</v>
      </c>
      <c r="L71" s="29" t="str">
        <f>IF(OR(Palpites!F69="",Palpites!D69=""),0,IF(Palpites!F69&gt;Palpites!D69,"V",IF(Palpites!F69=Palpites!D69,"E",IF(Palpites!F69&lt;Palpites!D69,"D"))))</f>
        <v>D</v>
      </c>
      <c r="M71" s="29" t="str">
        <f>IF(OR(Palpites!F71="",Palpites!D71=""),0,IF(Palpites!F71&gt;Palpites!D71,"V",IF(Palpites!F71=Palpites!D71,"E",IF(Palpites!F71&lt;Palpites!D71,"D"))))</f>
        <v>D</v>
      </c>
      <c r="N71" s="29" t="str">
        <f>IF(OR(Palpites!F72="",Palpites!D72=""),0,IF(Palpites!F72&gt;Palpites!D72,"V",IF(Palpites!F72=Palpites!D72,"E",IF(Palpites!F72&lt;Palpites!D72,"D"))))</f>
        <v>D</v>
      </c>
    </row>
  </sheetData>
  <mergeCells count="8">
    <mergeCell ref="C48:N48"/>
    <mergeCell ref="C57:N57"/>
    <mergeCell ref="C66:N66"/>
    <mergeCell ref="C3:N3"/>
    <mergeCell ref="C12:N12"/>
    <mergeCell ref="C21:N21"/>
    <mergeCell ref="C30:N30"/>
    <mergeCell ref="C39:N39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Filipe Bacci -X (fibacci - Manpower at Cisco)</cp:lastModifiedBy>
  <cp:revision>1</cp:revision>
  <dcterms:created xsi:type="dcterms:W3CDTF">2022-03-29T20:00:23Z</dcterms:created>
  <dcterms:modified xsi:type="dcterms:W3CDTF">2022-11-18T13:28:16Z</dcterms:modified>
  <dc:language>pt-BR</dc:language>
</cp:coreProperties>
</file>