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Users\fibacci\Documents\Filipe\BOLAO 2022\Bolão participantes\"/>
    </mc:Choice>
  </mc:AlternateContent>
  <xr:revisionPtr revIDLastSave="0" documentId="8_{8C48C63A-17ED-495E-81EF-0C406E1D7955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Bolão" sheetId="6" r:id="rId1"/>
    <sheet name="Palpites" sheetId="1" r:id="rId2"/>
    <sheet name="Planilha1" sheetId="3" state="hidden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6" i="1" l="1"/>
  <c r="I8" i="1"/>
  <c r="T21" i="3"/>
  <c r="S21" i="3"/>
  <c r="AJ26" i="1" s="1"/>
  <c r="T19" i="3"/>
  <c r="T18" i="3"/>
  <c r="S19" i="3"/>
  <c r="S18" i="3"/>
  <c r="T16" i="3"/>
  <c r="T15" i="3"/>
  <c r="T14" i="3"/>
  <c r="T13" i="3"/>
  <c r="S16" i="3"/>
  <c r="S15" i="3"/>
  <c r="S14" i="3"/>
  <c r="S13" i="3"/>
  <c r="I69" i="1"/>
  <c r="I73" i="1"/>
  <c r="I72" i="1"/>
  <c r="I71" i="1"/>
  <c r="I70" i="1"/>
  <c r="I68" i="1"/>
  <c r="I64" i="1"/>
  <c r="I63" i="1"/>
  <c r="I62" i="1"/>
  <c r="I61" i="1"/>
  <c r="I60" i="1"/>
  <c r="I59" i="1"/>
  <c r="I55" i="1"/>
  <c r="I54" i="1"/>
  <c r="I53" i="1"/>
  <c r="I52" i="1"/>
  <c r="I51" i="1"/>
  <c r="I50" i="1"/>
  <c r="I45" i="1"/>
  <c r="I44" i="1"/>
  <c r="I43" i="1"/>
  <c r="I42" i="1"/>
  <c r="I41" i="1"/>
  <c r="I37" i="1"/>
  <c r="I36" i="1"/>
  <c r="I35" i="1"/>
  <c r="I34" i="1"/>
  <c r="I33" i="1"/>
  <c r="I32" i="1"/>
  <c r="I28" i="1"/>
  <c r="I27" i="1"/>
  <c r="I26" i="1"/>
  <c r="I25" i="1"/>
  <c r="I24" i="1"/>
  <c r="I23" i="1"/>
  <c r="I19" i="1"/>
  <c r="I18" i="1"/>
  <c r="I17" i="1"/>
  <c r="I16" i="1"/>
  <c r="I15" i="1"/>
  <c r="I14" i="1"/>
  <c r="I10" i="1"/>
  <c r="I9" i="1"/>
  <c r="I7" i="1"/>
  <c r="I6" i="1"/>
  <c r="I5" i="1"/>
  <c r="L5" i="3"/>
  <c r="N71" i="3"/>
  <c r="M71" i="3"/>
  <c r="L71" i="3"/>
  <c r="F71" i="3"/>
  <c r="E71" i="3"/>
  <c r="C71" i="3"/>
  <c r="N70" i="3"/>
  <c r="M70" i="3"/>
  <c r="L70" i="3"/>
  <c r="F70" i="3"/>
  <c r="E70" i="3"/>
  <c r="C70" i="3"/>
  <c r="N69" i="3"/>
  <c r="M69" i="3"/>
  <c r="L69" i="3"/>
  <c r="F69" i="3"/>
  <c r="E69" i="3"/>
  <c r="C69" i="3"/>
  <c r="N68" i="3"/>
  <c r="M68" i="3"/>
  <c r="L68" i="3"/>
  <c r="F68" i="3"/>
  <c r="E68" i="3"/>
  <c r="C68" i="3"/>
  <c r="N62" i="3"/>
  <c r="M62" i="3"/>
  <c r="L62" i="3"/>
  <c r="F62" i="3"/>
  <c r="E62" i="3"/>
  <c r="C62" i="3"/>
  <c r="N61" i="3"/>
  <c r="M61" i="3"/>
  <c r="L61" i="3"/>
  <c r="F61" i="3"/>
  <c r="E61" i="3"/>
  <c r="C61" i="3"/>
  <c r="N60" i="3"/>
  <c r="M60" i="3"/>
  <c r="L60" i="3"/>
  <c r="F60" i="3"/>
  <c r="E60" i="3"/>
  <c r="C60" i="3"/>
  <c r="N59" i="3"/>
  <c r="M59" i="3"/>
  <c r="L59" i="3"/>
  <c r="F59" i="3"/>
  <c r="E59" i="3"/>
  <c r="C59" i="3"/>
  <c r="N53" i="3"/>
  <c r="M53" i="3"/>
  <c r="L53" i="3"/>
  <c r="F53" i="3"/>
  <c r="E53" i="3"/>
  <c r="C53" i="3"/>
  <c r="N52" i="3"/>
  <c r="M52" i="3"/>
  <c r="L52" i="3"/>
  <c r="F52" i="3"/>
  <c r="E52" i="3"/>
  <c r="C52" i="3"/>
  <c r="N51" i="3"/>
  <c r="M51" i="3"/>
  <c r="L51" i="3"/>
  <c r="F51" i="3"/>
  <c r="E51" i="3"/>
  <c r="C51" i="3"/>
  <c r="N50" i="3"/>
  <c r="M50" i="3"/>
  <c r="L50" i="3"/>
  <c r="F50" i="3"/>
  <c r="E50" i="3"/>
  <c r="C50" i="3"/>
  <c r="N44" i="3"/>
  <c r="M44" i="3"/>
  <c r="L44" i="3"/>
  <c r="F44" i="3"/>
  <c r="E44" i="3"/>
  <c r="C44" i="3"/>
  <c r="N43" i="3"/>
  <c r="M43" i="3"/>
  <c r="L43" i="3"/>
  <c r="F43" i="3"/>
  <c r="E43" i="3"/>
  <c r="C43" i="3"/>
  <c r="N42" i="3"/>
  <c r="M42" i="3"/>
  <c r="L42" i="3"/>
  <c r="F42" i="3"/>
  <c r="E42" i="3"/>
  <c r="C42" i="3"/>
  <c r="N41" i="3"/>
  <c r="M41" i="3"/>
  <c r="L41" i="3"/>
  <c r="F41" i="3"/>
  <c r="E41" i="3"/>
  <c r="C41" i="3"/>
  <c r="N35" i="3"/>
  <c r="M35" i="3"/>
  <c r="L35" i="3"/>
  <c r="F35" i="3"/>
  <c r="E35" i="3"/>
  <c r="C35" i="3"/>
  <c r="N34" i="3"/>
  <c r="M34" i="3"/>
  <c r="L34" i="3"/>
  <c r="F34" i="3"/>
  <c r="E34" i="3"/>
  <c r="C34" i="3"/>
  <c r="N33" i="3"/>
  <c r="M33" i="3"/>
  <c r="L33" i="3"/>
  <c r="F33" i="3"/>
  <c r="E33" i="3"/>
  <c r="C33" i="3"/>
  <c r="N32" i="3"/>
  <c r="M32" i="3"/>
  <c r="L32" i="3"/>
  <c r="F32" i="3"/>
  <c r="E32" i="3"/>
  <c r="C32" i="3"/>
  <c r="N26" i="3"/>
  <c r="M26" i="3"/>
  <c r="L26" i="3"/>
  <c r="F26" i="3"/>
  <c r="E26" i="3"/>
  <c r="C26" i="3"/>
  <c r="N25" i="3"/>
  <c r="M25" i="3"/>
  <c r="L25" i="3"/>
  <c r="F25" i="3"/>
  <c r="E25" i="3"/>
  <c r="C25" i="3"/>
  <c r="N24" i="3"/>
  <c r="M24" i="3"/>
  <c r="L24" i="3"/>
  <c r="F24" i="3"/>
  <c r="E24" i="3"/>
  <c r="C24" i="3"/>
  <c r="N23" i="3"/>
  <c r="M23" i="3"/>
  <c r="L23" i="3"/>
  <c r="F23" i="3"/>
  <c r="E23" i="3"/>
  <c r="C23" i="3"/>
  <c r="N17" i="3"/>
  <c r="M17" i="3"/>
  <c r="L17" i="3"/>
  <c r="N16" i="3"/>
  <c r="M16" i="3"/>
  <c r="L16" i="3"/>
  <c r="N15" i="3"/>
  <c r="M15" i="3"/>
  <c r="L15" i="3"/>
  <c r="N14" i="3"/>
  <c r="M14" i="3"/>
  <c r="L14" i="3"/>
  <c r="N6" i="3"/>
  <c r="M6" i="3"/>
  <c r="N8" i="3"/>
  <c r="M8" i="3"/>
  <c r="L8" i="3"/>
  <c r="N7" i="3"/>
  <c r="M7" i="3"/>
  <c r="L7" i="3"/>
  <c r="N5" i="3"/>
  <c r="L6" i="3"/>
  <c r="M5" i="3"/>
  <c r="F17" i="3"/>
  <c r="F16" i="3"/>
  <c r="F15" i="3"/>
  <c r="F14" i="3"/>
  <c r="E17" i="3"/>
  <c r="E16" i="3"/>
  <c r="E15" i="3"/>
  <c r="E14" i="3"/>
  <c r="F8" i="3"/>
  <c r="E8" i="3"/>
  <c r="F7" i="3"/>
  <c r="E7" i="3"/>
  <c r="F6" i="3"/>
  <c r="E6" i="3"/>
  <c r="F5" i="3"/>
  <c r="E5" i="3"/>
  <c r="D5" i="3" l="1"/>
  <c r="A5" i="3" s="1"/>
  <c r="D6" i="3"/>
  <c r="A6" i="3" s="1"/>
  <c r="W21" i="3"/>
  <c r="V21" i="3"/>
  <c r="H71" i="3"/>
  <c r="J51" i="3"/>
  <c r="D32" i="3"/>
  <c r="A32" i="3" s="1"/>
  <c r="D41" i="3"/>
  <c r="A41" i="3" s="1"/>
  <c r="H34" i="3"/>
  <c r="I17" i="3"/>
  <c r="J43" i="3"/>
  <c r="J61" i="3"/>
  <c r="H62" i="3"/>
  <c r="J33" i="3"/>
  <c r="G33" i="3"/>
  <c r="I42" i="3"/>
  <c r="J50" i="3"/>
  <c r="I51" i="3"/>
  <c r="I60" i="3"/>
  <c r="H69" i="3"/>
  <c r="I25" i="3"/>
  <c r="D26" i="3"/>
  <c r="A26" i="3" s="1"/>
  <c r="I41" i="3"/>
  <c r="G42" i="3"/>
  <c r="I50" i="3"/>
  <c r="J24" i="3"/>
  <c r="J44" i="3"/>
  <c r="D50" i="3"/>
  <c r="A50" i="3" s="1"/>
  <c r="J53" i="3"/>
  <c r="J32" i="3"/>
  <c r="G53" i="3"/>
  <c r="G62" i="3"/>
  <c r="G34" i="3"/>
  <c r="I44" i="3"/>
  <c r="H53" i="3"/>
  <c r="G23" i="3"/>
  <c r="I32" i="3"/>
  <c r="I33" i="3"/>
  <c r="I52" i="3"/>
  <c r="G61" i="3"/>
  <c r="I62" i="3"/>
  <c r="I71" i="3"/>
  <c r="J25" i="3"/>
  <c r="J60" i="3"/>
  <c r="H59" i="3"/>
  <c r="D60" i="3"/>
  <c r="A60" i="3" s="1"/>
  <c r="D62" i="3"/>
  <c r="A62" i="3" s="1"/>
  <c r="D59" i="3"/>
  <c r="A59" i="3" s="1"/>
  <c r="H61" i="3"/>
  <c r="J62" i="3"/>
  <c r="J59" i="3"/>
  <c r="G59" i="3"/>
  <c r="D53" i="3"/>
  <c r="A53" i="3" s="1"/>
  <c r="H52" i="3"/>
  <c r="G52" i="3"/>
  <c r="I53" i="3"/>
  <c r="J52" i="3"/>
  <c r="G41" i="3"/>
  <c r="H41" i="3"/>
  <c r="J42" i="3"/>
  <c r="J41" i="3"/>
  <c r="G43" i="3"/>
  <c r="D44" i="3"/>
  <c r="A44" i="3" s="1"/>
  <c r="J34" i="3"/>
  <c r="D34" i="3"/>
  <c r="A34" i="3" s="1"/>
  <c r="H32" i="3"/>
  <c r="J35" i="3"/>
  <c r="D35" i="3"/>
  <c r="A35" i="3" s="1"/>
  <c r="J26" i="3"/>
  <c r="I24" i="3"/>
  <c r="D25" i="3"/>
  <c r="A25" i="3" s="1"/>
  <c r="J23" i="3"/>
  <c r="G25" i="3"/>
  <c r="H24" i="3"/>
  <c r="H25" i="3"/>
  <c r="J69" i="3"/>
  <c r="D68" i="3"/>
  <c r="A68" i="3" s="1"/>
  <c r="D71" i="3"/>
  <c r="A71" i="3" s="1"/>
  <c r="G71" i="3"/>
  <c r="G70" i="3"/>
  <c r="J70" i="3"/>
  <c r="J71" i="3"/>
  <c r="H70" i="3"/>
  <c r="J68" i="3"/>
  <c r="I68" i="3"/>
  <c r="I69" i="3"/>
  <c r="I70" i="3"/>
  <c r="D69" i="3"/>
  <c r="A69" i="3" s="1"/>
  <c r="G68" i="3"/>
  <c r="H68" i="3"/>
  <c r="D70" i="3"/>
  <c r="A70" i="3" s="1"/>
  <c r="G69" i="3"/>
  <c r="I61" i="3"/>
  <c r="D61" i="3"/>
  <c r="A61" i="3" s="1"/>
  <c r="I59" i="3"/>
  <c r="G60" i="3"/>
  <c r="H60" i="3"/>
  <c r="D51" i="3"/>
  <c r="A51" i="3" s="1"/>
  <c r="H50" i="3"/>
  <c r="D52" i="3"/>
  <c r="A52" i="3" s="1"/>
  <c r="G50" i="3"/>
  <c r="G51" i="3"/>
  <c r="H51" i="3"/>
  <c r="H43" i="3"/>
  <c r="I43" i="3"/>
  <c r="G44" i="3"/>
  <c r="D42" i="3"/>
  <c r="A42" i="3" s="1"/>
  <c r="H44" i="3"/>
  <c r="D43" i="3"/>
  <c r="A43" i="3" s="1"/>
  <c r="H42" i="3"/>
  <c r="I34" i="3"/>
  <c r="G35" i="3"/>
  <c r="D33" i="3"/>
  <c r="A33" i="3" s="1"/>
  <c r="H35" i="3"/>
  <c r="G32" i="3"/>
  <c r="I35" i="3"/>
  <c r="H33" i="3"/>
  <c r="D23" i="3"/>
  <c r="A23" i="3" s="1"/>
  <c r="G26" i="3"/>
  <c r="D24" i="3"/>
  <c r="A24" i="3" s="1"/>
  <c r="H26" i="3"/>
  <c r="I26" i="3"/>
  <c r="H23" i="3"/>
  <c r="I23" i="3"/>
  <c r="G24" i="3"/>
  <c r="H7" i="3"/>
  <c r="G8" i="3"/>
  <c r="I16" i="3"/>
  <c r="H15" i="3"/>
  <c r="D8" i="3"/>
  <c r="A8" i="3" s="1"/>
  <c r="I14" i="3"/>
  <c r="D16" i="3"/>
  <c r="A16" i="3" s="1"/>
  <c r="H6" i="3"/>
  <c r="D14" i="3"/>
  <c r="A14" i="3" s="1"/>
  <c r="H16" i="3"/>
  <c r="I15" i="3"/>
  <c r="H5" i="3"/>
  <c r="D17" i="3"/>
  <c r="A17" i="3" s="1"/>
  <c r="G16" i="3"/>
  <c r="G14" i="3"/>
  <c r="G6" i="3"/>
  <c r="H14" i="3"/>
  <c r="G17" i="3"/>
  <c r="I6" i="3"/>
  <c r="H17" i="3"/>
  <c r="I7" i="3"/>
  <c r="G15" i="3"/>
  <c r="D15" i="3"/>
  <c r="A15" i="3" s="1"/>
  <c r="H8" i="3"/>
  <c r="I8" i="3"/>
  <c r="G7" i="3"/>
  <c r="G5" i="3"/>
  <c r="D7" i="3"/>
  <c r="A7" i="3" s="1"/>
  <c r="I5" i="3"/>
  <c r="C17" i="3"/>
  <c r="C16" i="3"/>
  <c r="C15" i="3"/>
  <c r="C14" i="3"/>
  <c r="C8" i="3"/>
  <c r="C7" i="3"/>
  <c r="C6" i="3"/>
  <c r="C5" i="3"/>
  <c r="B70" i="3" l="1"/>
  <c r="B71" i="3"/>
  <c r="B69" i="3"/>
  <c r="B68" i="3"/>
  <c r="B61" i="3"/>
  <c r="B62" i="3"/>
  <c r="B60" i="3"/>
  <c r="B59" i="3"/>
  <c r="B52" i="3"/>
  <c r="B53" i="3"/>
  <c r="B51" i="3"/>
  <c r="B50" i="3"/>
  <c r="B43" i="3"/>
  <c r="B44" i="3"/>
  <c r="B41" i="3"/>
  <c r="B42" i="3"/>
  <c r="B34" i="3"/>
  <c r="B35" i="3"/>
  <c r="B33" i="3"/>
  <c r="B32" i="3"/>
  <c r="B25" i="3"/>
  <c r="B26" i="3"/>
  <c r="B24" i="3"/>
  <c r="B23" i="3"/>
  <c r="B16" i="3"/>
  <c r="B17" i="3"/>
  <c r="B15" i="3"/>
  <c r="B14" i="3"/>
  <c r="B7" i="3"/>
  <c r="B8" i="3"/>
  <c r="B6" i="3"/>
  <c r="B5" i="3"/>
  <c r="J16" i="3"/>
  <c r="J14" i="3"/>
  <c r="J17" i="3"/>
  <c r="J15" i="3"/>
  <c r="J8" i="3"/>
  <c r="J5" i="3"/>
  <c r="J6" i="3"/>
  <c r="J7" i="3"/>
  <c r="Q73" i="1" l="1"/>
  <c r="M73" i="1"/>
  <c r="Q72" i="1"/>
  <c r="M72" i="1"/>
  <c r="Q71" i="1"/>
  <c r="M71" i="1"/>
  <c r="Q70" i="1"/>
  <c r="M70" i="1"/>
  <c r="P73" i="1"/>
  <c r="L73" i="1"/>
  <c r="P72" i="1"/>
  <c r="L72" i="1"/>
  <c r="P71" i="1"/>
  <c r="L71" i="1"/>
  <c r="P70" i="1"/>
  <c r="L70" i="1"/>
  <c r="O73" i="1"/>
  <c r="K73" i="1"/>
  <c r="O72" i="1"/>
  <c r="K72" i="1"/>
  <c r="O71" i="1"/>
  <c r="K71" i="1"/>
  <c r="O70" i="1"/>
  <c r="K70" i="1"/>
  <c r="N73" i="1"/>
  <c r="J73" i="1"/>
  <c r="N72" i="1"/>
  <c r="J72" i="1"/>
  <c r="N71" i="1"/>
  <c r="J71" i="1"/>
  <c r="N70" i="1"/>
  <c r="J70" i="1"/>
  <c r="Q64" i="1"/>
  <c r="M64" i="1"/>
  <c r="Q63" i="1"/>
  <c r="M63" i="1"/>
  <c r="Q62" i="1"/>
  <c r="M62" i="1"/>
  <c r="Q61" i="1"/>
  <c r="M61" i="1"/>
  <c r="K64" i="1"/>
  <c r="O63" i="1"/>
  <c r="O62" i="1"/>
  <c r="O61" i="1"/>
  <c r="J64" i="1"/>
  <c r="J63" i="1"/>
  <c r="J62" i="1"/>
  <c r="J61" i="1"/>
  <c r="P64" i="1"/>
  <c r="L64" i="1"/>
  <c r="P63" i="1"/>
  <c r="L63" i="1"/>
  <c r="P62" i="1"/>
  <c r="L62" i="1"/>
  <c r="P61" i="1"/>
  <c r="L61" i="1"/>
  <c r="O64" i="1"/>
  <c r="K63" i="1"/>
  <c r="K62" i="1"/>
  <c r="K61" i="1"/>
  <c r="N64" i="1"/>
  <c r="N63" i="1"/>
  <c r="N62" i="1"/>
  <c r="N61" i="1"/>
  <c r="Q55" i="1"/>
  <c r="M55" i="1"/>
  <c r="Q54" i="1"/>
  <c r="M54" i="1"/>
  <c r="Q53" i="1"/>
  <c r="M53" i="1"/>
  <c r="Q52" i="1"/>
  <c r="M52" i="1"/>
  <c r="L55" i="1"/>
  <c r="L54" i="1"/>
  <c r="L53" i="1"/>
  <c r="L52" i="1"/>
  <c r="O54" i="1"/>
  <c r="O53" i="1"/>
  <c r="O52" i="1"/>
  <c r="P55" i="1"/>
  <c r="O55" i="1"/>
  <c r="N55" i="1"/>
  <c r="J55" i="1"/>
  <c r="N54" i="1"/>
  <c r="J54" i="1"/>
  <c r="N53" i="1"/>
  <c r="J53" i="1"/>
  <c r="N52" i="1"/>
  <c r="J52" i="1"/>
  <c r="P54" i="1"/>
  <c r="P53" i="1"/>
  <c r="P52" i="1"/>
  <c r="K55" i="1"/>
  <c r="K54" i="1"/>
  <c r="K53" i="1"/>
  <c r="K52" i="1"/>
  <c r="Q46" i="1"/>
  <c r="M46" i="1"/>
  <c r="Q45" i="1"/>
  <c r="M45" i="1"/>
  <c r="Q44" i="1"/>
  <c r="M44" i="1"/>
  <c r="Q43" i="1"/>
  <c r="M43" i="1"/>
  <c r="N45" i="1"/>
  <c r="N44" i="1"/>
  <c r="J43" i="1"/>
  <c r="P46" i="1"/>
  <c r="L46" i="1"/>
  <c r="P45" i="1"/>
  <c r="L45" i="1"/>
  <c r="P44" i="1"/>
  <c r="L44" i="1"/>
  <c r="P43" i="1"/>
  <c r="L43" i="1"/>
  <c r="J46" i="1"/>
  <c r="J44" i="1"/>
  <c r="O46" i="1"/>
  <c r="K46" i="1"/>
  <c r="O45" i="1"/>
  <c r="K45" i="1"/>
  <c r="O44" i="1"/>
  <c r="K44" i="1"/>
  <c r="O43" i="1"/>
  <c r="K43" i="1"/>
  <c r="N46" i="1"/>
  <c r="J45" i="1"/>
  <c r="N43" i="1"/>
  <c r="Q37" i="1"/>
  <c r="M37" i="1"/>
  <c r="Q36" i="1"/>
  <c r="M36" i="1"/>
  <c r="Q35" i="1"/>
  <c r="M35" i="1"/>
  <c r="Q34" i="1"/>
  <c r="M34" i="1"/>
  <c r="J37" i="1"/>
  <c r="J36" i="1"/>
  <c r="N34" i="1"/>
  <c r="P37" i="1"/>
  <c r="L37" i="1"/>
  <c r="P36" i="1"/>
  <c r="L36" i="1"/>
  <c r="P35" i="1"/>
  <c r="L35" i="1"/>
  <c r="P34" i="1"/>
  <c r="L34" i="1"/>
  <c r="K34" i="1"/>
  <c r="N36" i="1"/>
  <c r="J35" i="1"/>
  <c r="O37" i="1"/>
  <c r="K37" i="1"/>
  <c r="O36" i="1"/>
  <c r="K36" i="1"/>
  <c r="O35" i="1"/>
  <c r="K35" i="1"/>
  <c r="O34" i="1"/>
  <c r="N37" i="1"/>
  <c r="N35" i="1"/>
  <c r="J34" i="1"/>
  <c r="Q28" i="1"/>
  <c r="M28" i="1"/>
  <c r="Q27" i="1"/>
  <c r="M27" i="1"/>
  <c r="Q26" i="1"/>
  <c r="M26" i="1"/>
  <c r="Q25" i="1"/>
  <c r="M25" i="1"/>
  <c r="N27" i="1"/>
  <c r="J26" i="1"/>
  <c r="P28" i="1"/>
  <c r="L28" i="1"/>
  <c r="P27" i="1"/>
  <c r="L27" i="1"/>
  <c r="P26" i="1"/>
  <c r="L26" i="1"/>
  <c r="P25" i="1"/>
  <c r="L25" i="1"/>
  <c r="N28" i="1"/>
  <c r="J27" i="1"/>
  <c r="N25" i="1"/>
  <c r="O28" i="1"/>
  <c r="K28" i="1"/>
  <c r="O27" i="1"/>
  <c r="K27" i="1"/>
  <c r="O26" i="1"/>
  <c r="K26" i="1"/>
  <c r="O25" i="1"/>
  <c r="K25" i="1"/>
  <c r="J28" i="1"/>
  <c r="N26" i="1"/>
  <c r="J25" i="1"/>
  <c r="Q19" i="1"/>
  <c r="P19" i="1"/>
  <c r="L19" i="1"/>
  <c r="L17" i="1"/>
  <c r="O19" i="1"/>
  <c r="K19" i="1"/>
  <c r="O18" i="1"/>
  <c r="K18" i="1"/>
  <c r="O17" i="1"/>
  <c r="K17" i="1"/>
  <c r="O16" i="1"/>
  <c r="K16" i="1"/>
  <c r="M19" i="1"/>
  <c r="Q17" i="1"/>
  <c r="Q16" i="1"/>
  <c r="P18" i="1"/>
  <c r="P17" i="1"/>
  <c r="L16" i="1"/>
  <c r="N19" i="1"/>
  <c r="J19" i="1"/>
  <c r="N18" i="1"/>
  <c r="J18" i="1"/>
  <c r="N17" i="1"/>
  <c r="J17" i="1"/>
  <c r="N16" i="1"/>
  <c r="J16" i="1"/>
  <c r="Q18" i="1"/>
  <c r="M18" i="1"/>
  <c r="M17" i="1"/>
  <c r="M16" i="1"/>
  <c r="L18" i="1"/>
  <c r="P16" i="1"/>
  <c r="Q10" i="1"/>
  <c r="M10" i="1"/>
  <c r="L8" i="1"/>
  <c r="N10" i="1"/>
  <c r="L7" i="1"/>
  <c r="Q9" i="1"/>
  <c r="M9" i="1"/>
  <c r="M8" i="1"/>
  <c r="L10" i="1"/>
  <c r="L9" i="1"/>
  <c r="Q7" i="1"/>
  <c r="N7" i="1"/>
  <c r="N8" i="1"/>
  <c r="Q8" i="1"/>
  <c r="P10" i="1"/>
  <c r="P9" i="1"/>
  <c r="P8" i="1"/>
  <c r="O10" i="1"/>
  <c r="O7" i="1"/>
  <c r="M7" i="1"/>
  <c r="O9" i="1"/>
  <c r="P7" i="1"/>
  <c r="O8" i="1"/>
  <c r="N9" i="1"/>
  <c r="K10" i="1"/>
  <c r="K9" i="1"/>
  <c r="J8" i="1"/>
  <c r="K8" i="1"/>
  <c r="K7" i="1"/>
  <c r="J10" i="1"/>
  <c r="J9" i="1"/>
  <c r="J7" i="1"/>
  <c r="AZ31" i="1" l="1"/>
  <c r="T10" i="3" s="1"/>
  <c r="AZ33" i="1"/>
  <c r="T11" i="3" s="1"/>
  <c r="AZ22" i="1"/>
  <c r="T8" i="3" s="1"/>
  <c r="AZ24" i="1"/>
  <c r="T9" i="3" s="1"/>
  <c r="AZ15" i="1"/>
  <c r="T6" i="3" s="1"/>
  <c r="AZ17" i="1"/>
  <c r="T7" i="3" s="1"/>
  <c r="U31" i="1"/>
  <c r="S10" i="3" s="1"/>
  <c r="U17" i="1"/>
  <c r="S7" i="3" s="1"/>
  <c r="U22" i="1"/>
  <c r="S8" i="3" s="1"/>
  <c r="U15" i="1"/>
  <c r="S6" i="3" s="1"/>
  <c r="U33" i="1"/>
  <c r="S11" i="3" s="1"/>
  <c r="U24" i="1"/>
  <c r="S9" i="3" s="1"/>
  <c r="AZ6" i="1" l="1"/>
  <c r="T4" i="3" s="1"/>
  <c r="AZ8" i="1"/>
  <c r="T5" i="3" s="1"/>
  <c r="U8" i="1"/>
  <c r="S5" i="3" s="1"/>
  <c r="U6" i="1"/>
  <c r="S4" i="3" l="1"/>
</calcChain>
</file>

<file path=xl/sharedStrings.xml><?xml version="1.0" encoding="utf-8"?>
<sst xmlns="http://schemas.openxmlformats.org/spreadsheetml/2006/main" count="423" uniqueCount="111">
  <si>
    <t>França</t>
  </si>
  <si>
    <t>Brasil</t>
  </si>
  <si>
    <t>Japão</t>
  </si>
  <si>
    <t>México</t>
  </si>
  <si>
    <t>SG</t>
  </si>
  <si>
    <t>GP</t>
  </si>
  <si>
    <t>PTS</t>
  </si>
  <si>
    <t>País</t>
  </si>
  <si>
    <t>Data</t>
  </si>
  <si>
    <t>Grupo A</t>
  </si>
  <si>
    <t>Qatar</t>
  </si>
  <si>
    <t>x</t>
  </si>
  <si>
    <t>Uruguai</t>
  </si>
  <si>
    <t>Marrocos</t>
  </si>
  <si>
    <t>PT</t>
  </si>
  <si>
    <t>V</t>
  </si>
  <si>
    <t>E</t>
  </si>
  <si>
    <t>D</t>
  </si>
  <si>
    <t>GC</t>
  </si>
  <si>
    <t>Grupo B</t>
  </si>
  <si>
    <t>Holanda</t>
  </si>
  <si>
    <t>Camarões</t>
  </si>
  <si>
    <t>Senegal</t>
  </si>
  <si>
    <t>Equador</t>
  </si>
  <si>
    <t>Inglaterra</t>
  </si>
  <si>
    <t>EUA</t>
  </si>
  <si>
    <t>Irã</t>
  </si>
  <si>
    <t>País de Gales</t>
  </si>
  <si>
    <t>Grupo C</t>
  </si>
  <si>
    <t>Argentina</t>
  </si>
  <si>
    <t>Arábia Saudita</t>
  </si>
  <si>
    <t>Polônia</t>
  </si>
  <si>
    <t>Grupo D</t>
  </si>
  <si>
    <t>Dinamarca</t>
  </si>
  <si>
    <t>Tunísia</t>
  </si>
  <si>
    <t>J1</t>
  </si>
  <si>
    <t>J2</t>
  </si>
  <si>
    <t>J3</t>
  </si>
  <si>
    <t>Grupo E</t>
  </si>
  <si>
    <t>Grupo F</t>
  </si>
  <si>
    <t>Grupo G</t>
  </si>
  <si>
    <t>Grupo H</t>
  </si>
  <si>
    <t>Espanha</t>
  </si>
  <si>
    <t>Alemanha</t>
  </si>
  <si>
    <t>Costa Rica</t>
  </si>
  <si>
    <t>Bélgica</t>
  </si>
  <si>
    <t>Canadá</t>
  </si>
  <si>
    <t>Croácia</t>
  </si>
  <si>
    <t>Suíça</t>
  </si>
  <si>
    <t>Sérvia</t>
  </si>
  <si>
    <t>Portugal</t>
  </si>
  <si>
    <t>Gana</t>
  </si>
  <si>
    <t>Coréia do Sul</t>
  </si>
  <si>
    <t>Critérios</t>
  </si>
  <si>
    <t>Pontuação</t>
  </si>
  <si>
    <t>Exemplo</t>
  </si>
  <si>
    <t xml:space="preserve">25 pontos </t>
  </si>
  <si>
    <t>18 pontos</t>
  </si>
  <si>
    <t>Placar final do jogo 2x0, palpite no bolão 2x0</t>
  </si>
  <si>
    <t>Placar final do jogo 3x0, palpite no bolão 3x1</t>
  </si>
  <si>
    <t>Placar final do jogo 0x0, palpite no bolão 1x1</t>
  </si>
  <si>
    <t>Acertar o vencedor + o número de gols do time que perdeu</t>
  </si>
  <si>
    <t>12 pontos</t>
  </si>
  <si>
    <t>Placar final do jogo 2x0, palpite no bolão 1x0</t>
  </si>
  <si>
    <t>Acertar o vencedor apenas</t>
  </si>
  <si>
    <t>10 pontos</t>
  </si>
  <si>
    <t>Placar final do jogo 1x0, palpite no bolão 3x1</t>
  </si>
  <si>
    <t>BOLÃO COPA DO MUNDO 2022 QATAR 1ª FASE</t>
  </si>
  <si>
    <t>X</t>
  </si>
  <si>
    <t>-</t>
  </si>
  <si>
    <t>Austrália</t>
  </si>
  <si>
    <t>BOLÃO COPA DO MUNDO 2022 QATAR 2ª FASE</t>
  </si>
  <si>
    <t>Fase</t>
  </si>
  <si>
    <t>1ª Fase</t>
  </si>
  <si>
    <t>2ª Fase</t>
  </si>
  <si>
    <t>Acertar o campeão</t>
  </si>
  <si>
    <t xml:space="preserve">Acertar os classificados de cada fase </t>
  </si>
  <si>
    <t>Pix para participar:</t>
  </si>
  <si>
    <t>Premiação</t>
  </si>
  <si>
    <t>1º colocado</t>
  </si>
  <si>
    <t>2º colocado</t>
  </si>
  <si>
    <t>3º colocado</t>
  </si>
  <si>
    <t>10% do acumulado</t>
  </si>
  <si>
    <t>Acerta o vice-campeão</t>
  </si>
  <si>
    <t>15 pontos</t>
  </si>
  <si>
    <t>Bônus por seleção correta que avança em cada etapa (independente do lado do chaveamento)</t>
  </si>
  <si>
    <t>Acertar o placar correto</t>
  </si>
  <si>
    <t>Acertar o vencedor + o número de gols da equipe vencedora</t>
  </si>
  <si>
    <t xml:space="preserve">Acertar o empate </t>
  </si>
  <si>
    <t>Acertar o 3º colocado</t>
  </si>
  <si>
    <t>Pontuação do bolão</t>
  </si>
  <si>
    <t xml:space="preserve">10 pontos </t>
  </si>
  <si>
    <t>25 pontos</t>
  </si>
  <si>
    <t>Regras Gerais para participar do bolão</t>
  </si>
  <si>
    <t>25% do acumulado</t>
  </si>
  <si>
    <t>65% do acumulado</t>
  </si>
  <si>
    <r>
      <rPr>
        <b/>
        <sz val="11"/>
        <color theme="1"/>
        <rFont val="Calibri"/>
        <family val="2"/>
        <scheme val="minor"/>
      </rPr>
      <t>Critérios de desempate:</t>
    </r>
    <r>
      <rPr>
        <sz val="11"/>
        <color theme="1"/>
        <rFont val="Calibri"/>
        <family val="2"/>
        <scheme val="minor"/>
      </rPr>
      <t xml:space="preserve">
1º: Acertar o campeão
2º: Acertar o vice-campeão
3º: Acertar o 3º colocado
4º: Maior número de acerto de placar correto na 1ª Fase</t>
    </r>
  </si>
  <si>
    <t>3.1.1</t>
  </si>
  <si>
    <t>Persistindo o empate:</t>
  </si>
  <si>
    <t>3.1.2</t>
  </si>
  <si>
    <r>
      <rPr>
        <b/>
        <sz val="11"/>
        <color theme="1"/>
        <rFont val="Calibri"/>
        <family val="2"/>
        <scheme val="minor"/>
      </rPr>
      <t>Caso haja 3 ou mais vencedores em 1º lugar</t>
    </r>
    <r>
      <rPr>
        <sz val="11"/>
        <color theme="1"/>
        <rFont val="Calibri"/>
        <family val="2"/>
        <scheme val="minor"/>
      </rPr>
      <t>: O valor total da premiação será dividido igualmente entre os participantes.</t>
    </r>
  </si>
  <si>
    <t>3.1.3</t>
  </si>
  <si>
    <r>
      <t xml:space="preserve">Caso haja 2 ou mais participantes empatados em 2º lugar: </t>
    </r>
    <r>
      <rPr>
        <sz val="11"/>
        <color theme="1"/>
        <rFont val="Calibri"/>
        <family val="2"/>
        <scheme val="minor"/>
      </rPr>
      <t>Será adicionado a porcentagem do 3º lugar (10%) ao do 2º lugar (25%), esse valor total (35%) será divido igualmente entre os participantes</t>
    </r>
    <r>
      <rPr>
        <b/>
        <sz val="11"/>
        <color theme="1"/>
        <rFont val="Calibri"/>
        <family val="2"/>
        <scheme val="minor"/>
      </rPr>
      <t xml:space="preserve">. </t>
    </r>
    <r>
      <rPr>
        <sz val="11"/>
        <color theme="1"/>
        <rFont val="Calibri"/>
        <family val="2"/>
        <scheme val="minor"/>
      </rPr>
      <t>Nesse cenário premiariamos apenas o 1º lugar e os participantes empatados em 2º lugar</t>
    </r>
  </si>
  <si>
    <t>3.1.4</t>
  </si>
  <si>
    <r>
      <rPr>
        <b/>
        <sz val="11"/>
        <color theme="1"/>
        <rFont val="Calibri"/>
        <family val="2"/>
        <scheme val="minor"/>
      </rPr>
      <t xml:space="preserve">Caso haja 2 ou mais participantes empatados em 3º lugar: </t>
    </r>
    <r>
      <rPr>
        <sz val="11"/>
        <color theme="1"/>
        <rFont val="Calibri"/>
        <family val="2"/>
        <scheme val="minor"/>
      </rPr>
      <t>A premiação no valor de 10% será dividida igualmente entre os participantes</t>
    </r>
  </si>
  <si>
    <r>
      <rPr>
        <b/>
        <sz val="11"/>
        <color theme="1"/>
        <rFont val="Calibri"/>
        <family val="2"/>
        <scheme val="minor"/>
      </rPr>
      <t>Caso haja 2 participantes empatados em 1º lugar</t>
    </r>
    <r>
      <rPr>
        <sz val="11"/>
        <color theme="1"/>
        <rFont val="Calibri"/>
        <family val="2"/>
        <scheme val="minor"/>
      </rPr>
      <t>: Será adicionado a porcentagem do 2º lugar (25%) ao do 1º lugar (65%), esse valor total (90%) será dividido pelos 2 participantes. Nesse cenário o terceiro participante que ficou abaixo dos outros dois receberá 10% do valor total do prêmio</t>
    </r>
  </si>
  <si>
    <r>
      <t xml:space="preserve">O envio dos palpites deverá ser enviado até o dia </t>
    </r>
    <r>
      <rPr>
        <b/>
        <sz val="11"/>
        <color theme="1"/>
        <rFont val="Calibri"/>
        <family val="2"/>
        <scheme val="minor"/>
      </rPr>
      <t>19/11</t>
    </r>
  </si>
  <si>
    <r>
      <t xml:space="preserve">O pagamento do bolão no valor de </t>
    </r>
    <r>
      <rPr>
        <b/>
        <sz val="11"/>
        <color theme="1"/>
        <rFont val="Calibri"/>
        <family val="2"/>
        <scheme val="minor"/>
      </rPr>
      <t>R$ 100,00 (PIX acima)</t>
    </r>
    <r>
      <rPr>
        <sz val="11"/>
        <color theme="1"/>
        <rFont val="Calibri"/>
        <family val="2"/>
        <scheme val="minor"/>
      </rPr>
      <t xml:space="preserve"> deverá ser feito até o dia </t>
    </r>
    <r>
      <rPr>
        <b/>
        <sz val="11"/>
        <color theme="1"/>
        <rFont val="Calibri"/>
        <family val="2"/>
        <scheme val="minor"/>
      </rPr>
      <t>19/11;</t>
    </r>
    <r>
      <rPr>
        <sz val="11"/>
        <color theme="1"/>
        <rFont val="Calibri"/>
        <family val="2"/>
        <scheme val="minor"/>
      </rPr>
      <t xml:space="preserve"> enviar o comprovante para o meu whatsapp; palpites feitos após essa data não serão aceitos</t>
    </r>
  </si>
  <si>
    <t>Desempate</t>
  </si>
  <si>
    <t>Score</t>
  </si>
  <si>
    <t>Ordem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</si>
</sst>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6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7" tint="-0.249977111117893"/>
      <name val="Calibri"/>
      <family val="2"/>
      <scheme val="minor"/>
    </font>
    <font>
      <b/>
      <sz val="11"/>
      <color rgb="FFA40037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A40037"/>
        <bgColor indexed="64"/>
      </patternFill>
    </fill>
    <fill>
      <patternFill patternType="solid">
        <fgColor theme="1"/>
        <bgColor indexed="64"/>
      </patternFill>
    </fill>
  </fills>
  <borders count="56">
    <border>
      <left/>
      <right/>
      <top/>
      <bottom/>
      <diagonal/>
    </border>
    <border>
      <left style="thin">
        <color rgb="FF990033"/>
      </left>
      <right style="thin">
        <color rgb="FF990033"/>
      </right>
      <top style="thin">
        <color rgb="FF990033"/>
      </top>
      <bottom style="thin">
        <color rgb="FF990033"/>
      </bottom>
      <diagonal/>
    </border>
    <border>
      <left style="medium">
        <color rgb="FFA40037"/>
      </left>
      <right/>
      <top/>
      <bottom/>
      <diagonal/>
    </border>
    <border>
      <left/>
      <right/>
      <top style="medium">
        <color rgb="FFA40037"/>
      </top>
      <bottom/>
      <diagonal/>
    </border>
    <border>
      <left style="medium">
        <color rgb="FFA40037"/>
      </left>
      <right style="medium">
        <color rgb="FFA40037"/>
      </right>
      <top style="medium">
        <color rgb="FFA40037"/>
      </top>
      <bottom style="medium">
        <color rgb="FFA40037"/>
      </bottom>
      <diagonal/>
    </border>
    <border>
      <left style="medium">
        <color rgb="FFA40037"/>
      </left>
      <right/>
      <top style="medium">
        <color rgb="FFA40037"/>
      </top>
      <bottom style="medium">
        <color rgb="FFA40037"/>
      </bottom>
      <diagonal/>
    </border>
    <border>
      <left/>
      <right style="medium">
        <color rgb="FFA40037"/>
      </right>
      <top style="medium">
        <color rgb="FFA40037"/>
      </top>
      <bottom style="medium">
        <color rgb="FFA40037"/>
      </bottom>
      <diagonal/>
    </border>
    <border>
      <left style="medium">
        <color rgb="FFA40037"/>
      </left>
      <right/>
      <top style="medium">
        <color rgb="FFA40037"/>
      </top>
      <bottom/>
      <diagonal/>
    </border>
    <border>
      <left/>
      <right/>
      <top style="medium">
        <color rgb="FFA40037"/>
      </top>
      <bottom style="medium">
        <color rgb="FFA40037"/>
      </bottom>
      <diagonal/>
    </border>
    <border>
      <left/>
      <right style="medium">
        <color rgb="FFA40037"/>
      </right>
      <top style="medium">
        <color rgb="FFA40037"/>
      </top>
      <bottom/>
      <diagonal/>
    </border>
    <border>
      <left style="medium">
        <color theme="7" tint="-0.24994659260841701"/>
      </left>
      <right style="medium">
        <color rgb="FFA40037"/>
      </right>
      <top style="medium">
        <color theme="7" tint="-0.24994659260841701"/>
      </top>
      <bottom style="medium">
        <color rgb="FFA40037"/>
      </bottom>
      <diagonal/>
    </border>
    <border>
      <left style="medium">
        <color rgb="FFA40037"/>
      </left>
      <right style="medium">
        <color rgb="FFA40037"/>
      </right>
      <top style="medium">
        <color theme="7" tint="-0.24994659260841701"/>
      </top>
      <bottom style="medium">
        <color rgb="FFA40037"/>
      </bottom>
      <diagonal/>
    </border>
    <border>
      <left style="medium">
        <color rgb="FFA40037"/>
      </left>
      <right style="medium">
        <color theme="7" tint="-0.24994659260841701"/>
      </right>
      <top style="medium">
        <color theme="7" tint="-0.24994659260841701"/>
      </top>
      <bottom style="medium">
        <color rgb="FFA40037"/>
      </bottom>
      <diagonal/>
    </border>
    <border>
      <left style="medium">
        <color theme="7" tint="-0.24994659260841701"/>
      </left>
      <right style="medium">
        <color rgb="FFA40037"/>
      </right>
      <top style="medium">
        <color rgb="FFA40037"/>
      </top>
      <bottom style="medium">
        <color rgb="FFA40037"/>
      </bottom>
      <diagonal/>
    </border>
    <border>
      <left style="medium">
        <color rgb="FFA40037"/>
      </left>
      <right style="medium">
        <color theme="7" tint="-0.24994659260841701"/>
      </right>
      <top style="medium">
        <color rgb="FFA40037"/>
      </top>
      <bottom style="medium">
        <color rgb="FFA40037"/>
      </bottom>
      <diagonal/>
    </border>
    <border>
      <left style="medium">
        <color theme="7" tint="-0.24994659260841701"/>
      </left>
      <right style="medium">
        <color rgb="FFA40037"/>
      </right>
      <top style="medium">
        <color rgb="FFA40037"/>
      </top>
      <bottom style="medium">
        <color theme="7" tint="-0.24994659260841701"/>
      </bottom>
      <diagonal/>
    </border>
    <border>
      <left style="medium">
        <color rgb="FFA40037"/>
      </left>
      <right style="medium">
        <color rgb="FFA40037"/>
      </right>
      <top style="medium">
        <color rgb="FFA40037"/>
      </top>
      <bottom style="medium">
        <color theme="7" tint="-0.24994659260841701"/>
      </bottom>
      <diagonal/>
    </border>
    <border>
      <left style="medium">
        <color rgb="FFA40037"/>
      </left>
      <right style="medium">
        <color theme="7" tint="-0.24994659260841701"/>
      </right>
      <top style="medium">
        <color rgb="FFA40037"/>
      </top>
      <bottom style="medium">
        <color theme="7" tint="-0.24994659260841701"/>
      </bottom>
      <diagonal/>
    </border>
    <border>
      <left style="medium">
        <color theme="0" tint="-0.34998626667073579"/>
      </left>
      <right style="medium">
        <color rgb="FFA40037"/>
      </right>
      <top style="medium">
        <color theme="0" tint="-0.34998626667073579"/>
      </top>
      <bottom style="medium">
        <color rgb="FFA40037"/>
      </bottom>
      <diagonal/>
    </border>
    <border>
      <left style="medium">
        <color rgb="FFA40037"/>
      </left>
      <right style="medium">
        <color rgb="FFA40037"/>
      </right>
      <top style="medium">
        <color theme="0" tint="-0.34998626667073579"/>
      </top>
      <bottom style="medium">
        <color rgb="FFA40037"/>
      </bottom>
      <diagonal/>
    </border>
    <border>
      <left style="medium">
        <color rgb="FFA40037"/>
      </left>
      <right style="medium">
        <color theme="0" tint="-0.34998626667073579"/>
      </right>
      <top style="medium">
        <color theme="0" tint="-0.34998626667073579"/>
      </top>
      <bottom style="medium">
        <color rgb="FFA40037"/>
      </bottom>
      <diagonal/>
    </border>
    <border>
      <left style="medium">
        <color theme="0" tint="-0.34998626667073579"/>
      </left>
      <right style="medium">
        <color rgb="FFA40037"/>
      </right>
      <top style="medium">
        <color rgb="FFA40037"/>
      </top>
      <bottom style="medium">
        <color rgb="FFA40037"/>
      </bottom>
      <diagonal/>
    </border>
    <border>
      <left style="medium">
        <color rgb="FFA40037"/>
      </left>
      <right style="medium">
        <color theme="0" tint="-0.34998626667073579"/>
      </right>
      <top style="medium">
        <color rgb="FFA40037"/>
      </top>
      <bottom style="medium">
        <color rgb="FFA40037"/>
      </bottom>
      <diagonal/>
    </border>
    <border>
      <left style="medium">
        <color theme="0" tint="-0.34998626667073579"/>
      </left>
      <right style="medium">
        <color rgb="FFA40037"/>
      </right>
      <top style="medium">
        <color rgb="FFA40037"/>
      </top>
      <bottom style="medium">
        <color theme="0" tint="-0.34998626667073579"/>
      </bottom>
      <diagonal/>
    </border>
    <border>
      <left style="medium">
        <color rgb="FFA40037"/>
      </left>
      <right style="medium">
        <color rgb="FFA40037"/>
      </right>
      <top style="medium">
        <color rgb="FFA40037"/>
      </top>
      <bottom style="medium">
        <color theme="0" tint="-0.34998626667073579"/>
      </bottom>
      <diagonal/>
    </border>
    <border>
      <left style="medium">
        <color rgb="FFA40037"/>
      </left>
      <right style="medium">
        <color theme="0" tint="-0.34998626667073579"/>
      </right>
      <top style="medium">
        <color rgb="FFA40037"/>
      </top>
      <bottom style="medium">
        <color theme="0" tint="-0.34998626667073579"/>
      </bottom>
      <diagonal/>
    </border>
    <border>
      <left style="medium">
        <color theme="5" tint="-0.24994659260841701"/>
      </left>
      <right style="medium">
        <color rgb="FFA40037"/>
      </right>
      <top style="medium">
        <color theme="5" tint="-0.24994659260841701"/>
      </top>
      <bottom style="medium">
        <color rgb="FFA40037"/>
      </bottom>
      <diagonal/>
    </border>
    <border>
      <left style="medium">
        <color rgb="FFA40037"/>
      </left>
      <right style="medium">
        <color rgb="FFA40037"/>
      </right>
      <top style="medium">
        <color theme="5" tint="-0.24994659260841701"/>
      </top>
      <bottom style="medium">
        <color rgb="FFA40037"/>
      </bottom>
      <diagonal/>
    </border>
    <border>
      <left style="medium">
        <color rgb="FFA40037"/>
      </left>
      <right style="medium">
        <color theme="5" tint="-0.24994659260841701"/>
      </right>
      <top style="medium">
        <color theme="5" tint="-0.24994659260841701"/>
      </top>
      <bottom style="medium">
        <color rgb="FFA40037"/>
      </bottom>
      <diagonal/>
    </border>
    <border>
      <left style="medium">
        <color theme="5" tint="-0.24994659260841701"/>
      </left>
      <right style="medium">
        <color rgb="FFA40037"/>
      </right>
      <top style="medium">
        <color rgb="FFA40037"/>
      </top>
      <bottom style="medium">
        <color rgb="FFA40037"/>
      </bottom>
      <diagonal/>
    </border>
    <border>
      <left style="medium">
        <color rgb="FFA40037"/>
      </left>
      <right style="medium">
        <color theme="5" tint="-0.24994659260841701"/>
      </right>
      <top style="medium">
        <color rgb="FFA40037"/>
      </top>
      <bottom style="medium">
        <color rgb="FFA40037"/>
      </bottom>
      <diagonal/>
    </border>
    <border>
      <left style="medium">
        <color theme="5" tint="-0.24994659260841701"/>
      </left>
      <right style="medium">
        <color rgb="FFA40037"/>
      </right>
      <top style="medium">
        <color rgb="FFA40037"/>
      </top>
      <bottom style="medium">
        <color theme="5" tint="-0.24994659260841701"/>
      </bottom>
      <diagonal/>
    </border>
    <border>
      <left style="medium">
        <color rgb="FFA40037"/>
      </left>
      <right style="medium">
        <color rgb="FFA40037"/>
      </right>
      <top style="medium">
        <color rgb="FFA40037"/>
      </top>
      <bottom style="medium">
        <color theme="5" tint="-0.24994659260841701"/>
      </bottom>
      <diagonal/>
    </border>
    <border>
      <left style="medium">
        <color rgb="FFA40037"/>
      </left>
      <right style="medium">
        <color theme="5" tint="-0.24994659260841701"/>
      </right>
      <top style="medium">
        <color rgb="FFA40037"/>
      </top>
      <bottom style="medium">
        <color theme="5" tint="-0.24994659260841701"/>
      </bottom>
      <diagonal/>
    </border>
    <border>
      <left/>
      <right style="medium">
        <color rgb="FFA40037"/>
      </right>
      <top/>
      <bottom/>
      <diagonal/>
    </border>
    <border>
      <left style="medium">
        <color rgb="FFA40037"/>
      </left>
      <right/>
      <top/>
      <bottom style="medium">
        <color rgb="FFA40037"/>
      </bottom>
      <diagonal/>
    </border>
    <border>
      <left/>
      <right/>
      <top/>
      <bottom style="medium">
        <color rgb="FFA40037"/>
      </bottom>
      <diagonal/>
    </border>
    <border>
      <left/>
      <right style="medium">
        <color rgb="FFA40037"/>
      </right>
      <top/>
      <bottom style="medium">
        <color rgb="FFA40037"/>
      </bottom>
      <diagonal/>
    </border>
    <border>
      <left style="medium">
        <color rgb="FFA40037"/>
      </left>
      <right style="medium">
        <color rgb="FFA40037"/>
      </right>
      <top/>
      <bottom/>
      <diagonal/>
    </border>
    <border>
      <left style="medium">
        <color rgb="FFA40037"/>
      </left>
      <right style="medium">
        <color rgb="FFA40037"/>
      </right>
      <top/>
      <bottom style="medium">
        <color rgb="FFA40037"/>
      </bottom>
      <diagonal/>
    </border>
    <border>
      <left/>
      <right/>
      <top style="thin">
        <color rgb="FFA40037"/>
      </top>
      <bottom style="thin">
        <color rgb="FFA40037"/>
      </bottom>
      <diagonal/>
    </border>
    <border>
      <left/>
      <right style="medium">
        <color rgb="FFA40037"/>
      </right>
      <top style="thin">
        <color rgb="FFA40037"/>
      </top>
      <bottom style="thin">
        <color rgb="FFA40037"/>
      </bottom>
      <diagonal/>
    </border>
    <border>
      <left style="medium">
        <color rgb="FFA40037"/>
      </left>
      <right style="medium">
        <color rgb="FFA40037"/>
      </right>
      <top style="thin">
        <color rgb="FFA40037"/>
      </top>
      <bottom/>
      <diagonal/>
    </border>
    <border>
      <left/>
      <right/>
      <top style="thin">
        <color rgb="FFA40037"/>
      </top>
      <bottom/>
      <diagonal/>
    </border>
    <border>
      <left/>
      <right style="medium">
        <color rgb="FFA40037"/>
      </right>
      <top style="thin">
        <color rgb="FFA40037"/>
      </top>
      <bottom/>
      <diagonal/>
    </border>
    <border>
      <left style="medium">
        <color rgb="FFA40037"/>
      </left>
      <right style="medium">
        <color rgb="FFA40037"/>
      </right>
      <top/>
      <bottom style="thin">
        <color rgb="FFA40037"/>
      </bottom>
      <diagonal/>
    </border>
    <border>
      <left/>
      <right/>
      <top/>
      <bottom style="thin">
        <color rgb="FFA40037"/>
      </bottom>
      <diagonal/>
    </border>
    <border>
      <left/>
      <right style="medium">
        <color rgb="FFA40037"/>
      </right>
      <top/>
      <bottom style="thin">
        <color rgb="FFA40037"/>
      </bottom>
      <diagonal/>
    </border>
    <border>
      <left/>
      <right/>
      <top style="medium">
        <color rgb="FFA40037"/>
      </top>
      <bottom style="thin">
        <color rgb="FFA40037"/>
      </bottom>
      <diagonal/>
    </border>
    <border>
      <left style="medium">
        <color rgb="FFA40037"/>
      </left>
      <right/>
      <top style="medium">
        <color rgb="FFA40037"/>
      </top>
      <bottom style="thin">
        <color rgb="FFA40037"/>
      </bottom>
      <diagonal/>
    </border>
    <border>
      <left/>
      <right style="medium">
        <color rgb="FFA40037"/>
      </right>
      <top style="medium">
        <color rgb="FFA40037"/>
      </top>
      <bottom style="thin">
        <color rgb="FFA40037"/>
      </bottom>
      <diagonal/>
    </border>
    <border>
      <left style="medium">
        <color rgb="FFA40037"/>
      </left>
      <right/>
      <top style="thin">
        <color rgb="FFA40037"/>
      </top>
      <bottom/>
      <diagonal/>
    </border>
    <border>
      <left/>
      <right/>
      <top style="medium">
        <color theme="7" tint="-0.24994659260841701"/>
      </top>
      <bottom/>
      <diagonal/>
    </border>
    <border>
      <left style="medium">
        <color rgb="FFA40037"/>
      </left>
      <right/>
      <top style="medium">
        <color rgb="FFA40037"/>
      </top>
      <bottom style="medium">
        <color theme="1"/>
      </bottom>
      <diagonal/>
    </border>
    <border>
      <left/>
      <right/>
      <top style="medium">
        <color rgb="FFA40037"/>
      </top>
      <bottom style="medium">
        <color theme="1"/>
      </bottom>
      <diagonal/>
    </border>
    <border>
      <left/>
      <right style="medium">
        <color rgb="FFA40037"/>
      </right>
      <top style="medium">
        <color rgb="FFA40037"/>
      </top>
      <bottom style="medium">
        <color theme="1"/>
      </bottom>
      <diagonal/>
    </border>
  </borders>
  <cellStyleXfs count="1">
    <xf numFmtId="0" fontId="0" fillId="0" borderId="0"/>
  </cellStyleXfs>
  <cellXfs count="11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 wrapText="1"/>
    </xf>
    <xf numFmtId="0" fontId="1" fillId="0" borderId="0" xfId="0" applyFont="1"/>
    <xf numFmtId="0" fontId="4" fillId="3" borderId="0" xfId="0" applyFont="1" applyFill="1" applyAlignment="1">
      <alignment horizontal="center" wrapText="1"/>
    </xf>
    <xf numFmtId="0" fontId="0" fillId="4" borderId="0" xfId="0" applyFill="1"/>
    <xf numFmtId="0" fontId="1" fillId="2" borderId="1" xfId="0" applyFont="1" applyFill="1" applyBorder="1" applyAlignment="1" applyProtection="1">
      <alignment horizontal="center" wrapText="1"/>
      <protection locked="0"/>
    </xf>
    <xf numFmtId="0" fontId="9" fillId="0" borderId="0" xfId="0" applyFont="1" applyProtection="1">
      <protection locked="0"/>
    </xf>
    <xf numFmtId="0" fontId="0" fillId="0" borderId="0" xfId="0" applyProtection="1">
      <protection locked="0"/>
    </xf>
    <xf numFmtId="0" fontId="1" fillId="0" borderId="0" xfId="0" applyFont="1" applyProtection="1">
      <protection locked="0"/>
    </xf>
    <xf numFmtId="0" fontId="1" fillId="0" borderId="0" xfId="0" applyFont="1" applyAlignment="1" applyProtection="1">
      <alignment horizontal="center"/>
      <protection locked="0"/>
    </xf>
    <xf numFmtId="0" fontId="2" fillId="3" borderId="0" xfId="0" applyFont="1" applyFill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3" xfId="0" applyBorder="1" applyProtection="1">
      <protection locked="0"/>
    </xf>
    <xf numFmtId="0" fontId="0" fillId="0" borderId="2" xfId="0" applyBorder="1" applyProtection="1">
      <protection locked="0"/>
    </xf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0" fontId="9" fillId="0" borderId="0" xfId="0" applyFont="1"/>
    <xf numFmtId="0" fontId="1" fillId="0" borderId="2" xfId="0" applyFont="1" applyBorder="1"/>
    <xf numFmtId="9" fontId="1" fillId="0" borderId="0" xfId="0" applyNumberFormat="1" applyFont="1"/>
    <xf numFmtId="0" fontId="0" fillId="0" borderId="34" xfId="0" applyBorder="1"/>
    <xf numFmtId="0" fontId="1" fillId="0" borderId="35" xfId="0" applyFont="1" applyBorder="1"/>
    <xf numFmtId="9" fontId="1" fillId="0" borderId="36" xfId="0" applyNumberFormat="1" applyFont="1" applyBorder="1"/>
    <xf numFmtId="0" fontId="0" fillId="0" borderId="37" xfId="0" applyBorder="1"/>
    <xf numFmtId="0" fontId="8" fillId="0" borderId="4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12" fillId="0" borderId="45" xfId="0" applyFont="1" applyBorder="1"/>
    <xf numFmtId="0" fontId="12" fillId="0" borderId="42" xfId="0" applyFont="1" applyBorder="1"/>
    <xf numFmtId="0" fontId="12" fillId="0" borderId="38" xfId="0" applyFont="1" applyBorder="1"/>
    <xf numFmtId="0" fontId="12" fillId="0" borderId="38" xfId="0" applyFont="1" applyBorder="1" applyAlignment="1">
      <alignment horizontal="right"/>
    </xf>
    <xf numFmtId="0" fontId="12" fillId="0" borderId="39" xfId="0" applyFont="1" applyBorder="1"/>
    <xf numFmtId="0" fontId="1" fillId="0" borderId="0" xfId="0" applyFont="1" applyAlignment="1">
      <alignment horizontal="right"/>
    </xf>
    <xf numFmtId="0" fontId="0" fillId="0" borderId="40" xfId="0" applyBorder="1" applyAlignment="1">
      <alignment horizontal="left"/>
    </xf>
    <xf numFmtId="0" fontId="0" fillId="0" borderId="41" xfId="0" applyBorder="1" applyAlignment="1">
      <alignment horizontal="left"/>
    </xf>
    <xf numFmtId="0" fontId="0" fillId="0" borderId="44" xfId="0" applyBorder="1" applyAlignment="1">
      <alignment horizontal="left"/>
    </xf>
    <xf numFmtId="0" fontId="0" fillId="0" borderId="34" xfId="0" applyBorder="1" applyAlignment="1">
      <alignment horizontal="left"/>
    </xf>
    <xf numFmtId="0" fontId="0" fillId="0" borderId="47" xfId="0" applyBorder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center" wrapText="1"/>
    </xf>
    <xf numFmtId="0" fontId="2" fillId="3" borderId="0" xfId="0" applyFont="1" applyFill="1" applyAlignment="1">
      <alignment horizontal="center"/>
    </xf>
    <xf numFmtId="0" fontId="3" fillId="3" borderId="0" xfId="0" applyFont="1" applyFill="1" applyAlignment="1" applyProtection="1">
      <alignment horizontal="center"/>
      <protection locked="0"/>
    </xf>
    <xf numFmtId="16" fontId="6" fillId="2" borderId="1" xfId="0" applyNumberFormat="1" applyFont="1" applyFill="1" applyBorder="1" applyAlignment="1" applyProtection="1">
      <alignment horizontal="center" wrapText="1"/>
      <protection locked="0"/>
    </xf>
    <xf numFmtId="16" fontId="0" fillId="2" borderId="1" xfId="0" applyNumberFormat="1" applyFill="1" applyBorder="1" applyAlignment="1" applyProtection="1">
      <alignment horizontal="center" wrapText="1"/>
      <protection locked="0"/>
    </xf>
    <xf numFmtId="0" fontId="0" fillId="4" borderId="0" xfId="0" applyFill="1" applyProtection="1">
      <protection locked="0"/>
    </xf>
    <xf numFmtId="0" fontId="4" fillId="3" borderId="4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53" xfId="0" applyFont="1" applyBorder="1" applyAlignment="1">
      <alignment horizontal="center"/>
    </xf>
    <xf numFmtId="0" fontId="8" fillId="0" borderId="54" xfId="0" applyFont="1" applyBorder="1" applyAlignment="1">
      <alignment horizontal="center"/>
    </xf>
    <xf numFmtId="0" fontId="8" fillId="0" borderId="55" xfId="0" applyFont="1" applyBorder="1" applyAlignment="1">
      <alignment horizontal="center"/>
    </xf>
    <xf numFmtId="0" fontId="0" fillId="0" borderId="0" xfId="0" applyAlignment="1">
      <alignment horizontal="left" wrapText="1"/>
    </xf>
    <xf numFmtId="0" fontId="0" fillId="0" borderId="34" xfId="0" applyBorder="1" applyAlignment="1">
      <alignment horizontal="left" wrapText="1"/>
    </xf>
    <xf numFmtId="0" fontId="0" fillId="0" borderId="36" xfId="0" applyBorder="1" applyAlignment="1">
      <alignment horizontal="left" wrapText="1"/>
    </xf>
    <xf numFmtId="0" fontId="0" fillId="0" borderId="37" xfId="0" applyBorder="1" applyAlignment="1">
      <alignment horizontal="left" wrapText="1"/>
    </xf>
    <xf numFmtId="0" fontId="4" fillId="3" borderId="49" xfId="0" applyFont="1" applyFill="1" applyBorder="1" applyAlignment="1">
      <alignment horizontal="center" vertical="center"/>
    </xf>
    <xf numFmtId="0" fontId="4" fillId="3" borderId="48" xfId="0" applyFont="1" applyFill="1" applyBorder="1" applyAlignment="1">
      <alignment horizontal="center" vertical="center"/>
    </xf>
    <xf numFmtId="0" fontId="4" fillId="3" borderId="50" xfId="0" applyFont="1" applyFill="1" applyBorder="1" applyAlignment="1">
      <alignment horizontal="center" vertical="center"/>
    </xf>
    <xf numFmtId="0" fontId="0" fillId="0" borderId="51" xfId="0" applyBorder="1" applyAlignment="1">
      <alignment horizontal="left" vertical="top" wrapText="1"/>
    </xf>
    <xf numFmtId="0" fontId="0" fillId="0" borderId="43" xfId="0" applyBorder="1" applyAlignment="1">
      <alignment horizontal="left" vertical="top" wrapText="1"/>
    </xf>
    <xf numFmtId="0" fontId="0" fillId="0" borderId="44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34" xfId="0" applyBorder="1" applyAlignment="1">
      <alignment horizontal="left" vertical="top" wrapText="1"/>
    </xf>
    <xf numFmtId="0" fontId="0" fillId="0" borderId="46" xfId="0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34" xfId="0" applyFont="1" applyBorder="1" applyAlignment="1">
      <alignment horizontal="left" vertical="top" wrapText="1"/>
    </xf>
    <xf numFmtId="0" fontId="1" fillId="0" borderId="0" xfId="0" applyFont="1" applyAlignment="1" applyProtection="1">
      <alignment horizontal="center"/>
      <protection locked="0"/>
    </xf>
    <xf numFmtId="0" fontId="0" fillId="0" borderId="52" xfId="0" applyBorder="1" applyAlignment="1" applyProtection="1">
      <alignment horizontal="center"/>
      <protection locked="0"/>
    </xf>
    <xf numFmtId="0" fontId="1" fillId="2" borderId="1" xfId="0" applyFont="1" applyFill="1" applyBorder="1" applyAlignment="1">
      <alignment horizontal="center" wrapText="1"/>
    </xf>
    <xf numFmtId="0" fontId="0" fillId="0" borderId="8" xfId="0" applyBorder="1" applyAlignment="1" applyProtection="1">
      <alignment horizontal="center" vertical="center"/>
      <protection locked="0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11" fillId="0" borderId="26" xfId="0" applyFont="1" applyBorder="1" applyAlignment="1" applyProtection="1">
      <alignment horizontal="center" vertical="center"/>
      <protection locked="0"/>
    </xf>
    <xf numFmtId="0" fontId="11" fillId="0" borderId="27" xfId="0" applyFont="1" applyBorder="1" applyAlignment="1" applyProtection="1">
      <alignment horizontal="center" vertical="center"/>
      <protection locked="0"/>
    </xf>
    <xf numFmtId="0" fontId="11" fillId="0" borderId="28" xfId="0" applyFont="1" applyBorder="1" applyAlignment="1" applyProtection="1">
      <alignment horizontal="center" vertical="center"/>
      <protection locked="0"/>
    </xf>
    <xf numFmtId="0" fontId="11" fillId="0" borderId="29" xfId="0" applyFont="1" applyBorder="1" applyAlignment="1" applyProtection="1">
      <alignment horizontal="center" vertical="center"/>
      <protection locked="0"/>
    </xf>
    <xf numFmtId="0" fontId="11" fillId="0" borderId="4" xfId="0" applyFont="1" applyBorder="1" applyAlignment="1" applyProtection="1">
      <alignment horizontal="center" vertical="center"/>
      <protection locked="0"/>
    </xf>
    <xf numFmtId="0" fontId="11" fillId="0" borderId="30" xfId="0" applyFont="1" applyBorder="1" applyAlignment="1" applyProtection="1">
      <alignment horizontal="center" vertical="center"/>
      <protection locked="0"/>
    </xf>
    <xf numFmtId="0" fontId="11" fillId="0" borderId="31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 applyProtection="1">
      <alignment horizontal="center" vertical="center"/>
      <protection locked="0"/>
    </xf>
    <xf numFmtId="0" fontId="11" fillId="0" borderId="33" xfId="0" applyFont="1" applyBorder="1" applyAlignment="1" applyProtection="1">
      <alignment horizontal="center" vertical="center"/>
      <protection locked="0"/>
    </xf>
    <xf numFmtId="0" fontId="5" fillId="3" borderId="0" xfId="0" applyFont="1" applyFill="1" applyAlignment="1">
      <alignment horizontal="center" vertical="center" wrapText="1"/>
    </xf>
    <xf numFmtId="0" fontId="3" fillId="3" borderId="0" xfId="0" applyFont="1" applyFill="1" applyAlignment="1" applyProtection="1">
      <alignment horizontal="center" wrapText="1"/>
      <protection locked="0"/>
    </xf>
    <xf numFmtId="0" fontId="3" fillId="3" borderId="0" xfId="0" applyFont="1" applyFill="1" applyAlignment="1">
      <alignment horizontal="center" wrapText="1"/>
    </xf>
    <xf numFmtId="0" fontId="0" fillId="0" borderId="5" xfId="0" applyBorder="1" applyAlignment="1" applyProtection="1">
      <alignment horizontal="center"/>
      <protection locked="0"/>
    </xf>
    <xf numFmtId="0" fontId="0" fillId="0" borderId="6" xfId="0" applyBorder="1" applyAlignment="1" applyProtection="1">
      <alignment horizontal="center"/>
      <protection locked="0"/>
    </xf>
    <xf numFmtId="0" fontId="0" fillId="0" borderId="8" xfId="0" applyBorder="1" applyAlignment="1" applyProtection="1">
      <alignment horizontal="center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0" fillId="0" borderId="7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7" fillId="0" borderId="10" xfId="0" applyFont="1" applyBorder="1" applyAlignment="1" applyProtection="1">
      <alignment horizontal="center" vertical="center"/>
      <protection locked="0"/>
    </xf>
    <xf numFmtId="0" fontId="7" fillId="0" borderId="11" xfId="0" applyFont="1" applyBorder="1" applyAlignment="1" applyProtection="1">
      <alignment horizontal="center" vertical="center"/>
      <protection locked="0"/>
    </xf>
    <xf numFmtId="0" fontId="7" fillId="0" borderId="12" xfId="0" applyFont="1" applyBorder="1" applyAlignment="1" applyProtection="1">
      <alignment horizontal="center" vertical="center"/>
      <protection locked="0"/>
    </xf>
    <xf numFmtId="0" fontId="7" fillId="0" borderId="13" xfId="0" applyFont="1" applyBorder="1" applyAlignment="1" applyProtection="1">
      <alignment horizontal="center" vertical="center"/>
      <protection locked="0"/>
    </xf>
    <xf numFmtId="0" fontId="7" fillId="0" borderId="4" xfId="0" applyFont="1" applyBorder="1" applyAlignment="1" applyProtection="1">
      <alignment horizontal="center" vertical="center"/>
      <protection locked="0"/>
    </xf>
    <xf numFmtId="0" fontId="7" fillId="0" borderId="14" xfId="0" applyFont="1" applyBorder="1" applyAlignment="1" applyProtection="1">
      <alignment horizontal="center" vertical="center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7" fillId="0" borderId="16" xfId="0" applyFont="1" applyBorder="1" applyAlignment="1" applyProtection="1">
      <alignment horizontal="center" vertical="center"/>
      <protection locked="0"/>
    </xf>
    <xf numFmtId="0" fontId="7" fillId="0" borderId="17" xfId="0" applyFont="1" applyBorder="1" applyAlignment="1" applyProtection="1">
      <alignment horizontal="center" vertical="center"/>
      <protection locked="0"/>
    </xf>
    <xf numFmtId="0" fontId="10" fillId="0" borderId="18" xfId="0" applyFont="1" applyBorder="1" applyAlignment="1" applyProtection="1">
      <alignment horizontal="center" vertical="center"/>
      <protection locked="0"/>
    </xf>
    <xf numFmtId="0" fontId="10" fillId="0" borderId="19" xfId="0" applyFont="1" applyBorder="1" applyAlignment="1" applyProtection="1">
      <alignment horizontal="center" vertical="center"/>
      <protection locked="0"/>
    </xf>
    <xf numFmtId="0" fontId="10" fillId="0" borderId="20" xfId="0" applyFont="1" applyBorder="1" applyAlignment="1" applyProtection="1">
      <alignment horizontal="center" vertical="center"/>
      <protection locked="0"/>
    </xf>
    <xf numFmtId="0" fontId="10" fillId="0" borderId="21" xfId="0" applyFont="1" applyBorder="1" applyAlignment="1" applyProtection="1">
      <alignment horizontal="center" vertical="center"/>
      <protection locked="0"/>
    </xf>
    <xf numFmtId="0" fontId="10" fillId="0" borderId="4" xfId="0" applyFont="1" applyBorder="1" applyAlignment="1" applyProtection="1">
      <alignment horizontal="center" vertical="center"/>
      <protection locked="0"/>
    </xf>
    <xf numFmtId="0" fontId="10" fillId="0" borderId="22" xfId="0" applyFont="1" applyBorder="1" applyAlignment="1" applyProtection="1">
      <alignment horizontal="center" vertical="center"/>
      <protection locked="0"/>
    </xf>
    <xf numFmtId="0" fontId="10" fillId="0" borderId="23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3" xfId="0" applyBorder="1" applyAlignment="1" applyProtection="1">
      <alignment horizontal="center"/>
      <protection locked="0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A40037"/>
      <color rgb="FFCC0066"/>
      <color rgb="FFE2004B"/>
      <color rgb="FF990033"/>
      <color rgb="FF7E002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3" Type="http://schemas.openxmlformats.org/officeDocument/2006/relationships/hyperlink" Target="https://pixabay.com/en/uruguay-flag-symbol-country-nation-26970/" TargetMode="External"/><Relationship Id="rId18" Type="http://schemas.openxmlformats.org/officeDocument/2006/relationships/image" Target="../media/image16.png"/><Relationship Id="rId26" Type="http://schemas.openxmlformats.org/officeDocument/2006/relationships/hyperlink" Target="http://www.public-domain-image.com/free-images/flags-of-the-world/flag-of-ecuador" TargetMode="External"/><Relationship Id="rId39" Type="http://schemas.openxmlformats.org/officeDocument/2006/relationships/image" Target="../media/image31.png"/><Relationship Id="rId21" Type="http://schemas.openxmlformats.org/officeDocument/2006/relationships/hyperlink" Target="https://www.wallpaperflare.com/flag-qatar-qatari-qatar-large-flag-flag-of-qatar-wallpaper-grfaq" TargetMode="External"/><Relationship Id="rId34" Type="http://schemas.openxmlformats.org/officeDocument/2006/relationships/image" Target="../media/image28.png"/><Relationship Id="rId42" Type="http://schemas.openxmlformats.org/officeDocument/2006/relationships/image" Target="../media/image34.png"/><Relationship Id="rId47" Type="http://schemas.openxmlformats.org/officeDocument/2006/relationships/image" Target="../media/image39.png"/><Relationship Id="rId50" Type="http://schemas.openxmlformats.org/officeDocument/2006/relationships/image" Target="../media/image42.png"/><Relationship Id="rId55" Type="http://schemas.openxmlformats.org/officeDocument/2006/relationships/image" Target="../media/image47.jpeg"/><Relationship Id="rId63" Type="http://schemas.openxmlformats.org/officeDocument/2006/relationships/image" Target="../media/image55.png"/><Relationship Id="rId7" Type="http://schemas.openxmlformats.org/officeDocument/2006/relationships/hyperlink" Target="https://www.flickr.com/photos/azucrinarecords/6261316147/" TargetMode="External"/><Relationship Id="rId2" Type="http://schemas.openxmlformats.org/officeDocument/2006/relationships/image" Target="../media/image4.png"/><Relationship Id="rId16" Type="http://schemas.openxmlformats.org/officeDocument/2006/relationships/image" Target="../media/image15.png"/><Relationship Id="rId29" Type="http://schemas.openxmlformats.org/officeDocument/2006/relationships/image" Target="../media/image24.png"/><Relationship Id="rId11" Type="http://schemas.openxmlformats.org/officeDocument/2006/relationships/hyperlink" Target="https://en.wikipedia.org/wiki/Ghana" TargetMode="External"/><Relationship Id="rId24" Type="http://schemas.openxmlformats.org/officeDocument/2006/relationships/hyperlink" Target="https://bs.wikiquote.org/wiki/Datoteka:Flag_of_Senegal.svg" TargetMode="External"/><Relationship Id="rId32" Type="http://schemas.openxmlformats.org/officeDocument/2006/relationships/image" Target="../media/image26.jpeg"/><Relationship Id="rId37" Type="http://schemas.openxmlformats.org/officeDocument/2006/relationships/image" Target="../media/image30.png"/><Relationship Id="rId40" Type="http://schemas.openxmlformats.org/officeDocument/2006/relationships/image" Target="../media/image32.png"/><Relationship Id="rId45" Type="http://schemas.openxmlformats.org/officeDocument/2006/relationships/image" Target="../media/image37.png"/><Relationship Id="rId53" Type="http://schemas.openxmlformats.org/officeDocument/2006/relationships/image" Target="../media/image45.png"/><Relationship Id="rId58" Type="http://schemas.openxmlformats.org/officeDocument/2006/relationships/image" Target="../media/image50.png"/><Relationship Id="rId5" Type="http://schemas.openxmlformats.org/officeDocument/2006/relationships/image" Target="../media/image7.jpeg"/><Relationship Id="rId61" Type="http://schemas.openxmlformats.org/officeDocument/2006/relationships/image" Target="../media/image53.jpeg"/><Relationship Id="rId19" Type="http://schemas.openxmlformats.org/officeDocument/2006/relationships/image" Target="../media/image17.png"/><Relationship Id="rId14" Type="http://schemas.openxmlformats.org/officeDocument/2006/relationships/image" Target="../media/image13.png"/><Relationship Id="rId22" Type="http://schemas.openxmlformats.org/officeDocument/2006/relationships/image" Target="../media/image19.jpeg"/><Relationship Id="rId27" Type="http://schemas.openxmlformats.org/officeDocument/2006/relationships/image" Target="../media/image22.jpeg"/><Relationship Id="rId30" Type="http://schemas.openxmlformats.org/officeDocument/2006/relationships/hyperlink" Target="https://www.wikidata.org/wiki/Q4847867" TargetMode="External"/><Relationship Id="rId35" Type="http://schemas.openxmlformats.org/officeDocument/2006/relationships/hyperlink" Target="https://www.partidosdelaroja.com/1970/01/estados-unidos.html" TargetMode="External"/><Relationship Id="rId43" Type="http://schemas.openxmlformats.org/officeDocument/2006/relationships/image" Target="../media/image35.png"/><Relationship Id="rId48" Type="http://schemas.openxmlformats.org/officeDocument/2006/relationships/image" Target="../media/image40.png"/><Relationship Id="rId56" Type="http://schemas.openxmlformats.org/officeDocument/2006/relationships/image" Target="../media/image48.jpeg"/><Relationship Id="rId8" Type="http://schemas.openxmlformats.org/officeDocument/2006/relationships/image" Target="../media/image9.jpeg"/><Relationship Id="rId51" Type="http://schemas.openxmlformats.org/officeDocument/2006/relationships/image" Target="../media/image43.png"/><Relationship Id="rId3" Type="http://schemas.openxmlformats.org/officeDocument/2006/relationships/image" Target="../media/image5.jpg"/><Relationship Id="rId12" Type="http://schemas.openxmlformats.org/officeDocument/2006/relationships/image" Target="../media/image12.png"/><Relationship Id="rId17" Type="http://schemas.openxmlformats.org/officeDocument/2006/relationships/hyperlink" Target="https://gartic.com.br/ciicerow/desenho-livre/coreia-do-sul" TargetMode="External"/><Relationship Id="rId25" Type="http://schemas.openxmlformats.org/officeDocument/2006/relationships/image" Target="../media/image21.jpeg"/><Relationship Id="rId33" Type="http://schemas.openxmlformats.org/officeDocument/2006/relationships/image" Target="../media/image27.jpeg"/><Relationship Id="rId38" Type="http://schemas.openxmlformats.org/officeDocument/2006/relationships/hyperlink" Target="https://en.wikinews.org/wiki/File:Flag_of_England.svg" TargetMode="External"/><Relationship Id="rId46" Type="http://schemas.openxmlformats.org/officeDocument/2006/relationships/image" Target="../media/image38.png"/><Relationship Id="rId59" Type="http://schemas.openxmlformats.org/officeDocument/2006/relationships/image" Target="../media/image51.png"/><Relationship Id="rId20" Type="http://schemas.openxmlformats.org/officeDocument/2006/relationships/image" Target="../media/image18.jpeg"/><Relationship Id="rId41" Type="http://schemas.openxmlformats.org/officeDocument/2006/relationships/image" Target="../media/image33.png"/><Relationship Id="rId54" Type="http://schemas.openxmlformats.org/officeDocument/2006/relationships/image" Target="../media/image46.jpeg"/><Relationship Id="rId62" Type="http://schemas.openxmlformats.org/officeDocument/2006/relationships/image" Target="../media/image54.jpeg"/><Relationship Id="rId1" Type="http://schemas.openxmlformats.org/officeDocument/2006/relationships/image" Target="../media/image3.png"/><Relationship Id="rId6" Type="http://schemas.openxmlformats.org/officeDocument/2006/relationships/image" Target="../media/image8.jpeg"/><Relationship Id="rId15" Type="http://schemas.openxmlformats.org/officeDocument/2006/relationships/image" Target="../media/image14.png"/><Relationship Id="rId23" Type="http://schemas.openxmlformats.org/officeDocument/2006/relationships/image" Target="../media/image20.png"/><Relationship Id="rId28" Type="http://schemas.openxmlformats.org/officeDocument/2006/relationships/image" Target="../media/image23.jpeg"/><Relationship Id="rId36" Type="http://schemas.openxmlformats.org/officeDocument/2006/relationships/image" Target="../media/image29.png"/><Relationship Id="rId49" Type="http://schemas.openxmlformats.org/officeDocument/2006/relationships/image" Target="../media/image41.png"/><Relationship Id="rId57" Type="http://schemas.openxmlformats.org/officeDocument/2006/relationships/image" Target="../media/image49.png"/><Relationship Id="rId10" Type="http://schemas.openxmlformats.org/officeDocument/2006/relationships/image" Target="../media/image11.png"/><Relationship Id="rId31" Type="http://schemas.openxmlformats.org/officeDocument/2006/relationships/image" Target="../media/image25.jpeg"/><Relationship Id="rId44" Type="http://schemas.openxmlformats.org/officeDocument/2006/relationships/image" Target="../media/image36.png"/><Relationship Id="rId52" Type="http://schemas.openxmlformats.org/officeDocument/2006/relationships/image" Target="../media/image44.png"/><Relationship Id="rId60" Type="http://schemas.openxmlformats.org/officeDocument/2006/relationships/image" Target="../media/image52.jpeg"/><Relationship Id="rId4" Type="http://schemas.openxmlformats.org/officeDocument/2006/relationships/image" Target="../media/image6.jpeg"/><Relationship Id="rId9" Type="http://schemas.openxmlformats.org/officeDocument/2006/relationships/image" Target="../media/image10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83820</xdr:colOff>
      <xdr:row>4</xdr:row>
      <xdr:rowOff>60960</xdr:rowOff>
    </xdr:from>
    <xdr:to>
      <xdr:col>14</xdr:col>
      <xdr:colOff>533400</xdr:colOff>
      <xdr:row>22</xdr:row>
      <xdr:rowOff>121548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C0C78019-B264-73EE-E225-6FD4D7C9EC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03720" y="800100"/>
          <a:ext cx="2887980" cy="3451488"/>
        </a:xfrm>
        <a:prstGeom prst="rect">
          <a:avLst/>
        </a:prstGeom>
      </xdr:spPr>
    </xdr:pic>
    <xdr:clientData/>
  </xdr:twoCellAnchor>
  <xdr:twoCellAnchor>
    <xdr:from>
      <xdr:col>6</xdr:col>
      <xdr:colOff>266700</xdr:colOff>
      <xdr:row>7</xdr:row>
      <xdr:rowOff>60960</xdr:rowOff>
    </xdr:from>
    <xdr:to>
      <xdr:col>8</xdr:col>
      <xdr:colOff>182880</xdr:colOff>
      <xdr:row>8</xdr:row>
      <xdr:rowOff>99060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B947FD3A-3D92-3F77-DB88-6A57B9485CB1}"/>
            </a:ext>
          </a:extLst>
        </xdr:cNvPr>
        <xdr:cNvSpPr txBox="1"/>
      </xdr:nvSpPr>
      <xdr:spPr>
        <a:xfrm>
          <a:off x="4434840" y="1371600"/>
          <a:ext cx="1668780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 b="1"/>
            <a:t>CPF: 43107868809</a:t>
          </a:r>
        </a:p>
        <a:p>
          <a:endParaRPr lang="pt-BR" sz="1100"/>
        </a:p>
      </xdr:txBody>
    </xdr:sp>
    <xdr:clientData/>
  </xdr:twoCellAnchor>
  <xdr:twoCellAnchor>
    <xdr:from>
      <xdr:col>6</xdr:col>
      <xdr:colOff>678180</xdr:colOff>
      <xdr:row>6</xdr:row>
      <xdr:rowOff>76200</xdr:rowOff>
    </xdr:from>
    <xdr:to>
      <xdr:col>8</xdr:col>
      <xdr:colOff>594360</xdr:colOff>
      <xdr:row>7</xdr:row>
      <xdr:rowOff>114300</xdr:rowOff>
    </xdr:to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7FB43CBC-088B-4ECD-9648-3F3F4C648367}"/>
            </a:ext>
          </a:extLst>
        </xdr:cNvPr>
        <xdr:cNvSpPr txBox="1"/>
      </xdr:nvSpPr>
      <xdr:spPr>
        <a:xfrm>
          <a:off x="4846320" y="1196340"/>
          <a:ext cx="1668780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 b="1"/>
            <a:t>ou</a:t>
          </a:r>
        </a:p>
        <a:p>
          <a:endParaRPr lang="pt-BR" sz="1100"/>
        </a:p>
      </xdr:txBody>
    </xdr:sp>
    <xdr:clientData/>
  </xdr:twoCellAnchor>
  <xdr:twoCellAnchor editAs="oneCell">
    <xdr:from>
      <xdr:col>6</xdr:col>
      <xdr:colOff>327660</xdr:colOff>
      <xdr:row>0</xdr:row>
      <xdr:rowOff>175260</xdr:rowOff>
    </xdr:from>
    <xdr:to>
      <xdr:col>7</xdr:col>
      <xdr:colOff>289422</xdr:colOff>
      <xdr:row>6</xdr:row>
      <xdr:rowOff>142738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42856885-1728-B159-66FC-09321FDC01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495800" y="175260"/>
          <a:ext cx="1104762" cy="109523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2</xdr:col>
      <xdr:colOff>366391</xdr:colOff>
      <xdr:row>0</xdr:row>
      <xdr:rowOff>892629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293355A0-0279-F05A-A7B8-E37582CF01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585590" cy="892629"/>
        </a:xfrm>
        <a:prstGeom prst="rect">
          <a:avLst/>
        </a:prstGeom>
      </xdr:spPr>
    </xdr:pic>
    <xdr:clientData/>
  </xdr:twoCellAnchor>
  <xdr:twoCellAnchor editAs="oneCell">
    <xdr:from>
      <xdr:col>14</xdr:col>
      <xdr:colOff>243209</xdr:colOff>
      <xdr:row>0</xdr:row>
      <xdr:rowOff>0</xdr:rowOff>
    </xdr:from>
    <xdr:to>
      <xdr:col>17</xdr:col>
      <xdr:colOff>3109</xdr:colOff>
      <xdr:row>0</xdr:row>
      <xdr:rowOff>892629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F9C61870-4FD0-46E1-8062-7DAA3FA627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04380" y="0"/>
          <a:ext cx="1585590" cy="892629"/>
        </a:xfrm>
        <a:prstGeom prst="rect">
          <a:avLst/>
        </a:prstGeom>
      </xdr:spPr>
    </xdr:pic>
    <xdr:clientData/>
  </xdr:twoCellAnchor>
  <xdr:oneCellAnchor>
    <xdr:from>
      <xdr:col>20</xdr:col>
      <xdr:colOff>1</xdr:colOff>
      <xdr:row>0</xdr:row>
      <xdr:rowOff>0</xdr:rowOff>
    </xdr:from>
    <xdr:ext cx="1585590" cy="892629"/>
    <xdr:pic>
      <xdr:nvPicPr>
        <xdr:cNvPr id="2" name="Imagem 3">
          <a:extLst>
            <a:ext uri="{FF2B5EF4-FFF2-40B4-BE49-F238E27FC236}">
              <a16:creationId xmlns:a16="http://schemas.microsoft.com/office/drawing/2014/main" id="{0D6DFBF7-38C1-4F1E-802D-3F94A10C6E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585590" cy="892629"/>
        </a:xfrm>
        <a:prstGeom prst="rect">
          <a:avLst/>
        </a:prstGeom>
      </xdr:spPr>
    </xdr:pic>
    <xdr:clientData/>
  </xdr:oneCellAnchor>
  <xdr:oneCellAnchor>
    <xdr:from>
      <xdr:col>50</xdr:col>
      <xdr:colOff>254095</xdr:colOff>
      <xdr:row>0</xdr:row>
      <xdr:rowOff>0</xdr:rowOff>
    </xdr:from>
    <xdr:ext cx="1585590" cy="892629"/>
    <xdr:pic>
      <xdr:nvPicPr>
        <xdr:cNvPr id="3" name="Imagem 4">
          <a:extLst>
            <a:ext uri="{FF2B5EF4-FFF2-40B4-BE49-F238E27FC236}">
              <a16:creationId xmlns:a16="http://schemas.microsoft.com/office/drawing/2014/main" id="{F22DE7DD-D00B-4750-9D72-8A705F216D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051266" y="0"/>
          <a:ext cx="1585590" cy="892629"/>
        </a:xfrm>
        <a:prstGeom prst="rect">
          <a:avLst/>
        </a:prstGeom>
      </xdr:spPr>
    </xdr:pic>
    <xdr:clientData/>
  </xdr:oneCellAnchor>
  <xdr:twoCellAnchor>
    <xdr:from>
      <xdr:col>26</xdr:col>
      <xdr:colOff>43543</xdr:colOff>
      <xdr:row>11</xdr:row>
      <xdr:rowOff>97972</xdr:rowOff>
    </xdr:from>
    <xdr:to>
      <xdr:col>28</xdr:col>
      <xdr:colOff>555172</xdr:colOff>
      <xdr:row>27</xdr:row>
      <xdr:rowOff>108857</xdr:rowOff>
    </xdr:to>
    <xdr:grpSp>
      <xdr:nvGrpSpPr>
        <xdr:cNvPr id="60" name="Group 59">
          <a:extLst>
            <a:ext uri="{FF2B5EF4-FFF2-40B4-BE49-F238E27FC236}">
              <a16:creationId xmlns:a16="http://schemas.microsoft.com/office/drawing/2014/main" id="{A7251AE5-A13C-9CD2-4AF2-5DA1CD76676C}"/>
            </a:ext>
          </a:extLst>
        </xdr:cNvPr>
        <xdr:cNvGrpSpPr/>
      </xdr:nvGrpSpPr>
      <xdr:grpSpPr>
        <a:xfrm>
          <a:off x="16089086" y="2950029"/>
          <a:ext cx="1730829" cy="3222171"/>
          <a:chOff x="21477514" y="2950029"/>
          <a:chExt cx="1730829" cy="3189514"/>
        </a:xfrm>
      </xdr:grpSpPr>
      <xdr:cxnSp macro="">
        <xdr:nvCxnSpPr>
          <xdr:cNvPr id="54" name="Connector: Elbow 53">
            <a:extLst>
              <a:ext uri="{FF2B5EF4-FFF2-40B4-BE49-F238E27FC236}">
                <a16:creationId xmlns:a16="http://schemas.microsoft.com/office/drawing/2014/main" id="{2C1C9827-5E6B-6D82-3A75-A31EA8902ABD}"/>
              </a:ext>
            </a:extLst>
          </xdr:cNvPr>
          <xdr:cNvCxnSpPr/>
        </xdr:nvCxnSpPr>
        <xdr:spPr>
          <a:xfrm>
            <a:off x="21488400" y="2950029"/>
            <a:ext cx="1719943" cy="1578428"/>
          </a:xfrm>
          <a:prstGeom prst="bentConnector3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57" name="Connector: Elbow 56">
            <a:extLst>
              <a:ext uri="{FF2B5EF4-FFF2-40B4-BE49-F238E27FC236}">
                <a16:creationId xmlns:a16="http://schemas.microsoft.com/office/drawing/2014/main" id="{7E8099D8-9719-40EF-B2A5-58E0BB7160EA}"/>
              </a:ext>
            </a:extLst>
          </xdr:cNvPr>
          <xdr:cNvCxnSpPr/>
        </xdr:nvCxnSpPr>
        <xdr:spPr>
          <a:xfrm flipV="1">
            <a:off x="21477514" y="4539343"/>
            <a:ext cx="1719943" cy="1600200"/>
          </a:xfrm>
          <a:prstGeom prst="bentConnector3">
            <a:avLst>
              <a:gd name="adj1" fmla="val 50633"/>
            </a:avLst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22</xdr:col>
      <xdr:colOff>10887</xdr:colOff>
      <xdr:row>22</xdr:row>
      <xdr:rowOff>108858</xdr:rowOff>
    </xdr:from>
    <xdr:to>
      <xdr:col>23</xdr:col>
      <xdr:colOff>511629</xdr:colOff>
      <xdr:row>31</xdr:row>
      <xdr:rowOff>97973</xdr:rowOff>
    </xdr:to>
    <xdr:grpSp>
      <xdr:nvGrpSpPr>
        <xdr:cNvPr id="6" name="Group 59">
          <a:extLst>
            <a:ext uri="{FF2B5EF4-FFF2-40B4-BE49-F238E27FC236}">
              <a16:creationId xmlns:a16="http://schemas.microsoft.com/office/drawing/2014/main" id="{DCD7667E-4808-4159-8376-86A27CC58645}"/>
            </a:ext>
          </a:extLst>
        </xdr:cNvPr>
        <xdr:cNvGrpSpPr/>
      </xdr:nvGrpSpPr>
      <xdr:grpSpPr>
        <a:xfrm>
          <a:off x="13618030" y="5192487"/>
          <a:ext cx="1110342" cy="1785257"/>
          <a:chOff x="21477514" y="2950029"/>
          <a:chExt cx="1730829" cy="3189514"/>
        </a:xfrm>
      </xdr:grpSpPr>
      <xdr:cxnSp macro="">
        <xdr:nvCxnSpPr>
          <xdr:cNvPr id="7" name="Connector: Elbow 53">
            <a:extLst>
              <a:ext uri="{FF2B5EF4-FFF2-40B4-BE49-F238E27FC236}">
                <a16:creationId xmlns:a16="http://schemas.microsoft.com/office/drawing/2014/main" id="{985B4FED-DA69-57DD-BC3D-2DBAA47F2815}"/>
              </a:ext>
            </a:extLst>
          </xdr:cNvPr>
          <xdr:cNvCxnSpPr/>
        </xdr:nvCxnSpPr>
        <xdr:spPr>
          <a:xfrm>
            <a:off x="21488400" y="2950029"/>
            <a:ext cx="1719943" cy="1578428"/>
          </a:xfrm>
          <a:prstGeom prst="bentConnector3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8" name="Connector: Elbow 56">
            <a:extLst>
              <a:ext uri="{FF2B5EF4-FFF2-40B4-BE49-F238E27FC236}">
                <a16:creationId xmlns:a16="http://schemas.microsoft.com/office/drawing/2014/main" id="{A549C904-17BA-4A47-ECA8-DAD60349EAD6}"/>
              </a:ext>
            </a:extLst>
          </xdr:cNvPr>
          <xdr:cNvCxnSpPr/>
        </xdr:nvCxnSpPr>
        <xdr:spPr>
          <a:xfrm flipV="1">
            <a:off x="21477514" y="4539343"/>
            <a:ext cx="1719943" cy="1600200"/>
          </a:xfrm>
          <a:prstGeom prst="bentConnector3">
            <a:avLst>
              <a:gd name="adj1" fmla="val 50633"/>
            </a:avLst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22</xdr:col>
      <xdr:colOff>32658</xdr:colOff>
      <xdr:row>6</xdr:row>
      <xdr:rowOff>141515</xdr:rowOff>
    </xdr:from>
    <xdr:to>
      <xdr:col>23</xdr:col>
      <xdr:colOff>533400</xdr:colOff>
      <xdr:row>15</xdr:row>
      <xdr:rowOff>141515</xdr:rowOff>
    </xdr:to>
    <xdr:grpSp>
      <xdr:nvGrpSpPr>
        <xdr:cNvPr id="9" name="Group 59">
          <a:extLst>
            <a:ext uri="{FF2B5EF4-FFF2-40B4-BE49-F238E27FC236}">
              <a16:creationId xmlns:a16="http://schemas.microsoft.com/office/drawing/2014/main" id="{864D2047-A2B9-4479-9DC8-B4A223A52496}"/>
            </a:ext>
          </a:extLst>
        </xdr:cNvPr>
        <xdr:cNvGrpSpPr/>
      </xdr:nvGrpSpPr>
      <xdr:grpSpPr>
        <a:xfrm>
          <a:off x="13639801" y="2035629"/>
          <a:ext cx="1110342" cy="1774372"/>
          <a:chOff x="21477514" y="2950029"/>
          <a:chExt cx="1730829" cy="3189514"/>
        </a:xfrm>
      </xdr:grpSpPr>
      <xdr:cxnSp macro="">
        <xdr:nvCxnSpPr>
          <xdr:cNvPr id="10" name="Connector: Elbow 53">
            <a:extLst>
              <a:ext uri="{FF2B5EF4-FFF2-40B4-BE49-F238E27FC236}">
                <a16:creationId xmlns:a16="http://schemas.microsoft.com/office/drawing/2014/main" id="{BC5FF829-9CC8-8AAF-4517-4E6E8E8C49DC}"/>
              </a:ext>
            </a:extLst>
          </xdr:cNvPr>
          <xdr:cNvCxnSpPr/>
        </xdr:nvCxnSpPr>
        <xdr:spPr>
          <a:xfrm>
            <a:off x="21488400" y="2950029"/>
            <a:ext cx="1719943" cy="1578428"/>
          </a:xfrm>
          <a:prstGeom prst="bentConnector3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1" name="Connector: Elbow 56">
            <a:extLst>
              <a:ext uri="{FF2B5EF4-FFF2-40B4-BE49-F238E27FC236}">
                <a16:creationId xmlns:a16="http://schemas.microsoft.com/office/drawing/2014/main" id="{1C4B51C0-1F31-A417-CED8-11F37EF67759}"/>
              </a:ext>
            </a:extLst>
          </xdr:cNvPr>
          <xdr:cNvCxnSpPr/>
        </xdr:nvCxnSpPr>
        <xdr:spPr>
          <a:xfrm flipV="1">
            <a:off x="21477514" y="4539343"/>
            <a:ext cx="1719943" cy="1600200"/>
          </a:xfrm>
          <a:prstGeom prst="bentConnector3">
            <a:avLst>
              <a:gd name="adj1" fmla="val 50633"/>
            </a:avLst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 editAs="oneCell">
    <xdr:from>
      <xdr:col>35</xdr:col>
      <xdr:colOff>557891</xdr:colOff>
      <xdr:row>10</xdr:row>
      <xdr:rowOff>144236</xdr:rowOff>
    </xdr:from>
    <xdr:to>
      <xdr:col>37</xdr:col>
      <xdr:colOff>149677</xdr:colOff>
      <xdr:row>17</xdr:row>
      <xdr:rowOff>117022</xdr:rowOff>
    </xdr:to>
    <xdr:pic>
      <xdr:nvPicPr>
        <xdr:cNvPr id="13" name="Imagem 12">
          <a:extLst>
            <a:ext uri="{FF2B5EF4-FFF2-40B4-BE49-F238E27FC236}">
              <a16:creationId xmlns:a16="http://schemas.microsoft.com/office/drawing/2014/main" id="{7B843541-2F06-2467-00FC-55BA817318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236791" y="2811236"/>
          <a:ext cx="810986" cy="1363436"/>
        </a:xfrm>
        <a:prstGeom prst="rect">
          <a:avLst/>
        </a:prstGeom>
      </xdr:spPr>
    </xdr:pic>
    <xdr:clientData/>
  </xdr:twoCellAnchor>
  <xdr:twoCellAnchor editAs="oneCell">
    <xdr:from>
      <xdr:col>38</xdr:col>
      <xdr:colOff>108858</xdr:colOff>
      <xdr:row>24</xdr:row>
      <xdr:rowOff>73478</xdr:rowOff>
    </xdr:from>
    <xdr:to>
      <xdr:col>40</xdr:col>
      <xdr:colOff>122244</xdr:colOff>
      <xdr:row>29</xdr:row>
      <xdr:rowOff>93491</xdr:rowOff>
    </xdr:to>
    <xdr:pic>
      <xdr:nvPicPr>
        <xdr:cNvPr id="14" name="Imagem 13" descr="Medalha de prata, 2º lugar em prata | Vetor Premium">
          <a:extLst>
            <a:ext uri="{FF2B5EF4-FFF2-40B4-BE49-F238E27FC236}">
              <a16:creationId xmlns:a16="http://schemas.microsoft.com/office/drawing/2014/main" id="{B9592D16-CA7D-4182-2EEB-80D71AFDDC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64108" y="5448299"/>
          <a:ext cx="775386" cy="77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38</xdr:col>
      <xdr:colOff>122465</xdr:colOff>
      <xdr:row>31</xdr:row>
      <xdr:rowOff>65315</xdr:rowOff>
    </xdr:from>
    <xdr:to>
      <xdr:col>40</xdr:col>
      <xdr:colOff>163351</xdr:colOff>
      <xdr:row>35</xdr:row>
      <xdr:rowOff>95316</xdr:rowOff>
    </xdr:to>
    <xdr:pic>
      <xdr:nvPicPr>
        <xdr:cNvPr id="16" name="Imagem 15">
          <a:extLst>
            <a:ext uri="{FF2B5EF4-FFF2-40B4-BE49-F238E27FC236}">
              <a16:creationId xmlns:a16="http://schemas.microsoft.com/office/drawing/2014/main" id="{CD30ADB6-2F2B-BD69-F944-081A83FB71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077715" y="6800851"/>
          <a:ext cx="802886" cy="792000"/>
        </a:xfrm>
        <a:prstGeom prst="rect">
          <a:avLst/>
        </a:prstGeom>
      </xdr:spPr>
    </xdr:pic>
    <xdr:clientData/>
  </xdr:twoCellAnchor>
  <xdr:twoCellAnchor editAs="oneCell">
    <xdr:from>
      <xdr:col>2</xdr:col>
      <xdr:colOff>539297</xdr:colOff>
      <xdr:row>67</xdr:row>
      <xdr:rowOff>2268</xdr:rowOff>
    </xdr:from>
    <xdr:to>
      <xdr:col>3</xdr:col>
      <xdr:colOff>95</xdr:colOff>
      <xdr:row>68</xdr:row>
      <xdr:rowOff>1294</xdr:rowOff>
    </xdr:to>
    <xdr:pic>
      <xdr:nvPicPr>
        <xdr:cNvPr id="15" name="Imagem 14">
          <a:extLst>
            <a:ext uri="{FF2B5EF4-FFF2-40B4-BE49-F238E27FC236}">
              <a16:creationId xmlns:a16="http://schemas.microsoft.com/office/drawing/2014/main" id="{60428AF3-B9F5-45DB-00CC-B8396B8946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7"/>
            </a:ext>
          </a:extLst>
        </a:blip>
        <a:stretch>
          <a:fillRect/>
        </a:stretch>
      </xdr:blipFill>
      <xdr:spPr>
        <a:xfrm>
          <a:off x="1758497" y="13540468"/>
          <a:ext cx="269969" cy="180454"/>
        </a:xfrm>
        <a:prstGeom prst="rect">
          <a:avLst/>
        </a:prstGeom>
      </xdr:spPr>
    </xdr:pic>
    <xdr:clientData/>
  </xdr:twoCellAnchor>
  <xdr:twoCellAnchor editAs="oneCell">
    <xdr:from>
      <xdr:col>2</xdr:col>
      <xdr:colOff>540204</xdr:colOff>
      <xdr:row>71</xdr:row>
      <xdr:rowOff>3629</xdr:rowOff>
    </xdr:from>
    <xdr:to>
      <xdr:col>3</xdr:col>
      <xdr:colOff>1002</xdr:colOff>
      <xdr:row>71</xdr:row>
      <xdr:rowOff>157005</xdr:rowOff>
    </xdr:to>
    <xdr:pic>
      <xdr:nvPicPr>
        <xdr:cNvPr id="18" name="Imagem 17">
          <a:extLst>
            <a:ext uri="{FF2B5EF4-FFF2-40B4-BE49-F238E27FC236}">
              <a16:creationId xmlns:a16="http://schemas.microsoft.com/office/drawing/2014/main" id="{1987D87C-2168-4160-93AC-481617434A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7"/>
            </a:ext>
          </a:extLst>
        </a:blip>
        <a:stretch>
          <a:fillRect/>
        </a:stretch>
      </xdr:blipFill>
      <xdr:spPr>
        <a:xfrm>
          <a:off x="1759404" y="14267543"/>
          <a:ext cx="269969" cy="159657"/>
        </a:xfrm>
        <a:prstGeom prst="rect">
          <a:avLst/>
        </a:prstGeom>
      </xdr:spPr>
    </xdr:pic>
    <xdr:clientData/>
  </xdr:twoCellAnchor>
  <xdr:twoCellAnchor editAs="oneCell">
    <xdr:from>
      <xdr:col>2</xdr:col>
      <xdr:colOff>541565</xdr:colOff>
      <xdr:row>69</xdr:row>
      <xdr:rowOff>0</xdr:rowOff>
    </xdr:from>
    <xdr:to>
      <xdr:col>3</xdr:col>
      <xdr:colOff>2363</xdr:colOff>
      <xdr:row>69</xdr:row>
      <xdr:rowOff>180000</xdr:rowOff>
    </xdr:to>
    <xdr:pic>
      <xdr:nvPicPr>
        <xdr:cNvPr id="20" name="Imagem 19">
          <a:extLst>
            <a:ext uri="{FF2B5EF4-FFF2-40B4-BE49-F238E27FC236}">
              <a16:creationId xmlns:a16="http://schemas.microsoft.com/office/drawing/2014/main" id="{E6346E08-EEA0-4E0A-B47F-EC63D1053A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7"/>
            </a:ext>
          </a:extLst>
        </a:blip>
        <a:stretch>
          <a:fillRect/>
        </a:stretch>
      </xdr:blipFill>
      <xdr:spPr>
        <a:xfrm>
          <a:off x="1760765" y="13901057"/>
          <a:ext cx="269969" cy="1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540204</xdr:colOff>
      <xdr:row>71</xdr:row>
      <xdr:rowOff>163287</xdr:rowOff>
    </xdr:from>
    <xdr:to>
      <xdr:col>3</xdr:col>
      <xdr:colOff>579</xdr:colOff>
      <xdr:row>73</xdr:row>
      <xdr:rowOff>3630</xdr:rowOff>
    </xdr:to>
    <xdr:pic>
      <xdr:nvPicPr>
        <xdr:cNvPr id="29" name="Imagem 28">
          <a:extLst>
            <a:ext uri="{FF2B5EF4-FFF2-40B4-BE49-F238E27FC236}">
              <a16:creationId xmlns:a16="http://schemas.microsoft.com/office/drawing/2014/main" id="{0F2F9988-A7F2-9B25-DC65-2AE8EA788D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11"/>
            </a:ext>
          </a:extLst>
        </a:blip>
        <a:stretch>
          <a:fillRect/>
        </a:stretch>
      </xdr:blipFill>
      <xdr:spPr>
        <a:xfrm>
          <a:off x="1759404" y="14427201"/>
          <a:ext cx="269546" cy="188686"/>
        </a:xfrm>
        <a:prstGeom prst="rect">
          <a:avLst/>
        </a:prstGeom>
      </xdr:spPr>
    </xdr:pic>
    <xdr:clientData/>
  </xdr:twoCellAnchor>
  <xdr:twoCellAnchor editAs="oneCell">
    <xdr:from>
      <xdr:col>2</xdr:col>
      <xdr:colOff>541564</xdr:colOff>
      <xdr:row>70</xdr:row>
      <xdr:rowOff>2268</xdr:rowOff>
    </xdr:from>
    <xdr:to>
      <xdr:col>3</xdr:col>
      <xdr:colOff>1939</xdr:colOff>
      <xdr:row>71</xdr:row>
      <xdr:rowOff>1294</xdr:rowOff>
    </xdr:to>
    <xdr:pic>
      <xdr:nvPicPr>
        <xdr:cNvPr id="31" name="Imagem 30">
          <a:extLst>
            <a:ext uri="{FF2B5EF4-FFF2-40B4-BE49-F238E27FC236}">
              <a16:creationId xmlns:a16="http://schemas.microsoft.com/office/drawing/2014/main" id="{76F1C06F-8300-4FD3-9C28-64C7F6BF4E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11"/>
            </a:ext>
          </a:extLst>
        </a:blip>
        <a:stretch>
          <a:fillRect/>
        </a:stretch>
      </xdr:blipFill>
      <xdr:spPr>
        <a:xfrm>
          <a:off x="1760764" y="14084754"/>
          <a:ext cx="269546" cy="180453"/>
        </a:xfrm>
        <a:prstGeom prst="rect">
          <a:avLst/>
        </a:prstGeom>
      </xdr:spPr>
    </xdr:pic>
    <xdr:clientData/>
  </xdr:twoCellAnchor>
  <xdr:twoCellAnchor editAs="oneCell">
    <xdr:from>
      <xdr:col>6</xdr:col>
      <xdr:colOff>2063</xdr:colOff>
      <xdr:row>67</xdr:row>
      <xdr:rowOff>268</xdr:rowOff>
    </xdr:from>
    <xdr:to>
      <xdr:col>6</xdr:col>
      <xdr:colOff>272063</xdr:colOff>
      <xdr:row>68</xdr:row>
      <xdr:rowOff>319</xdr:rowOff>
    </xdr:to>
    <xdr:pic>
      <xdr:nvPicPr>
        <xdr:cNvPr id="33" name="Imagem 32">
          <a:extLst>
            <a:ext uri="{FF2B5EF4-FFF2-40B4-BE49-F238E27FC236}">
              <a16:creationId xmlns:a16="http://schemas.microsoft.com/office/drawing/2014/main" id="{9AC2F579-79CC-4668-856B-2191FB9179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11"/>
            </a:ext>
          </a:extLst>
        </a:blip>
        <a:stretch>
          <a:fillRect/>
        </a:stretch>
      </xdr:blipFill>
      <xdr:spPr>
        <a:xfrm>
          <a:off x="3860063" y="13508268"/>
          <a:ext cx="270000" cy="181025"/>
        </a:xfrm>
        <a:prstGeom prst="rect">
          <a:avLst/>
        </a:prstGeom>
      </xdr:spPr>
    </xdr:pic>
    <xdr:clientData/>
  </xdr:twoCellAnchor>
  <xdr:twoCellAnchor editAs="oneCell">
    <xdr:from>
      <xdr:col>6</xdr:col>
      <xdr:colOff>5092</xdr:colOff>
      <xdr:row>72</xdr:row>
      <xdr:rowOff>2720</xdr:rowOff>
    </xdr:from>
    <xdr:to>
      <xdr:col>6</xdr:col>
      <xdr:colOff>272000</xdr:colOff>
      <xdr:row>72</xdr:row>
      <xdr:rowOff>180000</xdr:rowOff>
    </xdr:to>
    <xdr:pic>
      <xdr:nvPicPr>
        <xdr:cNvPr id="38" name="Imagem 37">
          <a:extLst>
            <a:ext uri="{FF2B5EF4-FFF2-40B4-BE49-F238E27FC236}">
              <a16:creationId xmlns:a16="http://schemas.microsoft.com/office/drawing/2014/main" id="{DFC04214-EFBB-37CD-BE2F-2B7363959D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13"/>
            </a:ext>
          </a:extLst>
        </a:blip>
        <a:stretch>
          <a:fillRect/>
        </a:stretch>
      </xdr:blipFill>
      <xdr:spPr>
        <a:xfrm>
          <a:off x="3863092" y="14406720"/>
          <a:ext cx="266908" cy="177280"/>
        </a:xfrm>
        <a:prstGeom prst="rect">
          <a:avLst/>
        </a:prstGeom>
      </xdr:spPr>
    </xdr:pic>
    <xdr:clientData/>
  </xdr:twoCellAnchor>
  <xdr:twoCellAnchor editAs="oneCell">
    <xdr:from>
      <xdr:col>6</xdr:col>
      <xdr:colOff>14081</xdr:colOff>
      <xdr:row>69</xdr:row>
      <xdr:rowOff>3257</xdr:rowOff>
    </xdr:from>
    <xdr:to>
      <xdr:col>6</xdr:col>
      <xdr:colOff>279524</xdr:colOff>
      <xdr:row>69</xdr:row>
      <xdr:rowOff>173800</xdr:rowOff>
    </xdr:to>
    <xdr:pic>
      <xdr:nvPicPr>
        <xdr:cNvPr id="41" name="Imagem 40">
          <a:extLst>
            <a:ext uri="{FF2B5EF4-FFF2-40B4-BE49-F238E27FC236}">
              <a16:creationId xmlns:a16="http://schemas.microsoft.com/office/drawing/2014/main" id="{25B7B1D0-31A1-46AC-BB66-0B67C83E5B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13"/>
            </a:ext>
          </a:extLst>
        </a:blip>
        <a:stretch>
          <a:fillRect/>
        </a:stretch>
      </xdr:blipFill>
      <xdr:spPr>
        <a:xfrm>
          <a:off x="3871706" y="13843082"/>
          <a:ext cx="265443" cy="170543"/>
        </a:xfrm>
        <a:prstGeom prst="rect">
          <a:avLst/>
        </a:prstGeom>
      </xdr:spPr>
    </xdr:pic>
    <xdr:clientData/>
  </xdr:twoCellAnchor>
  <xdr:twoCellAnchor editAs="oneCell">
    <xdr:from>
      <xdr:col>2</xdr:col>
      <xdr:colOff>540656</xdr:colOff>
      <xdr:row>68</xdr:row>
      <xdr:rowOff>7257</xdr:rowOff>
    </xdr:from>
    <xdr:to>
      <xdr:col>3</xdr:col>
      <xdr:colOff>1274</xdr:colOff>
      <xdr:row>68</xdr:row>
      <xdr:rowOff>177800</xdr:rowOff>
    </xdr:to>
    <xdr:pic>
      <xdr:nvPicPr>
        <xdr:cNvPr id="42" name="Imagem 41">
          <a:extLst>
            <a:ext uri="{FF2B5EF4-FFF2-40B4-BE49-F238E27FC236}">
              <a16:creationId xmlns:a16="http://schemas.microsoft.com/office/drawing/2014/main" id="{72AB7CEA-1F8D-44E1-A1D9-CB5AC08E5C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13"/>
            </a:ext>
          </a:extLst>
        </a:blip>
        <a:stretch>
          <a:fillRect/>
        </a:stretch>
      </xdr:blipFill>
      <xdr:spPr>
        <a:xfrm>
          <a:off x="1759856" y="13726886"/>
          <a:ext cx="269789" cy="170543"/>
        </a:xfrm>
        <a:prstGeom prst="rect">
          <a:avLst/>
        </a:prstGeom>
      </xdr:spPr>
    </xdr:pic>
    <xdr:clientData/>
  </xdr:twoCellAnchor>
  <xdr:twoCellAnchor editAs="oneCell">
    <xdr:from>
      <xdr:col>6</xdr:col>
      <xdr:colOff>721</xdr:colOff>
      <xdr:row>68</xdr:row>
      <xdr:rowOff>1464</xdr:rowOff>
    </xdr:from>
    <xdr:to>
      <xdr:col>6</xdr:col>
      <xdr:colOff>270721</xdr:colOff>
      <xdr:row>69</xdr:row>
      <xdr:rowOff>1355</xdr:rowOff>
    </xdr:to>
    <xdr:pic>
      <xdr:nvPicPr>
        <xdr:cNvPr id="44" name="Imagem 43">
          <a:extLst>
            <a:ext uri="{FF2B5EF4-FFF2-40B4-BE49-F238E27FC236}">
              <a16:creationId xmlns:a16="http://schemas.microsoft.com/office/drawing/2014/main" id="{B2AE274E-297D-D62D-EDB4-39B18445F5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17"/>
            </a:ext>
          </a:extLst>
        </a:blip>
        <a:stretch>
          <a:fillRect/>
        </a:stretch>
      </xdr:blipFill>
      <xdr:spPr>
        <a:xfrm>
          <a:off x="3858721" y="13691464"/>
          <a:ext cx="270000" cy="181891"/>
        </a:xfrm>
        <a:prstGeom prst="rect">
          <a:avLst/>
        </a:prstGeom>
      </xdr:spPr>
    </xdr:pic>
    <xdr:clientData/>
  </xdr:twoCellAnchor>
  <xdr:twoCellAnchor editAs="oneCell">
    <xdr:from>
      <xdr:col>6</xdr:col>
      <xdr:colOff>2123</xdr:colOff>
      <xdr:row>70</xdr:row>
      <xdr:rowOff>2618</xdr:rowOff>
    </xdr:from>
    <xdr:to>
      <xdr:col>6</xdr:col>
      <xdr:colOff>272123</xdr:colOff>
      <xdr:row>71</xdr:row>
      <xdr:rowOff>2001</xdr:rowOff>
    </xdr:to>
    <xdr:pic>
      <xdr:nvPicPr>
        <xdr:cNvPr id="46" name="Imagem 45">
          <a:extLst>
            <a:ext uri="{FF2B5EF4-FFF2-40B4-BE49-F238E27FC236}">
              <a16:creationId xmlns:a16="http://schemas.microsoft.com/office/drawing/2014/main" id="{A90CEC1D-E0B9-47FC-8E70-5D3A4AAF9A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17"/>
            </a:ext>
          </a:extLst>
        </a:blip>
        <a:stretch>
          <a:fillRect/>
        </a:stretch>
      </xdr:blipFill>
      <xdr:spPr>
        <a:xfrm>
          <a:off x="3860123" y="14056618"/>
          <a:ext cx="270000" cy="181382"/>
        </a:xfrm>
        <a:prstGeom prst="rect">
          <a:avLst/>
        </a:prstGeom>
      </xdr:spPr>
    </xdr:pic>
    <xdr:clientData/>
  </xdr:twoCellAnchor>
  <xdr:twoCellAnchor editAs="oneCell">
    <xdr:from>
      <xdr:col>6</xdr:col>
      <xdr:colOff>2124</xdr:colOff>
      <xdr:row>71</xdr:row>
      <xdr:rowOff>1464</xdr:rowOff>
    </xdr:from>
    <xdr:to>
      <xdr:col>6</xdr:col>
      <xdr:colOff>272124</xdr:colOff>
      <xdr:row>72</xdr:row>
      <xdr:rowOff>1063</xdr:rowOff>
    </xdr:to>
    <xdr:pic>
      <xdr:nvPicPr>
        <xdr:cNvPr id="48" name="Imagem 47">
          <a:extLst>
            <a:ext uri="{FF2B5EF4-FFF2-40B4-BE49-F238E27FC236}">
              <a16:creationId xmlns:a16="http://schemas.microsoft.com/office/drawing/2014/main" id="{607A9048-3E16-4B28-B672-879EFA839A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17"/>
            </a:ext>
          </a:extLst>
        </a:blip>
        <a:stretch>
          <a:fillRect/>
        </a:stretch>
      </xdr:blipFill>
      <xdr:spPr>
        <a:xfrm>
          <a:off x="3860124" y="14237464"/>
          <a:ext cx="270000" cy="165855"/>
        </a:xfrm>
        <a:prstGeom prst="rect">
          <a:avLst/>
        </a:prstGeom>
      </xdr:spPr>
    </xdr:pic>
    <xdr:clientData/>
  </xdr:twoCellAnchor>
  <xdr:twoCellAnchor editAs="oneCell">
    <xdr:from>
      <xdr:col>2</xdr:col>
      <xdr:colOff>539444</xdr:colOff>
      <xdr:row>4</xdr:row>
      <xdr:rowOff>2628</xdr:rowOff>
    </xdr:from>
    <xdr:to>
      <xdr:col>3</xdr:col>
      <xdr:colOff>2299</xdr:colOff>
      <xdr:row>5</xdr:row>
      <xdr:rowOff>1313</xdr:rowOff>
    </xdr:to>
    <xdr:pic>
      <xdr:nvPicPr>
        <xdr:cNvPr id="51" name="Imagem 50">
          <a:extLst>
            <a:ext uri="{FF2B5EF4-FFF2-40B4-BE49-F238E27FC236}">
              <a16:creationId xmlns:a16="http://schemas.microsoft.com/office/drawing/2014/main" id="{06F9F952-DC80-6548-D7B7-5C866E9640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1"/>
            </a:ext>
          </a:extLst>
        </a:blip>
        <a:stretch>
          <a:fillRect/>
        </a:stretch>
      </xdr:blipFill>
      <xdr:spPr>
        <a:xfrm>
          <a:off x="1758644" y="1503768"/>
          <a:ext cx="270575" cy="189185"/>
        </a:xfrm>
        <a:prstGeom prst="rect">
          <a:avLst/>
        </a:prstGeom>
      </xdr:spPr>
    </xdr:pic>
    <xdr:clientData/>
  </xdr:twoCellAnchor>
  <xdr:twoCellAnchor editAs="oneCell">
    <xdr:from>
      <xdr:col>2</xdr:col>
      <xdr:colOff>536726</xdr:colOff>
      <xdr:row>6</xdr:row>
      <xdr:rowOff>5255</xdr:rowOff>
    </xdr:from>
    <xdr:to>
      <xdr:col>3</xdr:col>
      <xdr:colOff>1369</xdr:colOff>
      <xdr:row>7</xdr:row>
      <xdr:rowOff>2627</xdr:rowOff>
    </xdr:to>
    <xdr:pic>
      <xdr:nvPicPr>
        <xdr:cNvPr id="52" name="Imagem 51">
          <a:extLst>
            <a:ext uri="{FF2B5EF4-FFF2-40B4-BE49-F238E27FC236}">
              <a16:creationId xmlns:a16="http://schemas.microsoft.com/office/drawing/2014/main" id="{83DAA9B8-28CA-46EE-8C36-B98C9A9BAA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1"/>
            </a:ext>
          </a:extLst>
        </a:blip>
        <a:stretch>
          <a:fillRect/>
        </a:stretch>
      </xdr:blipFill>
      <xdr:spPr>
        <a:xfrm>
          <a:off x="1755926" y="1891862"/>
          <a:ext cx="271312" cy="189186"/>
        </a:xfrm>
        <a:prstGeom prst="rect">
          <a:avLst/>
        </a:prstGeom>
      </xdr:spPr>
    </xdr:pic>
    <xdr:clientData/>
  </xdr:twoCellAnchor>
  <xdr:twoCellAnchor editAs="oneCell">
    <xdr:from>
      <xdr:col>2</xdr:col>
      <xdr:colOff>537421</xdr:colOff>
      <xdr:row>8</xdr:row>
      <xdr:rowOff>4762</xdr:rowOff>
    </xdr:from>
    <xdr:to>
      <xdr:col>3</xdr:col>
      <xdr:colOff>276</xdr:colOff>
      <xdr:row>9</xdr:row>
      <xdr:rowOff>328</xdr:rowOff>
    </xdr:to>
    <xdr:pic>
      <xdr:nvPicPr>
        <xdr:cNvPr id="53" name="Imagem 52">
          <a:extLst>
            <a:ext uri="{FF2B5EF4-FFF2-40B4-BE49-F238E27FC236}">
              <a16:creationId xmlns:a16="http://schemas.microsoft.com/office/drawing/2014/main" id="{65FBAC9B-93AD-4207-8D44-B42B3CD6ED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1"/>
            </a:ext>
          </a:extLst>
        </a:blip>
        <a:stretch>
          <a:fillRect/>
        </a:stretch>
      </xdr:blipFill>
      <xdr:spPr>
        <a:xfrm>
          <a:off x="1756621" y="2274996"/>
          <a:ext cx="269524" cy="176541"/>
        </a:xfrm>
        <a:prstGeom prst="rect">
          <a:avLst/>
        </a:prstGeom>
      </xdr:spPr>
    </xdr:pic>
    <xdr:clientData/>
  </xdr:twoCellAnchor>
  <xdr:twoCellAnchor editAs="oneCell">
    <xdr:from>
      <xdr:col>2</xdr:col>
      <xdr:colOff>535858</xdr:colOff>
      <xdr:row>5</xdr:row>
      <xdr:rowOff>2629</xdr:rowOff>
    </xdr:from>
    <xdr:to>
      <xdr:col>3</xdr:col>
      <xdr:colOff>315</xdr:colOff>
      <xdr:row>6</xdr:row>
      <xdr:rowOff>2627</xdr:rowOff>
    </xdr:to>
    <xdr:pic>
      <xdr:nvPicPr>
        <xdr:cNvPr id="56" name="Imagem 55">
          <a:extLst>
            <a:ext uri="{FF2B5EF4-FFF2-40B4-BE49-F238E27FC236}">
              <a16:creationId xmlns:a16="http://schemas.microsoft.com/office/drawing/2014/main" id="{690A5748-2246-0124-26D8-2B966E0ABF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4"/>
            </a:ext>
          </a:extLst>
        </a:blip>
        <a:stretch>
          <a:fillRect/>
        </a:stretch>
      </xdr:blipFill>
      <xdr:spPr>
        <a:xfrm>
          <a:off x="1755058" y="1697422"/>
          <a:ext cx="271126" cy="191812"/>
        </a:xfrm>
        <a:prstGeom prst="rect">
          <a:avLst/>
        </a:prstGeom>
      </xdr:spPr>
    </xdr:pic>
    <xdr:clientData/>
  </xdr:twoCellAnchor>
  <xdr:twoCellAnchor editAs="oneCell">
    <xdr:from>
      <xdr:col>6</xdr:col>
      <xdr:colOff>2118</xdr:colOff>
      <xdr:row>6</xdr:row>
      <xdr:rowOff>1812</xdr:rowOff>
    </xdr:from>
    <xdr:to>
      <xdr:col>6</xdr:col>
      <xdr:colOff>270641</xdr:colOff>
      <xdr:row>6</xdr:row>
      <xdr:rowOff>189186</xdr:rowOff>
    </xdr:to>
    <xdr:pic>
      <xdr:nvPicPr>
        <xdr:cNvPr id="59" name="Imagem 58">
          <a:extLst>
            <a:ext uri="{FF2B5EF4-FFF2-40B4-BE49-F238E27FC236}">
              <a16:creationId xmlns:a16="http://schemas.microsoft.com/office/drawing/2014/main" id="{EC2D2E47-9B17-4454-91C7-2F74CB461F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4"/>
            </a:ext>
          </a:extLst>
        </a:blip>
        <a:stretch>
          <a:fillRect/>
        </a:stretch>
      </xdr:blipFill>
      <xdr:spPr>
        <a:xfrm>
          <a:off x="3856787" y="1888419"/>
          <a:ext cx="268523" cy="187374"/>
        </a:xfrm>
        <a:prstGeom prst="rect">
          <a:avLst/>
        </a:prstGeom>
      </xdr:spPr>
    </xdr:pic>
    <xdr:clientData/>
  </xdr:twoCellAnchor>
  <xdr:twoCellAnchor editAs="oneCell">
    <xdr:from>
      <xdr:col>6</xdr:col>
      <xdr:colOff>4762</xdr:colOff>
      <xdr:row>9</xdr:row>
      <xdr:rowOff>4762</xdr:rowOff>
    </xdr:from>
    <xdr:to>
      <xdr:col>6</xdr:col>
      <xdr:colOff>278524</xdr:colOff>
      <xdr:row>10</xdr:row>
      <xdr:rowOff>156</xdr:rowOff>
    </xdr:to>
    <xdr:pic>
      <xdr:nvPicPr>
        <xdr:cNvPr id="64" name="Imagem 63">
          <a:extLst>
            <a:ext uri="{FF2B5EF4-FFF2-40B4-BE49-F238E27FC236}">
              <a16:creationId xmlns:a16="http://schemas.microsoft.com/office/drawing/2014/main" id="{59B148C1-8779-425A-9FE0-B6C1E1049B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4"/>
            </a:ext>
          </a:extLst>
        </a:blip>
        <a:stretch>
          <a:fillRect/>
        </a:stretch>
      </xdr:blipFill>
      <xdr:spPr>
        <a:xfrm>
          <a:off x="3865004" y="2458235"/>
          <a:ext cx="273762" cy="179613"/>
        </a:xfrm>
        <a:prstGeom prst="rect">
          <a:avLst/>
        </a:prstGeom>
      </xdr:spPr>
    </xdr:pic>
    <xdr:clientData/>
  </xdr:twoCellAnchor>
  <xdr:twoCellAnchor editAs="oneCell">
    <xdr:from>
      <xdr:col>6</xdr:col>
      <xdr:colOff>1660</xdr:colOff>
      <xdr:row>4</xdr:row>
      <xdr:rowOff>4616</xdr:rowOff>
    </xdr:from>
    <xdr:to>
      <xdr:col>6</xdr:col>
      <xdr:colOff>271660</xdr:colOff>
      <xdr:row>5</xdr:row>
      <xdr:rowOff>14287</xdr:rowOff>
    </xdr:to>
    <xdr:pic>
      <xdr:nvPicPr>
        <xdr:cNvPr id="66" name="Imagem 65">
          <a:extLst>
            <a:ext uri="{FF2B5EF4-FFF2-40B4-BE49-F238E27FC236}">
              <a16:creationId xmlns:a16="http://schemas.microsoft.com/office/drawing/2014/main" id="{760615CF-812F-3627-5B02-1F8AC102F0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6"/>
            </a:ext>
          </a:extLst>
        </a:blip>
        <a:stretch>
          <a:fillRect/>
        </a:stretch>
      </xdr:blipFill>
      <xdr:spPr>
        <a:xfrm>
          <a:off x="3859285" y="1500041"/>
          <a:ext cx="270000" cy="200171"/>
        </a:xfrm>
        <a:prstGeom prst="rect">
          <a:avLst/>
        </a:prstGeom>
      </xdr:spPr>
    </xdr:pic>
    <xdr:clientData/>
  </xdr:twoCellAnchor>
  <xdr:twoCellAnchor editAs="oneCell">
    <xdr:from>
      <xdr:col>2</xdr:col>
      <xdr:colOff>538011</xdr:colOff>
      <xdr:row>7</xdr:row>
      <xdr:rowOff>4762</xdr:rowOff>
    </xdr:from>
    <xdr:to>
      <xdr:col>3</xdr:col>
      <xdr:colOff>1546</xdr:colOff>
      <xdr:row>8</xdr:row>
      <xdr:rowOff>2628</xdr:rowOff>
    </xdr:to>
    <xdr:pic>
      <xdr:nvPicPr>
        <xdr:cNvPr id="69" name="Imagem 68">
          <a:extLst>
            <a:ext uri="{FF2B5EF4-FFF2-40B4-BE49-F238E27FC236}">
              <a16:creationId xmlns:a16="http://schemas.microsoft.com/office/drawing/2014/main" id="{763C6846-FDDE-48FF-8DAD-86E6ED1CD9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6"/>
            </a:ext>
          </a:extLst>
        </a:blip>
        <a:stretch>
          <a:fillRect/>
        </a:stretch>
      </xdr:blipFill>
      <xdr:spPr>
        <a:xfrm>
          <a:off x="1757211" y="2083183"/>
          <a:ext cx="270204" cy="189679"/>
        </a:xfrm>
        <a:prstGeom prst="rect">
          <a:avLst/>
        </a:prstGeom>
      </xdr:spPr>
    </xdr:pic>
    <xdr:clientData/>
  </xdr:twoCellAnchor>
  <xdr:twoCellAnchor editAs="oneCell">
    <xdr:from>
      <xdr:col>2</xdr:col>
      <xdr:colOff>534923</xdr:colOff>
      <xdr:row>9</xdr:row>
      <xdr:rowOff>4441</xdr:rowOff>
    </xdr:from>
    <xdr:to>
      <xdr:col>3</xdr:col>
      <xdr:colOff>1563</xdr:colOff>
      <xdr:row>10</xdr:row>
      <xdr:rowOff>0</xdr:rowOff>
    </xdr:to>
    <xdr:pic>
      <xdr:nvPicPr>
        <xdr:cNvPr id="70" name="Imagem 69">
          <a:extLst>
            <a:ext uri="{FF2B5EF4-FFF2-40B4-BE49-F238E27FC236}">
              <a16:creationId xmlns:a16="http://schemas.microsoft.com/office/drawing/2014/main" id="{1734E902-CB0F-453E-9691-FDAF648D2F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6"/>
            </a:ext>
          </a:extLst>
        </a:blip>
        <a:stretch>
          <a:fillRect/>
        </a:stretch>
      </xdr:blipFill>
      <xdr:spPr>
        <a:xfrm>
          <a:off x="1754123" y="2458607"/>
          <a:ext cx="270204" cy="179490"/>
        </a:xfrm>
        <a:prstGeom prst="rect">
          <a:avLst/>
        </a:prstGeom>
      </xdr:spPr>
    </xdr:pic>
    <xdr:clientData/>
  </xdr:twoCellAnchor>
  <xdr:twoCellAnchor editAs="oneCell">
    <xdr:from>
      <xdr:col>6</xdr:col>
      <xdr:colOff>1659</xdr:colOff>
      <xdr:row>5</xdr:row>
      <xdr:rowOff>2136</xdr:rowOff>
    </xdr:from>
    <xdr:to>
      <xdr:col>6</xdr:col>
      <xdr:colOff>271659</xdr:colOff>
      <xdr:row>6</xdr:row>
      <xdr:rowOff>824</xdr:rowOff>
    </xdr:to>
    <xdr:pic>
      <xdr:nvPicPr>
        <xdr:cNvPr id="72" name="Imagem 71">
          <a:extLst>
            <a:ext uri="{FF2B5EF4-FFF2-40B4-BE49-F238E27FC236}">
              <a16:creationId xmlns:a16="http://schemas.microsoft.com/office/drawing/2014/main" id="{9E098DD9-96E1-2407-CACB-A289D9C2A5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0"/>
            </a:ext>
          </a:extLst>
        </a:blip>
        <a:stretch>
          <a:fillRect/>
        </a:stretch>
      </xdr:blipFill>
      <xdr:spPr>
        <a:xfrm>
          <a:off x="3856328" y="1696929"/>
          <a:ext cx="270000" cy="188280"/>
        </a:xfrm>
        <a:prstGeom prst="rect">
          <a:avLst/>
        </a:prstGeom>
      </xdr:spPr>
    </xdr:pic>
    <xdr:clientData/>
  </xdr:twoCellAnchor>
  <xdr:twoCellAnchor editAs="oneCell">
    <xdr:from>
      <xdr:col>6</xdr:col>
      <xdr:colOff>2289</xdr:colOff>
      <xdr:row>7</xdr:row>
      <xdr:rowOff>5255</xdr:rowOff>
    </xdr:from>
    <xdr:to>
      <xdr:col>6</xdr:col>
      <xdr:colOff>273268</xdr:colOff>
      <xdr:row>8</xdr:row>
      <xdr:rowOff>86</xdr:rowOff>
    </xdr:to>
    <xdr:pic>
      <xdr:nvPicPr>
        <xdr:cNvPr id="74" name="Imagem 73">
          <a:extLst>
            <a:ext uri="{FF2B5EF4-FFF2-40B4-BE49-F238E27FC236}">
              <a16:creationId xmlns:a16="http://schemas.microsoft.com/office/drawing/2014/main" id="{86DB3523-0AF7-48D2-BBC9-84944350BA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0"/>
            </a:ext>
          </a:extLst>
        </a:blip>
        <a:stretch>
          <a:fillRect/>
        </a:stretch>
      </xdr:blipFill>
      <xdr:spPr>
        <a:xfrm>
          <a:off x="3856958" y="2083676"/>
          <a:ext cx="270979" cy="186644"/>
        </a:xfrm>
        <a:prstGeom prst="rect">
          <a:avLst/>
        </a:prstGeom>
      </xdr:spPr>
    </xdr:pic>
    <xdr:clientData/>
  </xdr:twoCellAnchor>
  <xdr:twoCellAnchor editAs="oneCell">
    <xdr:from>
      <xdr:col>5</xdr:col>
      <xdr:colOff>609107</xdr:colOff>
      <xdr:row>7</xdr:row>
      <xdr:rowOff>191474</xdr:rowOff>
    </xdr:from>
    <xdr:to>
      <xdr:col>6</xdr:col>
      <xdr:colOff>275897</xdr:colOff>
      <xdr:row>9</xdr:row>
      <xdr:rowOff>329</xdr:rowOff>
    </xdr:to>
    <xdr:pic>
      <xdr:nvPicPr>
        <xdr:cNvPr id="76" name="Imagem 75">
          <a:extLst>
            <a:ext uri="{FF2B5EF4-FFF2-40B4-BE49-F238E27FC236}">
              <a16:creationId xmlns:a16="http://schemas.microsoft.com/office/drawing/2014/main" id="{5F340EC7-B0DB-42CC-BEC0-DA62C40C39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0"/>
            </a:ext>
          </a:extLst>
        </a:blip>
        <a:stretch>
          <a:fillRect/>
        </a:stretch>
      </xdr:blipFill>
      <xdr:spPr>
        <a:xfrm>
          <a:off x="3854176" y="2269895"/>
          <a:ext cx="276390" cy="181643"/>
        </a:xfrm>
        <a:prstGeom prst="rect">
          <a:avLst/>
        </a:prstGeom>
      </xdr:spPr>
    </xdr:pic>
    <xdr:clientData/>
  </xdr:twoCellAnchor>
  <xdr:twoCellAnchor editAs="oneCell">
    <xdr:from>
      <xdr:col>6</xdr:col>
      <xdr:colOff>6531</xdr:colOff>
      <xdr:row>14</xdr:row>
      <xdr:rowOff>7076</xdr:rowOff>
    </xdr:from>
    <xdr:to>
      <xdr:col>6</xdr:col>
      <xdr:colOff>270992</xdr:colOff>
      <xdr:row>15</xdr:row>
      <xdr:rowOff>0</xdr:rowOff>
    </xdr:to>
    <xdr:pic>
      <xdr:nvPicPr>
        <xdr:cNvPr id="36" name="Imagem 35" descr="BANDEIRA WALES (PAÍS DE GALES) - Cachecol e bandeiras de todos os times do  mundo">
          <a:extLst>
            <a:ext uri="{FF2B5EF4-FFF2-40B4-BE49-F238E27FC236}">
              <a16:creationId xmlns:a16="http://schemas.microsoft.com/office/drawing/2014/main" id="{2B87DC26-CA49-C533-694C-C556FEEFCE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2251" y="3443696"/>
          <a:ext cx="264461" cy="1738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6259</xdr:colOff>
      <xdr:row>16</xdr:row>
      <xdr:rowOff>5715</xdr:rowOff>
    </xdr:from>
    <xdr:to>
      <xdr:col>6</xdr:col>
      <xdr:colOff>270720</xdr:colOff>
      <xdr:row>17</xdr:row>
      <xdr:rowOff>1904</xdr:rowOff>
    </xdr:to>
    <xdr:pic>
      <xdr:nvPicPr>
        <xdr:cNvPr id="37" name="Imagem 36" descr="BANDEIRA WALES (PAÍS DE GALES) - Cachecol e bandeiras de todos os times do  mundo">
          <a:extLst>
            <a:ext uri="{FF2B5EF4-FFF2-40B4-BE49-F238E27FC236}">
              <a16:creationId xmlns:a16="http://schemas.microsoft.com/office/drawing/2014/main" id="{3E7DFA61-B24C-4778-9F69-0B51FF32AD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1979" y="3815715"/>
          <a:ext cx="264461" cy="2057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2177</xdr:colOff>
      <xdr:row>17</xdr:row>
      <xdr:rowOff>7348</xdr:rowOff>
    </xdr:from>
    <xdr:to>
      <xdr:col>6</xdr:col>
      <xdr:colOff>266638</xdr:colOff>
      <xdr:row>18</xdr:row>
      <xdr:rowOff>1828</xdr:rowOff>
    </xdr:to>
    <xdr:pic>
      <xdr:nvPicPr>
        <xdr:cNvPr id="39" name="Imagem 38" descr="BANDEIRA WALES (PAÍS DE GALES) - Cachecol e bandeiras de todos os times do  mundo">
          <a:extLst>
            <a:ext uri="{FF2B5EF4-FFF2-40B4-BE49-F238E27FC236}">
              <a16:creationId xmlns:a16="http://schemas.microsoft.com/office/drawing/2014/main" id="{D40E5E5E-CD73-4C0A-B96F-0138C46490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57897" y="4030708"/>
          <a:ext cx="264461" cy="1888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5170</xdr:colOff>
      <xdr:row>15</xdr:row>
      <xdr:rowOff>2720</xdr:rowOff>
    </xdr:from>
    <xdr:to>
      <xdr:col>6</xdr:col>
      <xdr:colOff>270509</xdr:colOff>
      <xdr:row>15</xdr:row>
      <xdr:rowOff>186690</xdr:rowOff>
    </xdr:to>
    <xdr:pic>
      <xdr:nvPicPr>
        <xdr:cNvPr id="30" name="Imagem 29">
          <a:extLst>
            <a:ext uri="{FF2B5EF4-FFF2-40B4-BE49-F238E27FC236}">
              <a16:creationId xmlns:a16="http://schemas.microsoft.com/office/drawing/2014/main" id="{6E095563-05D2-4E47-BE83-266A5B51A3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5"/>
            </a:ext>
          </a:extLst>
        </a:blip>
        <a:stretch>
          <a:fillRect/>
        </a:stretch>
      </xdr:blipFill>
      <xdr:spPr>
        <a:xfrm>
          <a:off x="3860890" y="3622220"/>
          <a:ext cx="265339" cy="183970"/>
        </a:xfrm>
        <a:prstGeom prst="rect">
          <a:avLst/>
        </a:prstGeom>
      </xdr:spPr>
    </xdr:pic>
    <xdr:clientData/>
  </xdr:twoCellAnchor>
  <xdr:twoCellAnchor editAs="oneCell">
    <xdr:from>
      <xdr:col>6</xdr:col>
      <xdr:colOff>5170</xdr:colOff>
      <xdr:row>18</xdr:row>
      <xdr:rowOff>1905</xdr:rowOff>
    </xdr:from>
    <xdr:to>
      <xdr:col>6</xdr:col>
      <xdr:colOff>270509</xdr:colOff>
      <xdr:row>19</xdr:row>
      <xdr:rowOff>2017</xdr:rowOff>
    </xdr:to>
    <xdr:pic>
      <xdr:nvPicPr>
        <xdr:cNvPr id="40" name="Imagem 39">
          <a:extLst>
            <a:ext uri="{FF2B5EF4-FFF2-40B4-BE49-F238E27FC236}">
              <a16:creationId xmlns:a16="http://schemas.microsoft.com/office/drawing/2014/main" id="{3E1F7D9D-CB13-4B5A-BB24-5CDCB4FFA6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5"/>
            </a:ext>
          </a:extLst>
        </a:blip>
        <a:stretch>
          <a:fillRect/>
        </a:stretch>
      </xdr:blipFill>
      <xdr:spPr>
        <a:xfrm>
          <a:off x="3860890" y="4223385"/>
          <a:ext cx="265339" cy="171562"/>
        </a:xfrm>
        <a:prstGeom prst="rect">
          <a:avLst/>
        </a:prstGeom>
      </xdr:spPr>
    </xdr:pic>
    <xdr:clientData/>
  </xdr:twoCellAnchor>
  <xdr:twoCellAnchor editAs="oneCell">
    <xdr:from>
      <xdr:col>2</xdr:col>
      <xdr:colOff>539115</xdr:colOff>
      <xdr:row>14</xdr:row>
      <xdr:rowOff>3810</xdr:rowOff>
    </xdr:from>
    <xdr:to>
      <xdr:col>3</xdr:col>
      <xdr:colOff>890</xdr:colOff>
      <xdr:row>15</xdr:row>
      <xdr:rowOff>427</xdr:rowOff>
    </xdr:to>
    <xdr:pic>
      <xdr:nvPicPr>
        <xdr:cNvPr id="43" name="Imagem 42">
          <a:extLst>
            <a:ext uri="{FF2B5EF4-FFF2-40B4-BE49-F238E27FC236}">
              <a16:creationId xmlns:a16="http://schemas.microsoft.com/office/drawing/2014/main" id="{18BA5291-5FC9-4F6E-8234-46DE75423F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5"/>
            </a:ext>
          </a:extLst>
        </a:blip>
        <a:stretch>
          <a:fillRect/>
        </a:stretch>
      </xdr:blipFill>
      <xdr:spPr>
        <a:xfrm>
          <a:off x="1758315" y="3440430"/>
          <a:ext cx="265339" cy="174557"/>
        </a:xfrm>
        <a:prstGeom prst="rect">
          <a:avLst/>
        </a:prstGeom>
      </xdr:spPr>
    </xdr:pic>
    <xdr:clientData/>
  </xdr:twoCellAnchor>
  <xdr:twoCellAnchor editAs="oneCell">
    <xdr:from>
      <xdr:col>2</xdr:col>
      <xdr:colOff>538843</xdr:colOff>
      <xdr:row>13</xdr:row>
      <xdr:rowOff>5170</xdr:rowOff>
    </xdr:from>
    <xdr:to>
      <xdr:col>3</xdr:col>
      <xdr:colOff>346</xdr:colOff>
      <xdr:row>13</xdr:row>
      <xdr:rowOff>179070</xdr:rowOff>
    </xdr:to>
    <xdr:pic>
      <xdr:nvPicPr>
        <xdr:cNvPr id="17" name="Imagem 16">
          <a:extLst>
            <a:ext uri="{FF2B5EF4-FFF2-40B4-BE49-F238E27FC236}">
              <a16:creationId xmlns:a16="http://schemas.microsoft.com/office/drawing/2014/main" id="{4D813C11-0C41-3A08-1080-F658779575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8"/>
            </a:ext>
          </a:extLst>
        </a:blip>
        <a:stretch>
          <a:fillRect/>
        </a:stretch>
      </xdr:blipFill>
      <xdr:spPr>
        <a:xfrm>
          <a:off x="1758043" y="3251290"/>
          <a:ext cx="265067" cy="173900"/>
        </a:xfrm>
        <a:prstGeom prst="rect">
          <a:avLst/>
        </a:prstGeom>
      </xdr:spPr>
    </xdr:pic>
    <xdr:clientData/>
  </xdr:twoCellAnchor>
  <xdr:twoCellAnchor editAs="oneCell">
    <xdr:from>
      <xdr:col>2</xdr:col>
      <xdr:colOff>540748</xdr:colOff>
      <xdr:row>15</xdr:row>
      <xdr:rowOff>7075</xdr:rowOff>
    </xdr:from>
    <xdr:to>
      <xdr:col>3</xdr:col>
      <xdr:colOff>94</xdr:colOff>
      <xdr:row>15</xdr:row>
      <xdr:rowOff>180975</xdr:rowOff>
    </xdr:to>
    <xdr:pic>
      <xdr:nvPicPr>
        <xdr:cNvPr id="45" name="Imagem 44">
          <a:extLst>
            <a:ext uri="{FF2B5EF4-FFF2-40B4-BE49-F238E27FC236}">
              <a16:creationId xmlns:a16="http://schemas.microsoft.com/office/drawing/2014/main" id="{2989D628-92FC-4EC4-80BD-B4357E16AF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8"/>
            </a:ext>
          </a:extLst>
        </a:blip>
        <a:stretch>
          <a:fillRect/>
        </a:stretch>
      </xdr:blipFill>
      <xdr:spPr>
        <a:xfrm>
          <a:off x="1759948" y="3626575"/>
          <a:ext cx="265067" cy="173900"/>
        </a:xfrm>
        <a:prstGeom prst="rect">
          <a:avLst/>
        </a:prstGeom>
      </xdr:spPr>
    </xdr:pic>
    <xdr:clientData/>
  </xdr:twoCellAnchor>
  <xdr:twoCellAnchor editAs="oneCell">
    <xdr:from>
      <xdr:col>2</xdr:col>
      <xdr:colOff>540748</xdr:colOff>
      <xdr:row>17</xdr:row>
      <xdr:rowOff>7620</xdr:rowOff>
    </xdr:from>
    <xdr:to>
      <xdr:col>3</xdr:col>
      <xdr:colOff>94</xdr:colOff>
      <xdr:row>18</xdr:row>
      <xdr:rowOff>189</xdr:rowOff>
    </xdr:to>
    <xdr:pic>
      <xdr:nvPicPr>
        <xdr:cNvPr id="47" name="Imagem 46">
          <a:extLst>
            <a:ext uri="{FF2B5EF4-FFF2-40B4-BE49-F238E27FC236}">
              <a16:creationId xmlns:a16="http://schemas.microsoft.com/office/drawing/2014/main" id="{C8240542-04A2-49EA-A13B-8828EC92C1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8"/>
            </a:ext>
          </a:extLst>
        </a:blip>
        <a:stretch>
          <a:fillRect/>
        </a:stretch>
      </xdr:blipFill>
      <xdr:spPr>
        <a:xfrm>
          <a:off x="1759948" y="4030980"/>
          <a:ext cx="265067" cy="180975"/>
        </a:xfrm>
        <a:prstGeom prst="rect">
          <a:avLst/>
        </a:prstGeom>
      </xdr:spPr>
    </xdr:pic>
    <xdr:clientData/>
  </xdr:twoCellAnchor>
  <xdr:twoCellAnchor editAs="oneCell">
    <xdr:from>
      <xdr:col>2</xdr:col>
      <xdr:colOff>541017</xdr:colOff>
      <xdr:row>16</xdr:row>
      <xdr:rowOff>4432</xdr:rowOff>
    </xdr:from>
    <xdr:to>
      <xdr:col>3</xdr:col>
      <xdr:colOff>94</xdr:colOff>
      <xdr:row>17</xdr:row>
      <xdr:rowOff>1904</xdr:rowOff>
    </xdr:to>
    <xdr:pic>
      <xdr:nvPicPr>
        <xdr:cNvPr id="34" name="Imagem 33">
          <a:extLst>
            <a:ext uri="{FF2B5EF4-FFF2-40B4-BE49-F238E27FC236}">
              <a16:creationId xmlns:a16="http://schemas.microsoft.com/office/drawing/2014/main" id="{1E0C5224-886E-47B3-B72A-3048407484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H="1" flipV="1">
          <a:off x="1760217" y="3814432"/>
          <a:ext cx="264798" cy="20702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539112</xdr:colOff>
      <xdr:row>18</xdr:row>
      <xdr:rowOff>1904</xdr:rowOff>
    </xdr:from>
    <xdr:to>
      <xdr:col>3</xdr:col>
      <xdr:colOff>346</xdr:colOff>
      <xdr:row>19</xdr:row>
      <xdr:rowOff>1903</xdr:rowOff>
    </xdr:to>
    <xdr:pic>
      <xdr:nvPicPr>
        <xdr:cNvPr id="49" name="Imagem 48">
          <a:extLst>
            <a:ext uri="{FF2B5EF4-FFF2-40B4-BE49-F238E27FC236}">
              <a16:creationId xmlns:a16="http://schemas.microsoft.com/office/drawing/2014/main" id="{6E78C174-BD27-4351-A72A-6B0AC7C1F3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H="1" flipV="1">
          <a:off x="1758312" y="4223384"/>
          <a:ext cx="264798" cy="1714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3810</xdr:colOff>
      <xdr:row>13</xdr:row>
      <xdr:rowOff>3808</xdr:rowOff>
    </xdr:from>
    <xdr:to>
      <xdr:col>6</xdr:col>
      <xdr:colOff>268608</xdr:colOff>
      <xdr:row>13</xdr:row>
      <xdr:rowOff>188594</xdr:rowOff>
    </xdr:to>
    <xdr:pic>
      <xdr:nvPicPr>
        <xdr:cNvPr id="50" name="Imagem 49">
          <a:extLst>
            <a:ext uri="{FF2B5EF4-FFF2-40B4-BE49-F238E27FC236}">
              <a16:creationId xmlns:a16="http://schemas.microsoft.com/office/drawing/2014/main" id="{01B2EB37-997E-46B3-AA5D-732543E7E5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H="1" flipV="1">
          <a:off x="3859530" y="3249928"/>
          <a:ext cx="264798" cy="1847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538174</xdr:colOff>
      <xdr:row>22</xdr:row>
      <xdr:rowOff>4394</xdr:rowOff>
    </xdr:from>
    <xdr:to>
      <xdr:col>3</xdr:col>
      <xdr:colOff>1976</xdr:colOff>
      <xdr:row>22</xdr:row>
      <xdr:rowOff>189186</xdr:rowOff>
    </xdr:to>
    <xdr:pic>
      <xdr:nvPicPr>
        <xdr:cNvPr id="55" name="Imagem 54">
          <a:extLst>
            <a:ext uri="{FF2B5EF4-FFF2-40B4-BE49-F238E27FC236}">
              <a16:creationId xmlns:a16="http://schemas.microsoft.com/office/drawing/2014/main" id="{ED2705AA-2771-975B-EF4A-59F5D7470C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7374" y="5036222"/>
          <a:ext cx="267366" cy="1847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538174</xdr:colOff>
      <xdr:row>26</xdr:row>
      <xdr:rowOff>0</xdr:rowOff>
    </xdr:from>
    <xdr:to>
      <xdr:col>3</xdr:col>
      <xdr:colOff>1976</xdr:colOff>
      <xdr:row>28</xdr:row>
      <xdr:rowOff>11780</xdr:rowOff>
    </xdr:to>
    <xdr:pic>
      <xdr:nvPicPr>
        <xdr:cNvPr id="58" name="Imagem 57">
          <a:extLst>
            <a:ext uri="{FF2B5EF4-FFF2-40B4-BE49-F238E27FC236}">
              <a16:creationId xmlns:a16="http://schemas.microsoft.com/office/drawing/2014/main" id="{DDF70292-C296-4D94-A117-5709BBE36C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7374" y="5799083"/>
          <a:ext cx="267366" cy="1918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538174</xdr:colOff>
      <xdr:row>24</xdr:row>
      <xdr:rowOff>3628</xdr:rowOff>
    </xdr:from>
    <xdr:to>
      <xdr:col>3</xdr:col>
      <xdr:colOff>1976</xdr:colOff>
      <xdr:row>25</xdr:row>
      <xdr:rowOff>2627</xdr:rowOff>
    </xdr:to>
    <xdr:pic>
      <xdr:nvPicPr>
        <xdr:cNvPr id="65" name="Imagem 64">
          <a:extLst>
            <a:ext uri="{FF2B5EF4-FFF2-40B4-BE49-F238E27FC236}">
              <a16:creationId xmlns:a16="http://schemas.microsoft.com/office/drawing/2014/main" id="{05FCADBF-8434-481D-80A2-650367846E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7374" y="5419083"/>
          <a:ext cx="267366" cy="1908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539702</xdr:colOff>
      <xdr:row>25</xdr:row>
      <xdr:rowOff>0</xdr:rowOff>
    </xdr:from>
    <xdr:to>
      <xdr:col>3</xdr:col>
      <xdr:colOff>1263</xdr:colOff>
      <xdr:row>25</xdr:row>
      <xdr:rowOff>188021</xdr:rowOff>
    </xdr:to>
    <xdr:pic>
      <xdr:nvPicPr>
        <xdr:cNvPr id="67" name="Imagem 66" descr="Bandeira da Arábia Saudita • Bandeiras do Mundo">
          <a:extLst>
            <a:ext uri="{FF2B5EF4-FFF2-40B4-BE49-F238E27FC236}">
              <a16:creationId xmlns:a16="http://schemas.microsoft.com/office/drawing/2014/main" id="{CD92036E-8A63-5AE1-958A-BDAE71DD1B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8902" y="5607269"/>
          <a:ext cx="268230" cy="18802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538174</xdr:colOff>
      <xdr:row>27</xdr:row>
      <xdr:rowOff>2627</xdr:rowOff>
    </xdr:from>
    <xdr:to>
      <xdr:col>3</xdr:col>
      <xdr:colOff>1892</xdr:colOff>
      <xdr:row>28</xdr:row>
      <xdr:rowOff>360</xdr:rowOff>
    </xdr:to>
    <xdr:pic>
      <xdr:nvPicPr>
        <xdr:cNvPr id="68" name="Imagem 67" descr="Bandeira da Arábia Saudita • Bandeiras do Mundo">
          <a:extLst>
            <a:ext uri="{FF2B5EF4-FFF2-40B4-BE49-F238E27FC236}">
              <a16:creationId xmlns:a16="http://schemas.microsoft.com/office/drawing/2014/main" id="{FCF9B38D-B598-4B38-B305-B02D2D3F0C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7374" y="5993524"/>
          <a:ext cx="267282" cy="1816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2627</xdr:colOff>
      <xdr:row>22</xdr:row>
      <xdr:rowOff>2292</xdr:rowOff>
    </xdr:from>
    <xdr:to>
      <xdr:col>6</xdr:col>
      <xdr:colOff>271004</xdr:colOff>
      <xdr:row>23</xdr:row>
      <xdr:rowOff>3629</xdr:rowOff>
    </xdr:to>
    <xdr:pic>
      <xdr:nvPicPr>
        <xdr:cNvPr id="71" name="Imagem 70" descr="Bandeira da Arábia Saudita • Bandeiras do Mundo">
          <a:extLst>
            <a:ext uri="{FF2B5EF4-FFF2-40B4-BE49-F238E27FC236}">
              <a16:creationId xmlns:a16="http://schemas.microsoft.com/office/drawing/2014/main" id="{187A9D9C-F7C9-48EE-B8D9-8843051B75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57296" y="5034120"/>
          <a:ext cx="268377" cy="193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5920</xdr:colOff>
      <xdr:row>23</xdr:row>
      <xdr:rowOff>6685</xdr:rowOff>
    </xdr:from>
    <xdr:to>
      <xdr:col>6</xdr:col>
      <xdr:colOff>270615</xdr:colOff>
      <xdr:row>24</xdr:row>
      <xdr:rowOff>0</xdr:rowOff>
    </xdr:to>
    <xdr:pic>
      <xdr:nvPicPr>
        <xdr:cNvPr id="78" name="Imagem 77" descr="BANDEIRA POLSKA (POLÔNIA) - Cachecol e bandeiras de todos os times do mundo">
          <a:extLst>
            <a:ext uri="{FF2B5EF4-FFF2-40B4-BE49-F238E27FC236}">
              <a16:creationId xmlns:a16="http://schemas.microsoft.com/office/drawing/2014/main" id="{F27A99A5-E181-3A4D-0856-8B22E926F0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3091" y="5224571"/>
          <a:ext cx="264695" cy="1856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6156</xdr:colOff>
      <xdr:row>26</xdr:row>
      <xdr:rowOff>4630</xdr:rowOff>
    </xdr:from>
    <xdr:to>
      <xdr:col>6</xdr:col>
      <xdr:colOff>270851</xdr:colOff>
      <xdr:row>28</xdr:row>
      <xdr:rowOff>11467</xdr:rowOff>
    </xdr:to>
    <xdr:pic>
      <xdr:nvPicPr>
        <xdr:cNvPr id="79" name="Imagem 78" descr="BANDEIRA POLSKA (POLÔNIA) - Cachecol e bandeiras de todos os times do mundo">
          <a:extLst>
            <a:ext uri="{FF2B5EF4-FFF2-40B4-BE49-F238E27FC236}">
              <a16:creationId xmlns:a16="http://schemas.microsoft.com/office/drawing/2014/main" id="{8081695E-4438-45E1-97D9-8FD9384E5C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0825" y="5803713"/>
          <a:ext cx="264695" cy="18818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5967</xdr:colOff>
      <xdr:row>25</xdr:row>
      <xdr:rowOff>2627</xdr:rowOff>
    </xdr:from>
    <xdr:to>
      <xdr:col>6</xdr:col>
      <xdr:colOff>270662</xdr:colOff>
      <xdr:row>26</xdr:row>
      <xdr:rowOff>711</xdr:rowOff>
    </xdr:to>
    <xdr:pic>
      <xdr:nvPicPr>
        <xdr:cNvPr id="80" name="Imagem 79" descr="BANDEIRA POLSKA (POLÔNIA) - Cachecol e bandeiras de todos os times do mundo">
          <a:extLst>
            <a:ext uri="{FF2B5EF4-FFF2-40B4-BE49-F238E27FC236}">
              <a16:creationId xmlns:a16="http://schemas.microsoft.com/office/drawing/2014/main" id="{0526E1DB-FC47-4ED5-8A50-08789EADC8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0636" y="5609896"/>
          <a:ext cx="264695" cy="1876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6160</xdr:colOff>
      <xdr:row>23</xdr:row>
      <xdr:rowOff>191476</xdr:rowOff>
    </xdr:from>
    <xdr:to>
      <xdr:col>6</xdr:col>
      <xdr:colOff>272677</xdr:colOff>
      <xdr:row>25</xdr:row>
      <xdr:rowOff>0</xdr:rowOff>
    </xdr:to>
    <xdr:pic>
      <xdr:nvPicPr>
        <xdr:cNvPr id="81" name="Imagem 80" descr="BANDEIRA MÉXICO - Cachecol e bandeiras de todos os times do mundo">
          <a:extLst>
            <a:ext uri="{FF2B5EF4-FFF2-40B4-BE49-F238E27FC236}">
              <a16:creationId xmlns:a16="http://schemas.microsoft.com/office/drawing/2014/main" id="{B34D6B1C-AAA4-BFEF-9F66-6D8F3CB78C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0829" y="5415117"/>
          <a:ext cx="266517" cy="192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538559</xdr:colOff>
      <xdr:row>23</xdr:row>
      <xdr:rowOff>2290</xdr:rowOff>
    </xdr:from>
    <xdr:to>
      <xdr:col>3</xdr:col>
      <xdr:colOff>1512</xdr:colOff>
      <xdr:row>24</xdr:row>
      <xdr:rowOff>0</xdr:rowOff>
    </xdr:to>
    <xdr:pic>
      <xdr:nvPicPr>
        <xdr:cNvPr id="83" name="Imagem 82" descr="BANDEIRA MÉXICO - Cachecol e bandeiras de todos os times do mundo">
          <a:extLst>
            <a:ext uri="{FF2B5EF4-FFF2-40B4-BE49-F238E27FC236}">
              <a16:creationId xmlns:a16="http://schemas.microsoft.com/office/drawing/2014/main" id="{724B1791-9850-48CE-9D51-9D08437862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7759" y="5225931"/>
          <a:ext cx="266517" cy="1895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6158</xdr:colOff>
      <xdr:row>27</xdr:row>
      <xdr:rowOff>2291</xdr:rowOff>
    </xdr:from>
    <xdr:to>
      <xdr:col>6</xdr:col>
      <xdr:colOff>272675</xdr:colOff>
      <xdr:row>28</xdr:row>
      <xdr:rowOff>907</xdr:rowOff>
    </xdr:to>
    <xdr:pic>
      <xdr:nvPicPr>
        <xdr:cNvPr id="84" name="Imagem 83" descr="BANDEIRA MÉXICO - Cachecol e bandeiras de todos os times do mundo">
          <a:extLst>
            <a:ext uri="{FF2B5EF4-FFF2-40B4-BE49-F238E27FC236}">
              <a16:creationId xmlns:a16="http://schemas.microsoft.com/office/drawing/2014/main" id="{B75720B7-7E59-4446-9681-B41E264943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0827" y="5993188"/>
          <a:ext cx="266517" cy="1755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538619</xdr:colOff>
      <xdr:row>31</xdr:row>
      <xdr:rowOff>6916</xdr:rowOff>
    </xdr:from>
    <xdr:to>
      <xdr:col>3</xdr:col>
      <xdr:colOff>1423</xdr:colOff>
      <xdr:row>31</xdr:row>
      <xdr:rowOff>186916</xdr:rowOff>
    </xdr:to>
    <xdr:pic>
      <xdr:nvPicPr>
        <xdr:cNvPr id="85" name="Imagem 84" descr="Bandeira Franca Copa Do Mundo Grande Tamanho Oficial 90x150c | Parcelamento  sem juros">
          <a:extLst>
            <a:ext uri="{FF2B5EF4-FFF2-40B4-BE49-F238E27FC236}">
              <a16:creationId xmlns:a16="http://schemas.microsoft.com/office/drawing/2014/main" id="{8B1E6609-4A7D-7BBD-4623-D65FC6DF47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9907" y="6776190"/>
          <a:ext cx="271776" cy="18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540446</xdr:colOff>
      <xdr:row>33</xdr:row>
      <xdr:rowOff>2000</xdr:rowOff>
    </xdr:from>
    <xdr:to>
      <xdr:col>3</xdr:col>
      <xdr:colOff>3250</xdr:colOff>
      <xdr:row>33</xdr:row>
      <xdr:rowOff>187828</xdr:rowOff>
    </xdr:to>
    <xdr:pic>
      <xdr:nvPicPr>
        <xdr:cNvPr id="86" name="Imagem 85" descr="Bandeira Franca Copa Do Mundo Grande Tamanho Oficial 90x150c | Parcelamento  sem juros">
          <a:extLst>
            <a:ext uri="{FF2B5EF4-FFF2-40B4-BE49-F238E27FC236}">
              <a16:creationId xmlns:a16="http://schemas.microsoft.com/office/drawing/2014/main" id="{AA1220BE-D363-47CB-BAF6-1C5D051D21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0446" y="7134000"/>
          <a:ext cx="270804" cy="1858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536140</xdr:colOff>
      <xdr:row>35</xdr:row>
      <xdr:rowOff>1826</xdr:rowOff>
    </xdr:from>
    <xdr:to>
      <xdr:col>3</xdr:col>
      <xdr:colOff>2195</xdr:colOff>
      <xdr:row>35</xdr:row>
      <xdr:rowOff>180062</xdr:rowOff>
    </xdr:to>
    <xdr:pic>
      <xdr:nvPicPr>
        <xdr:cNvPr id="87" name="Imagem 86" descr="Bandeira Franca Copa Do Mundo Grande Tamanho Oficial 90x150c | Parcelamento  sem juros">
          <a:extLst>
            <a:ext uri="{FF2B5EF4-FFF2-40B4-BE49-F238E27FC236}">
              <a16:creationId xmlns:a16="http://schemas.microsoft.com/office/drawing/2014/main" id="{00872292-53EE-4454-895C-F0701432C9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7428" y="7533100"/>
          <a:ext cx="271776" cy="1782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539401</xdr:colOff>
      <xdr:row>32</xdr:row>
      <xdr:rowOff>0</xdr:rowOff>
    </xdr:from>
    <xdr:to>
      <xdr:col>3</xdr:col>
      <xdr:colOff>595</xdr:colOff>
      <xdr:row>32</xdr:row>
      <xdr:rowOff>187827</xdr:rowOff>
    </xdr:to>
    <xdr:pic>
      <xdr:nvPicPr>
        <xdr:cNvPr id="88" name="Imagem 87" descr="Significado da bandeira da Dinamarca - Estudo Prático">
          <a:extLst>
            <a:ext uri="{FF2B5EF4-FFF2-40B4-BE49-F238E27FC236}">
              <a16:creationId xmlns:a16="http://schemas.microsoft.com/office/drawing/2014/main" id="{BC9368BE-251C-9D14-DC7B-EC7E42DD11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0689" y="6959774"/>
          <a:ext cx="266915" cy="1878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4303</xdr:colOff>
      <xdr:row>36</xdr:row>
      <xdr:rowOff>5348</xdr:rowOff>
    </xdr:from>
    <xdr:to>
      <xdr:col>6</xdr:col>
      <xdr:colOff>281834</xdr:colOff>
      <xdr:row>37</xdr:row>
      <xdr:rowOff>784</xdr:rowOff>
    </xdr:to>
    <xdr:pic>
      <xdr:nvPicPr>
        <xdr:cNvPr id="89" name="Imagem 88" descr="Significado da bandeira da Dinamarca - Estudo Prático">
          <a:extLst>
            <a:ext uri="{FF2B5EF4-FFF2-40B4-BE49-F238E27FC236}">
              <a16:creationId xmlns:a16="http://schemas.microsoft.com/office/drawing/2014/main" id="{AC3975CE-F72F-466B-A12D-859B143899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6495" y="7719293"/>
          <a:ext cx="277531" cy="1668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4958</xdr:colOff>
      <xdr:row>33</xdr:row>
      <xdr:rowOff>4304</xdr:rowOff>
    </xdr:from>
    <xdr:to>
      <xdr:col>6</xdr:col>
      <xdr:colOff>276616</xdr:colOff>
      <xdr:row>33</xdr:row>
      <xdr:rowOff>187890</xdr:rowOff>
    </xdr:to>
    <xdr:pic>
      <xdr:nvPicPr>
        <xdr:cNvPr id="91" name="Imagem 90" descr="Significado da bandeira da Dinamarca - Estudo Prático">
          <a:extLst>
            <a:ext uri="{FF2B5EF4-FFF2-40B4-BE49-F238E27FC236}">
              <a16:creationId xmlns:a16="http://schemas.microsoft.com/office/drawing/2014/main" id="{A87EB578-9567-4F6A-9F72-D6D7FAD0EB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7150" y="7154578"/>
          <a:ext cx="271658" cy="183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6003</xdr:colOff>
      <xdr:row>31</xdr:row>
      <xdr:rowOff>1695</xdr:rowOff>
    </xdr:from>
    <xdr:to>
      <xdr:col>6</xdr:col>
      <xdr:colOff>279227</xdr:colOff>
      <xdr:row>32</xdr:row>
      <xdr:rowOff>5220</xdr:rowOff>
    </xdr:to>
    <xdr:pic>
      <xdr:nvPicPr>
        <xdr:cNvPr id="96" name="Imagem 95" descr="90*150cm 60*90cm austrália bandeira poliéster aussie bandeira nacional  decoração para casa copa do mundo dia nacional s|Bandeiras, banners e  acessórios| - AliExpress">
          <a:extLst>
            <a:ext uri="{FF2B5EF4-FFF2-40B4-BE49-F238E27FC236}">
              <a16:creationId xmlns:a16="http://schemas.microsoft.com/office/drawing/2014/main" id="{7129A441-A49C-B320-2AD6-84448A2A27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8195" y="6770969"/>
          <a:ext cx="273224" cy="1940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534965</xdr:colOff>
      <xdr:row>36</xdr:row>
      <xdr:rowOff>3523</xdr:rowOff>
    </xdr:from>
    <xdr:to>
      <xdr:col>3</xdr:col>
      <xdr:colOff>2130</xdr:colOff>
      <xdr:row>37</xdr:row>
      <xdr:rowOff>1</xdr:rowOff>
    </xdr:to>
    <xdr:pic>
      <xdr:nvPicPr>
        <xdr:cNvPr id="98" name="Imagem 97" descr="90*150cm 60*90cm austrália bandeira poliéster aussie bandeira nacional  decoração para casa copa do mundo dia nacional s|Bandeiras, banners e  acessórios| - AliExpress">
          <a:extLst>
            <a:ext uri="{FF2B5EF4-FFF2-40B4-BE49-F238E27FC236}">
              <a16:creationId xmlns:a16="http://schemas.microsoft.com/office/drawing/2014/main" id="{AF25BCF8-07EE-480D-B4C2-273EB98FC0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6253" y="7717468"/>
          <a:ext cx="272886" cy="171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537575</xdr:colOff>
      <xdr:row>34</xdr:row>
      <xdr:rowOff>2000</xdr:rowOff>
    </xdr:from>
    <xdr:to>
      <xdr:col>3</xdr:col>
      <xdr:colOff>1218</xdr:colOff>
      <xdr:row>35</xdr:row>
      <xdr:rowOff>500</xdr:rowOff>
    </xdr:to>
    <xdr:pic>
      <xdr:nvPicPr>
        <xdr:cNvPr id="99" name="Imagem 98" descr="90*150cm 60*90cm austrália bandeira poliéster aussie bandeira nacional  decoração para casa copa do mundo dia nacional s|Bandeiras, banners e  acessórios| - AliExpress">
          <a:extLst>
            <a:ext uri="{FF2B5EF4-FFF2-40B4-BE49-F238E27FC236}">
              <a16:creationId xmlns:a16="http://schemas.microsoft.com/office/drawing/2014/main" id="{52059C0B-FFEB-450D-A5EA-EFB08E4534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7575" y="7324000"/>
          <a:ext cx="271643" cy="1884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4175</xdr:colOff>
      <xdr:row>32</xdr:row>
      <xdr:rowOff>4306</xdr:rowOff>
    </xdr:from>
    <xdr:to>
      <xdr:col>6</xdr:col>
      <xdr:colOff>276250</xdr:colOff>
      <xdr:row>33</xdr:row>
      <xdr:rowOff>0</xdr:rowOff>
    </xdr:to>
    <xdr:pic>
      <xdr:nvPicPr>
        <xdr:cNvPr id="100" name="Imagem 99" descr="BANDEIRAS TUNISIE (TUNISIA) - Cachecol e bandeiras de todos os times do  mundo">
          <a:extLst>
            <a:ext uri="{FF2B5EF4-FFF2-40B4-BE49-F238E27FC236}">
              <a16:creationId xmlns:a16="http://schemas.microsoft.com/office/drawing/2014/main" id="{97F3F94C-A8B3-3284-7F82-B8D42B61A5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6367" y="6964080"/>
          <a:ext cx="272075" cy="1861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4176</xdr:colOff>
      <xdr:row>34</xdr:row>
      <xdr:rowOff>2609</xdr:rowOff>
    </xdr:from>
    <xdr:to>
      <xdr:col>6</xdr:col>
      <xdr:colOff>279226</xdr:colOff>
      <xdr:row>35</xdr:row>
      <xdr:rowOff>2611</xdr:rowOff>
    </xdr:to>
    <xdr:pic>
      <xdr:nvPicPr>
        <xdr:cNvPr id="101" name="Imagem 100" descr="BANDEIRAS TUNISIE (TUNISIA) - Cachecol e bandeiras de todos os times do  mundo">
          <a:extLst>
            <a:ext uri="{FF2B5EF4-FFF2-40B4-BE49-F238E27FC236}">
              <a16:creationId xmlns:a16="http://schemas.microsoft.com/office/drawing/2014/main" id="{41F8FE17-7149-4DC8-8712-79E5DD7156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6368" y="7343383"/>
          <a:ext cx="275050" cy="1905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4175</xdr:colOff>
      <xdr:row>35</xdr:row>
      <xdr:rowOff>4305</xdr:rowOff>
    </xdr:from>
    <xdr:to>
      <xdr:col>6</xdr:col>
      <xdr:colOff>281835</xdr:colOff>
      <xdr:row>36</xdr:row>
      <xdr:rowOff>1538</xdr:rowOff>
    </xdr:to>
    <xdr:pic>
      <xdr:nvPicPr>
        <xdr:cNvPr id="103" name="Imagem 102" descr="BANDEIRAS TUNISIE (TUNISIA) - Cachecol e bandeiras de todos os times do  mundo">
          <a:extLst>
            <a:ext uri="{FF2B5EF4-FFF2-40B4-BE49-F238E27FC236}">
              <a16:creationId xmlns:a16="http://schemas.microsoft.com/office/drawing/2014/main" id="{591AF662-8EFD-423B-A839-4AABEE91B9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6367" y="7535579"/>
          <a:ext cx="277660" cy="1783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533304</xdr:colOff>
      <xdr:row>40</xdr:row>
      <xdr:rowOff>2000</xdr:rowOff>
    </xdr:from>
    <xdr:to>
      <xdr:col>3</xdr:col>
      <xdr:colOff>2000</xdr:colOff>
      <xdr:row>41</xdr:row>
      <xdr:rowOff>0</xdr:rowOff>
    </xdr:to>
    <xdr:pic>
      <xdr:nvPicPr>
        <xdr:cNvPr id="104" name="Imagem 103" descr="BANDEIRA ESPAÑA (ESPANHA) - Cachecol e bandeiras de todos os times do mundo">
          <a:extLst>
            <a:ext uri="{FF2B5EF4-FFF2-40B4-BE49-F238E27FC236}">
              <a16:creationId xmlns:a16="http://schemas.microsoft.com/office/drawing/2014/main" id="{0A2692EF-E1ED-D8DD-8AA0-BB7DD27ED3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3304" y="8464000"/>
          <a:ext cx="276696" cy="18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533304</xdr:colOff>
      <xdr:row>42</xdr:row>
      <xdr:rowOff>2021</xdr:rowOff>
    </xdr:from>
    <xdr:to>
      <xdr:col>3</xdr:col>
      <xdr:colOff>2435</xdr:colOff>
      <xdr:row>42</xdr:row>
      <xdr:rowOff>179536</xdr:rowOff>
    </xdr:to>
    <xdr:pic>
      <xdr:nvPicPr>
        <xdr:cNvPr id="105" name="Imagem 104" descr="BANDEIRA ESPAÑA (ESPANHA) - Cachecol e bandeiras de todos os times do mundo">
          <a:extLst>
            <a:ext uri="{FF2B5EF4-FFF2-40B4-BE49-F238E27FC236}">
              <a16:creationId xmlns:a16="http://schemas.microsoft.com/office/drawing/2014/main" id="{41431848-FFFA-4CFC-8250-7894A67A0E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3304" y="8828021"/>
          <a:ext cx="272695" cy="1775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534000</xdr:colOff>
      <xdr:row>44</xdr:row>
      <xdr:rowOff>2042</xdr:rowOff>
    </xdr:from>
    <xdr:to>
      <xdr:col>3</xdr:col>
      <xdr:colOff>2435</xdr:colOff>
      <xdr:row>45</xdr:row>
      <xdr:rowOff>1619</xdr:rowOff>
    </xdr:to>
    <xdr:pic>
      <xdr:nvPicPr>
        <xdr:cNvPr id="106" name="Imagem 105" descr="BANDEIRA ESPAÑA (ESPANHA) - Cachecol e bandeiras de todos os times do mundo">
          <a:extLst>
            <a:ext uri="{FF2B5EF4-FFF2-40B4-BE49-F238E27FC236}">
              <a16:creationId xmlns:a16="http://schemas.microsoft.com/office/drawing/2014/main" id="{95891287-C481-4B45-A39E-3DEC50AB65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4000" y="9192042"/>
          <a:ext cx="271999" cy="1775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4021</xdr:colOff>
      <xdr:row>42</xdr:row>
      <xdr:rowOff>2001</xdr:rowOff>
    </xdr:from>
    <xdr:to>
      <xdr:col>6</xdr:col>
      <xdr:colOff>279531</xdr:colOff>
      <xdr:row>43</xdr:row>
      <xdr:rowOff>2</xdr:rowOff>
    </xdr:to>
    <xdr:pic>
      <xdr:nvPicPr>
        <xdr:cNvPr id="107" name="Imagem 106">
          <a:extLst>
            <a:ext uri="{FF2B5EF4-FFF2-40B4-BE49-F238E27FC236}">
              <a16:creationId xmlns:a16="http://schemas.microsoft.com/office/drawing/2014/main" id="{EDA32CE7-7FB3-F07E-3CE9-271193497D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2021" y="8828001"/>
          <a:ext cx="275510" cy="18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3580</xdr:colOff>
      <xdr:row>45</xdr:row>
      <xdr:rowOff>4022</xdr:rowOff>
    </xdr:from>
    <xdr:to>
      <xdr:col>6</xdr:col>
      <xdr:colOff>284000</xdr:colOff>
      <xdr:row>46</xdr:row>
      <xdr:rowOff>562</xdr:rowOff>
    </xdr:to>
    <xdr:pic>
      <xdr:nvPicPr>
        <xdr:cNvPr id="108" name="Imagem 107">
          <a:extLst>
            <a:ext uri="{FF2B5EF4-FFF2-40B4-BE49-F238E27FC236}">
              <a16:creationId xmlns:a16="http://schemas.microsoft.com/office/drawing/2014/main" id="{6FA9E0D1-244F-40D6-9E05-3BD3F1D91E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1580" y="9376022"/>
          <a:ext cx="280420" cy="1775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533306</xdr:colOff>
      <xdr:row>41</xdr:row>
      <xdr:rowOff>2043</xdr:rowOff>
    </xdr:from>
    <xdr:to>
      <xdr:col>3</xdr:col>
      <xdr:colOff>2000</xdr:colOff>
      <xdr:row>41</xdr:row>
      <xdr:rowOff>179559</xdr:rowOff>
    </xdr:to>
    <xdr:pic>
      <xdr:nvPicPr>
        <xdr:cNvPr id="109" name="Imagem 108">
          <a:extLst>
            <a:ext uri="{FF2B5EF4-FFF2-40B4-BE49-F238E27FC236}">
              <a16:creationId xmlns:a16="http://schemas.microsoft.com/office/drawing/2014/main" id="{26095613-5B55-4E34-9655-BB5623B890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3306" y="8646043"/>
          <a:ext cx="276694" cy="1775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533999</xdr:colOff>
      <xdr:row>43</xdr:row>
      <xdr:rowOff>3591</xdr:rowOff>
    </xdr:from>
    <xdr:to>
      <xdr:col>3</xdr:col>
      <xdr:colOff>2892</xdr:colOff>
      <xdr:row>44</xdr:row>
      <xdr:rowOff>2459</xdr:rowOff>
    </xdr:to>
    <xdr:pic>
      <xdr:nvPicPr>
        <xdr:cNvPr id="110" name="Imagem 109">
          <a:extLst>
            <a:ext uri="{FF2B5EF4-FFF2-40B4-BE49-F238E27FC236}">
              <a16:creationId xmlns:a16="http://schemas.microsoft.com/office/drawing/2014/main" id="{14C96DC2-C6B4-3F91-49DA-9AC89A2C2F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3999" y="9011591"/>
          <a:ext cx="272457" cy="1808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3945</xdr:colOff>
      <xdr:row>40</xdr:row>
      <xdr:rowOff>1439</xdr:rowOff>
    </xdr:from>
    <xdr:to>
      <xdr:col>6</xdr:col>
      <xdr:colOff>278485</xdr:colOff>
      <xdr:row>41</xdr:row>
      <xdr:rowOff>308</xdr:rowOff>
    </xdr:to>
    <xdr:pic>
      <xdr:nvPicPr>
        <xdr:cNvPr id="111" name="Imagem 110">
          <a:extLst>
            <a:ext uri="{FF2B5EF4-FFF2-40B4-BE49-F238E27FC236}">
              <a16:creationId xmlns:a16="http://schemas.microsoft.com/office/drawing/2014/main" id="{66B006E2-45A9-4AD6-82B9-E49B947A79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1945" y="8463439"/>
          <a:ext cx="274540" cy="1808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534000</xdr:colOff>
      <xdr:row>45</xdr:row>
      <xdr:rowOff>2430</xdr:rowOff>
    </xdr:from>
    <xdr:to>
      <xdr:col>3</xdr:col>
      <xdr:colOff>2435</xdr:colOff>
      <xdr:row>46</xdr:row>
      <xdr:rowOff>1298</xdr:rowOff>
    </xdr:to>
    <xdr:pic>
      <xdr:nvPicPr>
        <xdr:cNvPr id="112" name="Imagem 111">
          <a:extLst>
            <a:ext uri="{FF2B5EF4-FFF2-40B4-BE49-F238E27FC236}">
              <a16:creationId xmlns:a16="http://schemas.microsoft.com/office/drawing/2014/main" id="{EF73D069-A75B-4F24-8873-84DD3308D4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4000" y="9374430"/>
          <a:ext cx="271999" cy="1808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6492</xdr:colOff>
      <xdr:row>41</xdr:row>
      <xdr:rowOff>2493</xdr:rowOff>
    </xdr:from>
    <xdr:to>
      <xdr:col>6</xdr:col>
      <xdr:colOff>279715</xdr:colOff>
      <xdr:row>41</xdr:row>
      <xdr:rowOff>176001</xdr:rowOff>
    </xdr:to>
    <xdr:pic>
      <xdr:nvPicPr>
        <xdr:cNvPr id="114" name="Imagem 113">
          <a:extLst>
            <a:ext uri="{FF2B5EF4-FFF2-40B4-BE49-F238E27FC236}">
              <a16:creationId xmlns:a16="http://schemas.microsoft.com/office/drawing/2014/main" id="{54717B9D-CE0C-31EB-1546-3B42EB9C64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4492" y="8646493"/>
          <a:ext cx="273223" cy="173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4990</xdr:colOff>
      <xdr:row>43</xdr:row>
      <xdr:rowOff>3383</xdr:rowOff>
    </xdr:from>
    <xdr:to>
      <xdr:col>6</xdr:col>
      <xdr:colOff>280000</xdr:colOff>
      <xdr:row>43</xdr:row>
      <xdr:rowOff>180000</xdr:rowOff>
    </xdr:to>
    <xdr:pic>
      <xdr:nvPicPr>
        <xdr:cNvPr id="115" name="Imagem 114">
          <a:extLst>
            <a:ext uri="{FF2B5EF4-FFF2-40B4-BE49-F238E27FC236}">
              <a16:creationId xmlns:a16="http://schemas.microsoft.com/office/drawing/2014/main" id="{675D070B-D2D2-49EB-AEA5-E3AD9518A1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2990" y="9011383"/>
          <a:ext cx="275010" cy="1766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5242</xdr:colOff>
      <xdr:row>44</xdr:row>
      <xdr:rowOff>6000</xdr:rowOff>
    </xdr:from>
    <xdr:to>
      <xdr:col>6</xdr:col>
      <xdr:colOff>280000</xdr:colOff>
      <xdr:row>45</xdr:row>
      <xdr:rowOff>61</xdr:rowOff>
    </xdr:to>
    <xdr:pic>
      <xdr:nvPicPr>
        <xdr:cNvPr id="116" name="Imagem 115">
          <a:extLst>
            <a:ext uri="{FF2B5EF4-FFF2-40B4-BE49-F238E27FC236}">
              <a16:creationId xmlns:a16="http://schemas.microsoft.com/office/drawing/2014/main" id="{E50B4CD8-A71C-4043-BFF4-0BBC5804E2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3242" y="9196000"/>
          <a:ext cx="274758" cy="17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532164</xdr:colOff>
      <xdr:row>49</xdr:row>
      <xdr:rowOff>2245</xdr:rowOff>
    </xdr:from>
    <xdr:to>
      <xdr:col>3</xdr:col>
      <xdr:colOff>3508</xdr:colOff>
      <xdr:row>50</xdr:row>
      <xdr:rowOff>1115</xdr:rowOff>
    </xdr:to>
    <xdr:pic>
      <xdr:nvPicPr>
        <xdr:cNvPr id="118" name="Imagem 117">
          <a:extLst>
            <a:ext uri="{FF2B5EF4-FFF2-40B4-BE49-F238E27FC236}">
              <a16:creationId xmlns:a16="http://schemas.microsoft.com/office/drawing/2014/main" id="{EEA7F0BD-4238-FB47-9C68-838F7F29AA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2164" y="10148245"/>
          <a:ext cx="274908" cy="1808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532909</xdr:colOff>
      <xdr:row>51</xdr:row>
      <xdr:rowOff>2743</xdr:rowOff>
    </xdr:from>
    <xdr:to>
      <xdr:col>3</xdr:col>
      <xdr:colOff>97</xdr:colOff>
      <xdr:row>51</xdr:row>
      <xdr:rowOff>188406</xdr:rowOff>
    </xdr:to>
    <xdr:pic>
      <xdr:nvPicPr>
        <xdr:cNvPr id="119" name="Imagem 118">
          <a:extLst>
            <a:ext uri="{FF2B5EF4-FFF2-40B4-BE49-F238E27FC236}">
              <a16:creationId xmlns:a16="http://schemas.microsoft.com/office/drawing/2014/main" id="{2B4C3605-55BB-4D06-9DCC-293EE4F7EB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2909" y="10512743"/>
          <a:ext cx="274908" cy="1792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528000</xdr:colOff>
      <xdr:row>53</xdr:row>
      <xdr:rowOff>2001</xdr:rowOff>
    </xdr:from>
    <xdr:to>
      <xdr:col>3</xdr:col>
      <xdr:colOff>1823</xdr:colOff>
      <xdr:row>54</xdr:row>
      <xdr:rowOff>0</xdr:rowOff>
    </xdr:to>
    <xdr:pic>
      <xdr:nvPicPr>
        <xdr:cNvPr id="120" name="Imagem 119">
          <a:extLst>
            <a:ext uri="{FF2B5EF4-FFF2-40B4-BE49-F238E27FC236}">
              <a16:creationId xmlns:a16="http://schemas.microsoft.com/office/drawing/2014/main" id="{5D157736-25D3-4803-A236-8BAD5313C6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8000" y="10876001"/>
          <a:ext cx="281823" cy="17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534000</xdr:colOff>
      <xdr:row>50</xdr:row>
      <xdr:rowOff>1243</xdr:rowOff>
    </xdr:from>
    <xdr:to>
      <xdr:col>3</xdr:col>
      <xdr:colOff>3162</xdr:colOff>
      <xdr:row>51</xdr:row>
      <xdr:rowOff>112</xdr:rowOff>
    </xdr:to>
    <xdr:pic>
      <xdr:nvPicPr>
        <xdr:cNvPr id="121" name="Imagem 120">
          <a:extLst>
            <a:ext uri="{FF2B5EF4-FFF2-40B4-BE49-F238E27FC236}">
              <a16:creationId xmlns:a16="http://schemas.microsoft.com/office/drawing/2014/main" id="{9D97F062-88C5-E21A-7E11-CBC15901FD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/>
        <a:stretch>
          <a:fillRect/>
        </a:stretch>
      </xdr:blipFill>
      <xdr:spPr>
        <a:xfrm>
          <a:off x="1754000" y="10329243"/>
          <a:ext cx="277162" cy="180869"/>
        </a:xfrm>
        <a:prstGeom prst="rect">
          <a:avLst/>
        </a:prstGeom>
      </xdr:spPr>
    </xdr:pic>
    <xdr:clientData/>
  </xdr:twoCellAnchor>
  <xdr:twoCellAnchor editAs="oneCell">
    <xdr:from>
      <xdr:col>6</xdr:col>
      <xdr:colOff>3740</xdr:colOff>
      <xdr:row>51</xdr:row>
      <xdr:rowOff>1249</xdr:rowOff>
    </xdr:from>
    <xdr:to>
      <xdr:col>6</xdr:col>
      <xdr:colOff>279999</xdr:colOff>
      <xdr:row>52</xdr:row>
      <xdr:rowOff>116</xdr:rowOff>
    </xdr:to>
    <xdr:pic>
      <xdr:nvPicPr>
        <xdr:cNvPr id="122" name="Imagem 121">
          <a:extLst>
            <a:ext uri="{FF2B5EF4-FFF2-40B4-BE49-F238E27FC236}">
              <a16:creationId xmlns:a16="http://schemas.microsoft.com/office/drawing/2014/main" id="{C3C29325-2CDC-4D2F-8D6C-1387E00D92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/>
        <a:stretch>
          <a:fillRect/>
        </a:stretch>
      </xdr:blipFill>
      <xdr:spPr>
        <a:xfrm>
          <a:off x="3861740" y="10511249"/>
          <a:ext cx="276259" cy="180868"/>
        </a:xfrm>
        <a:prstGeom prst="rect">
          <a:avLst/>
        </a:prstGeom>
      </xdr:spPr>
    </xdr:pic>
    <xdr:clientData/>
  </xdr:twoCellAnchor>
  <xdr:twoCellAnchor editAs="oneCell">
    <xdr:from>
      <xdr:col>6</xdr:col>
      <xdr:colOff>4486</xdr:colOff>
      <xdr:row>54</xdr:row>
      <xdr:rowOff>1748</xdr:rowOff>
    </xdr:from>
    <xdr:to>
      <xdr:col>6</xdr:col>
      <xdr:colOff>280000</xdr:colOff>
      <xdr:row>55</xdr:row>
      <xdr:rowOff>618</xdr:rowOff>
    </xdr:to>
    <xdr:pic>
      <xdr:nvPicPr>
        <xdr:cNvPr id="123" name="Imagem 122">
          <a:extLst>
            <a:ext uri="{FF2B5EF4-FFF2-40B4-BE49-F238E27FC236}">
              <a16:creationId xmlns:a16="http://schemas.microsoft.com/office/drawing/2014/main" id="{28664C1B-F7B6-43C1-804B-002E02D91B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/>
        <a:stretch>
          <a:fillRect/>
        </a:stretch>
      </xdr:blipFill>
      <xdr:spPr>
        <a:xfrm>
          <a:off x="3862486" y="11051748"/>
          <a:ext cx="275514" cy="180869"/>
        </a:xfrm>
        <a:prstGeom prst="rect">
          <a:avLst/>
        </a:prstGeom>
      </xdr:spPr>
    </xdr:pic>
    <xdr:clientData/>
  </xdr:twoCellAnchor>
  <xdr:twoCellAnchor editAs="oneCell">
    <xdr:from>
      <xdr:col>6</xdr:col>
      <xdr:colOff>2985</xdr:colOff>
      <xdr:row>49</xdr:row>
      <xdr:rowOff>2246</xdr:rowOff>
    </xdr:from>
    <xdr:to>
      <xdr:col>6</xdr:col>
      <xdr:colOff>275720</xdr:colOff>
      <xdr:row>50</xdr:row>
      <xdr:rowOff>1116</xdr:rowOff>
    </xdr:to>
    <xdr:pic>
      <xdr:nvPicPr>
        <xdr:cNvPr id="124" name="Imagem 123" descr="BANDEIRA CANADA - Cachecol e bandeiras de todos os times do mundo">
          <a:extLst>
            <a:ext uri="{FF2B5EF4-FFF2-40B4-BE49-F238E27FC236}">
              <a16:creationId xmlns:a16="http://schemas.microsoft.com/office/drawing/2014/main" id="{F8B150D8-4BF0-B70F-165D-AC45D115B5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0985" y="10148246"/>
          <a:ext cx="272735" cy="1808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526000</xdr:colOff>
      <xdr:row>54</xdr:row>
      <xdr:rowOff>2990</xdr:rowOff>
    </xdr:from>
    <xdr:to>
      <xdr:col>3</xdr:col>
      <xdr:colOff>3589</xdr:colOff>
      <xdr:row>55</xdr:row>
      <xdr:rowOff>2001</xdr:rowOff>
    </xdr:to>
    <xdr:pic>
      <xdr:nvPicPr>
        <xdr:cNvPr id="125" name="Imagem 124" descr="BANDEIRA CANADA - Cachecol e bandeiras de todos os times do mundo">
          <a:extLst>
            <a:ext uri="{FF2B5EF4-FFF2-40B4-BE49-F238E27FC236}">
              <a16:creationId xmlns:a16="http://schemas.microsoft.com/office/drawing/2014/main" id="{9CBFFE70-C88C-4448-BE57-0AA5449441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6000" y="11052990"/>
          <a:ext cx="281153" cy="1810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530001</xdr:colOff>
      <xdr:row>52</xdr:row>
      <xdr:rowOff>1636</xdr:rowOff>
    </xdr:from>
    <xdr:to>
      <xdr:col>3</xdr:col>
      <xdr:colOff>143</xdr:colOff>
      <xdr:row>53</xdr:row>
      <xdr:rowOff>505</xdr:rowOff>
    </xdr:to>
    <xdr:pic>
      <xdr:nvPicPr>
        <xdr:cNvPr id="126" name="Imagem 125" descr="BANDEIRA CANADA - Cachecol e bandeiras de todos os times do mundo">
          <a:extLst>
            <a:ext uri="{FF2B5EF4-FFF2-40B4-BE49-F238E27FC236}">
              <a16:creationId xmlns:a16="http://schemas.microsoft.com/office/drawing/2014/main" id="{F1C5BC7F-32E9-4DB0-9546-BB91EC641C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001" y="10693636"/>
          <a:ext cx="278142" cy="1808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2333</xdr:colOff>
      <xdr:row>50</xdr:row>
      <xdr:rowOff>963</xdr:rowOff>
    </xdr:from>
    <xdr:to>
      <xdr:col>6</xdr:col>
      <xdr:colOff>276000</xdr:colOff>
      <xdr:row>51</xdr:row>
      <xdr:rowOff>0</xdr:rowOff>
    </xdr:to>
    <xdr:pic>
      <xdr:nvPicPr>
        <xdr:cNvPr id="127" name="Imagem 126">
          <a:extLst>
            <a:ext uri="{FF2B5EF4-FFF2-40B4-BE49-F238E27FC236}">
              <a16:creationId xmlns:a16="http://schemas.microsoft.com/office/drawing/2014/main" id="{EAB80245-AB39-97B1-7841-3444E2F9FF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0333" y="10328963"/>
          <a:ext cx="273667" cy="18103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3633</xdr:colOff>
      <xdr:row>52</xdr:row>
      <xdr:rowOff>495</xdr:rowOff>
    </xdr:from>
    <xdr:to>
      <xdr:col>6</xdr:col>
      <xdr:colOff>278800</xdr:colOff>
      <xdr:row>52</xdr:row>
      <xdr:rowOff>177997</xdr:rowOff>
    </xdr:to>
    <xdr:pic>
      <xdr:nvPicPr>
        <xdr:cNvPr id="128" name="Imagem 127">
          <a:extLst>
            <a:ext uri="{FF2B5EF4-FFF2-40B4-BE49-F238E27FC236}">
              <a16:creationId xmlns:a16="http://schemas.microsoft.com/office/drawing/2014/main" id="{700AB5D6-4F56-499B-90A2-448AD7DDFC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1633" y="10692495"/>
          <a:ext cx="275167" cy="1775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3366</xdr:colOff>
      <xdr:row>53</xdr:row>
      <xdr:rowOff>2000</xdr:rowOff>
    </xdr:from>
    <xdr:to>
      <xdr:col>6</xdr:col>
      <xdr:colOff>278933</xdr:colOff>
      <xdr:row>53</xdr:row>
      <xdr:rowOff>167472</xdr:rowOff>
    </xdr:to>
    <xdr:pic>
      <xdr:nvPicPr>
        <xdr:cNvPr id="129" name="Imagem 128">
          <a:extLst>
            <a:ext uri="{FF2B5EF4-FFF2-40B4-BE49-F238E27FC236}">
              <a16:creationId xmlns:a16="http://schemas.microsoft.com/office/drawing/2014/main" id="{E640C9BF-368D-420A-AFC5-0AD0893ED8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1366" y="10876000"/>
          <a:ext cx="275567" cy="17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533786</xdr:colOff>
      <xdr:row>58</xdr:row>
      <xdr:rowOff>2080</xdr:rowOff>
    </xdr:from>
    <xdr:to>
      <xdr:col>3</xdr:col>
      <xdr:colOff>3449</xdr:colOff>
      <xdr:row>59</xdr:row>
      <xdr:rowOff>953</xdr:rowOff>
    </xdr:to>
    <xdr:pic>
      <xdr:nvPicPr>
        <xdr:cNvPr id="130" name="Imagem 129">
          <a:extLst>
            <a:ext uri="{FF2B5EF4-FFF2-40B4-BE49-F238E27FC236}">
              <a16:creationId xmlns:a16="http://schemas.microsoft.com/office/drawing/2014/main" id="{F77F6326-26B3-630D-ABD8-2D746BD8F4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3786" y="11826080"/>
          <a:ext cx="273227" cy="1798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533785</xdr:colOff>
      <xdr:row>60</xdr:row>
      <xdr:rowOff>3949</xdr:rowOff>
    </xdr:from>
    <xdr:to>
      <xdr:col>3</xdr:col>
      <xdr:colOff>3448</xdr:colOff>
      <xdr:row>61</xdr:row>
      <xdr:rowOff>0</xdr:rowOff>
    </xdr:to>
    <xdr:pic>
      <xdr:nvPicPr>
        <xdr:cNvPr id="131" name="Imagem 130">
          <a:extLst>
            <a:ext uri="{FF2B5EF4-FFF2-40B4-BE49-F238E27FC236}">
              <a16:creationId xmlns:a16="http://schemas.microsoft.com/office/drawing/2014/main" id="{8B3B9DBB-1C4D-4A3A-9586-BDC90413AB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3785" y="12191949"/>
          <a:ext cx="273227" cy="1780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535785</xdr:colOff>
      <xdr:row>62</xdr:row>
      <xdr:rowOff>2724</xdr:rowOff>
    </xdr:from>
    <xdr:to>
      <xdr:col>3</xdr:col>
      <xdr:colOff>405</xdr:colOff>
      <xdr:row>63</xdr:row>
      <xdr:rowOff>1</xdr:rowOff>
    </xdr:to>
    <xdr:pic>
      <xdr:nvPicPr>
        <xdr:cNvPr id="132" name="Imagem 131">
          <a:extLst>
            <a:ext uri="{FF2B5EF4-FFF2-40B4-BE49-F238E27FC236}">
              <a16:creationId xmlns:a16="http://schemas.microsoft.com/office/drawing/2014/main" id="{95695E49-B41F-4D39-8672-840CB5CD23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5785" y="12554724"/>
          <a:ext cx="272620" cy="1792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533390</xdr:colOff>
      <xdr:row>59</xdr:row>
      <xdr:rowOff>2484</xdr:rowOff>
    </xdr:from>
    <xdr:to>
      <xdr:col>3</xdr:col>
      <xdr:colOff>2708</xdr:colOff>
      <xdr:row>60</xdr:row>
      <xdr:rowOff>2001</xdr:rowOff>
    </xdr:to>
    <xdr:pic>
      <xdr:nvPicPr>
        <xdr:cNvPr id="133" name="Imagem 132" descr="Suiça, Bandeiras, Bandeiras do mundo">
          <a:extLst>
            <a:ext uri="{FF2B5EF4-FFF2-40B4-BE49-F238E27FC236}">
              <a16:creationId xmlns:a16="http://schemas.microsoft.com/office/drawing/2014/main" id="{7277A366-6B9A-8E82-3C2B-7793AF56AC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3390" y="12008484"/>
          <a:ext cx="277318" cy="1815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2064</xdr:colOff>
      <xdr:row>60</xdr:row>
      <xdr:rowOff>0</xdr:rowOff>
    </xdr:from>
    <xdr:to>
      <xdr:col>6</xdr:col>
      <xdr:colOff>278000</xdr:colOff>
      <xdr:row>60</xdr:row>
      <xdr:rowOff>179999</xdr:rowOff>
    </xdr:to>
    <xdr:pic>
      <xdr:nvPicPr>
        <xdr:cNvPr id="134" name="Imagem 133" descr="Suiça, Bandeiras, Bandeiras do mundo">
          <a:extLst>
            <a:ext uri="{FF2B5EF4-FFF2-40B4-BE49-F238E27FC236}">
              <a16:creationId xmlns:a16="http://schemas.microsoft.com/office/drawing/2014/main" id="{9A3FA525-B899-4CA7-B841-D7E74C173D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0064" y="12188000"/>
          <a:ext cx="275936" cy="1799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2043</xdr:colOff>
      <xdr:row>63</xdr:row>
      <xdr:rowOff>2021</xdr:rowOff>
    </xdr:from>
    <xdr:to>
      <xdr:col>6</xdr:col>
      <xdr:colOff>276000</xdr:colOff>
      <xdr:row>63</xdr:row>
      <xdr:rowOff>179536</xdr:rowOff>
    </xdr:to>
    <xdr:pic>
      <xdr:nvPicPr>
        <xdr:cNvPr id="135" name="Imagem 134" descr="Suiça, Bandeiras, Bandeiras do mundo">
          <a:extLst>
            <a:ext uri="{FF2B5EF4-FFF2-40B4-BE49-F238E27FC236}">
              <a16:creationId xmlns:a16="http://schemas.microsoft.com/office/drawing/2014/main" id="{83F7B919-D4BF-418E-983E-551793A7D7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0043" y="12736021"/>
          <a:ext cx="273957" cy="1775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1580</xdr:colOff>
      <xdr:row>59</xdr:row>
      <xdr:rowOff>2020</xdr:rowOff>
    </xdr:from>
    <xdr:to>
      <xdr:col>6</xdr:col>
      <xdr:colOff>276000</xdr:colOff>
      <xdr:row>59</xdr:row>
      <xdr:rowOff>179536</xdr:rowOff>
    </xdr:to>
    <xdr:pic>
      <xdr:nvPicPr>
        <xdr:cNvPr id="136" name="Imagem 135" descr="Guia da Copa - Camarões | GZH">
          <a:extLst>
            <a:ext uri="{FF2B5EF4-FFF2-40B4-BE49-F238E27FC236}">
              <a16:creationId xmlns:a16="http://schemas.microsoft.com/office/drawing/2014/main" id="{295126F5-5765-2790-0479-E32E024A6B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59580" y="12008020"/>
          <a:ext cx="274420" cy="1775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2106</xdr:colOff>
      <xdr:row>61</xdr:row>
      <xdr:rowOff>2483</xdr:rowOff>
    </xdr:from>
    <xdr:to>
      <xdr:col>6</xdr:col>
      <xdr:colOff>278000</xdr:colOff>
      <xdr:row>61</xdr:row>
      <xdr:rowOff>179999</xdr:rowOff>
    </xdr:to>
    <xdr:pic>
      <xdr:nvPicPr>
        <xdr:cNvPr id="137" name="Imagem 136" descr="Guia da Copa - Camarões | GZH">
          <a:extLst>
            <a:ext uri="{FF2B5EF4-FFF2-40B4-BE49-F238E27FC236}">
              <a16:creationId xmlns:a16="http://schemas.microsoft.com/office/drawing/2014/main" id="{4D41AFF0-6781-4A04-BF27-96AD3E10DD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0106" y="12372483"/>
          <a:ext cx="275894" cy="1775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1580</xdr:colOff>
      <xdr:row>61</xdr:row>
      <xdr:rowOff>180000</xdr:rowOff>
    </xdr:from>
    <xdr:to>
      <xdr:col>6</xdr:col>
      <xdr:colOff>278000</xdr:colOff>
      <xdr:row>63</xdr:row>
      <xdr:rowOff>0</xdr:rowOff>
    </xdr:to>
    <xdr:pic>
      <xdr:nvPicPr>
        <xdr:cNvPr id="138" name="Imagem 137" descr="Guia da Copa - Camarões | GZH">
          <a:extLst>
            <a:ext uri="{FF2B5EF4-FFF2-40B4-BE49-F238E27FC236}">
              <a16:creationId xmlns:a16="http://schemas.microsoft.com/office/drawing/2014/main" id="{3A55A2FC-E353-401F-A815-D75D7932AC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59580" y="12550000"/>
          <a:ext cx="276420" cy="18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536640</xdr:colOff>
      <xdr:row>61</xdr:row>
      <xdr:rowOff>2788</xdr:rowOff>
    </xdr:from>
    <xdr:to>
      <xdr:col>3</xdr:col>
      <xdr:colOff>0</xdr:colOff>
      <xdr:row>61</xdr:row>
      <xdr:rowOff>188406</xdr:rowOff>
    </xdr:to>
    <xdr:pic>
      <xdr:nvPicPr>
        <xdr:cNvPr id="139" name="Imagem 138" descr="Bandeira da Sérvia – Autentica Bandeiras">
          <a:extLst>
            <a:ext uri="{FF2B5EF4-FFF2-40B4-BE49-F238E27FC236}">
              <a16:creationId xmlns:a16="http://schemas.microsoft.com/office/drawing/2014/main" id="{76A812A2-FB15-6C0E-101F-9408B833AC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6640" y="12372788"/>
          <a:ext cx="271360" cy="1792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3063</xdr:colOff>
      <xdr:row>58</xdr:row>
      <xdr:rowOff>1451</xdr:rowOff>
    </xdr:from>
    <xdr:to>
      <xdr:col>6</xdr:col>
      <xdr:colOff>275206</xdr:colOff>
      <xdr:row>59</xdr:row>
      <xdr:rowOff>22</xdr:rowOff>
    </xdr:to>
    <xdr:pic>
      <xdr:nvPicPr>
        <xdr:cNvPr id="140" name="Imagem 139" descr="Bandeira da Sérvia – Autentica Bandeiras">
          <a:extLst>
            <a:ext uri="{FF2B5EF4-FFF2-40B4-BE49-F238E27FC236}">
              <a16:creationId xmlns:a16="http://schemas.microsoft.com/office/drawing/2014/main" id="{06D8DCB9-8821-4950-BBC5-636D34E1ED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1063" y="11825451"/>
          <a:ext cx="272143" cy="1805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538023</xdr:colOff>
      <xdr:row>63</xdr:row>
      <xdr:rowOff>2171</xdr:rowOff>
    </xdr:from>
    <xdr:to>
      <xdr:col>3</xdr:col>
      <xdr:colOff>1802</xdr:colOff>
      <xdr:row>64</xdr:row>
      <xdr:rowOff>742</xdr:rowOff>
    </xdr:to>
    <xdr:pic>
      <xdr:nvPicPr>
        <xdr:cNvPr id="141" name="Imagem 140" descr="Bandeira da Sérvia – Autentica Bandeiras">
          <a:extLst>
            <a:ext uri="{FF2B5EF4-FFF2-40B4-BE49-F238E27FC236}">
              <a16:creationId xmlns:a16="http://schemas.microsoft.com/office/drawing/2014/main" id="{B913B32C-5774-430C-83EB-4898455F94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8023" y="12736171"/>
          <a:ext cx="267343" cy="1805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31</xdr:col>
      <xdr:colOff>38101</xdr:colOff>
      <xdr:row>18</xdr:row>
      <xdr:rowOff>76200</xdr:rowOff>
    </xdr:from>
    <xdr:to>
      <xdr:col>31</xdr:col>
      <xdr:colOff>571500</xdr:colOff>
      <xdr:row>20</xdr:row>
      <xdr:rowOff>117565</xdr:rowOff>
    </xdr:to>
    <xdr:grpSp>
      <xdr:nvGrpSpPr>
        <xdr:cNvPr id="152" name="Group 59">
          <a:extLst>
            <a:ext uri="{FF2B5EF4-FFF2-40B4-BE49-F238E27FC236}">
              <a16:creationId xmlns:a16="http://schemas.microsoft.com/office/drawing/2014/main" id="{05EDECDB-8182-4C21-9752-069A0C88BE79}"/>
            </a:ext>
          </a:extLst>
        </xdr:cNvPr>
        <xdr:cNvGrpSpPr/>
      </xdr:nvGrpSpPr>
      <xdr:grpSpPr>
        <a:xfrm>
          <a:off x="19131644" y="4354286"/>
          <a:ext cx="533399" cy="411479"/>
          <a:chOff x="21477514" y="2950029"/>
          <a:chExt cx="1730829" cy="3189514"/>
        </a:xfrm>
      </xdr:grpSpPr>
      <xdr:cxnSp macro="">
        <xdr:nvCxnSpPr>
          <xdr:cNvPr id="153" name="Connector: Elbow 53">
            <a:extLst>
              <a:ext uri="{FF2B5EF4-FFF2-40B4-BE49-F238E27FC236}">
                <a16:creationId xmlns:a16="http://schemas.microsoft.com/office/drawing/2014/main" id="{3F9CE29C-EAE2-C29B-4596-B5CCD64B2438}"/>
              </a:ext>
            </a:extLst>
          </xdr:cNvPr>
          <xdr:cNvCxnSpPr/>
        </xdr:nvCxnSpPr>
        <xdr:spPr>
          <a:xfrm>
            <a:off x="21488400" y="2950029"/>
            <a:ext cx="1719943" cy="1578428"/>
          </a:xfrm>
          <a:prstGeom prst="bentConnector3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4" name="Connector: Elbow 56">
            <a:extLst>
              <a:ext uri="{FF2B5EF4-FFF2-40B4-BE49-F238E27FC236}">
                <a16:creationId xmlns:a16="http://schemas.microsoft.com/office/drawing/2014/main" id="{C9AB9582-81FE-A80C-6B49-2342A96B4E4C}"/>
              </a:ext>
            </a:extLst>
          </xdr:cNvPr>
          <xdr:cNvCxnSpPr/>
        </xdr:nvCxnSpPr>
        <xdr:spPr>
          <a:xfrm flipV="1">
            <a:off x="21477514" y="4539343"/>
            <a:ext cx="1719943" cy="1600200"/>
          </a:xfrm>
          <a:prstGeom prst="bentConnector3">
            <a:avLst>
              <a:gd name="adj1" fmla="val 50633"/>
            </a:avLst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41</xdr:col>
      <xdr:colOff>30480</xdr:colOff>
      <xdr:row>18</xdr:row>
      <xdr:rowOff>76200</xdr:rowOff>
    </xdr:from>
    <xdr:to>
      <xdr:col>41</xdr:col>
      <xdr:colOff>563879</xdr:colOff>
      <xdr:row>20</xdr:row>
      <xdr:rowOff>117565</xdr:rowOff>
    </xdr:to>
    <xdr:grpSp>
      <xdr:nvGrpSpPr>
        <xdr:cNvPr id="155" name="Group 59">
          <a:extLst>
            <a:ext uri="{FF2B5EF4-FFF2-40B4-BE49-F238E27FC236}">
              <a16:creationId xmlns:a16="http://schemas.microsoft.com/office/drawing/2014/main" id="{AFB01084-D210-492A-AC0F-4F9EA1A380B2}"/>
            </a:ext>
          </a:extLst>
        </xdr:cNvPr>
        <xdr:cNvGrpSpPr/>
      </xdr:nvGrpSpPr>
      <xdr:grpSpPr>
        <a:xfrm rot="10800000">
          <a:off x="24262080" y="4354286"/>
          <a:ext cx="533399" cy="411479"/>
          <a:chOff x="21477514" y="2950029"/>
          <a:chExt cx="1730829" cy="3189514"/>
        </a:xfrm>
      </xdr:grpSpPr>
      <xdr:cxnSp macro="">
        <xdr:nvCxnSpPr>
          <xdr:cNvPr id="156" name="Connector: Elbow 53">
            <a:extLst>
              <a:ext uri="{FF2B5EF4-FFF2-40B4-BE49-F238E27FC236}">
                <a16:creationId xmlns:a16="http://schemas.microsoft.com/office/drawing/2014/main" id="{542E8DCC-AAAD-ECAB-5BF6-9F8492AB1F9E}"/>
              </a:ext>
            </a:extLst>
          </xdr:cNvPr>
          <xdr:cNvCxnSpPr/>
        </xdr:nvCxnSpPr>
        <xdr:spPr>
          <a:xfrm>
            <a:off x="21488400" y="2950029"/>
            <a:ext cx="1719943" cy="1578428"/>
          </a:xfrm>
          <a:prstGeom prst="bentConnector3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7" name="Connector: Elbow 56">
            <a:extLst>
              <a:ext uri="{FF2B5EF4-FFF2-40B4-BE49-F238E27FC236}">
                <a16:creationId xmlns:a16="http://schemas.microsoft.com/office/drawing/2014/main" id="{3ED067C7-EB72-F840-35E5-2A2BE601D05E}"/>
              </a:ext>
            </a:extLst>
          </xdr:cNvPr>
          <xdr:cNvCxnSpPr/>
        </xdr:nvCxnSpPr>
        <xdr:spPr>
          <a:xfrm flipV="1">
            <a:off x="21477514" y="4539343"/>
            <a:ext cx="1719943" cy="1600200"/>
          </a:xfrm>
          <a:prstGeom prst="bentConnector3">
            <a:avLst>
              <a:gd name="adj1" fmla="val 50633"/>
            </a:avLst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44</xdr:col>
      <xdr:colOff>66675</xdr:colOff>
      <xdr:row>11</xdr:row>
      <xdr:rowOff>85725</xdr:rowOff>
    </xdr:from>
    <xdr:to>
      <xdr:col>46</xdr:col>
      <xdr:colOff>578304</xdr:colOff>
      <xdr:row>27</xdr:row>
      <xdr:rowOff>96610</xdr:rowOff>
    </xdr:to>
    <xdr:grpSp>
      <xdr:nvGrpSpPr>
        <xdr:cNvPr id="158" name="Group 59">
          <a:extLst>
            <a:ext uri="{FF2B5EF4-FFF2-40B4-BE49-F238E27FC236}">
              <a16:creationId xmlns:a16="http://schemas.microsoft.com/office/drawing/2014/main" id="{CC73DA67-4171-4E7E-B49E-ADDC1B25745C}"/>
            </a:ext>
          </a:extLst>
        </xdr:cNvPr>
        <xdr:cNvGrpSpPr/>
      </xdr:nvGrpSpPr>
      <xdr:grpSpPr>
        <a:xfrm rot="10800000">
          <a:off x="26127075" y="2937782"/>
          <a:ext cx="1730829" cy="3222171"/>
          <a:chOff x="21477514" y="2950029"/>
          <a:chExt cx="1730829" cy="3189514"/>
        </a:xfrm>
      </xdr:grpSpPr>
      <xdr:cxnSp macro="">
        <xdr:nvCxnSpPr>
          <xdr:cNvPr id="159" name="Connector: Elbow 53">
            <a:extLst>
              <a:ext uri="{FF2B5EF4-FFF2-40B4-BE49-F238E27FC236}">
                <a16:creationId xmlns:a16="http://schemas.microsoft.com/office/drawing/2014/main" id="{F7E6540D-C2C3-1063-C866-ACA40B865A2C}"/>
              </a:ext>
            </a:extLst>
          </xdr:cNvPr>
          <xdr:cNvCxnSpPr/>
        </xdr:nvCxnSpPr>
        <xdr:spPr>
          <a:xfrm>
            <a:off x="21488400" y="2950029"/>
            <a:ext cx="1719943" cy="1578428"/>
          </a:xfrm>
          <a:prstGeom prst="bentConnector3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0" name="Connector: Elbow 56">
            <a:extLst>
              <a:ext uri="{FF2B5EF4-FFF2-40B4-BE49-F238E27FC236}">
                <a16:creationId xmlns:a16="http://schemas.microsoft.com/office/drawing/2014/main" id="{DEAAD39C-6CAE-923D-5D83-F35A1340DA51}"/>
              </a:ext>
            </a:extLst>
          </xdr:cNvPr>
          <xdr:cNvCxnSpPr/>
        </xdr:nvCxnSpPr>
        <xdr:spPr>
          <a:xfrm flipV="1">
            <a:off x="21477514" y="4539343"/>
            <a:ext cx="1719943" cy="1600200"/>
          </a:xfrm>
          <a:prstGeom prst="bentConnector3">
            <a:avLst>
              <a:gd name="adj1" fmla="val 50633"/>
            </a:avLst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49</xdr:col>
      <xdr:colOff>57148</xdr:colOff>
      <xdr:row>6</xdr:row>
      <xdr:rowOff>114298</xdr:rowOff>
    </xdr:from>
    <xdr:to>
      <xdr:col>50</xdr:col>
      <xdr:colOff>578301</xdr:colOff>
      <xdr:row>15</xdr:row>
      <xdr:rowOff>76200</xdr:rowOff>
    </xdr:to>
    <xdr:grpSp>
      <xdr:nvGrpSpPr>
        <xdr:cNvPr id="161" name="Group 59">
          <a:extLst>
            <a:ext uri="{FF2B5EF4-FFF2-40B4-BE49-F238E27FC236}">
              <a16:creationId xmlns:a16="http://schemas.microsoft.com/office/drawing/2014/main" id="{CC8F94A7-193D-4E93-87E6-6D260BBB5830}"/>
            </a:ext>
          </a:extLst>
        </xdr:cNvPr>
        <xdr:cNvGrpSpPr/>
      </xdr:nvGrpSpPr>
      <xdr:grpSpPr>
        <a:xfrm rot="10800000">
          <a:off x="29165548" y="2008412"/>
          <a:ext cx="1130753" cy="1736274"/>
          <a:chOff x="21477514" y="2950029"/>
          <a:chExt cx="1730829" cy="3189514"/>
        </a:xfrm>
      </xdr:grpSpPr>
      <xdr:cxnSp macro="">
        <xdr:nvCxnSpPr>
          <xdr:cNvPr id="162" name="Connector: Elbow 53">
            <a:extLst>
              <a:ext uri="{FF2B5EF4-FFF2-40B4-BE49-F238E27FC236}">
                <a16:creationId xmlns:a16="http://schemas.microsoft.com/office/drawing/2014/main" id="{86E01070-0DD2-7174-6504-2A909BE9EC02}"/>
              </a:ext>
            </a:extLst>
          </xdr:cNvPr>
          <xdr:cNvCxnSpPr/>
        </xdr:nvCxnSpPr>
        <xdr:spPr>
          <a:xfrm>
            <a:off x="21488400" y="2950029"/>
            <a:ext cx="1719943" cy="1578428"/>
          </a:xfrm>
          <a:prstGeom prst="bentConnector3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3" name="Connector: Elbow 56">
            <a:extLst>
              <a:ext uri="{FF2B5EF4-FFF2-40B4-BE49-F238E27FC236}">
                <a16:creationId xmlns:a16="http://schemas.microsoft.com/office/drawing/2014/main" id="{4CF6ABE1-21DF-BCF9-88D5-27F64BB6C989}"/>
              </a:ext>
            </a:extLst>
          </xdr:cNvPr>
          <xdr:cNvCxnSpPr/>
        </xdr:nvCxnSpPr>
        <xdr:spPr>
          <a:xfrm flipV="1">
            <a:off x="21477514" y="4539343"/>
            <a:ext cx="1719943" cy="1600200"/>
          </a:xfrm>
          <a:prstGeom prst="bentConnector3">
            <a:avLst>
              <a:gd name="adj1" fmla="val 50633"/>
            </a:avLst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49</xdr:col>
      <xdr:colOff>28575</xdr:colOff>
      <xdr:row>22</xdr:row>
      <xdr:rowOff>161925</xdr:rowOff>
    </xdr:from>
    <xdr:to>
      <xdr:col>50</xdr:col>
      <xdr:colOff>549728</xdr:colOff>
      <xdr:row>31</xdr:row>
      <xdr:rowOff>104777</xdr:rowOff>
    </xdr:to>
    <xdr:grpSp>
      <xdr:nvGrpSpPr>
        <xdr:cNvPr id="164" name="Group 59">
          <a:extLst>
            <a:ext uri="{FF2B5EF4-FFF2-40B4-BE49-F238E27FC236}">
              <a16:creationId xmlns:a16="http://schemas.microsoft.com/office/drawing/2014/main" id="{7E60C10B-1613-4F26-925F-A8F7D7A41A0C}"/>
            </a:ext>
          </a:extLst>
        </xdr:cNvPr>
        <xdr:cNvGrpSpPr/>
      </xdr:nvGrpSpPr>
      <xdr:grpSpPr>
        <a:xfrm rot="10800000">
          <a:off x="29136975" y="5245554"/>
          <a:ext cx="1130753" cy="1738994"/>
          <a:chOff x="21477514" y="2950029"/>
          <a:chExt cx="1730829" cy="3189514"/>
        </a:xfrm>
      </xdr:grpSpPr>
      <xdr:cxnSp macro="">
        <xdr:nvCxnSpPr>
          <xdr:cNvPr id="165" name="Connector: Elbow 53">
            <a:extLst>
              <a:ext uri="{FF2B5EF4-FFF2-40B4-BE49-F238E27FC236}">
                <a16:creationId xmlns:a16="http://schemas.microsoft.com/office/drawing/2014/main" id="{7CC60B74-4222-47E8-14B3-BB76F61B330C}"/>
              </a:ext>
            </a:extLst>
          </xdr:cNvPr>
          <xdr:cNvCxnSpPr/>
        </xdr:nvCxnSpPr>
        <xdr:spPr>
          <a:xfrm>
            <a:off x="21488400" y="2950029"/>
            <a:ext cx="1719943" cy="1578428"/>
          </a:xfrm>
          <a:prstGeom prst="bentConnector3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6" name="Connector: Elbow 56">
            <a:extLst>
              <a:ext uri="{FF2B5EF4-FFF2-40B4-BE49-F238E27FC236}">
                <a16:creationId xmlns:a16="http://schemas.microsoft.com/office/drawing/2014/main" id="{C627DED8-04CE-9B27-AFCB-621A3B124CA6}"/>
              </a:ext>
            </a:extLst>
          </xdr:cNvPr>
          <xdr:cNvCxnSpPr/>
        </xdr:nvCxnSpPr>
        <xdr:spPr>
          <a:xfrm flipV="1">
            <a:off x="21477514" y="4539343"/>
            <a:ext cx="1719943" cy="1600200"/>
          </a:xfrm>
          <a:prstGeom prst="bentConnector3">
            <a:avLst>
              <a:gd name="adj1" fmla="val 50633"/>
            </a:avLst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U39"/>
  <sheetViews>
    <sheetView showGridLines="0" workbookViewId="0">
      <selection activeCell="C51" sqref="C51"/>
    </sheetView>
  </sheetViews>
  <sheetFormatPr defaultRowHeight="14.4" x14ac:dyDescent="0.3"/>
  <cols>
    <col min="3" max="3" width="16.33203125" bestFit="1" customWidth="1"/>
    <col min="7" max="7" width="16.6640625" bestFit="1" customWidth="1"/>
    <col min="10" max="10" width="12" bestFit="1" customWidth="1"/>
    <col min="18" max="18" width="6.88671875" bestFit="1" customWidth="1"/>
    <col min="19" max="19" width="49.6640625" bestFit="1" customWidth="1"/>
    <col min="20" max="20" width="9.6640625" bestFit="1" customWidth="1"/>
    <col min="21" max="21" width="82.6640625" bestFit="1" customWidth="1"/>
  </cols>
  <sheetData>
    <row r="1" spans="2:21" x14ac:dyDescent="0.3">
      <c r="G1" s="48" t="s">
        <v>77</v>
      </c>
      <c r="H1" s="48"/>
      <c r="I1" s="33"/>
      <c r="J1" s="4"/>
    </row>
    <row r="3" spans="2:21" ht="15" thickBot="1" x14ac:dyDescent="0.35"/>
    <row r="4" spans="2:21" ht="15" thickBot="1" x14ac:dyDescent="0.35">
      <c r="C4" s="49" t="s">
        <v>78</v>
      </c>
      <c r="D4" s="50"/>
      <c r="E4" s="51"/>
    </row>
    <row r="5" spans="2:21" ht="15" thickBot="1" x14ac:dyDescent="0.35">
      <c r="C5" s="20" t="s">
        <v>79</v>
      </c>
      <c r="D5" s="21" t="s">
        <v>95</v>
      </c>
      <c r="E5" s="22"/>
    </row>
    <row r="6" spans="2:21" ht="15" thickBot="1" x14ac:dyDescent="0.35">
      <c r="C6" s="20" t="s">
        <v>80</v>
      </c>
      <c r="D6" s="21" t="s">
        <v>94</v>
      </c>
      <c r="E6" s="22"/>
      <c r="R6" s="47" t="s">
        <v>90</v>
      </c>
      <c r="S6" s="47"/>
      <c r="T6" s="47"/>
      <c r="U6" s="47"/>
    </row>
    <row r="7" spans="2:21" ht="15" thickBot="1" x14ac:dyDescent="0.35">
      <c r="C7" s="23" t="s">
        <v>81</v>
      </c>
      <c r="D7" s="24" t="s">
        <v>82</v>
      </c>
      <c r="E7" s="25"/>
      <c r="R7" s="26" t="s">
        <v>72</v>
      </c>
      <c r="S7" s="26" t="s">
        <v>53</v>
      </c>
      <c r="T7" s="26" t="s">
        <v>54</v>
      </c>
      <c r="U7" s="26" t="s">
        <v>55</v>
      </c>
    </row>
    <row r="8" spans="2:21" ht="15" thickBot="1" x14ac:dyDescent="0.35">
      <c r="R8" s="26" t="s">
        <v>73</v>
      </c>
      <c r="S8" s="27" t="s">
        <v>86</v>
      </c>
      <c r="T8" s="27" t="s">
        <v>56</v>
      </c>
      <c r="U8" s="27" t="s">
        <v>58</v>
      </c>
    </row>
    <row r="9" spans="2:21" ht="15" thickBot="1" x14ac:dyDescent="0.35">
      <c r="R9" s="26" t="s">
        <v>73</v>
      </c>
      <c r="S9" s="27" t="s">
        <v>87</v>
      </c>
      <c r="T9" s="27" t="s">
        <v>57</v>
      </c>
      <c r="U9" s="27" t="s">
        <v>59</v>
      </c>
    </row>
    <row r="10" spans="2:21" ht="15" thickBot="1" x14ac:dyDescent="0.35">
      <c r="G10" s="4"/>
      <c r="R10" s="26" t="s">
        <v>73</v>
      </c>
      <c r="S10" s="27" t="s">
        <v>88</v>
      </c>
      <c r="T10" s="27" t="s">
        <v>57</v>
      </c>
      <c r="U10" s="27" t="s">
        <v>60</v>
      </c>
    </row>
    <row r="11" spans="2:21" ht="15" thickBot="1" x14ac:dyDescent="0.35">
      <c r="R11" s="26" t="s">
        <v>73</v>
      </c>
      <c r="S11" s="27" t="s">
        <v>61</v>
      </c>
      <c r="T11" s="27" t="s">
        <v>62</v>
      </c>
      <c r="U11" s="27" t="s">
        <v>63</v>
      </c>
    </row>
    <row r="12" spans="2:21" ht="15" thickBot="1" x14ac:dyDescent="0.35">
      <c r="R12" s="26" t="s">
        <v>73</v>
      </c>
      <c r="S12" s="27" t="s">
        <v>64</v>
      </c>
      <c r="T12" s="27" t="s">
        <v>65</v>
      </c>
      <c r="U12" s="27" t="s">
        <v>66</v>
      </c>
    </row>
    <row r="13" spans="2:21" ht="15" thickBot="1" x14ac:dyDescent="0.35">
      <c r="R13" s="26" t="s">
        <v>74</v>
      </c>
      <c r="S13" s="27" t="s">
        <v>76</v>
      </c>
      <c r="T13" s="27" t="s">
        <v>91</v>
      </c>
      <c r="U13" s="27" t="s">
        <v>85</v>
      </c>
    </row>
    <row r="14" spans="2:21" ht="15" thickBot="1" x14ac:dyDescent="0.35">
      <c r="R14" s="26" t="s">
        <v>74</v>
      </c>
      <c r="S14" s="27" t="s">
        <v>89</v>
      </c>
      <c r="T14" s="27" t="s">
        <v>91</v>
      </c>
      <c r="U14" s="27" t="s">
        <v>69</v>
      </c>
    </row>
    <row r="15" spans="2:21" ht="15" thickBot="1" x14ac:dyDescent="0.35">
      <c r="B15" s="56" t="s">
        <v>93</v>
      </c>
      <c r="C15" s="57"/>
      <c r="D15" s="57"/>
      <c r="E15" s="57"/>
      <c r="F15" s="57"/>
      <c r="G15" s="57"/>
      <c r="H15" s="58"/>
      <c r="R15" s="26" t="s">
        <v>74</v>
      </c>
      <c r="S15" s="27" t="s">
        <v>83</v>
      </c>
      <c r="T15" s="27" t="s">
        <v>84</v>
      </c>
      <c r="U15" s="27" t="s">
        <v>69</v>
      </c>
    </row>
    <row r="16" spans="2:21" ht="15" thickBot="1" x14ac:dyDescent="0.35">
      <c r="B16" s="28">
        <v>1</v>
      </c>
      <c r="C16" s="34" t="s">
        <v>106</v>
      </c>
      <c r="D16" s="34"/>
      <c r="E16" s="34"/>
      <c r="F16" s="34"/>
      <c r="G16" s="34"/>
      <c r="H16" s="35"/>
      <c r="R16" s="26" t="s">
        <v>74</v>
      </c>
      <c r="S16" s="27" t="s">
        <v>75</v>
      </c>
      <c r="T16" s="27" t="s">
        <v>92</v>
      </c>
      <c r="U16" s="27" t="s">
        <v>69</v>
      </c>
    </row>
    <row r="17" spans="2:19" ht="15" customHeight="1" x14ac:dyDescent="0.3">
      <c r="B17" s="29">
        <v>2</v>
      </c>
      <c r="C17" s="59" t="s">
        <v>107</v>
      </c>
      <c r="D17" s="60"/>
      <c r="E17" s="60"/>
      <c r="F17" s="60"/>
      <c r="G17" s="60"/>
      <c r="H17" s="61"/>
      <c r="S17" s="1"/>
    </row>
    <row r="18" spans="2:19" x14ac:dyDescent="0.3">
      <c r="B18" s="30"/>
      <c r="C18" s="62"/>
      <c r="D18" s="63"/>
      <c r="E18" s="63"/>
      <c r="F18" s="63"/>
      <c r="G18" s="63"/>
      <c r="H18" s="64"/>
      <c r="S18" s="1"/>
    </row>
    <row r="19" spans="2:19" x14ac:dyDescent="0.3">
      <c r="B19" s="30"/>
      <c r="C19" s="62"/>
      <c r="D19" s="63"/>
      <c r="E19" s="63"/>
      <c r="F19" s="63"/>
      <c r="G19" s="63"/>
      <c r="H19" s="64"/>
    </row>
    <row r="20" spans="2:19" ht="14.4" customHeight="1" x14ac:dyDescent="0.3">
      <c r="B20" s="29">
        <v>3</v>
      </c>
      <c r="C20" s="60" t="s">
        <v>96</v>
      </c>
      <c r="D20" s="60"/>
      <c r="E20" s="60"/>
      <c r="F20" s="60"/>
      <c r="G20" s="60"/>
      <c r="H20" s="36"/>
    </row>
    <row r="21" spans="2:19" x14ac:dyDescent="0.3">
      <c r="B21" s="30"/>
      <c r="C21" s="63"/>
      <c r="D21" s="63"/>
      <c r="E21" s="63"/>
      <c r="F21" s="63"/>
      <c r="G21" s="63"/>
      <c r="H21" s="37"/>
    </row>
    <row r="22" spans="2:19" x14ac:dyDescent="0.3">
      <c r="B22" s="30"/>
      <c r="C22" s="63"/>
      <c r="D22" s="63"/>
      <c r="E22" s="63"/>
      <c r="F22" s="63"/>
      <c r="G22" s="63"/>
      <c r="H22" s="37"/>
    </row>
    <row r="23" spans="2:19" x14ac:dyDescent="0.3">
      <c r="B23" s="30"/>
      <c r="C23" s="63"/>
      <c r="D23" s="63"/>
      <c r="E23" s="63"/>
      <c r="F23" s="63"/>
      <c r="G23" s="63"/>
      <c r="H23" s="37"/>
    </row>
    <row r="24" spans="2:19" x14ac:dyDescent="0.3">
      <c r="B24" s="28"/>
      <c r="C24" s="65"/>
      <c r="D24" s="65"/>
      <c r="E24" s="65"/>
      <c r="F24" s="65"/>
      <c r="G24" s="65"/>
      <c r="H24" s="38"/>
    </row>
    <row r="25" spans="2:19" x14ac:dyDescent="0.3">
      <c r="B25" s="30">
        <v>3.1</v>
      </c>
      <c r="C25" s="39" t="s">
        <v>98</v>
      </c>
      <c r="D25" s="40"/>
      <c r="E25" s="40"/>
      <c r="F25" s="40"/>
      <c r="G25" s="40"/>
      <c r="H25" s="37"/>
    </row>
    <row r="26" spans="2:19" x14ac:dyDescent="0.3">
      <c r="B26" s="31" t="s">
        <v>97</v>
      </c>
      <c r="C26" s="63" t="s">
        <v>100</v>
      </c>
      <c r="D26" s="63"/>
      <c r="E26" s="63"/>
      <c r="F26" s="63"/>
      <c r="G26" s="63"/>
      <c r="H26" s="64"/>
    </row>
    <row r="27" spans="2:19" x14ac:dyDescent="0.3">
      <c r="B27" s="31"/>
      <c r="C27" s="63"/>
      <c r="D27" s="63"/>
      <c r="E27" s="63"/>
      <c r="F27" s="63"/>
      <c r="G27" s="63"/>
      <c r="H27" s="64"/>
    </row>
    <row r="28" spans="2:19" ht="14.4" customHeight="1" x14ac:dyDescent="0.3">
      <c r="B28" s="31" t="s">
        <v>99</v>
      </c>
      <c r="C28" s="62" t="s">
        <v>105</v>
      </c>
      <c r="D28" s="63"/>
      <c r="E28" s="63"/>
      <c r="F28" s="63"/>
      <c r="G28" s="63"/>
      <c r="H28" s="64"/>
    </row>
    <row r="29" spans="2:19" x14ac:dyDescent="0.3">
      <c r="B29" s="30"/>
      <c r="C29" s="62"/>
      <c r="D29" s="63"/>
      <c r="E29" s="63"/>
      <c r="F29" s="63"/>
      <c r="G29" s="63"/>
      <c r="H29" s="64"/>
    </row>
    <row r="30" spans="2:19" x14ac:dyDescent="0.3">
      <c r="B30" s="30"/>
      <c r="C30" s="62"/>
      <c r="D30" s="63"/>
      <c r="E30" s="63"/>
      <c r="F30" s="63"/>
      <c r="G30" s="63"/>
      <c r="H30" s="64"/>
    </row>
    <row r="31" spans="2:19" x14ac:dyDescent="0.3">
      <c r="B31" s="30"/>
      <c r="C31" s="62"/>
      <c r="D31" s="63"/>
      <c r="E31" s="63"/>
      <c r="F31" s="63"/>
      <c r="G31" s="63"/>
      <c r="H31" s="64"/>
    </row>
    <row r="32" spans="2:19" x14ac:dyDescent="0.3">
      <c r="B32" s="30"/>
      <c r="C32" s="62"/>
      <c r="D32" s="63"/>
      <c r="E32" s="63"/>
      <c r="F32" s="63"/>
      <c r="G32" s="63"/>
      <c r="H32" s="64"/>
    </row>
    <row r="33" spans="2:8" ht="13.95" customHeight="1" x14ac:dyDescent="0.3">
      <c r="B33" s="31" t="s">
        <v>101</v>
      </c>
      <c r="C33" s="66" t="s">
        <v>102</v>
      </c>
      <c r="D33" s="66"/>
      <c r="E33" s="66"/>
      <c r="F33" s="66"/>
      <c r="G33" s="66"/>
      <c r="H33" s="67"/>
    </row>
    <row r="34" spans="2:8" x14ac:dyDescent="0.3">
      <c r="B34" s="30"/>
      <c r="C34" s="66"/>
      <c r="D34" s="66"/>
      <c r="E34" s="66"/>
      <c r="F34" s="66"/>
      <c r="G34" s="66"/>
      <c r="H34" s="67"/>
    </row>
    <row r="35" spans="2:8" x14ac:dyDescent="0.3">
      <c r="B35" s="30"/>
      <c r="C35" s="66"/>
      <c r="D35" s="66"/>
      <c r="E35" s="66"/>
      <c r="F35" s="66"/>
      <c r="G35" s="66"/>
      <c r="H35" s="67"/>
    </row>
    <row r="36" spans="2:8" x14ac:dyDescent="0.3">
      <c r="B36" s="30"/>
      <c r="C36" s="66"/>
      <c r="D36" s="66"/>
      <c r="E36" s="66"/>
      <c r="F36" s="66"/>
      <c r="G36" s="66"/>
      <c r="H36" s="67"/>
    </row>
    <row r="37" spans="2:8" x14ac:dyDescent="0.3">
      <c r="B37" s="30"/>
      <c r="C37" s="66"/>
      <c r="D37" s="66"/>
      <c r="E37" s="66"/>
      <c r="F37" s="66"/>
      <c r="G37" s="66"/>
      <c r="H37" s="67"/>
    </row>
    <row r="38" spans="2:8" ht="13.95" customHeight="1" x14ac:dyDescent="0.3">
      <c r="B38" s="31" t="s">
        <v>103</v>
      </c>
      <c r="C38" s="52" t="s">
        <v>104</v>
      </c>
      <c r="D38" s="52"/>
      <c r="E38" s="52"/>
      <c r="F38" s="52"/>
      <c r="G38" s="52"/>
      <c r="H38" s="53"/>
    </row>
    <row r="39" spans="2:8" ht="15" thickBot="1" x14ac:dyDescent="0.35">
      <c r="B39" s="32"/>
      <c r="C39" s="54"/>
      <c r="D39" s="54"/>
      <c r="E39" s="54"/>
      <c r="F39" s="54"/>
      <c r="G39" s="54"/>
      <c r="H39" s="55"/>
    </row>
  </sheetData>
  <mergeCells count="10">
    <mergeCell ref="R6:U6"/>
    <mergeCell ref="G1:H1"/>
    <mergeCell ref="C4:E4"/>
    <mergeCell ref="C38:H39"/>
    <mergeCell ref="B15:H15"/>
    <mergeCell ref="C17:H19"/>
    <mergeCell ref="C28:H32"/>
    <mergeCell ref="C20:G24"/>
    <mergeCell ref="C26:H27"/>
    <mergeCell ref="C33:H37"/>
  </mergeCells>
  <pageMargins left="0.511811024" right="0.511811024" top="0.78740157499999996" bottom="0.78740157499999996" header="0.31496062000000002" footer="0.31496062000000002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1"/>
  <dimension ref="A1:BD79"/>
  <sheetViews>
    <sheetView showGridLines="0" tabSelected="1" topLeftCell="Y7" zoomScale="70" zoomScaleNormal="70" workbookViewId="0">
      <selection activeCell="AJ33" sqref="AJ33:AL35"/>
    </sheetView>
  </sheetViews>
  <sheetFormatPr defaultRowHeight="14.4" x14ac:dyDescent="0.3"/>
  <cols>
    <col min="3" max="3" width="11.6640625" bestFit="1" customWidth="1"/>
    <col min="4" max="4" width="8.88671875" style="1"/>
    <col min="6" max="6" width="8.88671875" style="1"/>
    <col min="7" max="7" width="11.6640625" bestFit="1" customWidth="1"/>
    <col min="10" max="10" width="13.44140625" bestFit="1" customWidth="1"/>
    <col min="19" max="19" width="1.44140625" customWidth="1"/>
    <col min="35" max="35" width="1.6640625" customWidth="1"/>
    <col min="39" max="39" width="2.109375" customWidth="1"/>
    <col min="54" max="56" width="8.88671875" style="9"/>
  </cols>
  <sheetData>
    <row r="1" spans="1:53" ht="71.400000000000006" customHeight="1" x14ac:dyDescent="0.3">
      <c r="A1" s="83" t="s">
        <v>67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S1" s="6"/>
      <c r="U1" s="83" t="s">
        <v>71</v>
      </c>
      <c r="V1" s="83"/>
      <c r="W1" s="83"/>
      <c r="X1" s="83"/>
      <c r="Y1" s="83"/>
      <c r="Z1" s="83"/>
      <c r="AA1" s="83"/>
      <c r="AB1" s="83"/>
      <c r="AC1" s="83"/>
      <c r="AD1" s="83"/>
      <c r="AE1" s="83"/>
      <c r="AF1" s="83"/>
      <c r="AG1" s="83"/>
      <c r="AH1" s="83"/>
      <c r="AI1" s="83"/>
      <c r="AJ1" s="83"/>
      <c r="AK1" s="83"/>
      <c r="AL1" s="83"/>
      <c r="AM1" s="83"/>
      <c r="AN1" s="83"/>
      <c r="AO1" s="83"/>
      <c r="AP1" s="83"/>
      <c r="AQ1" s="83"/>
      <c r="AR1" s="83"/>
      <c r="AS1" s="83"/>
      <c r="AT1" s="83"/>
      <c r="AU1" s="83"/>
      <c r="AV1" s="83"/>
      <c r="AW1" s="83"/>
      <c r="AX1" s="83"/>
      <c r="AY1" s="83"/>
      <c r="AZ1" s="83"/>
      <c r="BA1" s="83"/>
    </row>
    <row r="2" spans="1:53" s="9" customFormat="1" x14ac:dyDescent="0.3">
      <c r="D2" s="13"/>
      <c r="F2" s="13"/>
      <c r="S2" s="46"/>
    </row>
    <row r="3" spans="1:53" s="9" customFormat="1" ht="18" x14ac:dyDescent="0.35">
      <c r="A3" s="43" t="s">
        <v>8</v>
      </c>
      <c r="B3" s="12"/>
      <c r="C3" s="84" t="s">
        <v>9</v>
      </c>
      <c r="D3" s="84"/>
      <c r="E3" s="84"/>
      <c r="F3" s="84"/>
      <c r="G3" s="84"/>
      <c r="H3" s="84"/>
      <c r="I3" s="84"/>
      <c r="J3" s="84"/>
      <c r="K3" s="84"/>
      <c r="L3" s="84"/>
      <c r="M3" s="84"/>
      <c r="N3" s="84"/>
      <c r="O3" s="84"/>
      <c r="P3" s="84"/>
      <c r="Q3" s="84"/>
      <c r="S3" s="46"/>
    </row>
    <row r="4" spans="1:53" s="9" customFormat="1" x14ac:dyDescent="0.3">
      <c r="D4" s="13"/>
      <c r="F4" s="13"/>
      <c r="S4" s="46"/>
      <c r="U4" s="68"/>
      <c r="V4" s="68"/>
    </row>
    <row r="5" spans="1:53" s="9" customFormat="1" ht="15" thickBot="1" x14ac:dyDescent="0.35">
      <c r="A5" s="44">
        <v>44885</v>
      </c>
      <c r="B5" s="70" t="s">
        <v>10</v>
      </c>
      <c r="C5" s="70"/>
      <c r="D5" s="7">
        <v>2</v>
      </c>
      <c r="E5" s="41" t="s">
        <v>11</v>
      </c>
      <c r="F5" s="7">
        <v>1</v>
      </c>
      <c r="G5" s="70" t="s">
        <v>23</v>
      </c>
      <c r="H5" s="70"/>
      <c r="I5" s="8">
        <f>IF(AND(D5="",F5=""),"",IF(AND(ISNUMBER(D5),ISNUMBER(F5)),1,-1))</f>
        <v>1</v>
      </c>
      <c r="S5" s="46"/>
    </row>
    <row r="6" spans="1:53" ht="15" customHeight="1" thickBot="1" x14ac:dyDescent="0.35">
      <c r="A6" s="44">
        <v>44886</v>
      </c>
      <c r="B6" s="70" t="s">
        <v>22</v>
      </c>
      <c r="C6" s="70"/>
      <c r="D6" s="7">
        <v>1</v>
      </c>
      <c r="E6" s="41" t="s">
        <v>11</v>
      </c>
      <c r="F6" s="7">
        <v>3</v>
      </c>
      <c r="G6" s="70" t="s">
        <v>20</v>
      </c>
      <c r="H6" s="70"/>
      <c r="I6" s="19">
        <f t="shared" ref="I6:I10" si="0">IF(AND(D6="",F6=""),"",IF(AND(ISNUMBER(D6),ISNUMBER(F6)),1,-1))</f>
        <v>1</v>
      </c>
      <c r="K6" s="2" t="s">
        <v>14</v>
      </c>
      <c r="L6" s="2" t="s">
        <v>15</v>
      </c>
      <c r="M6" s="2" t="s">
        <v>16</v>
      </c>
      <c r="N6" s="2" t="s">
        <v>17</v>
      </c>
      <c r="O6" s="2" t="s">
        <v>5</v>
      </c>
      <c r="P6" s="2" t="s">
        <v>18</v>
      </c>
      <c r="Q6" s="2" t="s">
        <v>4</v>
      </c>
      <c r="S6" s="6"/>
      <c r="T6" s="9"/>
      <c r="U6" s="72" t="str">
        <f>IF(AND(SUM(L7:N7)=3,SUM(L8:N8)=3,SUM(L9:N9)=3,SUM(L10:N10)=3),J7,"")</f>
        <v>Holanda</v>
      </c>
      <c r="V6" s="73"/>
      <c r="W6" s="15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T6" s="111"/>
      <c r="AU6" s="111"/>
      <c r="AV6" s="9"/>
      <c r="AW6" s="9"/>
      <c r="AX6" s="9"/>
      <c r="AY6" s="9"/>
      <c r="AZ6" s="72" t="str">
        <f>IF(AND(SUM(L16:N16)=3,SUM(L17:N17)=3,SUM(L18:N18)=3,SUM(L19:N19)=3),J16,"")</f>
        <v>Inglaterra</v>
      </c>
      <c r="BA6" s="73"/>
    </row>
    <row r="7" spans="1:53" ht="15" thickBot="1" x14ac:dyDescent="0.35">
      <c r="A7" s="44">
        <v>44890</v>
      </c>
      <c r="B7" s="70" t="s">
        <v>10</v>
      </c>
      <c r="C7" s="70"/>
      <c r="D7" s="7">
        <v>0</v>
      </c>
      <c r="E7" s="41" t="s">
        <v>11</v>
      </c>
      <c r="F7" s="7">
        <v>2</v>
      </c>
      <c r="G7" s="70" t="s">
        <v>22</v>
      </c>
      <c r="H7" s="70"/>
      <c r="I7" s="19">
        <f t="shared" si="0"/>
        <v>1</v>
      </c>
      <c r="J7" s="5" t="str">
        <f>VLOOKUP(1,Planilha1!$B$5:$J$8,2,0)</f>
        <v>Holanda</v>
      </c>
      <c r="K7" s="3">
        <f>VLOOKUP(1,Planilha1!$B$5:$J$8,3,0)</f>
        <v>9</v>
      </c>
      <c r="L7" s="3">
        <f>VLOOKUP(1,Planilha1!$B$5:$J$8,6,0)</f>
        <v>3</v>
      </c>
      <c r="M7" s="3">
        <f>VLOOKUP(1,Planilha1!$B$5:$J$8,7,0)</f>
        <v>0</v>
      </c>
      <c r="N7" s="3">
        <f>VLOOKUP(1,Planilha1!$B$5:$J$8,8,0)</f>
        <v>0</v>
      </c>
      <c r="O7" s="3">
        <f>VLOOKUP(1,Planilha1!$B$5:$J$8,5,0)</f>
        <v>9</v>
      </c>
      <c r="P7" s="3">
        <f>VLOOKUP(1,Planilha1!$B$5:$J$8,9,0)</f>
        <v>2</v>
      </c>
      <c r="Q7" s="3">
        <f>VLOOKUP(1,Planilha1!$B$5:$J$8,4,0)</f>
        <v>7</v>
      </c>
      <c r="S7" s="6"/>
      <c r="T7" s="9"/>
      <c r="U7" s="71" t="s">
        <v>68</v>
      </c>
      <c r="V7" s="71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T7" s="92"/>
      <c r="AU7" s="92"/>
      <c r="AV7" s="9"/>
      <c r="AW7" s="9"/>
      <c r="AX7" s="9"/>
      <c r="AY7" s="9"/>
      <c r="AZ7" s="71" t="s">
        <v>68</v>
      </c>
      <c r="BA7" s="71"/>
    </row>
    <row r="8" spans="1:53" ht="15" customHeight="1" thickBot="1" x14ac:dyDescent="0.35">
      <c r="A8" s="44">
        <v>44890</v>
      </c>
      <c r="B8" s="70" t="s">
        <v>23</v>
      </c>
      <c r="C8" s="70"/>
      <c r="D8" s="7">
        <v>1</v>
      </c>
      <c r="E8" s="41" t="s">
        <v>11</v>
      </c>
      <c r="F8" s="7">
        <v>3</v>
      </c>
      <c r="G8" s="70" t="s">
        <v>20</v>
      </c>
      <c r="H8" s="70"/>
      <c r="I8" s="19">
        <f>IF(AND(D8="",F8=""),"",IF(AND(ISNUMBER(D8),ISNUMBER(F8)),1,-1))</f>
        <v>1</v>
      </c>
      <c r="J8" s="5" t="str">
        <f>VLOOKUP(2,Planilha1!$B$5:$J$8,2,0)</f>
        <v>Senegal</v>
      </c>
      <c r="K8" s="3">
        <f>VLOOKUP(2,Planilha1!$B$5:$J$8,3,0)</f>
        <v>6</v>
      </c>
      <c r="L8" s="3">
        <f>VLOOKUP(2,Planilha1!$B$5:$J$8,6,0)</f>
        <v>2</v>
      </c>
      <c r="M8" s="3">
        <f>VLOOKUP(2,Planilha1!$B$5:$J$8,7,0)</f>
        <v>0</v>
      </c>
      <c r="N8" s="3">
        <f>VLOOKUP(2,Planilha1!$B$5:$J$8,8,0)</f>
        <v>1</v>
      </c>
      <c r="O8" s="3">
        <f>VLOOKUP(2,Planilha1!$B$5:$J$8,5,0)</f>
        <v>5</v>
      </c>
      <c r="P8" s="3">
        <f>VLOOKUP(2,Planilha1!$B$5:$J$8,9,0)</f>
        <v>4</v>
      </c>
      <c r="Q8" s="3">
        <f>VLOOKUP(2,Planilha1!$B$5:$J$8,4,0)</f>
        <v>1</v>
      </c>
      <c r="S8" s="6"/>
      <c r="T8" s="9"/>
      <c r="U8" s="72" t="str">
        <f>IF(AND(SUM(L16:N16)=3,SUM(L17:N17)=3,SUM(L18:N18)=3,SUM(L19:N19)=3),J17,"")</f>
        <v>EUA</v>
      </c>
      <c r="V8" s="73"/>
      <c r="W8" s="15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T8" s="111"/>
      <c r="AU8" s="111"/>
      <c r="AV8" s="9"/>
      <c r="AW8" s="9"/>
      <c r="AX8" s="9"/>
      <c r="AY8" s="9"/>
      <c r="AZ8" s="72" t="str">
        <f>IF(AND(SUM(L7:N7)=3,SUM(L8:N8)=3,SUM(L9:N9)=3,SUM(L10:N10)=3),J8,"")</f>
        <v>Senegal</v>
      </c>
      <c r="BA8" s="73"/>
    </row>
    <row r="9" spans="1:53" x14ac:dyDescent="0.3">
      <c r="A9" s="44">
        <v>44894</v>
      </c>
      <c r="B9" s="70" t="s">
        <v>10</v>
      </c>
      <c r="C9" s="70"/>
      <c r="D9" s="7">
        <v>0</v>
      </c>
      <c r="E9" s="41" t="s">
        <v>11</v>
      </c>
      <c r="F9" s="7">
        <v>3</v>
      </c>
      <c r="G9" s="70" t="s">
        <v>20</v>
      </c>
      <c r="H9" s="70"/>
      <c r="I9" s="19">
        <f t="shared" si="0"/>
        <v>1</v>
      </c>
      <c r="J9" s="5" t="str">
        <f>VLOOKUP(3,Planilha1!$B$5:$J$8,2,0)</f>
        <v>Qatar</v>
      </c>
      <c r="K9" s="3">
        <f>VLOOKUP(3,Planilha1!$B$5:$J$8,3,0)</f>
        <v>3</v>
      </c>
      <c r="L9" s="3">
        <f>VLOOKUP(3,Planilha1!$B$5:$J$8,6,0)</f>
        <v>1</v>
      </c>
      <c r="M9" s="3">
        <f>VLOOKUP(3,Planilha1!$B$5:$J$8,7,0)</f>
        <v>0</v>
      </c>
      <c r="N9" s="3">
        <f>VLOOKUP(3,Planilha1!$B$5:$J$8,8,0)</f>
        <v>2</v>
      </c>
      <c r="O9" s="3">
        <f>VLOOKUP(3,Planilha1!$B$5:$J$8,5,0)</f>
        <v>2</v>
      </c>
      <c r="P9" s="3">
        <f>VLOOKUP(3,Planilha1!$B$5:$J$8,9,0)</f>
        <v>6</v>
      </c>
      <c r="Q9" s="3">
        <f>VLOOKUP(3,Planilha1!$B$5:$J$8,4,0)</f>
        <v>-4</v>
      </c>
      <c r="S9" s="6"/>
      <c r="T9" s="9"/>
      <c r="U9" s="14"/>
      <c r="V9" s="14"/>
      <c r="W9" s="9"/>
      <c r="X9" s="9"/>
      <c r="Y9" s="68"/>
      <c r="Z9" s="68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T9" s="9"/>
      <c r="AU9" s="9"/>
      <c r="AV9" s="9"/>
      <c r="AW9" s="9"/>
      <c r="AX9" s="9"/>
      <c r="AY9" s="9"/>
      <c r="AZ9" s="14"/>
      <c r="BA9" s="14"/>
    </row>
    <row r="10" spans="1:53" ht="14.4" customHeight="1" thickBot="1" x14ac:dyDescent="0.35">
      <c r="A10" s="44">
        <v>44894</v>
      </c>
      <c r="B10" s="70" t="s">
        <v>23</v>
      </c>
      <c r="C10" s="70"/>
      <c r="D10" s="7">
        <v>1</v>
      </c>
      <c r="E10" s="41" t="s">
        <v>11</v>
      </c>
      <c r="F10" s="7">
        <v>2</v>
      </c>
      <c r="G10" s="70" t="s">
        <v>22</v>
      </c>
      <c r="H10" s="70"/>
      <c r="I10" s="19">
        <f t="shared" si="0"/>
        <v>1</v>
      </c>
      <c r="J10" s="5" t="str">
        <f>VLOOKUP(4,Planilha1!$B$5:$J$8,2,0)</f>
        <v>Equador</v>
      </c>
      <c r="K10" s="3">
        <f>VLOOKUP(4,Planilha1!$B$5:$J$8,3,0)</f>
        <v>0</v>
      </c>
      <c r="L10" s="3">
        <f>VLOOKUP(4,Planilha1!$B$5:$J$8,6,0)</f>
        <v>0</v>
      </c>
      <c r="M10" s="3">
        <f>VLOOKUP(4,Planilha1!$B$5:$J$8,7,0)</f>
        <v>0</v>
      </c>
      <c r="N10" s="3">
        <f>VLOOKUP(4,Planilha1!$B$5:$J$8,8,0)</f>
        <v>3</v>
      </c>
      <c r="O10" s="3">
        <f>VLOOKUP(4,Planilha1!$B$5:$J$8,5,0)</f>
        <v>3</v>
      </c>
      <c r="P10" s="3">
        <f>VLOOKUP(4,Planilha1!$B$5:$J$8,9,0)</f>
        <v>7</v>
      </c>
      <c r="Q10" s="3">
        <f>VLOOKUP(4,Planilha1!$B$5:$J$8,4,0)</f>
        <v>-4</v>
      </c>
      <c r="S10" s="6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T10" s="9"/>
      <c r="AU10" s="9"/>
      <c r="AV10" s="9"/>
      <c r="AW10" s="9"/>
      <c r="AX10" s="9"/>
      <c r="AY10" s="9"/>
      <c r="AZ10" s="9"/>
      <c r="BA10" s="9"/>
    </row>
    <row r="11" spans="1:53" ht="15" thickBot="1" x14ac:dyDescent="0.35">
      <c r="A11" s="9"/>
      <c r="B11" s="10"/>
      <c r="C11" s="10"/>
      <c r="D11" s="11"/>
      <c r="E11" s="10"/>
      <c r="F11" s="11"/>
      <c r="G11" s="10"/>
      <c r="H11" s="10"/>
      <c r="I11" s="9"/>
      <c r="J11" s="9"/>
      <c r="K11" s="9"/>
      <c r="L11" s="9"/>
      <c r="M11" s="9"/>
      <c r="N11" s="9"/>
      <c r="O11" s="9"/>
      <c r="P11" s="9"/>
      <c r="Q11" s="9"/>
      <c r="S11" s="6"/>
      <c r="T11" s="9"/>
      <c r="U11" s="9"/>
      <c r="V11" s="9"/>
      <c r="W11" s="9"/>
      <c r="X11" s="9"/>
      <c r="Y11" s="90" t="s">
        <v>25</v>
      </c>
      <c r="Z11" s="112"/>
      <c r="AA11" s="15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T11" s="9"/>
      <c r="AU11" s="9"/>
      <c r="AV11" s="90" t="s">
        <v>24</v>
      </c>
      <c r="AW11" s="112"/>
      <c r="AX11" s="15"/>
      <c r="AY11" s="9"/>
      <c r="AZ11" s="9"/>
      <c r="BA11" s="9"/>
    </row>
    <row r="12" spans="1:53" ht="18.600000000000001" thickBot="1" x14ac:dyDescent="0.4">
      <c r="A12" s="43" t="s">
        <v>8</v>
      </c>
      <c r="B12" s="12"/>
      <c r="C12" s="85" t="s">
        <v>19</v>
      </c>
      <c r="D12" s="85"/>
      <c r="E12" s="85"/>
      <c r="F12" s="85"/>
      <c r="G12" s="85"/>
      <c r="H12" s="85"/>
      <c r="I12" s="85"/>
      <c r="J12" s="85"/>
      <c r="K12" s="85"/>
      <c r="L12" s="85"/>
      <c r="M12" s="85"/>
      <c r="N12" s="85"/>
      <c r="O12" s="85"/>
      <c r="P12" s="85"/>
      <c r="Q12" s="85"/>
      <c r="S12" s="6"/>
      <c r="T12" s="9"/>
      <c r="U12" s="9"/>
      <c r="V12" s="9"/>
      <c r="W12" s="9"/>
      <c r="X12" s="9"/>
      <c r="Y12" s="89" t="s">
        <v>68</v>
      </c>
      <c r="Z12" s="8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T12" s="9"/>
      <c r="AU12" s="9"/>
      <c r="AV12" s="89" t="s">
        <v>68</v>
      </c>
      <c r="AW12" s="89"/>
      <c r="AX12" s="9"/>
      <c r="AY12" s="9"/>
      <c r="AZ12" s="9"/>
      <c r="BA12" s="9"/>
    </row>
    <row r="13" spans="1:53" ht="15" thickBot="1" x14ac:dyDescent="0.35">
      <c r="A13" s="9"/>
      <c r="B13" s="10"/>
      <c r="C13" s="10"/>
      <c r="D13" s="11"/>
      <c r="E13" s="10"/>
      <c r="F13" s="11"/>
      <c r="G13" s="10"/>
      <c r="H13" s="10"/>
      <c r="I13" s="9"/>
      <c r="K13" s="9"/>
      <c r="L13" s="9"/>
      <c r="M13" s="9"/>
      <c r="N13" s="9"/>
      <c r="O13" s="9"/>
      <c r="P13" s="9"/>
      <c r="Q13" s="9"/>
      <c r="S13" s="6"/>
      <c r="T13" s="9"/>
      <c r="U13" s="9"/>
      <c r="V13" s="9"/>
      <c r="W13" s="9"/>
      <c r="X13" s="9"/>
      <c r="Y13" s="90" t="s">
        <v>29</v>
      </c>
      <c r="Z13" s="91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T13" s="9"/>
      <c r="AU13" s="9"/>
      <c r="AV13" s="86" t="s">
        <v>3</v>
      </c>
      <c r="AW13" s="87"/>
      <c r="AX13" s="9"/>
      <c r="AY13" s="9"/>
      <c r="AZ13" s="9"/>
      <c r="BA13" s="9"/>
    </row>
    <row r="14" spans="1:53" ht="15" thickBot="1" x14ac:dyDescent="0.35">
      <c r="A14" s="44">
        <v>44886</v>
      </c>
      <c r="B14" s="70" t="s">
        <v>24</v>
      </c>
      <c r="C14" s="70"/>
      <c r="D14" s="7">
        <v>2</v>
      </c>
      <c r="E14" s="41" t="s">
        <v>11</v>
      </c>
      <c r="F14" s="7">
        <v>1</v>
      </c>
      <c r="G14" s="70" t="s">
        <v>26</v>
      </c>
      <c r="H14" s="70"/>
      <c r="I14" s="8">
        <f t="shared" ref="I14:I19" si="1">IF(AND(D14="",F14=""),"",IF(AND(ISNUMBER(D14),ISNUMBER(F14)),1,-1))</f>
        <v>1</v>
      </c>
      <c r="J14" s="9"/>
      <c r="K14" s="9"/>
      <c r="L14" s="9"/>
      <c r="M14" s="9"/>
      <c r="N14" s="9"/>
      <c r="O14" s="9"/>
      <c r="P14" s="9"/>
      <c r="Q14" s="9"/>
      <c r="S14" s="6"/>
      <c r="T14" s="9"/>
      <c r="U14" s="16"/>
      <c r="V14" s="16"/>
      <c r="W14" s="9"/>
      <c r="X14" s="9"/>
      <c r="Y14" s="14"/>
      <c r="Z14" s="14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T14" s="16"/>
      <c r="AU14" s="16"/>
      <c r="AV14" s="9"/>
      <c r="AW14" s="9"/>
      <c r="AX14" s="9"/>
      <c r="AY14" s="9"/>
      <c r="AZ14" s="16"/>
      <c r="BA14" s="16"/>
    </row>
    <row r="15" spans="1:53" ht="14.4" customHeight="1" thickBot="1" x14ac:dyDescent="0.35">
      <c r="A15" s="44">
        <v>44886</v>
      </c>
      <c r="B15" s="70" t="s">
        <v>25</v>
      </c>
      <c r="C15" s="70"/>
      <c r="D15" s="7">
        <v>2</v>
      </c>
      <c r="E15" s="41" t="s">
        <v>11</v>
      </c>
      <c r="F15" s="7">
        <v>2</v>
      </c>
      <c r="G15" s="70" t="s">
        <v>27</v>
      </c>
      <c r="H15" s="70"/>
      <c r="I15" s="8">
        <f t="shared" si="1"/>
        <v>1</v>
      </c>
      <c r="K15" s="2" t="s">
        <v>14</v>
      </c>
      <c r="L15" s="2" t="s">
        <v>15</v>
      </c>
      <c r="M15" s="2" t="s">
        <v>16</v>
      </c>
      <c r="N15" s="2" t="s">
        <v>17</v>
      </c>
      <c r="O15" s="2" t="s">
        <v>5</v>
      </c>
      <c r="P15" s="2" t="s">
        <v>18</v>
      </c>
      <c r="Q15" s="2" t="s">
        <v>4</v>
      </c>
      <c r="S15" s="6"/>
      <c r="T15" s="9"/>
      <c r="U15" s="72" t="str">
        <f>IF(AND(SUM(L25:N25)=3,SUM(L26:N26)=3,SUM(L27:N27)=3,SUM(L28:N28)=3),J25,"")</f>
        <v>Argentina</v>
      </c>
      <c r="V15" s="73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T15" s="111"/>
      <c r="AU15" s="111"/>
      <c r="AV15" s="9"/>
      <c r="AW15" s="9"/>
      <c r="AX15" s="9"/>
      <c r="AY15" s="9"/>
      <c r="AZ15" s="72" t="str">
        <f>IF(AND(SUM(L34:N34)=3,SUM(L35:N35)=3,SUM(L36:N36)=3,SUM(L37:N37)=3),J34,"")</f>
        <v>Dinamarca</v>
      </c>
      <c r="BA15" s="73"/>
    </row>
    <row r="16" spans="1:53" ht="15" thickBot="1" x14ac:dyDescent="0.35">
      <c r="A16" s="44">
        <v>44890</v>
      </c>
      <c r="B16" s="70" t="s">
        <v>24</v>
      </c>
      <c r="C16" s="70"/>
      <c r="D16" s="7">
        <v>0</v>
      </c>
      <c r="E16" s="41" t="s">
        <v>11</v>
      </c>
      <c r="F16" s="7">
        <v>0</v>
      </c>
      <c r="G16" s="70" t="s">
        <v>25</v>
      </c>
      <c r="H16" s="70"/>
      <c r="I16" s="8">
        <f t="shared" si="1"/>
        <v>1</v>
      </c>
      <c r="J16" s="5" t="str">
        <f>VLOOKUP(1,Planilha1!$B$14:$J$17,2,0)</f>
        <v>Inglaterra</v>
      </c>
      <c r="K16" s="3">
        <f>VLOOKUP(1,Planilha1!$B$14:$J$17,3,0)</f>
        <v>7</v>
      </c>
      <c r="L16" s="3">
        <f>VLOOKUP(1,Planilha1!$B$14:$J$17,6,0)</f>
        <v>2</v>
      </c>
      <c r="M16" s="3">
        <f>VLOOKUP(1,Planilha1!$B$14:$J$17,7,0)</f>
        <v>1</v>
      </c>
      <c r="N16" s="3">
        <f>VLOOKUP(1,Planilha1!$B$14:$J$17,8,0)</f>
        <v>0</v>
      </c>
      <c r="O16" s="3">
        <f>VLOOKUP(1,Planilha1!$B$14:$J$17,5,0)</f>
        <v>4</v>
      </c>
      <c r="P16" s="3">
        <f>VLOOKUP(1,Planilha1!$B$14:$J$17,9,0)</f>
        <v>2</v>
      </c>
      <c r="Q16" s="3">
        <f>VLOOKUP(1,Planilha1!$B$14:$J$17,4,0)</f>
        <v>2</v>
      </c>
      <c r="S16" s="6"/>
      <c r="T16" s="9"/>
      <c r="U16" s="89" t="s">
        <v>68</v>
      </c>
      <c r="V16" s="8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T16" s="92"/>
      <c r="AU16" s="92"/>
      <c r="AV16" s="9"/>
      <c r="AW16" s="9"/>
      <c r="AX16" s="9"/>
      <c r="AY16" s="9"/>
      <c r="AZ16" s="89" t="s">
        <v>68</v>
      </c>
      <c r="BA16" s="89"/>
    </row>
    <row r="17" spans="1:54" ht="16.95" customHeight="1" thickBot="1" x14ac:dyDescent="0.35">
      <c r="A17" s="44">
        <v>44890</v>
      </c>
      <c r="B17" s="70" t="s">
        <v>26</v>
      </c>
      <c r="C17" s="70"/>
      <c r="D17" s="7">
        <v>1</v>
      </c>
      <c r="E17" s="41" t="s">
        <v>11</v>
      </c>
      <c r="F17" s="7">
        <v>2</v>
      </c>
      <c r="G17" s="70" t="s">
        <v>27</v>
      </c>
      <c r="H17" s="70"/>
      <c r="I17" s="8">
        <f t="shared" si="1"/>
        <v>1</v>
      </c>
      <c r="J17" s="5" t="str">
        <f>VLOOKUP(2,Planilha1!$B$14:$J$17,2,0)</f>
        <v>EUA</v>
      </c>
      <c r="K17" s="3">
        <f>VLOOKUP(2,Planilha1!$B$14:$J$17,3,0)</f>
        <v>5</v>
      </c>
      <c r="L17" s="3">
        <f>VLOOKUP(2,Planilha1!$B$14:$J$17,6,0)</f>
        <v>1</v>
      </c>
      <c r="M17" s="3">
        <f>VLOOKUP(2,Planilha1!$B$14:$J$17,7,0)</f>
        <v>2</v>
      </c>
      <c r="N17" s="3">
        <f>VLOOKUP(2,Planilha1!$B$14:$J$17,8,0)</f>
        <v>0</v>
      </c>
      <c r="O17" s="3">
        <f>VLOOKUP(2,Planilha1!$B$14:$J$17,5,0)</f>
        <v>3</v>
      </c>
      <c r="P17" s="3">
        <f>VLOOKUP(2,Planilha1!$B$14:$J$17,9,0)</f>
        <v>2</v>
      </c>
      <c r="Q17" s="3">
        <f>VLOOKUP(2,Planilha1!$B$14:$J$17,4,0)</f>
        <v>1</v>
      </c>
      <c r="S17" s="6"/>
      <c r="T17" s="9"/>
      <c r="U17" s="72" t="str">
        <f>IF(AND(SUM(L34:N34)=3,SUM(L35:N35)=3,SUM(L36:N36)=3,SUM(L37:N37)=3),J35,"")</f>
        <v>França</v>
      </c>
      <c r="V17" s="73"/>
      <c r="W17" s="15"/>
      <c r="X17" s="9"/>
      <c r="Y17" s="9"/>
      <c r="Z17" s="9"/>
      <c r="AA17" s="9"/>
      <c r="AB17" s="9"/>
      <c r="AC17" s="9"/>
      <c r="AD17" s="68"/>
      <c r="AE17" s="68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T17" s="111"/>
      <c r="AU17" s="111"/>
      <c r="AV17" s="9"/>
      <c r="AW17" s="9"/>
      <c r="AX17" s="9"/>
      <c r="AY17" s="9"/>
      <c r="AZ17" s="72" t="str">
        <f>IF(AND(SUM(L25:N25)=3,SUM(L26:N26)=3,SUM(L27:N27)=3,SUM(L28:N28)=3),J26,"")</f>
        <v>México</v>
      </c>
      <c r="BA17" s="73"/>
      <c r="BB17" s="15"/>
    </row>
    <row r="18" spans="1:54" ht="15.6" customHeight="1" thickBot="1" x14ac:dyDescent="0.35">
      <c r="A18" s="44">
        <v>44894</v>
      </c>
      <c r="B18" s="70" t="s">
        <v>24</v>
      </c>
      <c r="C18" s="70"/>
      <c r="D18" s="7">
        <v>2</v>
      </c>
      <c r="E18" s="41" t="s">
        <v>11</v>
      </c>
      <c r="F18" s="7">
        <v>1</v>
      </c>
      <c r="G18" s="70" t="s">
        <v>27</v>
      </c>
      <c r="H18" s="70"/>
      <c r="I18" s="8">
        <f t="shared" si="1"/>
        <v>1</v>
      </c>
      <c r="J18" s="5" t="str">
        <f>VLOOKUP(3,Planilha1!$B$14:$J$17,2,0)</f>
        <v>País de Gales</v>
      </c>
      <c r="K18" s="3">
        <f>VLOOKUP(3,Planilha1!$B$14:$J$17,3,0)</f>
        <v>4</v>
      </c>
      <c r="L18" s="3">
        <f>VLOOKUP(3,Planilha1!$B$14:$J$17,6,0)</f>
        <v>1</v>
      </c>
      <c r="M18" s="3">
        <f>VLOOKUP(3,Planilha1!$B$14:$J$17,7,0)</f>
        <v>1</v>
      </c>
      <c r="N18" s="3">
        <f>VLOOKUP(3,Planilha1!$B$14:$J$17,8,0)</f>
        <v>1</v>
      </c>
      <c r="O18" s="3">
        <f>VLOOKUP(3,Planilha1!$B$14:$J$17,5,0)</f>
        <v>5</v>
      </c>
      <c r="P18" s="3">
        <f>VLOOKUP(3,Planilha1!$B$14:$J$17,9,0)</f>
        <v>5</v>
      </c>
      <c r="Q18" s="3">
        <f>VLOOKUP(3,Planilha1!$B$14:$J$17,4,0)</f>
        <v>0</v>
      </c>
      <c r="S18" s="6"/>
      <c r="T18" s="9"/>
      <c r="U18" s="14"/>
      <c r="V18" s="14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T18" s="9"/>
      <c r="AU18" s="9"/>
      <c r="AV18" s="9"/>
      <c r="AW18" s="9"/>
      <c r="AX18" s="9"/>
      <c r="AY18" s="9"/>
      <c r="AZ18" s="14"/>
      <c r="BA18" s="14"/>
    </row>
    <row r="19" spans="1:54" ht="13.95" customHeight="1" thickBot="1" x14ac:dyDescent="0.35">
      <c r="A19" s="44">
        <v>44894</v>
      </c>
      <c r="B19" s="70" t="s">
        <v>26</v>
      </c>
      <c r="C19" s="70"/>
      <c r="D19" s="7">
        <v>0</v>
      </c>
      <c r="E19" s="41" t="s">
        <v>11</v>
      </c>
      <c r="F19" s="7">
        <v>1</v>
      </c>
      <c r="G19" s="70" t="s">
        <v>25</v>
      </c>
      <c r="H19" s="70"/>
      <c r="I19" s="8">
        <f t="shared" si="1"/>
        <v>1</v>
      </c>
      <c r="J19" s="5" t="str">
        <f>VLOOKUP(4,Planilha1!$B$14:$J$17,2,0)</f>
        <v>Irã</v>
      </c>
      <c r="K19" s="3">
        <f>VLOOKUP(4,Planilha1!$B$14:$J$17,3,0)</f>
        <v>0</v>
      </c>
      <c r="L19" s="3">
        <f>VLOOKUP(4,Planilha1!$B$14:$J$17,6,0)</f>
        <v>0</v>
      </c>
      <c r="M19" s="3">
        <f>VLOOKUP(4,Planilha1!$B$14:$J$17,7,0)</f>
        <v>0</v>
      </c>
      <c r="N19" s="3">
        <f>VLOOKUP(4,Planilha1!$B$14:$J$17,8,0)</f>
        <v>3</v>
      </c>
      <c r="O19" s="3">
        <f>VLOOKUP(4,Planilha1!$B$14:$J$17,5,0)</f>
        <v>2</v>
      </c>
      <c r="P19" s="3">
        <f>VLOOKUP(4,Planilha1!$B$14:$J$17,9,0)</f>
        <v>5</v>
      </c>
      <c r="Q19" s="3">
        <f>VLOOKUP(4,Planilha1!$B$14:$J$17,4,0)</f>
        <v>-3</v>
      </c>
      <c r="S19" s="6"/>
      <c r="T19" s="9"/>
      <c r="U19" s="9"/>
      <c r="V19" s="9"/>
      <c r="W19" s="9"/>
      <c r="X19" s="9"/>
      <c r="Y19" s="9"/>
      <c r="Z19" s="9" t="s">
        <v>69</v>
      </c>
      <c r="AA19" s="9"/>
      <c r="AB19" s="9"/>
      <c r="AC19" s="9"/>
      <c r="AD19" s="86" t="s">
        <v>29</v>
      </c>
      <c r="AE19" s="87"/>
      <c r="AF19" s="13"/>
      <c r="AG19" s="13"/>
      <c r="AH19" s="13"/>
      <c r="AI19" s="13"/>
      <c r="AJ19" s="93" t="s">
        <v>1</v>
      </c>
      <c r="AK19" s="94"/>
      <c r="AL19" s="95"/>
      <c r="AM19" s="18"/>
      <c r="AN19" s="18"/>
      <c r="AO19" s="18"/>
      <c r="AP19" s="9"/>
      <c r="AQ19" s="86" t="s">
        <v>24</v>
      </c>
      <c r="AR19" s="87"/>
      <c r="AT19" s="9"/>
      <c r="AU19" s="9"/>
      <c r="AV19" s="9"/>
      <c r="AW19" s="9"/>
      <c r="AX19" s="9"/>
      <c r="AY19" s="9"/>
      <c r="AZ19" s="9"/>
      <c r="BA19" s="9"/>
    </row>
    <row r="20" spans="1:54" ht="15" thickBot="1" x14ac:dyDescent="0.35">
      <c r="A20" s="9"/>
      <c r="B20" s="10"/>
      <c r="C20" s="10"/>
      <c r="D20" s="11"/>
      <c r="E20" s="10"/>
      <c r="F20" s="11"/>
      <c r="G20" s="10"/>
      <c r="H20" s="10"/>
      <c r="J20" s="9"/>
      <c r="K20" s="9"/>
      <c r="L20" s="9"/>
      <c r="M20" s="9"/>
      <c r="N20" s="9"/>
      <c r="O20" s="9"/>
      <c r="P20" s="9"/>
      <c r="Q20" s="9"/>
      <c r="S20" s="6"/>
      <c r="T20" s="9"/>
      <c r="U20" s="9"/>
      <c r="V20" s="9"/>
      <c r="W20" s="9"/>
      <c r="X20" s="9"/>
      <c r="Y20" s="9"/>
      <c r="Z20" s="9"/>
      <c r="AA20" s="9"/>
      <c r="AB20" s="9"/>
      <c r="AC20" s="9"/>
      <c r="AD20" s="89" t="s">
        <v>68</v>
      </c>
      <c r="AE20" s="89"/>
      <c r="AF20" s="17"/>
      <c r="AG20" s="86" t="s">
        <v>1</v>
      </c>
      <c r="AH20" s="87"/>
      <c r="AI20" s="17"/>
      <c r="AJ20" s="96"/>
      <c r="AK20" s="97"/>
      <c r="AL20" s="98"/>
      <c r="AM20" s="18"/>
      <c r="AN20" s="86" t="s">
        <v>24</v>
      </c>
      <c r="AO20" s="87"/>
      <c r="AP20" s="9"/>
      <c r="AQ20" s="89" t="s">
        <v>68</v>
      </c>
      <c r="AR20" s="89"/>
      <c r="AT20" s="9"/>
      <c r="AU20" s="9"/>
      <c r="AV20" s="9"/>
      <c r="AW20" s="9"/>
      <c r="AX20" s="9"/>
      <c r="AY20" s="9"/>
      <c r="AZ20" s="9"/>
      <c r="BA20" s="9"/>
    </row>
    <row r="21" spans="1:54" ht="18.600000000000001" thickBot="1" x14ac:dyDescent="0.4">
      <c r="A21" s="43" t="s">
        <v>8</v>
      </c>
      <c r="B21" s="42"/>
      <c r="C21" s="85" t="s">
        <v>28</v>
      </c>
      <c r="D21" s="85"/>
      <c r="E21" s="85"/>
      <c r="F21" s="85"/>
      <c r="G21" s="85"/>
      <c r="H21" s="85"/>
      <c r="I21" s="85"/>
      <c r="J21" s="85"/>
      <c r="K21" s="85"/>
      <c r="L21" s="85"/>
      <c r="M21" s="85"/>
      <c r="N21" s="85"/>
      <c r="O21" s="85"/>
      <c r="P21" s="85"/>
      <c r="Q21" s="85"/>
      <c r="S21" s="6"/>
      <c r="T21" s="9"/>
      <c r="U21" s="9"/>
      <c r="V21" s="9"/>
      <c r="W21" s="9"/>
      <c r="X21" s="9"/>
      <c r="Y21" s="9"/>
      <c r="Z21" s="9"/>
      <c r="AA21" s="9"/>
      <c r="AB21" s="9"/>
      <c r="AC21" s="9"/>
      <c r="AD21" s="90" t="s">
        <v>1</v>
      </c>
      <c r="AE21" s="91"/>
      <c r="AF21" s="13"/>
      <c r="AG21" s="13"/>
      <c r="AH21" s="13"/>
      <c r="AI21" s="13"/>
      <c r="AJ21" s="99"/>
      <c r="AK21" s="100"/>
      <c r="AL21" s="101"/>
      <c r="AM21" s="18"/>
      <c r="AN21" s="18"/>
      <c r="AO21" s="18"/>
      <c r="AP21" s="9"/>
      <c r="AQ21" s="90" t="s">
        <v>42</v>
      </c>
      <c r="AR21" s="91"/>
      <c r="AT21" s="9"/>
      <c r="AU21" s="9"/>
      <c r="AV21" s="9"/>
      <c r="AW21" s="9"/>
      <c r="AX21" s="9"/>
      <c r="AY21" s="9"/>
      <c r="AZ21" s="9"/>
      <c r="BA21" s="9"/>
    </row>
    <row r="22" spans="1:54" ht="15" thickBot="1" x14ac:dyDescent="0.35">
      <c r="A22" s="9"/>
      <c r="B22" s="10"/>
      <c r="C22" s="10"/>
      <c r="D22" s="11"/>
      <c r="F22"/>
      <c r="H22" s="10"/>
      <c r="J22" s="9"/>
      <c r="K22" s="9"/>
      <c r="L22" s="9"/>
      <c r="M22" s="9"/>
      <c r="N22" s="9"/>
      <c r="O22" s="9"/>
      <c r="P22" s="9"/>
      <c r="Q22" s="9"/>
      <c r="S22" s="6"/>
      <c r="T22" s="9"/>
      <c r="U22" s="72" t="str">
        <f>IF(AND(SUM(L43:N43)=3,SUM(L44:N44)=3,SUM(L45:N45)=3,SUM(L46:N46)=3),J43,"")</f>
        <v>Alemanha</v>
      </c>
      <c r="V22" s="73"/>
      <c r="W22" s="15"/>
      <c r="X22" s="9"/>
      <c r="Y22" s="9"/>
      <c r="Z22" s="9"/>
      <c r="AA22" s="9"/>
      <c r="AB22" s="9"/>
      <c r="AC22" s="9"/>
      <c r="AD22" s="14"/>
      <c r="AE22" s="14"/>
      <c r="AF22" s="9"/>
      <c r="AG22" s="9"/>
      <c r="AH22" s="9"/>
      <c r="AI22" s="9"/>
      <c r="AJ22" s="69"/>
      <c r="AK22" s="69"/>
      <c r="AL22" s="69"/>
      <c r="AM22" s="9"/>
      <c r="AN22" s="9"/>
      <c r="AO22" s="9"/>
      <c r="AP22" s="9"/>
      <c r="AQ22" s="14"/>
      <c r="AR22" s="14"/>
      <c r="AT22" s="111"/>
      <c r="AU22" s="111"/>
      <c r="AV22" s="9"/>
      <c r="AW22" s="9"/>
      <c r="AX22" s="9"/>
      <c r="AY22" s="9"/>
      <c r="AZ22" s="72" t="str">
        <f>IF(AND(SUM(L52:N52)=3,SUM(L53:N53)=3,SUM(L54:N54)=3,SUM(L55:N55)=3),J52,"")</f>
        <v>Bélgica</v>
      </c>
      <c r="BA22" s="73"/>
      <c r="BB22" s="15"/>
    </row>
    <row r="23" spans="1:54" ht="15" thickBot="1" x14ac:dyDescent="0.35">
      <c r="A23" s="44">
        <v>44887</v>
      </c>
      <c r="B23" s="70" t="s">
        <v>29</v>
      </c>
      <c r="C23" s="70"/>
      <c r="D23" s="7">
        <v>2</v>
      </c>
      <c r="E23" s="41" t="s">
        <v>11</v>
      </c>
      <c r="F23" s="7">
        <v>0</v>
      </c>
      <c r="G23" s="70" t="s">
        <v>30</v>
      </c>
      <c r="H23" s="70"/>
      <c r="I23" s="8">
        <f t="shared" ref="I23:I28" si="2">IF(AND(D23="",F23=""),"",IF(AND(ISNUMBER(D23),ISNUMBER(F23)),1,-1))</f>
        <v>1</v>
      </c>
      <c r="J23" s="9"/>
      <c r="K23" s="9"/>
      <c r="L23" s="9"/>
      <c r="M23" s="9"/>
      <c r="N23" s="9"/>
      <c r="O23" s="9"/>
      <c r="P23" s="9"/>
      <c r="Q23" s="9"/>
      <c r="S23" s="6"/>
      <c r="T23" s="9"/>
      <c r="U23" s="92" t="s">
        <v>68</v>
      </c>
      <c r="V23" s="92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T23" s="92"/>
      <c r="AU23" s="92"/>
      <c r="AV23" s="9"/>
      <c r="AW23" s="9"/>
      <c r="AX23" s="9"/>
      <c r="AY23" s="9"/>
      <c r="AZ23" s="92" t="s">
        <v>68</v>
      </c>
      <c r="BA23" s="92"/>
    </row>
    <row r="24" spans="1:54" ht="15" thickBot="1" x14ac:dyDescent="0.35">
      <c r="A24" s="44">
        <v>44887</v>
      </c>
      <c r="B24" s="70" t="s">
        <v>3</v>
      </c>
      <c r="C24" s="70"/>
      <c r="D24" s="7">
        <v>0</v>
      </c>
      <c r="E24" s="41" t="s">
        <v>11</v>
      </c>
      <c r="F24" s="7">
        <v>0</v>
      </c>
      <c r="G24" s="70" t="s">
        <v>31</v>
      </c>
      <c r="H24" s="70"/>
      <c r="I24" s="8">
        <f t="shared" si="2"/>
        <v>1</v>
      </c>
      <c r="K24" s="2" t="s">
        <v>14</v>
      </c>
      <c r="L24" s="2" t="s">
        <v>15</v>
      </c>
      <c r="M24" s="2" t="s">
        <v>16</v>
      </c>
      <c r="N24" s="2" t="s">
        <v>17</v>
      </c>
      <c r="O24" s="2" t="s">
        <v>5</v>
      </c>
      <c r="P24" s="2" t="s">
        <v>18</v>
      </c>
      <c r="Q24" s="2" t="s">
        <v>4</v>
      </c>
      <c r="S24" s="6"/>
      <c r="T24" s="9"/>
      <c r="U24" s="72" t="str">
        <f>IF(AND(SUM(L52:N52)=3,SUM(L53:N53)=3,SUM(L54:N54)=3,SUM(L55:N55)=3),J53,"")</f>
        <v>Croácia</v>
      </c>
      <c r="V24" s="73"/>
      <c r="W24" s="15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T24" s="111"/>
      <c r="AU24" s="111"/>
      <c r="AV24" s="9"/>
      <c r="AW24" s="9"/>
      <c r="AX24" s="9"/>
      <c r="AY24" s="9"/>
      <c r="AZ24" s="72" t="str">
        <f>IF(AND(SUM(L43:N43)=3,SUM(L44:N44)=3,SUM(L45:N45)=3,SUM(L46:N46)=3),J44,"")</f>
        <v>Espanha</v>
      </c>
      <c r="BA24" s="73"/>
      <c r="BB24" s="15"/>
    </row>
    <row r="25" spans="1:54" ht="15" thickBot="1" x14ac:dyDescent="0.35">
      <c r="A25" s="44">
        <v>44891</v>
      </c>
      <c r="B25" s="70" t="s">
        <v>29</v>
      </c>
      <c r="C25" s="70"/>
      <c r="D25" s="7">
        <v>1</v>
      </c>
      <c r="E25" s="41" t="s">
        <v>11</v>
      </c>
      <c r="F25" s="7">
        <v>1</v>
      </c>
      <c r="G25" s="70" t="s">
        <v>3</v>
      </c>
      <c r="H25" s="70"/>
      <c r="I25" s="8">
        <f t="shared" si="2"/>
        <v>1</v>
      </c>
      <c r="J25" s="5" t="str">
        <f>VLOOKUP(1,Planilha1!$B$23:$J$26,2,0)</f>
        <v>Argentina</v>
      </c>
      <c r="K25" s="3">
        <f>VLOOKUP(1,Planilha1!$B$23:$J$26,3,0)</f>
        <v>7</v>
      </c>
      <c r="L25" s="3">
        <f>VLOOKUP(1,Planilha1!$B$23:$J$26,6,0)</f>
        <v>2</v>
      </c>
      <c r="M25" s="3">
        <f>VLOOKUP(1,Planilha1!$B$23:$J$26,7,0)</f>
        <v>1</v>
      </c>
      <c r="N25" s="3">
        <f>VLOOKUP(1,Planilha1!$B$23:$J$26,8,0)</f>
        <v>0</v>
      </c>
      <c r="O25" s="3">
        <f>VLOOKUP(1,Planilha1!$B$23:$J$26,5,0)</f>
        <v>4</v>
      </c>
      <c r="P25" s="3">
        <f>VLOOKUP(1,Planilha1!$B$23:$J$26,9,0)</f>
        <v>1</v>
      </c>
      <c r="Q25" s="3">
        <f>VLOOKUP(1,Planilha1!$B$23:$J$26,4,0)</f>
        <v>3</v>
      </c>
      <c r="S25" s="6"/>
      <c r="T25" s="9"/>
      <c r="U25" s="14"/>
      <c r="V25" s="14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T25" s="9"/>
      <c r="AU25" s="9"/>
      <c r="AV25" s="9"/>
      <c r="AW25" s="9"/>
      <c r="AX25" s="9"/>
      <c r="AY25" s="9"/>
      <c r="AZ25" s="14"/>
      <c r="BA25" s="14"/>
    </row>
    <row r="26" spans="1:54" ht="15" thickBot="1" x14ac:dyDescent="0.35">
      <c r="A26" s="44">
        <v>44891</v>
      </c>
      <c r="B26" s="70" t="s">
        <v>30</v>
      </c>
      <c r="C26" s="70"/>
      <c r="D26" s="7">
        <v>1</v>
      </c>
      <c r="E26" s="41" t="s">
        <v>11</v>
      </c>
      <c r="F26" s="7">
        <v>2</v>
      </c>
      <c r="G26" s="70" t="s">
        <v>31</v>
      </c>
      <c r="H26" s="70"/>
      <c r="I26" s="8">
        <f t="shared" si="2"/>
        <v>1</v>
      </c>
      <c r="J26" s="5" t="str">
        <f>VLOOKUP(2,Planilha1!$B$23:$J$26,2,0)</f>
        <v>México</v>
      </c>
      <c r="K26" s="3">
        <f>VLOOKUP(2,Planilha1!$B$23:$J$26,3,0)</f>
        <v>5</v>
      </c>
      <c r="L26" s="3">
        <f>VLOOKUP(2,Planilha1!$B$23:$J$26,6,0)</f>
        <v>1</v>
      </c>
      <c r="M26" s="3">
        <f>VLOOKUP(2,Planilha1!$B$23:$J$26,7,0)</f>
        <v>2</v>
      </c>
      <c r="N26" s="3">
        <f>VLOOKUP(2,Planilha1!$B$23:$J$26,8,0)</f>
        <v>0</v>
      </c>
      <c r="O26" s="3">
        <f>VLOOKUP(2,Planilha1!$B$23:$J$26,5,0)</f>
        <v>4</v>
      </c>
      <c r="P26" s="3">
        <f>VLOOKUP(2,Planilha1!$B$23:$J$26,9,0)</f>
        <v>1</v>
      </c>
      <c r="Q26" s="3">
        <f>VLOOKUP(2,Planilha1!$B$23:$J$26,4,0)</f>
        <v>3</v>
      </c>
      <c r="S26" s="6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102" t="str">
        <f>IF(AJ19="","",IF(AJ19=Planilha1!S21,Planilha1!T21,Planilha1!S21))</f>
        <v>Inglaterra</v>
      </c>
      <c r="AK26" s="103"/>
      <c r="AL26" s="104"/>
      <c r="AM26" s="9"/>
      <c r="AN26" s="9"/>
      <c r="AO26" s="9"/>
      <c r="AP26" s="9"/>
      <c r="AQ26" s="9"/>
      <c r="AR26" s="9"/>
      <c r="AT26" s="9"/>
      <c r="AU26" s="9"/>
      <c r="AV26" s="9"/>
      <c r="AW26" s="9"/>
      <c r="AX26" s="9"/>
      <c r="AY26" s="9"/>
      <c r="AZ26" s="9"/>
      <c r="BA26" s="9"/>
    </row>
    <row r="27" spans="1:54" ht="15" thickBot="1" x14ac:dyDescent="0.35">
      <c r="A27" s="44">
        <v>44895</v>
      </c>
      <c r="B27" s="70" t="s">
        <v>29</v>
      </c>
      <c r="C27" s="70"/>
      <c r="D27" s="7">
        <v>1</v>
      </c>
      <c r="E27" s="41" t="s">
        <v>11</v>
      </c>
      <c r="F27" s="7">
        <v>0</v>
      </c>
      <c r="G27" s="70" t="s">
        <v>31</v>
      </c>
      <c r="H27" s="70"/>
      <c r="I27" s="8">
        <f t="shared" si="2"/>
        <v>1</v>
      </c>
      <c r="J27" s="5" t="str">
        <f>VLOOKUP(3,Planilha1!$B$23:$J$26,2,0)</f>
        <v>Polônia</v>
      </c>
      <c r="K27" s="3">
        <f>VLOOKUP(3,Planilha1!$B$23:$J$26,3,0)</f>
        <v>4</v>
      </c>
      <c r="L27" s="3">
        <f>VLOOKUP(3,Planilha1!$B$23:$J$26,6,0)</f>
        <v>1</v>
      </c>
      <c r="M27" s="3">
        <f>VLOOKUP(3,Planilha1!$B$23:$J$26,7,0)</f>
        <v>1</v>
      </c>
      <c r="N27" s="3">
        <f>VLOOKUP(3,Planilha1!$B$23:$J$26,8,0)</f>
        <v>1</v>
      </c>
      <c r="O27" s="3">
        <f>VLOOKUP(3,Planilha1!$B$23:$J$26,5,0)</f>
        <v>2</v>
      </c>
      <c r="P27" s="3">
        <f>VLOOKUP(3,Planilha1!$B$23:$J$26,9,0)</f>
        <v>2</v>
      </c>
      <c r="Q27" s="3">
        <f>VLOOKUP(3,Planilha1!$B$23:$J$26,4,0)</f>
        <v>0</v>
      </c>
      <c r="S27" s="6"/>
      <c r="T27" s="9"/>
      <c r="U27" s="9"/>
      <c r="V27" s="9"/>
      <c r="W27" s="9"/>
      <c r="X27" s="9"/>
      <c r="Y27" s="86" t="s">
        <v>43</v>
      </c>
      <c r="Z27" s="87"/>
      <c r="AA27" s="9"/>
      <c r="AB27" s="9"/>
      <c r="AC27" s="9"/>
      <c r="AD27" s="9"/>
      <c r="AE27" s="9"/>
      <c r="AF27" s="9"/>
      <c r="AG27" s="9"/>
      <c r="AH27" s="9"/>
      <c r="AI27" s="9"/>
      <c r="AJ27" s="105"/>
      <c r="AK27" s="106"/>
      <c r="AL27" s="107"/>
      <c r="AM27" s="9"/>
      <c r="AN27" s="9"/>
      <c r="AO27" s="9"/>
      <c r="AP27" s="9"/>
      <c r="AQ27" s="9"/>
      <c r="AR27" s="9"/>
      <c r="AT27" s="9"/>
      <c r="AU27" s="9"/>
      <c r="AV27" s="90" t="s">
        <v>42</v>
      </c>
      <c r="AW27" s="112"/>
      <c r="AX27" s="15"/>
      <c r="AY27" s="9"/>
      <c r="AZ27" s="9"/>
      <c r="BA27" s="9"/>
    </row>
    <row r="28" spans="1:54" ht="14.4" customHeight="1" thickBot="1" x14ac:dyDescent="0.35">
      <c r="A28" s="44">
        <v>44895</v>
      </c>
      <c r="B28" s="70" t="s">
        <v>30</v>
      </c>
      <c r="C28" s="70"/>
      <c r="D28" s="7">
        <v>0</v>
      </c>
      <c r="E28" s="41" t="s">
        <v>11</v>
      </c>
      <c r="F28" s="7">
        <v>3</v>
      </c>
      <c r="G28" s="70" t="s">
        <v>3</v>
      </c>
      <c r="H28" s="70"/>
      <c r="I28" s="8">
        <f t="shared" si="2"/>
        <v>1</v>
      </c>
      <c r="J28" s="5" t="str">
        <f>VLOOKUP(4,Planilha1!$B$23:$J$26,2,0)</f>
        <v>Arábia Saudita</v>
      </c>
      <c r="K28" s="3">
        <f>VLOOKUP(4,Planilha1!$B$23:$J$26,3,0)</f>
        <v>0</v>
      </c>
      <c r="L28" s="3">
        <f>VLOOKUP(4,Planilha1!$B$23:$J$26,6,0)</f>
        <v>0</v>
      </c>
      <c r="M28" s="3">
        <f>VLOOKUP(4,Planilha1!$B$23:$J$26,7,0)</f>
        <v>0</v>
      </c>
      <c r="N28" s="3">
        <f>VLOOKUP(4,Planilha1!$B$23:$J$26,8,0)</f>
        <v>3</v>
      </c>
      <c r="O28" s="3">
        <f>VLOOKUP(4,Planilha1!$B$23:$J$26,5,0)</f>
        <v>1</v>
      </c>
      <c r="P28" s="3">
        <f>VLOOKUP(4,Planilha1!$B$23:$J$26,9,0)</f>
        <v>7</v>
      </c>
      <c r="Q28" s="3">
        <f>VLOOKUP(4,Planilha1!$B$23:$J$26,4,0)</f>
        <v>-6</v>
      </c>
      <c r="S28" s="6"/>
      <c r="T28" s="9"/>
      <c r="U28" s="9"/>
      <c r="V28" s="9"/>
      <c r="W28" s="9"/>
      <c r="X28" s="9"/>
      <c r="Y28" s="71" t="s">
        <v>68</v>
      </c>
      <c r="Z28" s="71"/>
      <c r="AA28" s="9"/>
      <c r="AB28" s="9"/>
      <c r="AC28" s="9"/>
      <c r="AD28" s="9"/>
      <c r="AE28" s="9"/>
      <c r="AF28" s="9"/>
      <c r="AG28" s="9"/>
      <c r="AH28" s="9"/>
      <c r="AI28" s="9"/>
      <c r="AJ28" s="108"/>
      <c r="AK28" s="109"/>
      <c r="AL28" s="110"/>
      <c r="AM28" s="9"/>
      <c r="AN28" s="9"/>
      <c r="AO28" s="9"/>
      <c r="AP28" s="9"/>
      <c r="AQ28" s="9"/>
      <c r="AR28" s="9"/>
      <c r="AT28" s="9"/>
      <c r="AU28" s="9"/>
      <c r="AV28" s="89" t="s">
        <v>68</v>
      </c>
      <c r="AW28" s="89"/>
      <c r="AX28" s="9"/>
      <c r="AY28" s="9"/>
      <c r="AZ28" s="9"/>
      <c r="BA28" s="9"/>
    </row>
    <row r="29" spans="1:54" ht="15" thickBot="1" x14ac:dyDescent="0.35">
      <c r="A29" s="9"/>
      <c r="B29" s="10"/>
      <c r="C29" s="10"/>
      <c r="D29" s="11"/>
      <c r="E29" s="10"/>
      <c r="F29" s="11"/>
      <c r="G29" s="10"/>
      <c r="H29" s="10"/>
      <c r="I29" s="9"/>
      <c r="J29" s="9"/>
      <c r="K29" s="9"/>
      <c r="L29" s="9"/>
      <c r="M29" s="9"/>
      <c r="N29" s="9"/>
      <c r="O29" s="9"/>
      <c r="P29" s="9"/>
      <c r="Q29" s="9"/>
      <c r="S29" s="6"/>
      <c r="T29" s="9"/>
      <c r="U29" s="9"/>
      <c r="V29" s="9"/>
      <c r="W29" s="9"/>
      <c r="X29" s="9"/>
      <c r="Y29" s="86" t="s">
        <v>1</v>
      </c>
      <c r="Z29" s="88"/>
      <c r="AA29" s="15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T29" s="9"/>
      <c r="AU29" s="9"/>
      <c r="AV29" s="90" t="s">
        <v>50</v>
      </c>
      <c r="AW29" s="91"/>
      <c r="AX29" s="9"/>
      <c r="AY29" s="9"/>
      <c r="AZ29" s="9"/>
      <c r="BA29" s="9"/>
    </row>
    <row r="30" spans="1:54" ht="18.600000000000001" thickBot="1" x14ac:dyDescent="0.4">
      <c r="A30" s="43" t="s">
        <v>8</v>
      </c>
      <c r="B30" s="42"/>
      <c r="C30" s="85" t="s">
        <v>32</v>
      </c>
      <c r="D30" s="85"/>
      <c r="E30" s="85"/>
      <c r="F30" s="85"/>
      <c r="G30" s="85"/>
      <c r="H30" s="85"/>
      <c r="I30" s="85"/>
      <c r="J30" s="85"/>
      <c r="K30" s="85"/>
      <c r="L30" s="85"/>
      <c r="M30" s="85"/>
      <c r="N30" s="85"/>
      <c r="O30" s="85"/>
      <c r="P30" s="85"/>
      <c r="Q30" s="85"/>
      <c r="S30" s="6"/>
      <c r="T30" s="9"/>
      <c r="U30" s="16"/>
      <c r="V30" s="16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T30" s="16"/>
      <c r="AU30" s="16"/>
      <c r="AV30" s="14"/>
      <c r="AW30" s="14"/>
      <c r="AX30" s="9"/>
      <c r="AY30" s="9"/>
      <c r="AZ30" s="16"/>
      <c r="BA30" s="16"/>
    </row>
    <row r="31" spans="1:54" ht="15" thickBot="1" x14ac:dyDescent="0.35">
      <c r="A31" s="9"/>
      <c r="B31" s="10"/>
      <c r="C31" s="10"/>
      <c r="D31" s="11"/>
      <c r="E31" s="10"/>
      <c r="F31"/>
      <c r="G31" s="10"/>
      <c r="J31" s="9"/>
      <c r="K31" s="9"/>
      <c r="L31" s="9"/>
      <c r="M31" s="9"/>
      <c r="N31" s="9"/>
      <c r="O31" s="9"/>
      <c r="P31" s="9"/>
      <c r="Q31" s="9"/>
      <c r="S31" s="6"/>
      <c r="T31" s="9"/>
      <c r="U31" s="72" t="str">
        <f>IF(AND(SUM(L61:N61)=3,SUM(L62:N62)=3,SUM(L63:N63)=3,SUM(L64:N64)=3),J61,"")</f>
        <v>Brasil</v>
      </c>
      <c r="V31" s="73"/>
      <c r="W31" s="15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T31" s="111"/>
      <c r="AU31" s="111"/>
      <c r="AV31" s="9"/>
      <c r="AW31" s="9"/>
      <c r="AX31" s="9"/>
      <c r="AY31" s="9"/>
      <c r="AZ31" s="72" t="str">
        <f>IF(AND(SUM(L70:N70)=3,SUM(L71:N71)=3,SUM(L72:N72)=3,SUM(L73:N73)=3),J70,"")</f>
        <v>Portugal</v>
      </c>
      <c r="BA31" s="73"/>
      <c r="BB31" s="15"/>
    </row>
    <row r="32" spans="1:54" ht="15" thickBot="1" x14ac:dyDescent="0.35">
      <c r="A32" s="44">
        <v>44887</v>
      </c>
      <c r="B32" s="70" t="s">
        <v>0</v>
      </c>
      <c r="C32" s="70"/>
      <c r="D32" s="7">
        <v>2</v>
      </c>
      <c r="E32" s="41" t="s">
        <v>11</v>
      </c>
      <c r="F32" s="7">
        <v>0</v>
      </c>
      <c r="G32" s="70" t="s">
        <v>70</v>
      </c>
      <c r="H32" s="70"/>
      <c r="I32" s="8">
        <f t="shared" ref="I32:I37" si="3">IF(AND(D32="",F32=""),"",IF(AND(ISNUMBER(D32),ISNUMBER(F32)),1,-1))</f>
        <v>1</v>
      </c>
      <c r="K32" s="9"/>
      <c r="L32" s="9"/>
      <c r="M32" s="9"/>
      <c r="N32" s="9"/>
      <c r="O32" s="9"/>
      <c r="P32" s="9"/>
      <c r="Q32" s="9"/>
      <c r="S32" s="6"/>
      <c r="T32" s="9"/>
      <c r="U32" s="71" t="s">
        <v>68</v>
      </c>
      <c r="V32" s="71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P32" s="9"/>
      <c r="AQ32" s="9"/>
      <c r="AR32" s="9"/>
      <c r="AT32" s="92"/>
      <c r="AU32" s="92"/>
      <c r="AV32" s="9"/>
      <c r="AW32" s="9"/>
      <c r="AX32" s="9"/>
      <c r="AY32" s="9"/>
      <c r="AZ32" s="71" t="s">
        <v>68</v>
      </c>
      <c r="BA32" s="71"/>
    </row>
    <row r="33" spans="1:54" ht="15" thickBot="1" x14ac:dyDescent="0.35">
      <c r="A33" s="44">
        <v>44887</v>
      </c>
      <c r="B33" s="70" t="s">
        <v>33</v>
      </c>
      <c r="C33" s="70"/>
      <c r="D33" s="7">
        <v>2</v>
      </c>
      <c r="E33" s="41" t="s">
        <v>11</v>
      </c>
      <c r="F33" s="7">
        <v>1</v>
      </c>
      <c r="G33" s="70" t="s">
        <v>34</v>
      </c>
      <c r="H33" s="70"/>
      <c r="I33" s="8">
        <f t="shared" si="3"/>
        <v>1</v>
      </c>
      <c r="K33" s="2" t="s">
        <v>14</v>
      </c>
      <c r="L33" s="2" t="s">
        <v>15</v>
      </c>
      <c r="M33" s="2" t="s">
        <v>16</v>
      </c>
      <c r="N33" s="2" t="s">
        <v>17</v>
      </c>
      <c r="O33" s="2" t="s">
        <v>5</v>
      </c>
      <c r="P33" s="2" t="s">
        <v>18</v>
      </c>
      <c r="Q33" s="2" t="s">
        <v>4</v>
      </c>
      <c r="S33" s="6"/>
      <c r="T33" s="9"/>
      <c r="U33" s="72" t="str">
        <f>IF(AND(SUM(L70:N70)=3,SUM(L71:N71)=3,SUM(L72:N72)=3,SUM(L73:N73)=3),J71,"")</f>
        <v>Coréia do Sul</v>
      </c>
      <c r="V33" s="73"/>
      <c r="W33" s="15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74" t="s">
        <v>42</v>
      </c>
      <c r="AK33" s="75"/>
      <c r="AL33" s="76"/>
      <c r="AM33" s="9"/>
      <c r="AN33" s="9"/>
      <c r="AO33" s="9"/>
      <c r="AP33" s="9"/>
      <c r="AQ33" s="9"/>
      <c r="AR33" s="9"/>
      <c r="AT33" s="111"/>
      <c r="AU33" s="111"/>
      <c r="AV33" s="9"/>
      <c r="AW33" s="9"/>
      <c r="AX33" s="9"/>
      <c r="AY33" s="9"/>
      <c r="AZ33" s="72" t="str">
        <f>IF(AND(SUM(L61:N61)=3,SUM(L62:N62)=3,SUM(L63:N63)=3,SUM(L64:N64)=3),J62,"")</f>
        <v>Suíça</v>
      </c>
      <c r="BA33" s="73"/>
      <c r="BB33" s="15"/>
    </row>
    <row r="34" spans="1:54" ht="15" thickBot="1" x14ac:dyDescent="0.35">
      <c r="A34" s="44">
        <v>44891</v>
      </c>
      <c r="B34" s="70" t="s">
        <v>0</v>
      </c>
      <c r="C34" s="70"/>
      <c r="D34" s="7">
        <v>0</v>
      </c>
      <c r="E34" s="41" t="s">
        <v>11</v>
      </c>
      <c r="F34" s="7">
        <v>0</v>
      </c>
      <c r="G34" s="70" t="s">
        <v>33</v>
      </c>
      <c r="H34" s="70"/>
      <c r="I34" s="8">
        <f t="shared" si="3"/>
        <v>1</v>
      </c>
      <c r="J34" s="5" t="str">
        <f>VLOOKUP(1,Planilha1!$B$32:$J$35,2,0)</f>
        <v>Dinamarca</v>
      </c>
      <c r="K34" s="3">
        <f>VLOOKUP(1,Planilha1!$B$32:$J$35,3,0)</f>
        <v>7</v>
      </c>
      <c r="L34" s="3">
        <f>VLOOKUP(1,Planilha1!$B$32:$J$35,6,0)</f>
        <v>2</v>
      </c>
      <c r="M34" s="3">
        <f>VLOOKUP(1,Planilha1!$B$32:$J$35,7,0)</f>
        <v>1</v>
      </c>
      <c r="N34" s="3">
        <f>VLOOKUP(1,Planilha1!$B$32:$J$35,8,0)</f>
        <v>0</v>
      </c>
      <c r="O34" s="3">
        <f>VLOOKUP(1,Planilha1!$B$32:$J$35,5,0)</f>
        <v>5</v>
      </c>
      <c r="P34" s="3">
        <f>VLOOKUP(1,Planilha1!$B$32:$J$35,9,0)</f>
        <v>1</v>
      </c>
      <c r="Q34" s="3">
        <f>VLOOKUP(1,Planilha1!$B$32:$J$35,4,0)</f>
        <v>4</v>
      </c>
      <c r="S34" s="6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77"/>
      <c r="AK34" s="78"/>
      <c r="AL34" s="79"/>
      <c r="AM34" s="9"/>
      <c r="AN34" s="9"/>
      <c r="AO34" s="9"/>
      <c r="AP34" s="9"/>
      <c r="AQ34" s="9"/>
      <c r="AR34" s="9"/>
      <c r="AT34" s="9"/>
      <c r="AU34" s="9"/>
      <c r="AV34" s="9"/>
      <c r="AW34" s="9"/>
      <c r="AX34" s="9"/>
      <c r="AY34" s="9"/>
      <c r="AZ34" s="9"/>
      <c r="BA34" s="9"/>
    </row>
    <row r="35" spans="1:54" ht="15" thickBot="1" x14ac:dyDescent="0.35">
      <c r="A35" s="44">
        <v>44891</v>
      </c>
      <c r="B35" s="70" t="s">
        <v>70</v>
      </c>
      <c r="C35" s="70"/>
      <c r="D35" s="7">
        <v>0</v>
      </c>
      <c r="E35" s="41" t="s">
        <v>11</v>
      </c>
      <c r="F35" s="7">
        <v>2</v>
      </c>
      <c r="G35" s="70" t="s">
        <v>34</v>
      </c>
      <c r="H35" s="70"/>
      <c r="I35" s="8">
        <f t="shared" si="3"/>
        <v>1</v>
      </c>
      <c r="J35" s="5" t="str">
        <f>VLOOKUP(2,Planilha1!$B$32:$J$35,2,0)</f>
        <v>França</v>
      </c>
      <c r="K35" s="3">
        <f>VLOOKUP(2,Planilha1!$B$32:$J$35,3,0)</f>
        <v>7</v>
      </c>
      <c r="L35" s="3">
        <f>VLOOKUP(2,Planilha1!$B$32:$J$35,6,0)</f>
        <v>2</v>
      </c>
      <c r="M35" s="3">
        <f>VLOOKUP(2,Planilha1!$B$32:$J$35,7,0)</f>
        <v>1</v>
      </c>
      <c r="N35" s="3">
        <f>VLOOKUP(2,Planilha1!$B$32:$J$35,8,0)</f>
        <v>0</v>
      </c>
      <c r="O35" s="3">
        <f>VLOOKUP(2,Planilha1!$B$32:$J$35,5,0)</f>
        <v>4</v>
      </c>
      <c r="P35" s="3">
        <f>VLOOKUP(2,Planilha1!$B$32:$J$35,9,0)</f>
        <v>1</v>
      </c>
      <c r="Q35" s="3">
        <f>VLOOKUP(2,Planilha1!$B$32:$J$35,4,0)</f>
        <v>3</v>
      </c>
      <c r="S35" s="6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80"/>
      <c r="AK35" s="81"/>
      <c r="AL35" s="82"/>
      <c r="AM35" s="9"/>
      <c r="AN35" s="9"/>
      <c r="AO35" s="9"/>
      <c r="AP35" s="9"/>
      <c r="AQ35" s="9"/>
      <c r="AR35" s="9"/>
      <c r="AT35" s="9"/>
      <c r="AU35" s="9"/>
      <c r="AV35" s="9"/>
      <c r="AW35" s="9"/>
      <c r="AX35" s="9"/>
      <c r="AY35" s="9"/>
      <c r="AZ35" s="9"/>
      <c r="BA35" s="9"/>
    </row>
    <row r="36" spans="1:54" x14ac:dyDescent="0.3">
      <c r="A36" s="44">
        <v>44895</v>
      </c>
      <c r="B36" s="70" t="s">
        <v>0</v>
      </c>
      <c r="C36" s="70"/>
      <c r="D36" s="7">
        <v>2</v>
      </c>
      <c r="E36" s="41" t="s">
        <v>11</v>
      </c>
      <c r="F36" s="7">
        <v>1</v>
      </c>
      <c r="G36" s="70" t="s">
        <v>34</v>
      </c>
      <c r="H36" s="70"/>
      <c r="I36" s="8">
        <f t="shared" si="3"/>
        <v>1</v>
      </c>
      <c r="J36" s="5" t="str">
        <f>VLOOKUP(3,Planilha1!$B$32:$J$35,2,0)</f>
        <v>Tunísia</v>
      </c>
      <c r="K36" s="3">
        <f>VLOOKUP(3,Planilha1!$B$32:$J$35,3,0)</f>
        <v>3</v>
      </c>
      <c r="L36" s="3">
        <f>VLOOKUP(3,Planilha1!$B$32:$J$35,6,0)</f>
        <v>1</v>
      </c>
      <c r="M36" s="3">
        <f>VLOOKUP(3,Planilha1!$B$32:$J$35,7,0)</f>
        <v>0</v>
      </c>
      <c r="N36" s="3">
        <f>VLOOKUP(3,Planilha1!$B$32:$J$35,8,0)</f>
        <v>2</v>
      </c>
      <c r="O36" s="3">
        <f>VLOOKUP(3,Planilha1!$B$32:$J$35,5,0)</f>
        <v>4</v>
      </c>
      <c r="P36" s="3">
        <f>VLOOKUP(3,Planilha1!$B$32:$J$35,9,0)</f>
        <v>4</v>
      </c>
      <c r="Q36" s="3">
        <f>VLOOKUP(3,Planilha1!$B$32:$J$35,4,0)</f>
        <v>0</v>
      </c>
      <c r="S36" s="6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T36" s="9"/>
      <c r="AU36" s="9"/>
      <c r="AV36" s="9"/>
      <c r="AW36" s="9"/>
      <c r="AX36" s="9"/>
      <c r="AY36" s="9"/>
      <c r="AZ36" s="9"/>
      <c r="BA36" s="9"/>
    </row>
    <row r="37" spans="1:54" ht="13.95" customHeight="1" x14ac:dyDescent="0.3">
      <c r="A37" s="44">
        <v>44895</v>
      </c>
      <c r="B37" s="70" t="s">
        <v>70</v>
      </c>
      <c r="C37" s="70"/>
      <c r="D37" s="7">
        <v>0</v>
      </c>
      <c r="E37" s="41" t="s">
        <v>11</v>
      </c>
      <c r="F37" s="7">
        <v>3</v>
      </c>
      <c r="G37" s="70" t="s">
        <v>33</v>
      </c>
      <c r="H37" s="70"/>
      <c r="I37" s="8">
        <f t="shared" si="3"/>
        <v>1</v>
      </c>
      <c r="J37" s="5" t="str">
        <f>VLOOKUP(4,Planilha1!$B$32:$J$35,2,0)</f>
        <v>Austrália</v>
      </c>
      <c r="K37" s="3">
        <f>VLOOKUP(4,Planilha1!$B$32:$J$35,3,0)</f>
        <v>0</v>
      </c>
      <c r="L37" s="3">
        <f>VLOOKUP(4,Planilha1!$B$32:$J$35,6,0)</f>
        <v>0</v>
      </c>
      <c r="M37" s="3">
        <f>VLOOKUP(4,Planilha1!$B$32:$J$35,7,0)</f>
        <v>0</v>
      </c>
      <c r="N37" s="3">
        <f>VLOOKUP(4,Planilha1!$B$32:$J$35,8,0)</f>
        <v>3</v>
      </c>
      <c r="O37" s="3">
        <f>VLOOKUP(4,Planilha1!$B$32:$J$35,5,0)</f>
        <v>0</v>
      </c>
      <c r="P37" s="3">
        <f>VLOOKUP(4,Planilha1!$B$32:$J$35,9,0)</f>
        <v>7</v>
      </c>
      <c r="Q37" s="3">
        <f>VLOOKUP(4,Planilha1!$B$32:$J$35,4,0)</f>
        <v>-7</v>
      </c>
      <c r="S37" s="6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T37" s="9"/>
      <c r="AU37" s="9"/>
      <c r="AV37" s="9"/>
      <c r="AW37" s="9"/>
      <c r="AX37" s="9"/>
      <c r="AY37" s="9"/>
      <c r="AZ37" s="9"/>
      <c r="BA37" s="9"/>
    </row>
    <row r="38" spans="1:54" x14ac:dyDescent="0.3">
      <c r="A38" s="9"/>
      <c r="B38" s="10"/>
      <c r="C38" s="10"/>
      <c r="D38" s="11"/>
      <c r="E38" s="10"/>
      <c r="F38" s="11"/>
      <c r="G38" s="10"/>
      <c r="H38" s="10"/>
      <c r="I38" s="9"/>
      <c r="J38" s="9"/>
      <c r="K38" s="9"/>
      <c r="L38" s="9"/>
      <c r="M38" s="9"/>
      <c r="N38" s="9"/>
      <c r="O38" s="9"/>
      <c r="P38" s="9"/>
      <c r="Q38" s="9"/>
      <c r="S38" s="6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T38" s="9"/>
      <c r="AU38" s="9"/>
      <c r="AV38" s="9"/>
      <c r="AW38" s="9"/>
      <c r="AX38" s="9"/>
      <c r="AY38" s="9"/>
      <c r="AZ38" s="9"/>
      <c r="BA38" s="9"/>
    </row>
    <row r="39" spans="1:54" ht="18" x14ac:dyDescent="0.35">
      <c r="A39" s="43" t="s">
        <v>8</v>
      </c>
      <c r="B39" s="42"/>
      <c r="C39" s="85" t="s">
        <v>38</v>
      </c>
      <c r="D39" s="85"/>
      <c r="E39" s="85"/>
      <c r="F39" s="85"/>
      <c r="G39" s="85"/>
      <c r="H39" s="85"/>
      <c r="I39" s="85"/>
      <c r="J39" s="85"/>
      <c r="K39" s="85"/>
      <c r="L39" s="85"/>
      <c r="M39" s="85"/>
      <c r="N39" s="85"/>
      <c r="O39" s="85"/>
      <c r="P39" s="85"/>
      <c r="Q39" s="85"/>
      <c r="S39" s="6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T39" s="9"/>
      <c r="AU39" s="9"/>
      <c r="AV39" s="9"/>
      <c r="AW39" s="9"/>
      <c r="AX39" s="9"/>
      <c r="AY39" s="9"/>
      <c r="AZ39" s="9"/>
      <c r="BA39" s="9"/>
    </row>
    <row r="40" spans="1:54" x14ac:dyDescent="0.3">
      <c r="A40" s="9"/>
      <c r="B40" s="10"/>
      <c r="C40" s="10"/>
      <c r="D40" s="11"/>
      <c r="E40" s="10"/>
      <c r="F40" s="11"/>
      <c r="G40" s="10"/>
      <c r="H40" s="10"/>
      <c r="I40" s="9"/>
      <c r="J40" s="9"/>
      <c r="L40" s="9"/>
      <c r="M40" s="9"/>
      <c r="N40" s="9"/>
      <c r="O40" s="9"/>
      <c r="P40" s="9"/>
      <c r="Q40" s="9"/>
      <c r="S40" s="6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T40" s="9"/>
      <c r="AU40" s="9"/>
      <c r="AV40" s="9"/>
      <c r="AW40" s="9"/>
      <c r="AX40" s="9"/>
      <c r="AY40" s="9"/>
      <c r="AZ40" s="9"/>
      <c r="BA40" s="9"/>
    </row>
    <row r="41" spans="1:54" x14ac:dyDescent="0.3">
      <c r="A41" s="44">
        <v>44888</v>
      </c>
      <c r="B41" s="70" t="s">
        <v>42</v>
      </c>
      <c r="C41" s="70"/>
      <c r="D41" s="7">
        <v>2</v>
      </c>
      <c r="E41" s="41" t="s">
        <v>11</v>
      </c>
      <c r="F41" s="7">
        <v>0</v>
      </c>
      <c r="G41" s="70" t="s">
        <v>44</v>
      </c>
      <c r="H41" s="70"/>
      <c r="I41" s="8">
        <f t="shared" ref="I41:I45" si="4">IF(AND(D41="",F41=""),"",IF(AND(ISNUMBER(D41),ISNUMBER(F41)),1,-1))</f>
        <v>1</v>
      </c>
      <c r="K41" s="9"/>
      <c r="L41" s="9"/>
      <c r="M41" s="9"/>
      <c r="N41" s="9"/>
      <c r="O41" s="9"/>
      <c r="P41" s="9"/>
      <c r="Q41" s="9"/>
      <c r="S41" s="6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T41" s="9"/>
      <c r="AU41" s="9"/>
      <c r="AV41" s="9"/>
      <c r="AW41" s="9"/>
      <c r="AX41" s="9"/>
      <c r="AY41" s="9"/>
      <c r="AZ41" s="9"/>
      <c r="BA41" s="9"/>
    </row>
    <row r="42" spans="1:54" x14ac:dyDescent="0.3">
      <c r="A42" s="44">
        <v>44888</v>
      </c>
      <c r="B42" s="70" t="s">
        <v>43</v>
      </c>
      <c r="C42" s="70"/>
      <c r="D42" s="7">
        <v>3</v>
      </c>
      <c r="E42" s="41" t="s">
        <v>11</v>
      </c>
      <c r="F42" s="7">
        <v>1</v>
      </c>
      <c r="G42" s="70" t="s">
        <v>2</v>
      </c>
      <c r="H42" s="70"/>
      <c r="I42" s="8">
        <f t="shared" si="4"/>
        <v>1</v>
      </c>
      <c r="K42" s="2" t="s">
        <v>14</v>
      </c>
      <c r="L42" s="2" t="s">
        <v>15</v>
      </c>
      <c r="M42" s="2" t="s">
        <v>16</v>
      </c>
      <c r="N42" s="2" t="s">
        <v>17</v>
      </c>
      <c r="O42" s="2" t="s">
        <v>5</v>
      </c>
      <c r="P42" s="2" t="s">
        <v>18</v>
      </c>
      <c r="Q42" s="2" t="s">
        <v>4</v>
      </c>
      <c r="S42" s="6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T42" s="9"/>
      <c r="AU42" s="9"/>
      <c r="AV42" s="9"/>
      <c r="AW42" s="9"/>
      <c r="AX42" s="9"/>
      <c r="AY42" s="9"/>
      <c r="AZ42" s="9"/>
      <c r="BA42" s="9"/>
    </row>
    <row r="43" spans="1:54" x14ac:dyDescent="0.3">
      <c r="A43" s="44">
        <v>44892</v>
      </c>
      <c r="B43" s="70" t="s">
        <v>42</v>
      </c>
      <c r="C43" s="70"/>
      <c r="D43" s="7">
        <v>2</v>
      </c>
      <c r="E43" s="41" t="s">
        <v>11</v>
      </c>
      <c r="F43" s="7">
        <v>2</v>
      </c>
      <c r="G43" s="70" t="s">
        <v>43</v>
      </c>
      <c r="H43" s="70"/>
      <c r="I43" s="8">
        <f t="shared" si="4"/>
        <v>1</v>
      </c>
      <c r="J43" s="5" t="str">
        <f>VLOOKUP(1,Planilha1!$B$41:$J44,2,0)</f>
        <v>Alemanha</v>
      </c>
      <c r="K43" s="3">
        <f>VLOOKUP(1,Planilha1!$B$41:$J44,3,0)</f>
        <v>7</v>
      </c>
      <c r="L43" s="3">
        <f>VLOOKUP(1,Planilha1!$B$41:$J44,6,0)</f>
        <v>2</v>
      </c>
      <c r="M43" s="3">
        <f>VLOOKUP(1,Planilha1!$B$41:$J44,7,0)</f>
        <v>1</v>
      </c>
      <c r="N43" s="3">
        <f>VLOOKUP(1,Planilha1!$B$41:$J44,8,0)</f>
        <v>0</v>
      </c>
      <c r="O43" s="3">
        <f>VLOOKUP(1,Planilha1!$B$41:$J44,5,0)</f>
        <v>9</v>
      </c>
      <c r="P43" s="3">
        <f>VLOOKUP(1,Planilha1!$B$41:$J44,9,0)</f>
        <v>4</v>
      </c>
      <c r="Q43" s="3">
        <f>VLOOKUP(1,Planilha1!$B$41:$J44,4,0)</f>
        <v>5</v>
      </c>
      <c r="S43" s="6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T43" s="9"/>
      <c r="AU43" s="9"/>
      <c r="AV43" s="9"/>
      <c r="AW43" s="9"/>
      <c r="AX43" s="9"/>
      <c r="AY43" s="9"/>
      <c r="AZ43" s="9"/>
      <c r="BA43" s="9"/>
    </row>
    <row r="44" spans="1:54" x14ac:dyDescent="0.3">
      <c r="A44" s="44">
        <v>44892</v>
      </c>
      <c r="B44" s="70" t="s">
        <v>44</v>
      </c>
      <c r="C44" s="70"/>
      <c r="D44" s="7">
        <v>1</v>
      </c>
      <c r="E44" s="41" t="s">
        <v>11</v>
      </c>
      <c r="F44" s="7">
        <v>3</v>
      </c>
      <c r="G44" s="70" t="s">
        <v>2</v>
      </c>
      <c r="H44" s="70"/>
      <c r="I44" s="8">
        <f t="shared" si="4"/>
        <v>1</v>
      </c>
      <c r="J44" s="5" t="str">
        <f>VLOOKUP(2,Planilha1!$B$41:$J44,2,0)</f>
        <v>Espanha</v>
      </c>
      <c r="K44" s="3">
        <f>VLOOKUP(2,Planilha1!$B$41:$J44,3,0)</f>
        <v>7</v>
      </c>
      <c r="L44" s="3">
        <f>VLOOKUP(2,Planilha1!$B$41:$J44,6,0)</f>
        <v>2</v>
      </c>
      <c r="M44" s="3">
        <f>VLOOKUP(2,Planilha1!$B$41:$J44,7,0)</f>
        <v>1</v>
      </c>
      <c r="N44" s="3">
        <f>VLOOKUP(2,Planilha1!$B$41:$J44,8,0)</f>
        <v>0</v>
      </c>
      <c r="O44" s="3">
        <f>VLOOKUP(2,Planilha1!$B$41:$J44,5,0)</f>
        <v>6</v>
      </c>
      <c r="P44" s="3">
        <f>VLOOKUP(2,Planilha1!$B$41:$J44,9,0)</f>
        <v>3</v>
      </c>
      <c r="Q44" s="3">
        <f>VLOOKUP(2,Planilha1!$B$41:$J44,4,0)</f>
        <v>3</v>
      </c>
      <c r="S44" s="6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T44" s="9"/>
      <c r="AU44" s="9"/>
      <c r="AV44" s="9"/>
      <c r="AW44" s="9"/>
      <c r="AX44" s="9"/>
      <c r="AY44" s="9"/>
      <c r="AZ44" s="9"/>
      <c r="BA44" s="9"/>
    </row>
    <row r="45" spans="1:54" ht="14.4" customHeight="1" x14ac:dyDescent="0.3">
      <c r="A45" s="44">
        <v>44896</v>
      </c>
      <c r="B45" s="70" t="s">
        <v>42</v>
      </c>
      <c r="C45" s="70"/>
      <c r="D45" s="7">
        <v>2</v>
      </c>
      <c r="E45" s="41" t="s">
        <v>11</v>
      </c>
      <c r="F45" s="7">
        <v>1</v>
      </c>
      <c r="G45" s="70" t="s">
        <v>2</v>
      </c>
      <c r="H45" s="70"/>
      <c r="I45" s="8">
        <f t="shared" si="4"/>
        <v>1</v>
      </c>
      <c r="J45" s="5" t="str">
        <f>VLOOKUP(3,Planilha1!$B$41:$J44,2,0)</f>
        <v>Japão</v>
      </c>
      <c r="K45" s="3">
        <f>VLOOKUP(3,Planilha1!$B$41:$J44,3,0)</f>
        <v>3</v>
      </c>
      <c r="L45" s="3">
        <f>VLOOKUP(3,Planilha1!$B$41:$J44,6,0)</f>
        <v>1</v>
      </c>
      <c r="M45" s="3">
        <f>VLOOKUP(3,Planilha1!$B$41:$J44,7,0)</f>
        <v>0</v>
      </c>
      <c r="N45" s="3">
        <f>VLOOKUP(3,Planilha1!$B$41:$J44,8,0)</f>
        <v>2</v>
      </c>
      <c r="O45" s="3">
        <f>VLOOKUP(3,Planilha1!$B$41:$J44,5,0)</f>
        <v>5</v>
      </c>
      <c r="P45" s="3">
        <f>VLOOKUP(3,Planilha1!$B$41:$J44,9,0)</f>
        <v>6</v>
      </c>
      <c r="Q45" s="3">
        <f>VLOOKUP(3,Planilha1!$B$41:$J44,4,0)</f>
        <v>-1</v>
      </c>
      <c r="S45" s="6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T45" s="9"/>
      <c r="AU45" s="9"/>
      <c r="AV45" s="9"/>
      <c r="AW45" s="9"/>
      <c r="AX45" s="9"/>
      <c r="AY45" s="9"/>
      <c r="AZ45" s="9"/>
      <c r="BA45" s="9"/>
    </row>
    <row r="46" spans="1:54" x14ac:dyDescent="0.3">
      <c r="A46" s="44">
        <v>44896</v>
      </c>
      <c r="B46" s="70" t="s">
        <v>44</v>
      </c>
      <c r="C46" s="70"/>
      <c r="D46" s="7">
        <v>1</v>
      </c>
      <c r="E46" s="41" t="s">
        <v>11</v>
      </c>
      <c r="F46" s="7">
        <v>4</v>
      </c>
      <c r="G46" s="70" t="s">
        <v>43</v>
      </c>
      <c r="H46" s="70"/>
      <c r="I46" s="19">
        <f>IF(AND(D45="",F45=""),"",IF(AND(ISNUMBER(D45),ISNUMBER(F45)),1,-1))</f>
        <v>1</v>
      </c>
      <c r="J46" s="5" t="str">
        <f>VLOOKUP(4,Planilha1!$B$41:$J44,2,0)</f>
        <v>Costa Rica</v>
      </c>
      <c r="K46" s="3">
        <f>VLOOKUP(4,Planilha1!$B$41:$J44,3,0)</f>
        <v>0</v>
      </c>
      <c r="L46" s="3">
        <f>VLOOKUP(4,Planilha1!$B$41:$J44,6,0)</f>
        <v>0</v>
      </c>
      <c r="M46" s="3">
        <f>VLOOKUP(4,Planilha1!$B$41:$J44,7,0)</f>
        <v>0</v>
      </c>
      <c r="N46" s="3">
        <f>VLOOKUP(4,Planilha1!$B$41:$J44,8,0)</f>
        <v>3</v>
      </c>
      <c r="O46" s="3">
        <f>VLOOKUP(4,Planilha1!$B$41:$J44,5,0)</f>
        <v>2</v>
      </c>
      <c r="P46" s="3">
        <f>VLOOKUP(4,Planilha1!$B$41:$J44,9,0)</f>
        <v>9</v>
      </c>
      <c r="Q46" s="3">
        <f>VLOOKUP(4,Planilha1!$B$41:$J44,4,0)</f>
        <v>-7</v>
      </c>
      <c r="S46" s="6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T46" s="9"/>
      <c r="AU46" s="9"/>
      <c r="AV46" s="9"/>
      <c r="AW46" s="9"/>
      <c r="AX46" s="9"/>
      <c r="AY46" s="9"/>
      <c r="AZ46" s="9"/>
      <c r="BA46" s="9"/>
    </row>
    <row r="47" spans="1:54" x14ac:dyDescent="0.3">
      <c r="A47" s="9"/>
      <c r="B47" s="10"/>
      <c r="C47" s="10"/>
      <c r="D47" s="11"/>
      <c r="E47" s="10"/>
      <c r="F47" s="11"/>
      <c r="G47" s="10"/>
      <c r="H47" s="10"/>
      <c r="I47" s="9"/>
      <c r="J47" s="9"/>
      <c r="K47" s="9"/>
      <c r="L47" s="9"/>
      <c r="M47" s="9"/>
      <c r="N47" s="9"/>
      <c r="O47" s="9"/>
      <c r="P47" s="9"/>
      <c r="Q47" s="9"/>
      <c r="S47" s="6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T47" s="9"/>
      <c r="AU47" s="9"/>
      <c r="AV47" s="9"/>
      <c r="AW47" s="9"/>
      <c r="AX47" s="9"/>
      <c r="AY47" s="9"/>
      <c r="AZ47" s="9"/>
      <c r="BA47" s="9"/>
    </row>
    <row r="48" spans="1:54" ht="18" x14ac:dyDescent="0.35">
      <c r="A48" s="43" t="s">
        <v>8</v>
      </c>
      <c r="B48" s="42"/>
      <c r="C48" s="85" t="s">
        <v>39</v>
      </c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S48" s="6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</row>
    <row r="49" spans="1:44" x14ac:dyDescent="0.3">
      <c r="A49" s="9"/>
      <c r="B49" s="10"/>
      <c r="C49" s="10"/>
      <c r="D49" s="11"/>
      <c r="E49" s="10"/>
      <c r="F49" s="11"/>
      <c r="G49" s="10"/>
      <c r="H49" s="10"/>
      <c r="K49" s="9"/>
      <c r="L49" s="9"/>
      <c r="M49" s="9"/>
      <c r="N49" s="9"/>
      <c r="O49" s="9"/>
      <c r="P49" s="9"/>
      <c r="Q49" s="9"/>
      <c r="S49" s="6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</row>
    <row r="50" spans="1:44" x14ac:dyDescent="0.3">
      <c r="A50" s="45">
        <v>44888</v>
      </c>
      <c r="B50" s="70" t="s">
        <v>45</v>
      </c>
      <c r="C50" s="70"/>
      <c r="D50" s="7">
        <v>2</v>
      </c>
      <c r="E50" s="41" t="s">
        <v>11</v>
      </c>
      <c r="F50" s="7">
        <v>0</v>
      </c>
      <c r="G50" s="70" t="s">
        <v>46</v>
      </c>
      <c r="H50" s="70"/>
      <c r="I50" s="8">
        <f t="shared" ref="I50:I55" si="5">IF(AND(D50="",F50=""),"",IF(AND(ISNUMBER(D50),ISNUMBER(F50)),1,-1))</f>
        <v>1</v>
      </c>
      <c r="J50" s="9"/>
      <c r="K50" s="9"/>
      <c r="L50" s="9"/>
      <c r="M50" s="9"/>
      <c r="N50" s="9"/>
      <c r="O50" s="9"/>
      <c r="P50" s="9"/>
      <c r="Q50" s="9"/>
      <c r="S50" s="6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</row>
    <row r="51" spans="1:44" x14ac:dyDescent="0.3">
      <c r="A51" s="45">
        <v>44888</v>
      </c>
      <c r="B51" s="70" t="s">
        <v>13</v>
      </c>
      <c r="C51" s="70"/>
      <c r="D51" s="7">
        <v>1</v>
      </c>
      <c r="E51" s="41" t="s">
        <v>11</v>
      </c>
      <c r="F51" s="7">
        <v>1</v>
      </c>
      <c r="G51" s="70" t="s">
        <v>47</v>
      </c>
      <c r="H51" s="70"/>
      <c r="I51" s="8">
        <f t="shared" si="5"/>
        <v>1</v>
      </c>
      <c r="K51" s="2" t="s">
        <v>14</v>
      </c>
      <c r="L51" s="2" t="s">
        <v>15</v>
      </c>
      <c r="M51" s="2" t="s">
        <v>16</v>
      </c>
      <c r="N51" s="2" t="s">
        <v>17</v>
      </c>
      <c r="O51" s="2" t="s">
        <v>5</v>
      </c>
      <c r="P51" s="2" t="s">
        <v>18</v>
      </c>
      <c r="Q51" s="2" t="s">
        <v>4</v>
      </c>
      <c r="S51" s="6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</row>
    <row r="52" spans="1:44" x14ac:dyDescent="0.3">
      <c r="A52" s="45">
        <v>44892</v>
      </c>
      <c r="B52" s="70" t="s">
        <v>45</v>
      </c>
      <c r="C52" s="70"/>
      <c r="D52" s="7">
        <v>3</v>
      </c>
      <c r="E52" s="41" t="s">
        <v>11</v>
      </c>
      <c r="F52" s="7">
        <v>2</v>
      </c>
      <c r="G52" s="70" t="s">
        <v>13</v>
      </c>
      <c r="H52" s="70"/>
      <c r="I52" s="8">
        <f t="shared" si="5"/>
        <v>1</v>
      </c>
      <c r="J52" s="5" t="str">
        <f>VLOOKUP(1,Planilha1!$B$50:$J53,2,0)</f>
        <v>Bélgica</v>
      </c>
      <c r="K52" s="3">
        <f>VLOOKUP(1,Planilha1!$B$50:$J53,3,0)</f>
        <v>9</v>
      </c>
      <c r="L52" s="3">
        <f>VLOOKUP(1,Planilha1!$B$50:$J53,6,0)</f>
        <v>3</v>
      </c>
      <c r="M52" s="3">
        <f>VLOOKUP(1,Planilha1!$B$50:$J53,7,0)</f>
        <v>0</v>
      </c>
      <c r="N52" s="3">
        <f>VLOOKUP(1,Planilha1!$B$50:$J53,8,0)</f>
        <v>0</v>
      </c>
      <c r="O52" s="3">
        <f>VLOOKUP(1,Planilha1!$B$50:$J53,5,0)</f>
        <v>8</v>
      </c>
      <c r="P52" s="3">
        <f>VLOOKUP(1,Planilha1!$B$50:$J53,9,0)</f>
        <v>2</v>
      </c>
      <c r="Q52" s="3">
        <f>VLOOKUP(1,Planilha1!$B$50:$J53,4,0)</f>
        <v>6</v>
      </c>
      <c r="S52" s="6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</row>
    <row r="53" spans="1:44" x14ac:dyDescent="0.3">
      <c r="A53" s="45">
        <v>44892</v>
      </c>
      <c r="B53" s="70" t="s">
        <v>46</v>
      </c>
      <c r="C53" s="70"/>
      <c r="D53" s="7">
        <v>0</v>
      </c>
      <c r="E53" s="41" t="s">
        <v>11</v>
      </c>
      <c r="F53" s="7">
        <v>1</v>
      </c>
      <c r="G53" s="70" t="s">
        <v>47</v>
      </c>
      <c r="H53" s="70"/>
      <c r="I53" s="8">
        <f t="shared" si="5"/>
        <v>1</v>
      </c>
      <c r="J53" s="5" t="str">
        <f>VLOOKUP(2,Planilha1!$B$50:$J53,2,0)</f>
        <v>Croácia</v>
      </c>
      <c r="K53" s="3">
        <f>VLOOKUP(2,Planilha1!$B$50:$J53,3,0)</f>
        <v>4</v>
      </c>
      <c r="L53" s="3">
        <f>VLOOKUP(2,Planilha1!$B$50:$J53,6,0)</f>
        <v>1</v>
      </c>
      <c r="M53" s="3">
        <f>VLOOKUP(2,Planilha1!$B$50:$J53,7,0)</f>
        <v>1</v>
      </c>
      <c r="N53" s="3">
        <f>VLOOKUP(2,Planilha1!$B$50:$J53,8,0)</f>
        <v>1</v>
      </c>
      <c r="O53" s="3">
        <f>VLOOKUP(2,Planilha1!$B$50:$J53,5,0)</f>
        <v>2</v>
      </c>
      <c r="P53" s="3">
        <f>VLOOKUP(2,Planilha1!$B$50:$J53,9,0)</f>
        <v>4</v>
      </c>
      <c r="Q53" s="3">
        <f>VLOOKUP(2,Planilha1!$B$50:$J53,4,0)</f>
        <v>-2</v>
      </c>
      <c r="S53" s="6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</row>
    <row r="54" spans="1:44" ht="13.95" customHeight="1" x14ac:dyDescent="0.3">
      <c r="A54" s="45">
        <v>44896</v>
      </c>
      <c r="B54" s="70" t="s">
        <v>45</v>
      </c>
      <c r="C54" s="70"/>
      <c r="D54" s="7">
        <v>3</v>
      </c>
      <c r="E54" s="41" t="s">
        <v>11</v>
      </c>
      <c r="F54" s="7">
        <v>0</v>
      </c>
      <c r="G54" s="70" t="s">
        <v>47</v>
      </c>
      <c r="H54" s="70"/>
      <c r="I54" s="8">
        <f t="shared" si="5"/>
        <v>1</v>
      </c>
      <c r="J54" s="5" t="str">
        <f>VLOOKUP(3,Planilha1!$B$50:$J53,2,0)</f>
        <v>Marrocos</v>
      </c>
      <c r="K54" s="3">
        <f>VLOOKUP(3,Planilha1!$B$50:$J53,3,0)</f>
        <v>2</v>
      </c>
      <c r="L54" s="3">
        <f>VLOOKUP(3,Planilha1!$B$50:$J53,6,0)</f>
        <v>0</v>
      </c>
      <c r="M54" s="3">
        <f>VLOOKUP(3,Planilha1!$B$50:$J53,7,0)</f>
        <v>2</v>
      </c>
      <c r="N54" s="3">
        <f>VLOOKUP(3,Planilha1!$B$50:$J53,8,0)</f>
        <v>1</v>
      </c>
      <c r="O54" s="3">
        <f>VLOOKUP(3,Planilha1!$B$50:$J53,5,0)</f>
        <v>5</v>
      </c>
      <c r="P54" s="3">
        <f>VLOOKUP(3,Planilha1!$B$50:$J53,9,0)</f>
        <v>6</v>
      </c>
      <c r="Q54" s="3">
        <f>VLOOKUP(3,Planilha1!$B$50:$J53,4,0)</f>
        <v>-1</v>
      </c>
      <c r="S54" s="6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</row>
    <row r="55" spans="1:44" x14ac:dyDescent="0.3">
      <c r="A55" s="45">
        <v>44896</v>
      </c>
      <c r="B55" s="70" t="s">
        <v>46</v>
      </c>
      <c r="C55" s="70"/>
      <c r="D55" s="7">
        <v>2</v>
      </c>
      <c r="E55" s="41" t="s">
        <v>11</v>
      </c>
      <c r="F55" s="7">
        <v>2</v>
      </c>
      <c r="G55" s="70" t="s">
        <v>13</v>
      </c>
      <c r="H55" s="70"/>
      <c r="I55" s="8">
        <f t="shared" si="5"/>
        <v>1</v>
      </c>
      <c r="J55" s="5" t="str">
        <f>VLOOKUP(4,Planilha1!$B$50:$J53,2,0)</f>
        <v>Canadá</v>
      </c>
      <c r="K55" s="3">
        <f>VLOOKUP(4,Planilha1!$B$50:$J53,3,0)</f>
        <v>1</v>
      </c>
      <c r="L55" s="3">
        <f>VLOOKUP(4,Planilha1!$B$50:$J53,6,0)</f>
        <v>0</v>
      </c>
      <c r="M55" s="3">
        <f>VLOOKUP(4,Planilha1!$B$50:$J53,7,0)</f>
        <v>1</v>
      </c>
      <c r="N55" s="3">
        <f>VLOOKUP(4,Planilha1!$B$50:$J53,8,0)</f>
        <v>2</v>
      </c>
      <c r="O55" s="3">
        <f>VLOOKUP(4,Planilha1!$B$50:$J53,5,0)</f>
        <v>2</v>
      </c>
      <c r="P55" s="3">
        <f>VLOOKUP(4,Planilha1!$B$50:$J53,9,0)</f>
        <v>5</v>
      </c>
      <c r="Q55" s="3">
        <f>VLOOKUP(4,Planilha1!$B$50:$J53,4,0)</f>
        <v>-3</v>
      </c>
      <c r="S55" s="6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</row>
    <row r="56" spans="1:44" x14ac:dyDescent="0.3">
      <c r="A56" s="9"/>
      <c r="B56" s="10"/>
      <c r="C56" s="10"/>
      <c r="D56" s="11"/>
      <c r="E56" s="10"/>
      <c r="F56" s="11"/>
      <c r="G56" s="10"/>
      <c r="H56" s="10"/>
      <c r="I56" s="9"/>
      <c r="J56" s="9"/>
      <c r="K56" s="9"/>
      <c r="L56" s="9"/>
      <c r="M56" s="9"/>
      <c r="N56" s="9"/>
      <c r="O56" s="9"/>
      <c r="P56" s="9"/>
      <c r="Q56" s="9"/>
      <c r="S56" s="6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</row>
    <row r="57" spans="1:44" ht="18" x14ac:dyDescent="0.35">
      <c r="A57" s="43" t="s">
        <v>8</v>
      </c>
      <c r="B57" s="42"/>
      <c r="C57" s="85" t="s">
        <v>40</v>
      </c>
      <c r="D57" s="85"/>
      <c r="E57" s="85"/>
      <c r="F57" s="85"/>
      <c r="G57" s="85"/>
      <c r="H57" s="85"/>
      <c r="I57" s="85"/>
      <c r="J57" s="85"/>
      <c r="K57" s="85"/>
      <c r="L57" s="85"/>
      <c r="M57" s="85"/>
      <c r="N57" s="85"/>
      <c r="O57" s="85"/>
      <c r="P57" s="85"/>
      <c r="Q57" s="85"/>
      <c r="S57" s="6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</row>
    <row r="58" spans="1:44" x14ac:dyDescent="0.3">
      <c r="A58" s="9"/>
      <c r="B58" s="10"/>
      <c r="C58" s="10"/>
      <c r="D58" s="11"/>
      <c r="E58" s="10"/>
      <c r="F58" s="11"/>
      <c r="G58" s="10"/>
      <c r="H58" s="10"/>
      <c r="I58" s="9"/>
      <c r="K58" s="9"/>
      <c r="L58" s="9"/>
      <c r="M58" s="9"/>
      <c r="N58" s="9"/>
      <c r="O58" s="9"/>
      <c r="P58" s="9"/>
      <c r="Q58" s="9"/>
      <c r="S58" s="6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</row>
    <row r="59" spans="1:44" x14ac:dyDescent="0.3">
      <c r="A59" s="44">
        <v>44889</v>
      </c>
      <c r="B59" s="70" t="s">
        <v>1</v>
      </c>
      <c r="C59" s="70"/>
      <c r="D59" s="7">
        <v>2</v>
      </c>
      <c r="E59" s="41" t="s">
        <v>11</v>
      </c>
      <c r="F59" s="7">
        <v>1</v>
      </c>
      <c r="G59" s="70" t="s">
        <v>49</v>
      </c>
      <c r="H59" s="70"/>
      <c r="I59" s="8">
        <f t="shared" ref="I59:I64" si="6">IF(AND(D59="",F59=""),"",IF(AND(ISNUMBER(D59),ISNUMBER(F59)),1,-1))</f>
        <v>1</v>
      </c>
      <c r="K59" s="9"/>
      <c r="L59" s="9"/>
      <c r="M59" s="9"/>
      <c r="N59" s="9"/>
      <c r="O59" s="9"/>
      <c r="P59" s="9"/>
      <c r="Q59" s="9"/>
      <c r="S59" s="6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</row>
    <row r="60" spans="1:44" x14ac:dyDescent="0.3">
      <c r="A60" s="44">
        <v>44889</v>
      </c>
      <c r="B60" s="70" t="s">
        <v>48</v>
      </c>
      <c r="C60" s="70"/>
      <c r="D60" s="7">
        <v>2</v>
      </c>
      <c r="E60" s="41" t="s">
        <v>11</v>
      </c>
      <c r="F60" s="7">
        <v>1</v>
      </c>
      <c r="G60" s="70" t="s">
        <v>21</v>
      </c>
      <c r="H60" s="70"/>
      <c r="I60" s="8">
        <f t="shared" si="6"/>
        <v>1</v>
      </c>
      <c r="K60" s="2" t="s">
        <v>14</v>
      </c>
      <c r="L60" s="2" t="s">
        <v>15</v>
      </c>
      <c r="M60" s="2" t="s">
        <v>16</v>
      </c>
      <c r="N60" s="2" t="s">
        <v>17</v>
      </c>
      <c r="O60" s="2" t="s">
        <v>5</v>
      </c>
      <c r="P60" s="2" t="s">
        <v>18</v>
      </c>
      <c r="Q60" s="2" t="s">
        <v>4</v>
      </c>
      <c r="S60" s="6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</row>
    <row r="61" spans="1:44" x14ac:dyDescent="0.3">
      <c r="A61" s="44">
        <v>44893</v>
      </c>
      <c r="B61" s="70" t="s">
        <v>1</v>
      </c>
      <c r="C61" s="70"/>
      <c r="D61" s="7">
        <v>3</v>
      </c>
      <c r="E61" s="41" t="s">
        <v>11</v>
      </c>
      <c r="F61" s="7">
        <v>2</v>
      </c>
      <c r="G61" s="70" t="s">
        <v>48</v>
      </c>
      <c r="H61" s="70"/>
      <c r="I61" s="8">
        <f t="shared" si="6"/>
        <v>1</v>
      </c>
      <c r="J61" s="5" t="str">
        <f>VLOOKUP(1,Planilha1!$B$59:$J62,2,0)</f>
        <v>Brasil</v>
      </c>
      <c r="K61" s="3">
        <f>VLOOKUP(1,Planilha1!$B$59:$J62,3,0)</f>
        <v>9</v>
      </c>
      <c r="L61" s="3">
        <f>VLOOKUP(1,Planilha1!$B$59:$J62,6,0)</f>
        <v>3</v>
      </c>
      <c r="M61" s="3">
        <f>VLOOKUP(1,Planilha1!$B$59:$J62,7,0)</f>
        <v>0</v>
      </c>
      <c r="N61" s="3">
        <f>VLOOKUP(1,Planilha1!$B$59:$J62,8,0)</f>
        <v>0</v>
      </c>
      <c r="O61" s="3">
        <f>VLOOKUP(1,Planilha1!$B$59:$J62,5,0)</f>
        <v>6</v>
      </c>
      <c r="P61" s="3">
        <f>VLOOKUP(1,Planilha1!$B$59:$J62,9,0)</f>
        <v>3</v>
      </c>
      <c r="Q61" s="3">
        <f>VLOOKUP(1,Planilha1!$B$59:$J62,4,0)</f>
        <v>3</v>
      </c>
      <c r="S61" s="6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</row>
    <row r="62" spans="1:44" x14ac:dyDescent="0.3">
      <c r="A62" s="44">
        <v>44893</v>
      </c>
      <c r="B62" s="70" t="s">
        <v>49</v>
      </c>
      <c r="C62" s="70"/>
      <c r="D62" s="7">
        <v>2</v>
      </c>
      <c r="E62" s="41" t="s">
        <v>11</v>
      </c>
      <c r="F62" s="7">
        <v>2</v>
      </c>
      <c r="G62" s="70" t="s">
        <v>21</v>
      </c>
      <c r="H62" s="70"/>
      <c r="I62" s="8">
        <f t="shared" si="6"/>
        <v>1</v>
      </c>
      <c r="J62" s="5" t="str">
        <f>VLOOKUP(2,Planilha1!$B$59:$J62,2,0)</f>
        <v>Suíça</v>
      </c>
      <c r="K62" s="3">
        <f>VLOOKUP(2,Planilha1!$B$59:$J62,3,0)</f>
        <v>6</v>
      </c>
      <c r="L62" s="3">
        <f>VLOOKUP(2,Planilha1!$B$59:$J62,6,0)</f>
        <v>2</v>
      </c>
      <c r="M62" s="3">
        <f>VLOOKUP(2,Planilha1!$B$59:$J62,7,0)</f>
        <v>0</v>
      </c>
      <c r="N62" s="3">
        <f>VLOOKUP(2,Planilha1!$B$59:$J62,8,0)</f>
        <v>1</v>
      </c>
      <c r="O62" s="3">
        <f>VLOOKUP(2,Planilha1!$B$59:$J62,5,0)</f>
        <v>6</v>
      </c>
      <c r="P62" s="3">
        <f>VLOOKUP(2,Planilha1!$B$59:$J62,9,0)</f>
        <v>5</v>
      </c>
      <c r="Q62" s="3">
        <f>VLOOKUP(2,Planilha1!$B$59:$J62,4,0)</f>
        <v>1</v>
      </c>
      <c r="S62" s="6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</row>
    <row r="63" spans="1:44" ht="14.4" customHeight="1" x14ac:dyDescent="0.3">
      <c r="A63" s="44">
        <v>44897</v>
      </c>
      <c r="B63" s="70" t="s">
        <v>1</v>
      </c>
      <c r="C63" s="70"/>
      <c r="D63" s="7">
        <v>1</v>
      </c>
      <c r="E63" s="41" t="s">
        <v>11</v>
      </c>
      <c r="F63" s="7">
        <v>0</v>
      </c>
      <c r="G63" s="70" t="s">
        <v>21</v>
      </c>
      <c r="H63" s="70"/>
      <c r="I63" s="8">
        <f t="shared" si="6"/>
        <v>1</v>
      </c>
      <c r="J63" s="5" t="str">
        <f>VLOOKUP(3,Planilha1!$B$59:$J62,2,0)</f>
        <v>Sérvia</v>
      </c>
      <c r="K63" s="3">
        <f>VLOOKUP(3,Planilha1!$B$59:$J62,3,0)</f>
        <v>1</v>
      </c>
      <c r="L63" s="3">
        <f>VLOOKUP(3,Planilha1!$B$59:$J62,6,0)</f>
        <v>0</v>
      </c>
      <c r="M63" s="3">
        <f>VLOOKUP(3,Planilha1!$B$59:$J62,7,0)</f>
        <v>1</v>
      </c>
      <c r="N63" s="3">
        <f>VLOOKUP(3,Planilha1!$B$59:$J62,8,0)</f>
        <v>2</v>
      </c>
      <c r="O63" s="3">
        <f>VLOOKUP(3,Planilha1!$B$59:$J62,5,0)</f>
        <v>4</v>
      </c>
      <c r="P63" s="3">
        <f>VLOOKUP(3,Planilha1!$B$59:$J62,9,0)</f>
        <v>6</v>
      </c>
      <c r="Q63" s="3">
        <f>VLOOKUP(3,Planilha1!$B$59:$J62,4,0)</f>
        <v>-2</v>
      </c>
      <c r="S63" s="6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</row>
    <row r="64" spans="1:44" x14ac:dyDescent="0.3">
      <c r="A64" s="44">
        <v>44897</v>
      </c>
      <c r="B64" s="70" t="s">
        <v>49</v>
      </c>
      <c r="C64" s="70"/>
      <c r="D64" s="7">
        <v>1</v>
      </c>
      <c r="E64" s="41" t="s">
        <v>11</v>
      </c>
      <c r="F64" s="7">
        <v>2</v>
      </c>
      <c r="G64" s="70" t="s">
        <v>48</v>
      </c>
      <c r="H64" s="70"/>
      <c r="I64" s="8">
        <f t="shared" si="6"/>
        <v>1</v>
      </c>
      <c r="J64" s="5" t="str">
        <f>VLOOKUP(4,Planilha1!$B$59:$J62,2,0)</f>
        <v>Camarões</v>
      </c>
      <c r="K64" s="3">
        <f>VLOOKUP(4,Planilha1!$B$59:$J62,3,0)</f>
        <v>1</v>
      </c>
      <c r="L64" s="3">
        <f>VLOOKUP(4,Planilha1!$B$59:$J62,6,0)</f>
        <v>0</v>
      </c>
      <c r="M64" s="3">
        <f>VLOOKUP(4,Planilha1!$B$59:$J62,7,0)</f>
        <v>1</v>
      </c>
      <c r="N64" s="3">
        <f>VLOOKUP(4,Planilha1!$B$59:$J62,8,0)</f>
        <v>2</v>
      </c>
      <c r="O64" s="3">
        <f>VLOOKUP(4,Planilha1!$B$59:$J62,5,0)</f>
        <v>3</v>
      </c>
      <c r="P64" s="3">
        <f>VLOOKUP(4,Planilha1!$B$59:$J62,9,0)</f>
        <v>5</v>
      </c>
      <c r="Q64" s="3">
        <f>VLOOKUP(4,Planilha1!$B$59:$J62,4,0)</f>
        <v>-2</v>
      </c>
      <c r="S64" s="6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</row>
    <row r="65" spans="1:19" x14ac:dyDescent="0.3">
      <c r="A65" s="9"/>
      <c r="B65" s="10"/>
      <c r="C65" s="10"/>
      <c r="D65" s="11"/>
      <c r="E65" s="10"/>
      <c r="F65" s="11"/>
      <c r="G65" s="10"/>
      <c r="H65" s="10"/>
      <c r="I65" s="9"/>
      <c r="J65" s="9"/>
      <c r="K65" s="9"/>
      <c r="L65" s="9"/>
      <c r="M65" s="9"/>
      <c r="N65" s="9"/>
      <c r="O65" s="9"/>
      <c r="P65" s="9"/>
      <c r="Q65" s="9"/>
      <c r="S65" s="6"/>
    </row>
    <row r="66" spans="1:19" ht="18" x14ac:dyDescent="0.35">
      <c r="A66" s="43" t="s">
        <v>8</v>
      </c>
      <c r="B66" s="42"/>
      <c r="C66" s="85" t="s">
        <v>41</v>
      </c>
      <c r="D66" s="85"/>
      <c r="E66" s="85"/>
      <c r="F66" s="85"/>
      <c r="G66" s="85"/>
      <c r="H66" s="85"/>
      <c r="I66" s="85"/>
      <c r="J66" s="85"/>
      <c r="K66" s="85"/>
      <c r="L66" s="85"/>
      <c r="M66" s="85"/>
      <c r="N66" s="85"/>
      <c r="O66" s="85"/>
      <c r="P66" s="85"/>
      <c r="Q66" s="85"/>
      <c r="S66" s="6"/>
    </row>
    <row r="67" spans="1:19" x14ac:dyDescent="0.3">
      <c r="A67" s="9"/>
      <c r="B67" s="10"/>
      <c r="C67" s="10"/>
      <c r="D67" s="11"/>
      <c r="E67" s="10"/>
      <c r="F67" s="11"/>
      <c r="G67" s="10"/>
      <c r="H67" s="10"/>
      <c r="I67" s="9"/>
      <c r="K67" s="9"/>
      <c r="L67" s="9"/>
      <c r="M67" s="9"/>
      <c r="N67" s="9"/>
      <c r="O67" s="9"/>
      <c r="P67" s="9"/>
      <c r="Q67" s="9"/>
      <c r="S67" s="6"/>
    </row>
    <row r="68" spans="1:19" x14ac:dyDescent="0.3">
      <c r="A68" s="44">
        <v>44889</v>
      </c>
      <c r="B68" s="70" t="s">
        <v>50</v>
      </c>
      <c r="C68" s="70"/>
      <c r="D68" s="7">
        <v>2</v>
      </c>
      <c r="E68" s="41" t="s">
        <v>11</v>
      </c>
      <c r="F68" s="7">
        <v>0</v>
      </c>
      <c r="G68" s="70" t="s">
        <v>51</v>
      </c>
      <c r="H68" s="70"/>
      <c r="I68" s="8">
        <f t="shared" ref="I68:I73" si="7">IF(AND(D68="",F68=""),"",IF(AND(ISNUMBER(D68),ISNUMBER(F68)),1,-1))</f>
        <v>1</v>
      </c>
      <c r="J68" s="9"/>
      <c r="K68" s="9"/>
      <c r="L68" s="9"/>
      <c r="M68" s="9"/>
      <c r="N68" s="9"/>
      <c r="O68" s="9"/>
      <c r="P68" s="9"/>
      <c r="Q68" s="9"/>
      <c r="S68" s="6"/>
    </row>
    <row r="69" spans="1:19" x14ac:dyDescent="0.3">
      <c r="A69" s="44">
        <v>44889</v>
      </c>
      <c r="B69" s="70" t="s">
        <v>12</v>
      </c>
      <c r="C69" s="70"/>
      <c r="D69" s="7">
        <v>1</v>
      </c>
      <c r="E69" s="41" t="s">
        <v>11</v>
      </c>
      <c r="F69" s="7">
        <v>1</v>
      </c>
      <c r="G69" s="70" t="s">
        <v>52</v>
      </c>
      <c r="H69" s="70"/>
      <c r="I69" s="8">
        <f>IF(AND(D69="",F69=""),"",IF(AND(ISNUMBER(D69),ISNUMBER(F69)),1,-1))</f>
        <v>1</v>
      </c>
      <c r="K69" s="2" t="s">
        <v>14</v>
      </c>
      <c r="L69" s="2" t="s">
        <v>15</v>
      </c>
      <c r="M69" s="2" t="s">
        <v>16</v>
      </c>
      <c r="N69" s="2" t="s">
        <v>17</v>
      </c>
      <c r="O69" s="2" t="s">
        <v>5</v>
      </c>
      <c r="P69" s="2" t="s">
        <v>18</v>
      </c>
      <c r="Q69" s="2" t="s">
        <v>4</v>
      </c>
      <c r="S69" s="6"/>
    </row>
    <row r="70" spans="1:19" x14ac:dyDescent="0.3">
      <c r="A70" s="44">
        <v>44893</v>
      </c>
      <c r="B70" s="70" t="s">
        <v>50</v>
      </c>
      <c r="C70" s="70"/>
      <c r="D70" s="7">
        <v>2</v>
      </c>
      <c r="E70" s="41" t="s">
        <v>11</v>
      </c>
      <c r="F70" s="7">
        <v>1</v>
      </c>
      <c r="G70" s="70" t="s">
        <v>12</v>
      </c>
      <c r="H70" s="70"/>
      <c r="I70" s="8">
        <f t="shared" si="7"/>
        <v>1</v>
      </c>
      <c r="J70" s="5" t="str">
        <f>VLOOKUP(1,Planilha1!$B$68:$J71,2,0)</f>
        <v>Portugal</v>
      </c>
      <c r="K70" s="3">
        <f>VLOOKUP(1,Planilha1!$B$68:$J71,3,0)</f>
        <v>9</v>
      </c>
      <c r="L70" s="3">
        <f>VLOOKUP(1,Planilha1!$B$68:$J71,6,0)</f>
        <v>3</v>
      </c>
      <c r="M70" s="3">
        <f>VLOOKUP(1,Planilha1!$B$68:$J71,7,0)</f>
        <v>0</v>
      </c>
      <c r="N70" s="3">
        <f>VLOOKUP(1,Planilha1!$B$68:$J71,8,0)</f>
        <v>0</v>
      </c>
      <c r="O70" s="3">
        <f>VLOOKUP(1,Planilha1!$B$68:$J71,5,0)</f>
        <v>6</v>
      </c>
      <c r="P70" s="3">
        <f>VLOOKUP(1,Planilha1!$B$68:$J71,9,0)</f>
        <v>2</v>
      </c>
      <c r="Q70" s="3">
        <f>VLOOKUP(1,Planilha1!$B$68:$J71,4,0)</f>
        <v>4</v>
      </c>
      <c r="S70" s="6"/>
    </row>
    <row r="71" spans="1:19" x14ac:dyDescent="0.3">
      <c r="A71" s="44">
        <v>44893</v>
      </c>
      <c r="B71" s="70" t="s">
        <v>51</v>
      </c>
      <c r="C71" s="70"/>
      <c r="D71" s="7">
        <v>1</v>
      </c>
      <c r="E71" s="41" t="s">
        <v>11</v>
      </c>
      <c r="F71" s="7">
        <v>2</v>
      </c>
      <c r="G71" s="70" t="s">
        <v>52</v>
      </c>
      <c r="H71" s="70"/>
      <c r="I71" s="8">
        <f t="shared" si="7"/>
        <v>1</v>
      </c>
      <c r="J71" s="5" t="str">
        <f>VLOOKUP(2,Planilha1!$B$68:$J71,2,0)</f>
        <v>Coréia do Sul</v>
      </c>
      <c r="K71" s="3">
        <f>VLOOKUP(2,Planilha1!$B$68:$J71,3,0)</f>
        <v>4</v>
      </c>
      <c r="L71" s="3">
        <f>VLOOKUP(2,Planilha1!$B$68:$J71,6,0)</f>
        <v>1</v>
      </c>
      <c r="M71" s="3">
        <f>VLOOKUP(2,Planilha1!$B$68:$J71,7,0)</f>
        <v>1</v>
      </c>
      <c r="N71" s="3">
        <f>VLOOKUP(2,Planilha1!$B$68:$J71,8,0)</f>
        <v>1</v>
      </c>
      <c r="O71" s="3">
        <f>VLOOKUP(2,Planilha1!$B$68:$J71,5,0)</f>
        <v>4</v>
      </c>
      <c r="P71" s="3">
        <f>VLOOKUP(2,Planilha1!$B$68:$J71,9,0)</f>
        <v>4</v>
      </c>
      <c r="Q71" s="3">
        <f>VLOOKUP(2,Planilha1!$B$68:$J71,4,0)</f>
        <v>0</v>
      </c>
      <c r="S71" s="6"/>
    </row>
    <row r="72" spans="1:19" ht="13.2" customHeight="1" x14ac:dyDescent="0.3">
      <c r="A72" s="44">
        <v>44897</v>
      </c>
      <c r="B72" s="70" t="s">
        <v>50</v>
      </c>
      <c r="C72" s="70"/>
      <c r="D72" s="7">
        <v>2</v>
      </c>
      <c r="E72" s="41" t="s">
        <v>11</v>
      </c>
      <c r="F72" s="7">
        <v>1</v>
      </c>
      <c r="G72" s="70" t="s">
        <v>52</v>
      </c>
      <c r="H72" s="70"/>
      <c r="I72" s="8">
        <f t="shared" si="7"/>
        <v>1</v>
      </c>
      <c r="J72" s="5" t="str">
        <f>VLOOKUP(3,Planilha1!$B$68:$J71,2,0)</f>
        <v>Uruguai</v>
      </c>
      <c r="K72" s="3">
        <f>VLOOKUP(3,Planilha1!$B$68:$J71,3,0)</f>
        <v>2</v>
      </c>
      <c r="L72" s="3">
        <f>VLOOKUP(3,Planilha1!$B$68:$J71,6,0)</f>
        <v>0</v>
      </c>
      <c r="M72" s="3">
        <f>VLOOKUP(3,Planilha1!$B$68:$J71,7,0)</f>
        <v>2</v>
      </c>
      <c r="N72" s="3">
        <f>VLOOKUP(3,Planilha1!$B$68:$J71,8,0)</f>
        <v>1</v>
      </c>
      <c r="O72" s="3">
        <f>VLOOKUP(3,Planilha1!$B$68:$J71,5,0)</f>
        <v>2</v>
      </c>
      <c r="P72" s="3">
        <f>VLOOKUP(3,Planilha1!$B$68:$J71,9,0)</f>
        <v>3</v>
      </c>
      <c r="Q72" s="3">
        <f>VLOOKUP(3,Planilha1!$B$68:$J71,4,0)</f>
        <v>-1</v>
      </c>
      <c r="S72" s="6"/>
    </row>
    <row r="73" spans="1:19" x14ac:dyDescent="0.3">
      <c r="A73" s="44">
        <v>44897</v>
      </c>
      <c r="B73" s="70" t="s">
        <v>51</v>
      </c>
      <c r="C73" s="70"/>
      <c r="D73" s="7">
        <v>0</v>
      </c>
      <c r="E73" s="41" t="s">
        <v>11</v>
      </c>
      <c r="F73" s="7">
        <v>0</v>
      </c>
      <c r="G73" s="70" t="s">
        <v>12</v>
      </c>
      <c r="H73" s="70"/>
      <c r="I73" s="8">
        <f t="shared" si="7"/>
        <v>1</v>
      </c>
      <c r="J73" s="5" t="str">
        <f>VLOOKUP(4,Planilha1!$B$68:$J71,2,0)</f>
        <v>Gana</v>
      </c>
      <c r="K73" s="3">
        <f>VLOOKUP(4,Planilha1!$B$68:$J71,3,0)</f>
        <v>1</v>
      </c>
      <c r="L73" s="3">
        <f>VLOOKUP(4,Planilha1!$B$68:$J71,6,0)</f>
        <v>0</v>
      </c>
      <c r="M73" s="3">
        <f>VLOOKUP(4,Planilha1!$B$68:$J71,7,0)</f>
        <v>1</v>
      </c>
      <c r="N73" s="3">
        <f>VLOOKUP(4,Planilha1!$B$68:$J71,8,0)</f>
        <v>2</v>
      </c>
      <c r="O73" s="3">
        <f>VLOOKUP(4,Planilha1!$B$68:$J71,5,0)</f>
        <v>1</v>
      </c>
      <c r="P73" s="3">
        <f>VLOOKUP(4,Planilha1!$B$68:$J71,9,0)</f>
        <v>4</v>
      </c>
      <c r="Q73" s="3">
        <f>VLOOKUP(4,Planilha1!$B$68:$J71,4,0)</f>
        <v>-3</v>
      </c>
      <c r="S73" s="6"/>
    </row>
    <row r="74" spans="1:19" s="9" customFormat="1" x14ac:dyDescent="0.3">
      <c r="D74" s="13"/>
      <c r="F74" s="13"/>
      <c r="S74" s="46"/>
    </row>
    <row r="75" spans="1:19" s="9" customFormat="1" x14ac:dyDescent="0.3">
      <c r="D75" s="13"/>
      <c r="F75" s="13"/>
    </row>
    <row r="76" spans="1:19" s="9" customFormat="1" x14ac:dyDescent="0.3">
      <c r="D76" s="13"/>
      <c r="F76" s="13"/>
    </row>
    <row r="77" spans="1:19" s="9" customFormat="1" x14ac:dyDescent="0.3">
      <c r="D77" s="13"/>
      <c r="F77" s="13"/>
    </row>
    <row r="78" spans="1:19" s="9" customFormat="1" x14ac:dyDescent="0.3">
      <c r="D78" s="13"/>
      <c r="F78" s="13"/>
    </row>
    <row r="79" spans="1:19" s="9" customFormat="1" x14ac:dyDescent="0.3">
      <c r="D79" s="13"/>
      <c r="F79" s="13"/>
    </row>
  </sheetData>
  <sheetProtection algorithmName="SHA-512" hashValue="S2HvlvYYbaF9lKS3/4zJJRMV+4CfW1B9vRDfdrSX2BVGYogBe4/Sxj+VUNCpD1hGFMwGgz4sJdTyRfYVN4YpjA==" saltValue="SFbK0/oIWV9LzIjgdJ8wyA==" spinCount="100000" sheet="1" selectLockedCells="1"/>
  <mergeCells count="169">
    <mergeCell ref="AV11:AW11"/>
    <mergeCell ref="AV12:AW12"/>
    <mergeCell ref="AV13:AW13"/>
    <mergeCell ref="AV27:AW27"/>
    <mergeCell ref="AV28:AW28"/>
    <mergeCell ref="AV29:AW29"/>
    <mergeCell ref="AZ15:BA15"/>
    <mergeCell ref="AZ16:BA16"/>
    <mergeCell ref="AZ17:BA17"/>
    <mergeCell ref="AZ22:BA22"/>
    <mergeCell ref="AZ23:BA23"/>
    <mergeCell ref="AZ24:BA24"/>
    <mergeCell ref="AZ31:BA31"/>
    <mergeCell ref="AZ32:BA32"/>
    <mergeCell ref="AZ33:BA33"/>
    <mergeCell ref="AQ20:AR20"/>
    <mergeCell ref="AQ21:AR21"/>
    <mergeCell ref="AZ6:BA6"/>
    <mergeCell ref="AZ7:BA7"/>
    <mergeCell ref="AZ8:BA8"/>
    <mergeCell ref="U33:V33"/>
    <mergeCell ref="AT6:AU6"/>
    <mergeCell ref="AT7:AU7"/>
    <mergeCell ref="AT8:AU8"/>
    <mergeCell ref="AT15:AU15"/>
    <mergeCell ref="AT16:AU16"/>
    <mergeCell ref="AT17:AU17"/>
    <mergeCell ref="AT22:AU22"/>
    <mergeCell ref="AT23:AU23"/>
    <mergeCell ref="AT24:AU24"/>
    <mergeCell ref="AT31:AU31"/>
    <mergeCell ref="AT32:AU32"/>
    <mergeCell ref="AT33:AU33"/>
    <mergeCell ref="Y11:Z11"/>
    <mergeCell ref="Y12:Z12"/>
    <mergeCell ref="Y13:Z13"/>
    <mergeCell ref="Y27:Z27"/>
    <mergeCell ref="Y28:Z28"/>
    <mergeCell ref="Y29:Z29"/>
    <mergeCell ref="AD19:AE19"/>
    <mergeCell ref="AD20:AE20"/>
    <mergeCell ref="AD21:AE21"/>
    <mergeCell ref="AQ19:AR19"/>
    <mergeCell ref="U15:V15"/>
    <mergeCell ref="U16:V16"/>
    <mergeCell ref="U17:V17"/>
    <mergeCell ref="U22:V22"/>
    <mergeCell ref="U23:V23"/>
    <mergeCell ref="U24:V24"/>
    <mergeCell ref="AJ19:AL21"/>
    <mergeCell ref="AN20:AO20"/>
    <mergeCell ref="AG20:AH20"/>
    <mergeCell ref="AJ26:AL28"/>
    <mergeCell ref="A1:Q1"/>
    <mergeCell ref="B14:C14"/>
    <mergeCell ref="B15:C15"/>
    <mergeCell ref="B16:C16"/>
    <mergeCell ref="B17:C17"/>
    <mergeCell ref="B18:C18"/>
    <mergeCell ref="B19:C19"/>
    <mergeCell ref="G14:H14"/>
    <mergeCell ref="G15:H15"/>
    <mergeCell ref="G16:H16"/>
    <mergeCell ref="B5:C5"/>
    <mergeCell ref="G5:H5"/>
    <mergeCell ref="G17:H17"/>
    <mergeCell ref="G6:H6"/>
    <mergeCell ref="B6:C6"/>
    <mergeCell ref="B7:C7"/>
    <mergeCell ref="G7:H7"/>
    <mergeCell ref="B8:C8"/>
    <mergeCell ref="G8:H8"/>
    <mergeCell ref="B9:C9"/>
    <mergeCell ref="B24:C24"/>
    <mergeCell ref="G24:H24"/>
    <mergeCell ref="U31:V31"/>
    <mergeCell ref="B25:C25"/>
    <mergeCell ref="G25:H25"/>
    <mergeCell ref="B26:C26"/>
    <mergeCell ref="G26:H26"/>
    <mergeCell ref="G10:H10"/>
    <mergeCell ref="B23:C23"/>
    <mergeCell ref="G18:H18"/>
    <mergeCell ref="G19:H19"/>
    <mergeCell ref="B10:C10"/>
    <mergeCell ref="G59:H59"/>
    <mergeCell ref="B73:C73"/>
    <mergeCell ref="G73:H73"/>
    <mergeCell ref="B69:C69"/>
    <mergeCell ref="G69:H69"/>
    <mergeCell ref="B70:C70"/>
    <mergeCell ref="G70:H70"/>
    <mergeCell ref="B71:C71"/>
    <mergeCell ref="G71:H71"/>
    <mergeCell ref="B63:C63"/>
    <mergeCell ref="G63:H63"/>
    <mergeCell ref="B64:C64"/>
    <mergeCell ref="G64:H64"/>
    <mergeCell ref="B68:C68"/>
    <mergeCell ref="G68:H68"/>
    <mergeCell ref="B72:C72"/>
    <mergeCell ref="G72:H72"/>
    <mergeCell ref="C66:Q66"/>
    <mergeCell ref="B60:C60"/>
    <mergeCell ref="G60:H60"/>
    <mergeCell ref="B61:C61"/>
    <mergeCell ref="G61:H61"/>
    <mergeCell ref="B62:C62"/>
    <mergeCell ref="G62:H62"/>
    <mergeCell ref="B59:C59"/>
    <mergeCell ref="AJ33:AL35"/>
    <mergeCell ref="U1:BA1"/>
    <mergeCell ref="C3:Q3"/>
    <mergeCell ref="C12:Q12"/>
    <mergeCell ref="C21:Q21"/>
    <mergeCell ref="C30:Q30"/>
    <mergeCell ref="C39:Q39"/>
    <mergeCell ref="C48:Q48"/>
    <mergeCell ref="C57:Q57"/>
    <mergeCell ref="B42:C42"/>
    <mergeCell ref="G42:H42"/>
    <mergeCell ref="B43:C43"/>
    <mergeCell ref="G43:H43"/>
    <mergeCell ref="B44:C44"/>
    <mergeCell ref="G44:H44"/>
    <mergeCell ref="B36:C36"/>
    <mergeCell ref="G36:H36"/>
    <mergeCell ref="B37:C37"/>
    <mergeCell ref="G37:H37"/>
    <mergeCell ref="B51:C51"/>
    <mergeCell ref="G51:H51"/>
    <mergeCell ref="B52:C52"/>
    <mergeCell ref="G52:H52"/>
    <mergeCell ref="B54:C54"/>
    <mergeCell ref="G54:H54"/>
    <mergeCell ref="B55:C55"/>
    <mergeCell ref="G55:H55"/>
    <mergeCell ref="B53:C53"/>
    <mergeCell ref="G53:H53"/>
    <mergeCell ref="B45:C45"/>
    <mergeCell ref="G45:H45"/>
    <mergeCell ref="B46:C46"/>
    <mergeCell ref="G46:H46"/>
    <mergeCell ref="B50:C50"/>
    <mergeCell ref="G50:H50"/>
    <mergeCell ref="U4:V4"/>
    <mergeCell ref="Y9:Z9"/>
    <mergeCell ref="AD17:AE17"/>
    <mergeCell ref="AJ22:AL22"/>
    <mergeCell ref="B41:C41"/>
    <mergeCell ref="G41:H41"/>
    <mergeCell ref="G23:H23"/>
    <mergeCell ref="B33:C33"/>
    <mergeCell ref="G33:H33"/>
    <mergeCell ref="B34:C34"/>
    <mergeCell ref="G34:H34"/>
    <mergeCell ref="B35:C35"/>
    <mergeCell ref="G35:H35"/>
    <mergeCell ref="B27:C27"/>
    <mergeCell ref="G27:H27"/>
    <mergeCell ref="B28:C28"/>
    <mergeCell ref="G28:H28"/>
    <mergeCell ref="B32:C32"/>
    <mergeCell ref="G32:H32"/>
    <mergeCell ref="U32:V32"/>
    <mergeCell ref="G9:H9"/>
    <mergeCell ref="U6:V6"/>
    <mergeCell ref="U8:V8"/>
    <mergeCell ref="U7:V7"/>
  </mergeCells>
  <conditionalFormatting sqref="I5:I10">
    <cfRule type="iconSet" priority="10">
      <iconSet>
        <cfvo type="percent" val="0"/>
        <cfvo type="num" val="0"/>
        <cfvo type="num" val="0"/>
      </iconSet>
    </cfRule>
  </conditionalFormatting>
  <conditionalFormatting sqref="I6">
    <cfRule type="iconSet" priority="9">
      <iconSet>
        <cfvo type="percent" val="0"/>
        <cfvo type="num" val="0"/>
        <cfvo type="num" val="0"/>
      </iconSet>
    </cfRule>
  </conditionalFormatting>
  <conditionalFormatting sqref="I14:I19">
    <cfRule type="iconSet" priority="8">
      <iconSet>
        <cfvo type="percent" val="0"/>
        <cfvo type="num" val="0"/>
        <cfvo type="num" val="0"/>
      </iconSet>
    </cfRule>
  </conditionalFormatting>
  <conditionalFormatting sqref="I23:I28">
    <cfRule type="iconSet" priority="7">
      <iconSet>
        <cfvo type="percent" val="0"/>
        <cfvo type="num" val="0"/>
        <cfvo type="num" val="0"/>
      </iconSet>
    </cfRule>
  </conditionalFormatting>
  <conditionalFormatting sqref="I32:I37">
    <cfRule type="iconSet" priority="6">
      <iconSet>
        <cfvo type="percent" val="0"/>
        <cfvo type="num" val="0"/>
        <cfvo type="num" val="0"/>
      </iconSet>
    </cfRule>
  </conditionalFormatting>
  <conditionalFormatting sqref="I41:I45">
    <cfRule type="iconSet" priority="5">
      <iconSet>
        <cfvo type="percent" val="0"/>
        <cfvo type="num" val="0"/>
        <cfvo type="num" val="0"/>
      </iconSet>
    </cfRule>
  </conditionalFormatting>
  <conditionalFormatting sqref="I50:I55">
    <cfRule type="iconSet" priority="4">
      <iconSet>
        <cfvo type="percent" val="0"/>
        <cfvo type="num" val="0"/>
        <cfvo type="num" val="0"/>
      </iconSet>
    </cfRule>
  </conditionalFormatting>
  <conditionalFormatting sqref="I59:I64">
    <cfRule type="iconSet" priority="3">
      <iconSet>
        <cfvo type="percent" val="0"/>
        <cfvo type="num" val="0"/>
        <cfvo type="num" val="0"/>
      </iconSet>
    </cfRule>
  </conditionalFormatting>
  <conditionalFormatting sqref="I68:I73">
    <cfRule type="iconSet" priority="2">
      <iconSet>
        <cfvo type="percent" val="0"/>
        <cfvo type="num" val="0"/>
        <cfvo type="num" val="0"/>
      </iconSet>
    </cfRule>
  </conditionalFormatting>
  <conditionalFormatting sqref="I46">
    <cfRule type="iconSet" priority="1">
      <iconSet>
        <cfvo type="percent" val="0"/>
        <cfvo type="num" val="0"/>
        <cfvo type="num" val="0"/>
      </iconSet>
    </cfRule>
  </conditionalFormatting>
  <dataValidations count="2">
    <dataValidation type="whole" allowBlank="1" showInputMessage="1" showErrorMessage="1" sqref="D41:D46 D68:D73 D14:D19 D23:D28 D32:D37 D50:D55 D59:D64 D5:D10" xr:uid="{00000000-0002-0000-0100-000000000000}">
      <formula1>0</formula1>
      <formula2>9999999999999990000</formula2>
    </dataValidation>
    <dataValidation type="whole" allowBlank="1" showInputMessage="1" showErrorMessage="1" sqref="F59:F64 F68:F73 F14:F19 F23:F28 F32:F37 F41:F46 F50:F55 F5:F10" xr:uid="{00000000-0002-0000-0100-000001000000}">
      <formula1>0</formula1>
      <formula2>999999999999999</formula2>
    </dataValidation>
  </dataValidations>
  <pageMargins left="0.511811024" right="0.511811024" top="0.78740157499999996" bottom="0.78740157499999996" header="0.31496062000000002" footer="0.31496062000000002"/>
  <pageSetup paperSize="9" orientation="portrait" horizontalDpi="4294967293" r:id="rId1"/>
  <drawing r:id="rId2"/>
  <extLst>
    <ext xmlns:x14="http://schemas.microsoft.com/office/spreadsheetml/2009/9/main" uri="{CCE6A557-97BC-4b89-ADB6-D9C93CAAB3DF}">
      <x14:dataValidations xmlns:xm="http://schemas.microsoft.com/office/excel/2006/main" count="16">
        <x14:dataValidation type="list" allowBlank="1" showInputMessage="1" showErrorMessage="1" xr:uid="{00000000-0002-0000-0100-000002000000}">
          <x14:formula1>
            <xm:f>Planilha1!$S$4:$S$5</xm:f>
          </x14:formula1>
          <xm:sqref>Y11:Z11</xm:sqref>
        </x14:dataValidation>
        <x14:dataValidation type="list" allowBlank="1" showInputMessage="1" showErrorMessage="1" xr:uid="{00000000-0002-0000-0100-000003000000}">
          <x14:formula1>
            <xm:f>Planilha1!$S$6:$S$7</xm:f>
          </x14:formula1>
          <xm:sqref>Y13:Z13</xm:sqref>
        </x14:dataValidation>
        <x14:dataValidation type="list" allowBlank="1" showInputMessage="1" showErrorMessage="1" xr:uid="{00000000-0002-0000-0100-000004000000}">
          <x14:formula1>
            <xm:f>Planilha1!$S$8:$S$9</xm:f>
          </x14:formula1>
          <xm:sqref>Y27:Z27</xm:sqref>
        </x14:dataValidation>
        <x14:dataValidation type="list" allowBlank="1" showInputMessage="1" showErrorMessage="1" xr:uid="{00000000-0002-0000-0100-000005000000}">
          <x14:formula1>
            <xm:f>Planilha1!$S$10:$S$11</xm:f>
          </x14:formula1>
          <xm:sqref>Y29:Z29</xm:sqref>
        </x14:dataValidation>
        <x14:dataValidation type="list" allowBlank="1" showInputMessage="1" showErrorMessage="1" xr:uid="{00000000-0002-0000-0100-000006000000}">
          <x14:formula1>
            <xm:f>Planilha1!$T$4:$T$5</xm:f>
          </x14:formula1>
          <xm:sqref>AV11:AW11</xm:sqref>
        </x14:dataValidation>
        <x14:dataValidation type="list" allowBlank="1" showInputMessage="1" showErrorMessage="1" xr:uid="{00000000-0002-0000-0100-000007000000}">
          <x14:formula1>
            <xm:f>Planilha1!$T$6:$T$7</xm:f>
          </x14:formula1>
          <xm:sqref>AV13:AW13</xm:sqref>
        </x14:dataValidation>
        <x14:dataValidation type="list" allowBlank="1" showInputMessage="1" showErrorMessage="1" xr:uid="{00000000-0002-0000-0100-000008000000}">
          <x14:formula1>
            <xm:f>Planilha1!$T$8:$T$9</xm:f>
          </x14:formula1>
          <xm:sqref>AV27:AW27</xm:sqref>
        </x14:dataValidation>
        <x14:dataValidation type="list" allowBlank="1" showInputMessage="1" showErrorMessage="1" xr:uid="{00000000-0002-0000-0100-000009000000}">
          <x14:formula1>
            <xm:f>Planilha1!$T$10:$T$11</xm:f>
          </x14:formula1>
          <xm:sqref>AV29:AW29</xm:sqref>
        </x14:dataValidation>
        <x14:dataValidation type="list" allowBlank="1" showInputMessage="1" showErrorMessage="1" xr:uid="{00000000-0002-0000-0100-00000A000000}">
          <x14:formula1>
            <xm:f>Planilha1!$S$13:$S$14</xm:f>
          </x14:formula1>
          <xm:sqref>AD19:AE19</xm:sqref>
        </x14:dataValidation>
        <x14:dataValidation type="list" allowBlank="1" showInputMessage="1" showErrorMessage="1" xr:uid="{00000000-0002-0000-0100-00000B000000}">
          <x14:formula1>
            <xm:f>Planilha1!$S$15:$S$16</xm:f>
          </x14:formula1>
          <xm:sqref>AD21:AE21</xm:sqref>
        </x14:dataValidation>
        <x14:dataValidation type="list" allowBlank="1" showInputMessage="1" showErrorMessage="1" xr:uid="{00000000-0002-0000-0100-00000C000000}">
          <x14:formula1>
            <xm:f>Planilha1!$T$13:$T$14</xm:f>
          </x14:formula1>
          <xm:sqref>AQ19:AR19</xm:sqref>
        </x14:dataValidation>
        <x14:dataValidation type="list" allowBlank="1" showInputMessage="1" showErrorMessage="1" xr:uid="{00000000-0002-0000-0100-00000D000000}">
          <x14:formula1>
            <xm:f>Planilha1!$T$15:$T$16</xm:f>
          </x14:formula1>
          <xm:sqref>AQ21:AR21</xm:sqref>
        </x14:dataValidation>
        <x14:dataValidation type="list" allowBlank="1" showInputMessage="1" showErrorMessage="1" xr:uid="{00000000-0002-0000-0100-00000E000000}">
          <x14:formula1>
            <xm:f>Planilha1!$S$18:$S$19</xm:f>
          </x14:formula1>
          <xm:sqref>AG20:AH20</xm:sqref>
        </x14:dataValidation>
        <x14:dataValidation type="list" allowBlank="1" showInputMessage="1" showErrorMessage="1" xr:uid="{00000000-0002-0000-0100-00000F000000}">
          <x14:formula1>
            <xm:f>Planilha1!$T$18:$T$19</xm:f>
          </x14:formula1>
          <xm:sqref>AN20:AO20</xm:sqref>
        </x14:dataValidation>
        <x14:dataValidation type="list" allowBlank="1" showInputMessage="1" showErrorMessage="1" xr:uid="{00000000-0002-0000-0100-000010000000}">
          <x14:formula1>
            <xm:f>Planilha1!$S$21:$T$21</xm:f>
          </x14:formula1>
          <xm:sqref>AJ19:AL21</xm:sqref>
        </x14:dataValidation>
        <x14:dataValidation type="list" allowBlank="1" showInputMessage="1" showErrorMessage="1" xr:uid="{00000000-0002-0000-0100-000011000000}">
          <x14:formula1>
            <xm:f>Planilha1!$V$21:$W$21</xm:f>
          </x14:formula1>
          <xm:sqref>AJ33:AL35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ilha3"/>
  <dimension ref="A3:W71"/>
  <sheetViews>
    <sheetView zoomScale="80" zoomScaleNormal="80" workbookViewId="0">
      <selection activeCell="B71" sqref="B71"/>
    </sheetView>
  </sheetViews>
  <sheetFormatPr defaultColWidth="9" defaultRowHeight="14.4" x14ac:dyDescent="0.3"/>
  <cols>
    <col min="1" max="1" width="10.88671875" style="1" bestFit="1" customWidth="1"/>
    <col min="2" max="2" width="9" style="1"/>
    <col min="3" max="3" width="13.44140625" style="1" bestFit="1" customWidth="1"/>
    <col min="4" max="10" width="9" style="1"/>
    <col min="11" max="11" width="16.33203125" style="1" customWidth="1"/>
    <col min="12" max="12" width="12.109375" style="1" bestFit="1" customWidth="1"/>
    <col min="13" max="16384" width="9" style="1"/>
  </cols>
  <sheetData>
    <row r="3" spans="1:20" x14ac:dyDescent="0.3">
      <c r="C3" s="113"/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</row>
    <row r="4" spans="1:20" x14ac:dyDescent="0.3">
      <c r="A4" s="1" t="s">
        <v>109</v>
      </c>
      <c r="B4" s="1" t="s">
        <v>110</v>
      </c>
      <c r="C4" s="1" t="s">
        <v>7</v>
      </c>
      <c r="D4" s="1" t="s">
        <v>6</v>
      </c>
      <c r="E4" s="1" t="s">
        <v>4</v>
      </c>
      <c r="F4" s="1" t="s">
        <v>5</v>
      </c>
      <c r="G4" s="1" t="s">
        <v>15</v>
      </c>
      <c r="H4" s="1" t="s">
        <v>16</v>
      </c>
      <c r="I4" s="1" t="s">
        <v>17</v>
      </c>
      <c r="J4" s="1" t="s">
        <v>18</v>
      </c>
      <c r="K4" s="1" t="s">
        <v>108</v>
      </c>
      <c r="L4" s="1" t="s">
        <v>35</v>
      </c>
      <c r="M4" s="1" t="s">
        <v>36</v>
      </c>
      <c r="N4" s="1" t="s">
        <v>37</v>
      </c>
      <c r="S4" s="1" t="str">
        <f>Palpites!U6</f>
        <v>Holanda</v>
      </c>
      <c r="T4" s="1" t="str">
        <f>Palpites!AZ6</f>
        <v>Inglaterra</v>
      </c>
    </row>
    <row r="5" spans="1:20" x14ac:dyDescent="0.3">
      <c r="A5" s="1">
        <f>100000000*D5+100000*E5+1000*F5+K5*10</f>
        <v>299602040</v>
      </c>
      <c r="B5" s="1">
        <f>RANK(A5,$A$5:$A$8)</f>
        <v>3</v>
      </c>
      <c r="C5" s="1" t="str">
        <f>Palpites!B5</f>
        <v>Qatar</v>
      </c>
      <c r="D5" s="1">
        <f>3*COUNTIF(L5:N5,"V")+COUNTIF(L5:N5,"E")</f>
        <v>3</v>
      </c>
      <c r="E5" s="1">
        <f>(Palpites!D5-Palpites!F5)+(Palpites!D7-Palpites!F7)+(Palpites!D9-Palpites!F9)</f>
        <v>-4</v>
      </c>
      <c r="F5" s="1">
        <f>Palpites!D5+Palpites!D7+Palpites!D9</f>
        <v>2</v>
      </c>
      <c r="G5" s="1">
        <f>COUNTIF(L5:N5,"V")</f>
        <v>1</v>
      </c>
      <c r="H5" s="1">
        <f>COUNTIF(L5:N5,"e")</f>
        <v>0</v>
      </c>
      <c r="I5" s="1">
        <f>COUNTIF(L5:N5,"D")</f>
        <v>2</v>
      </c>
      <c r="J5" s="1">
        <f>F5-E5</f>
        <v>6</v>
      </c>
      <c r="K5" s="1">
        <v>4</v>
      </c>
      <c r="L5" s="1" t="str">
        <f>IF(OR(Palpites!D5="",Palpites!F5=""),0,IF(Palpites!D5&gt;Palpites!F5,"V",IF(Palpites!D5=Palpites!F5,"E",IF(Palpites!D5&lt;Palpites!F5,"D"))))</f>
        <v>V</v>
      </c>
      <c r="M5" s="1" t="str">
        <f>IF(OR(Palpites!D7="",Palpites!F7=""),0,IF(Palpites!D7&gt;Palpites!F7,"V",IF(Palpites!D7=Palpites!F7,"E",IF(Palpites!D7&lt;Palpites!F7,"D"))))</f>
        <v>D</v>
      </c>
      <c r="N5" s="1" t="str">
        <f>IF(OR(Palpites!D9="",Palpites!F9=""),0,IF(Palpites!D9&gt;Palpites!F9,"V",IF(Palpites!D9=Palpites!F9,"E",IF(Palpites!D9&lt;Palpites!F9,"D"))))</f>
        <v>D</v>
      </c>
      <c r="S5" s="1" t="str">
        <f>Palpites!U8</f>
        <v>EUA</v>
      </c>
      <c r="T5" s="1" t="str">
        <f>Palpites!AZ8</f>
        <v>Senegal</v>
      </c>
    </row>
    <row r="6" spans="1:20" x14ac:dyDescent="0.3">
      <c r="A6" s="1">
        <f>100000000*D6+100000*E6+1000*F6+K6*10</f>
        <v>600105030</v>
      </c>
      <c r="B6" s="1">
        <f>RANK(A6,$A$5:$A$8)</f>
        <v>2</v>
      </c>
      <c r="C6" s="1" t="str">
        <f>Palpites!B6</f>
        <v>Senegal</v>
      </c>
      <c r="D6" s="1">
        <f>3*COUNTIF(L6:N6,"V")+COUNTIF(L6:N6,"E")</f>
        <v>6</v>
      </c>
      <c r="E6" s="1">
        <f>(Palpites!D6-Palpites!F6)+(Palpites!F7-Palpites!D7)+(Palpites!F10-Palpites!D10)</f>
        <v>1</v>
      </c>
      <c r="F6" s="1">
        <f>Palpites!D6+Palpites!F7+Palpites!F10</f>
        <v>5</v>
      </c>
      <c r="G6" s="1">
        <f>COUNTIF(L6:N6,"V")</f>
        <v>2</v>
      </c>
      <c r="H6" s="1">
        <f>COUNTIF(L6:N6,"e")</f>
        <v>0</v>
      </c>
      <c r="I6" s="1">
        <f>COUNTIF(L6:N6,"D")</f>
        <v>1</v>
      </c>
      <c r="J6" s="1">
        <f>F6-E6</f>
        <v>4</v>
      </c>
      <c r="K6" s="1">
        <v>3</v>
      </c>
      <c r="L6" s="1" t="str">
        <f>IF(OR(Palpites!D6="",Palpites!F6=""),0,IF(Palpites!D6&gt;Palpites!F6,"V",IF(Palpites!D6=Palpites!F6,"E",IF(Palpites!D6&lt;Palpites!F6,"D"))))</f>
        <v>D</v>
      </c>
      <c r="M6" s="1" t="str">
        <f>IF(OR(Palpites!F7="",Palpites!D7=""),0,IF(Palpites!F7&gt;Palpites!D7,"V",IF(Palpites!F7=Palpites!D7,"E",IF(Palpites!F7&lt;Palpites!D7,"D"))))</f>
        <v>V</v>
      </c>
      <c r="N6" s="1" t="str">
        <f>IF(OR(Palpites!F10="",Palpites!D10=""),0,IF(Palpites!F10&gt;Palpites!D10,"V",IF(Palpites!F10=Palpites!D10,"E",IF(Palpites!F10&lt;Palpites!D10,"D"))))</f>
        <v>V</v>
      </c>
      <c r="S6" s="1" t="str">
        <f>Palpites!U15</f>
        <v>Argentina</v>
      </c>
      <c r="T6" s="1" t="str">
        <f>Palpites!AZ15</f>
        <v>Dinamarca</v>
      </c>
    </row>
    <row r="7" spans="1:20" x14ac:dyDescent="0.3">
      <c r="A7" s="1">
        <f>100000000*D7+100000*E7+1000*F7+K7*10</f>
        <v>-396980</v>
      </c>
      <c r="B7" s="1">
        <f>RANK(A7,$A$5:$A$8)</f>
        <v>4</v>
      </c>
      <c r="C7" s="1" t="str">
        <f>Palpites!G5</f>
        <v>Equador</v>
      </c>
      <c r="D7" s="1">
        <f>3*COUNTIF(L7:N7,"V")+COUNTIF(L7:N7,"E")</f>
        <v>0</v>
      </c>
      <c r="E7" s="1">
        <f>(Palpites!F5-Palpites!D5)+(Palpites!D8-Palpites!F8)+(Palpites!D10-Palpites!F10)</f>
        <v>-4</v>
      </c>
      <c r="F7" s="1">
        <f>Palpites!F5+Palpites!D8+Palpites!D10</f>
        <v>3</v>
      </c>
      <c r="G7" s="1">
        <f>COUNTIF(L7:N7,"V")</f>
        <v>0</v>
      </c>
      <c r="H7" s="1">
        <f>COUNTIF(L7:N7,"e")</f>
        <v>0</v>
      </c>
      <c r="I7" s="1">
        <f>COUNTIF(L7:N7,"D")</f>
        <v>3</v>
      </c>
      <c r="J7" s="1">
        <f>F7-E7</f>
        <v>7</v>
      </c>
      <c r="K7" s="1">
        <v>2</v>
      </c>
      <c r="L7" s="1" t="str">
        <f>IF(OR(Palpites!F5="",Palpites!D5=""),0,IF(Palpites!F5&gt;Palpites!D5,"V",IF(Palpites!F5=Palpites!D5,"E",IF(Palpites!F5&lt;Palpites!D5,"D"))))</f>
        <v>D</v>
      </c>
      <c r="M7" s="1" t="str">
        <f>IF(OR(Palpites!D8="",Palpites!F8=""),0,IF(Palpites!D8&gt;Palpites!F8,"V",IF(Palpites!D8=Palpites!F8,"E",IF(Palpites!D8&lt;Palpites!F8,"D"))))</f>
        <v>D</v>
      </c>
      <c r="N7" s="1" t="str">
        <f>IF(OR(Palpites!D10="",Palpites!F10=""),0,IF(Palpites!D10&gt;Palpites!F10,"V",IF(Palpites!D10=Palpites!F10,"E",IF(Palpites!D10&lt;Palpites!F10,"D"))))</f>
        <v>D</v>
      </c>
      <c r="S7" s="1" t="str">
        <f>Palpites!U17</f>
        <v>França</v>
      </c>
      <c r="T7" s="1" t="str">
        <f>Palpites!AZ17</f>
        <v>México</v>
      </c>
    </row>
    <row r="8" spans="1:20" x14ac:dyDescent="0.3">
      <c r="A8" s="1">
        <f>100000000*D8+100000*E8+1000*F8+K8*10</f>
        <v>900709010</v>
      </c>
      <c r="B8" s="1">
        <f>RANK(A8,$A$5:$A$8)</f>
        <v>1</v>
      </c>
      <c r="C8" s="1" t="str">
        <f>Palpites!G6</f>
        <v>Holanda</v>
      </c>
      <c r="D8" s="1">
        <f>3*COUNTIF(L8:N8,"V")+COUNTIF(L8:N8,"E")</f>
        <v>9</v>
      </c>
      <c r="E8" s="1">
        <f>(Palpites!F6-Palpites!D6)+(Palpites!F8-Palpites!D8)+(Palpites!F9-Palpites!D9)</f>
        <v>7</v>
      </c>
      <c r="F8" s="1">
        <f>Palpites!F9+Palpites!F8+Palpites!F6</f>
        <v>9</v>
      </c>
      <c r="G8" s="1">
        <f>COUNTIF(L8:N8,"V")</f>
        <v>3</v>
      </c>
      <c r="H8" s="1">
        <f>COUNTIF(L8:N8,"e")</f>
        <v>0</v>
      </c>
      <c r="I8" s="1">
        <f>COUNTIF(L8:N8,"D")</f>
        <v>0</v>
      </c>
      <c r="J8" s="1">
        <f>F8-E8</f>
        <v>2</v>
      </c>
      <c r="K8" s="1">
        <v>1</v>
      </c>
      <c r="L8" s="1" t="str">
        <f>IF(OR(Palpites!F6="",Palpites!D6=""),0,IF(Palpites!F6&gt;Palpites!D6,"V",IF(Palpites!F6=Palpites!D6,"E",IF(Palpites!F6&lt;Palpites!D6,"D"))))</f>
        <v>V</v>
      </c>
      <c r="M8" s="1" t="str">
        <f>IF(OR(Palpites!F8="",Palpites!D8=""),0,IF(Palpites!F8&gt;Palpites!D8,"V",IF(Palpites!F8=Palpites!D8,"E",IF(Palpites!F8&lt;Palpites!D8,"D"))))</f>
        <v>V</v>
      </c>
      <c r="N8" s="1" t="str">
        <f>IF(OR(Palpites!F9="",Palpites!D9=""),0,IF(Palpites!F9&gt;Palpites!D9,"V",IF(Palpites!F9=Palpites!D9,"E",IF(Palpites!F9&lt;Palpites!D9,"D"))))</f>
        <v>V</v>
      </c>
      <c r="S8" s="1" t="str">
        <f>Palpites!U22</f>
        <v>Alemanha</v>
      </c>
      <c r="T8" s="1" t="str">
        <f>Palpites!AZ22</f>
        <v>Bélgica</v>
      </c>
    </row>
    <row r="9" spans="1:20" x14ac:dyDescent="0.3">
      <c r="S9" s="1" t="str">
        <f>Palpites!U24</f>
        <v>Croácia</v>
      </c>
      <c r="T9" s="1" t="str">
        <f>Palpites!AZ24</f>
        <v>Espanha</v>
      </c>
    </row>
    <row r="10" spans="1:20" x14ac:dyDescent="0.3">
      <c r="S10" s="1" t="str">
        <f>Palpites!U31</f>
        <v>Brasil</v>
      </c>
      <c r="T10" s="1" t="str">
        <f>Palpites!AZ31</f>
        <v>Portugal</v>
      </c>
    </row>
    <row r="11" spans="1:20" x14ac:dyDescent="0.3">
      <c r="S11" s="1" t="str">
        <f>Palpites!U33</f>
        <v>Coréia do Sul</v>
      </c>
      <c r="T11" s="1" t="str">
        <f>Palpites!AZ33</f>
        <v>Suíça</v>
      </c>
    </row>
    <row r="12" spans="1:20" x14ac:dyDescent="0.3">
      <c r="C12" s="113"/>
      <c r="D12" s="113"/>
      <c r="E12" s="113"/>
      <c r="F12" s="113"/>
      <c r="G12" s="113"/>
      <c r="H12" s="113"/>
      <c r="I12" s="113"/>
      <c r="J12" s="113"/>
      <c r="K12" s="113"/>
      <c r="L12" s="113"/>
      <c r="M12" s="113"/>
      <c r="N12" s="113"/>
    </row>
    <row r="13" spans="1:20" x14ac:dyDescent="0.3">
      <c r="A13" s="1" t="s">
        <v>109</v>
      </c>
      <c r="B13" s="1" t="s">
        <v>110</v>
      </c>
      <c r="C13" s="1" t="s">
        <v>7</v>
      </c>
      <c r="D13" s="1" t="s">
        <v>6</v>
      </c>
      <c r="E13" s="1" t="s">
        <v>4</v>
      </c>
      <c r="F13" s="1" t="s">
        <v>5</v>
      </c>
      <c r="G13" s="1" t="s">
        <v>15</v>
      </c>
      <c r="H13" s="1" t="s">
        <v>16</v>
      </c>
      <c r="I13" s="1" t="s">
        <v>17</v>
      </c>
      <c r="J13" s="1" t="s">
        <v>18</v>
      </c>
      <c r="K13" s="1" t="s">
        <v>108</v>
      </c>
      <c r="L13" s="1" t="s">
        <v>35</v>
      </c>
      <c r="M13" s="1" t="s">
        <v>36</v>
      </c>
      <c r="N13" s="1" t="s">
        <v>37</v>
      </c>
      <c r="S13" s="1" t="str">
        <f>Palpites!Y11</f>
        <v>EUA</v>
      </c>
      <c r="T13" s="1" t="str">
        <f>Palpites!AV11</f>
        <v>Inglaterra</v>
      </c>
    </row>
    <row r="14" spans="1:20" x14ac:dyDescent="0.3">
      <c r="A14" s="1">
        <f>100000000*D14+100000*E14+1000*F14+K14*10</f>
        <v>700204040</v>
      </c>
      <c r="B14" s="1">
        <f>RANK(A14,$A$14:$A$17)</f>
        <v>1</v>
      </c>
      <c r="C14" s="1" t="str">
        <f>Palpites!B14</f>
        <v>Inglaterra</v>
      </c>
      <c r="D14" s="1">
        <f>3*COUNTIF(L14:N14,"V")+COUNTIF(L14:N14,"E")</f>
        <v>7</v>
      </c>
      <c r="E14" s="1">
        <f>Palpites!D14-Palpites!F14+Palpites!D16-Palpites!F16+Palpites!D18-Palpites!F18</f>
        <v>2</v>
      </c>
      <c r="F14" s="1">
        <f>Palpites!D14+Palpites!D16+Palpites!D18</f>
        <v>4</v>
      </c>
      <c r="G14" s="1">
        <f>COUNTIF(L14:N14,"V")</f>
        <v>2</v>
      </c>
      <c r="H14" s="1">
        <f>COUNTIF(L14:N14,"e")</f>
        <v>1</v>
      </c>
      <c r="I14" s="1">
        <f>COUNTIF(L14:N14,"D")</f>
        <v>0</v>
      </c>
      <c r="J14" s="1">
        <f>F14-E14</f>
        <v>2</v>
      </c>
      <c r="K14" s="1">
        <v>4</v>
      </c>
      <c r="L14" s="1" t="str">
        <f>IF(OR(Palpites!D14="",Palpites!F14=""),0,IF(Palpites!D14&gt;Palpites!F14,"V",IF(Palpites!D14=Palpites!F14,"E",IF(Palpites!D14&lt;Palpites!F14,"D"))))</f>
        <v>V</v>
      </c>
      <c r="M14" s="1" t="str">
        <f>IF(OR(Palpites!D16="",Palpites!F16=""),0,IF(Palpites!D16&gt;Palpites!F16,"V",IF(Palpites!D16=Palpites!F16,"E",IF(Palpites!D16&lt;Palpites!F16,"D"))))</f>
        <v>E</v>
      </c>
      <c r="N14" s="1" t="str">
        <f>IF(OR(Palpites!D18="",Palpites!F18=""),0,IF(Palpites!D18&gt;Palpites!F18,"V",IF(Palpites!D18=Palpites!F18,"E",IF(Palpites!D18&lt;Palpites!F18,"D"))))</f>
        <v>V</v>
      </c>
      <c r="S14" s="1" t="str">
        <f>Palpites!Y13</f>
        <v>Argentina</v>
      </c>
      <c r="T14" s="1" t="str">
        <f>Palpites!AV13</f>
        <v>México</v>
      </c>
    </row>
    <row r="15" spans="1:20" x14ac:dyDescent="0.3">
      <c r="A15" s="1">
        <f>100000000*D15+100000*E15+1000*F15+K15*10</f>
        <v>500103030</v>
      </c>
      <c r="B15" s="1">
        <f t="shared" ref="B15:B17" si="0">RANK(A15,$A$14:$A$17)</f>
        <v>2</v>
      </c>
      <c r="C15" s="1" t="str">
        <f>Palpites!B15</f>
        <v>EUA</v>
      </c>
      <c r="D15" s="1">
        <f>3*COUNTIF(L15:N15,"V")+COUNTIF(L15:N15,"E")</f>
        <v>5</v>
      </c>
      <c r="E15" s="1">
        <f>Palpites!D15-Palpites!F15+Palpites!F16-Palpites!D16+Palpites!F19-Palpites!D19</f>
        <v>1</v>
      </c>
      <c r="F15" s="1">
        <f>Palpites!D15+Palpites!F16+Palpites!F19</f>
        <v>3</v>
      </c>
      <c r="G15" s="1">
        <f>COUNTIF(L15:N15,"V")</f>
        <v>1</v>
      </c>
      <c r="H15" s="1">
        <f>COUNTIF(L15:N15,"e")</f>
        <v>2</v>
      </c>
      <c r="I15" s="1">
        <f>COUNTIF(L15:N15,"D")</f>
        <v>0</v>
      </c>
      <c r="J15" s="1">
        <f>F15-E15</f>
        <v>2</v>
      </c>
      <c r="K15" s="1">
        <v>3</v>
      </c>
      <c r="L15" s="1" t="str">
        <f>IF(OR(Palpites!D15="",Palpites!F15=""),0,IF(Palpites!D15&gt;Palpites!F15,"V",IF(Palpites!D15=Palpites!F15,"E",IF(Palpites!D15&lt;Palpites!F15,"D"))))</f>
        <v>E</v>
      </c>
      <c r="M15" s="1" t="str">
        <f>IF(OR(Palpites!F16="",Palpites!D16=""),0,IF(Palpites!F16&gt;Palpites!D16,"V",IF(Palpites!F16=Palpites!D16,"E",IF(Palpites!F16&lt;Palpites!D16,"D"))))</f>
        <v>E</v>
      </c>
      <c r="N15" s="1" t="str">
        <f>IF(OR(Palpites!F19="",Palpites!D19=""),0,IF(Palpites!F19&gt;Palpites!D19,"V",IF(Palpites!F19=Palpites!D19,"E",IF(Palpites!F19&lt;Palpites!D19,"D"))))</f>
        <v>V</v>
      </c>
      <c r="S15" s="1" t="str">
        <f>Palpites!Y27</f>
        <v>Alemanha</v>
      </c>
      <c r="T15" s="1" t="str">
        <f>Palpites!AV27</f>
        <v>Espanha</v>
      </c>
    </row>
    <row r="16" spans="1:20" x14ac:dyDescent="0.3">
      <c r="A16" s="1">
        <f>100000000*D16+100000*E16+1000*F16+K16*10</f>
        <v>-297980</v>
      </c>
      <c r="B16" s="1">
        <f t="shared" si="0"/>
        <v>4</v>
      </c>
      <c r="C16" s="1" t="str">
        <f>Palpites!G14</f>
        <v>Irã</v>
      </c>
      <c r="D16" s="1">
        <f>3*COUNTIF(L16:N16,"V")+COUNTIF(L16:N16,"E")</f>
        <v>0</v>
      </c>
      <c r="E16" s="1">
        <f>Palpites!F14-Palpites!D14+Palpites!D17-Palpites!F17+Palpites!D19-Palpites!F19</f>
        <v>-3</v>
      </c>
      <c r="F16" s="1">
        <f>Palpites!F14+Palpites!D17+Palpites!D19</f>
        <v>2</v>
      </c>
      <c r="G16" s="1">
        <f>COUNTIF(L16:N16,"V")</f>
        <v>0</v>
      </c>
      <c r="H16" s="1">
        <f>COUNTIF(L16:N16,"e")</f>
        <v>0</v>
      </c>
      <c r="I16" s="1">
        <f>COUNTIF(L16:N16,"D")</f>
        <v>3</v>
      </c>
      <c r="J16" s="1">
        <f>F16-E16</f>
        <v>5</v>
      </c>
      <c r="K16" s="1">
        <v>2</v>
      </c>
      <c r="L16" s="1" t="str">
        <f>IF(OR(Palpites!F14="",Palpites!D14=""),0,IF(Palpites!F14&gt;Palpites!D14,"V",IF(Palpites!F14=Palpites!D14,"E",IF(Palpites!F14&lt;Palpites!D14,"D"))))</f>
        <v>D</v>
      </c>
      <c r="M16" s="1" t="str">
        <f>IF(OR(Palpites!D17="",Palpites!F17=""),0,IF(Palpites!D17&gt;Palpites!F17,"V",IF(Palpites!D17=Palpites!F17,"E",IF(Palpites!D17&lt;Palpites!F17,"D"))))</f>
        <v>D</v>
      </c>
      <c r="N16" s="1" t="str">
        <f>IF(OR(Palpites!D19="",Palpites!F19=""),0,IF(Palpites!D19&gt;Palpites!F19,"V",IF(Palpites!D19=Palpites!F19,"E",IF(Palpites!D19&lt;Palpites!F19,"D"))))</f>
        <v>D</v>
      </c>
      <c r="S16" s="1" t="str">
        <f>Palpites!Y29</f>
        <v>Brasil</v>
      </c>
      <c r="T16" s="1" t="str">
        <f>Palpites!AV29</f>
        <v>Portugal</v>
      </c>
    </row>
    <row r="17" spans="1:23" x14ac:dyDescent="0.3">
      <c r="A17" s="1">
        <f>100000000*D17+100000*E17+1000*F17+K17*10</f>
        <v>400005010</v>
      </c>
      <c r="B17" s="1">
        <f t="shared" si="0"/>
        <v>3</v>
      </c>
      <c r="C17" s="1" t="str">
        <f>Palpites!G15</f>
        <v>País de Gales</v>
      </c>
      <c r="D17" s="1">
        <f>3*COUNTIF(L17:N17,"V")+COUNTIF(L17:N17,"E")</f>
        <v>4</v>
      </c>
      <c r="E17" s="1">
        <f>Palpites!F15-Palpites!D15+Palpites!F17-Palpites!D17+Palpites!F18-Palpites!D18</f>
        <v>0</v>
      </c>
      <c r="F17" s="1">
        <f>Palpites!F15+Palpites!F17+Palpites!F18</f>
        <v>5</v>
      </c>
      <c r="G17" s="1">
        <f>COUNTIF(L17:N17,"V")</f>
        <v>1</v>
      </c>
      <c r="H17" s="1">
        <f>COUNTIF(L17:N17,"e")</f>
        <v>1</v>
      </c>
      <c r="I17" s="1">
        <f>COUNTIF(L17:N17,"D")</f>
        <v>1</v>
      </c>
      <c r="J17" s="1">
        <f>F17-E17</f>
        <v>5</v>
      </c>
      <c r="K17" s="1">
        <v>1</v>
      </c>
      <c r="L17" s="1" t="str">
        <f>IF(OR(Palpites!F15="",Palpites!D15=""),0,IF(Palpites!F15&gt;Palpites!D15,"V",IF(Palpites!F15=Palpites!D15,"E",IF(Palpites!F15&lt;Palpites!D15,"D"))))</f>
        <v>E</v>
      </c>
      <c r="M17" s="1" t="str">
        <f>IF(OR(Palpites!F17="",Palpites!D17=""),0,IF(Palpites!F17&gt;Palpites!D17,"V",IF(Palpites!F17=Palpites!D17,"E",IF(Palpites!F17&lt;Palpites!D17,"D"))))</f>
        <v>V</v>
      </c>
      <c r="N17" s="1" t="str">
        <f>IF(OR(Palpites!F18="",Palpites!D18=""),0,IF(Palpites!F18&gt;Palpites!D18,"V",IF(Palpites!F18=Palpites!D18,"E",IF(Palpites!F18&lt;Palpites!D18,"D"))))</f>
        <v>D</v>
      </c>
    </row>
    <row r="18" spans="1:23" x14ac:dyDescent="0.3">
      <c r="S18" s="1" t="str">
        <f>Palpites!AD19</f>
        <v>Argentina</v>
      </c>
      <c r="T18" s="1" t="str">
        <f>Palpites!AQ19</f>
        <v>Inglaterra</v>
      </c>
    </row>
    <row r="19" spans="1:23" x14ac:dyDescent="0.3">
      <c r="S19" s="1" t="str">
        <f>Palpites!AD21</f>
        <v>Brasil</v>
      </c>
      <c r="T19" s="1" t="str">
        <f>Palpites!AQ21</f>
        <v>Espanha</v>
      </c>
    </row>
    <row r="21" spans="1:23" x14ac:dyDescent="0.3">
      <c r="C21" s="113"/>
      <c r="D21" s="113"/>
      <c r="E21" s="113"/>
      <c r="F21" s="113"/>
      <c r="G21" s="113"/>
      <c r="H21" s="113"/>
      <c r="I21" s="113"/>
      <c r="J21" s="113"/>
      <c r="K21" s="113"/>
      <c r="L21" s="113"/>
      <c r="M21" s="113"/>
      <c r="N21" s="113"/>
      <c r="S21" s="1" t="str">
        <f>Palpites!AG20</f>
        <v>Brasil</v>
      </c>
      <c r="T21" s="1" t="str">
        <f>Palpites!AN20</f>
        <v>Inglaterra</v>
      </c>
      <c r="V21" s="1" t="str">
        <f>IF(S21=S18,S19,S18)</f>
        <v>Argentina</v>
      </c>
      <c r="W21" s="1" t="str">
        <f>IF(T21=T18,T19,T18)</f>
        <v>Espanha</v>
      </c>
    </row>
    <row r="22" spans="1:23" x14ac:dyDescent="0.3">
      <c r="A22" s="1" t="s">
        <v>109</v>
      </c>
      <c r="B22" s="1" t="s">
        <v>110</v>
      </c>
      <c r="C22" s="1" t="s">
        <v>7</v>
      </c>
      <c r="D22" s="1" t="s">
        <v>6</v>
      </c>
      <c r="E22" s="1" t="s">
        <v>4</v>
      </c>
      <c r="F22" s="1" t="s">
        <v>5</v>
      </c>
      <c r="G22" s="1" t="s">
        <v>15</v>
      </c>
      <c r="H22" s="1" t="s">
        <v>16</v>
      </c>
      <c r="I22" s="1" t="s">
        <v>17</v>
      </c>
      <c r="J22" s="1" t="s">
        <v>18</v>
      </c>
      <c r="K22" s="1" t="s">
        <v>108</v>
      </c>
      <c r="L22" s="1" t="s">
        <v>35</v>
      </c>
      <c r="M22" s="1" t="s">
        <v>36</v>
      </c>
      <c r="N22" s="1" t="s">
        <v>37</v>
      </c>
    </row>
    <row r="23" spans="1:23" x14ac:dyDescent="0.3">
      <c r="A23" s="1">
        <f>100000000*D23+100000*E23+1000*F23+K23*10</f>
        <v>700304040</v>
      </c>
      <c r="B23" s="1">
        <f>RANK(A23,$A$23:$A$26)</f>
        <v>1</v>
      </c>
      <c r="C23" s="1" t="str">
        <f>Palpites!B23</f>
        <v>Argentina</v>
      </c>
      <c r="D23" s="1">
        <f>3*COUNTIF(L23:N23,"V")+COUNTIF(L23:N23,"E")</f>
        <v>7</v>
      </c>
      <c r="E23" s="1">
        <f>Palpites!D23-Palpites!F23+Palpites!D25-Palpites!F25+Palpites!D27-Palpites!F27</f>
        <v>3</v>
      </c>
      <c r="F23" s="1">
        <f>Palpites!D23+Palpites!D25+Palpites!D27</f>
        <v>4</v>
      </c>
      <c r="G23" s="1">
        <f>COUNTIF(L23:N23,"V")</f>
        <v>2</v>
      </c>
      <c r="H23" s="1">
        <f>COUNTIF(L23:N23,"e")</f>
        <v>1</v>
      </c>
      <c r="I23" s="1">
        <f>COUNTIF(L23:N23,"D")</f>
        <v>0</v>
      </c>
      <c r="J23" s="1">
        <f>F23-E23</f>
        <v>1</v>
      </c>
      <c r="K23" s="1">
        <v>4</v>
      </c>
      <c r="L23" s="1" t="str">
        <f>IF(OR(Palpites!D23="",Palpites!F23=""),0,IF(Palpites!D23&gt;Palpites!F23,"V",IF(Palpites!D23=Palpites!F23,"E",IF(Palpites!D23&lt;Palpites!F23,"D"))))</f>
        <v>V</v>
      </c>
      <c r="M23" s="1" t="str">
        <f>IF(OR(Palpites!D25="",Palpites!F25=""),0,IF(Palpites!D25&gt;Palpites!F25,"V",IF(Palpites!D25=Palpites!F25,"E",IF(Palpites!D25&lt;Palpites!F25,"D"))))</f>
        <v>E</v>
      </c>
      <c r="N23" s="1" t="str">
        <f>IF(OR(Palpites!D27="",Palpites!F27=""),0,IF(Palpites!D27&gt;Palpites!F27,"V",IF(Palpites!D27=Palpites!F27,"E",IF(Palpites!D27&lt;Palpites!F27,"D"))))</f>
        <v>V</v>
      </c>
    </row>
    <row r="24" spans="1:23" x14ac:dyDescent="0.3">
      <c r="A24" s="1">
        <f>100000000*D24+100000*E24+1000*F24+K24*10</f>
        <v>500304030</v>
      </c>
      <c r="B24" s="1">
        <f t="shared" ref="B24:B26" si="1">RANK(A24,$A$23:$A$26)</f>
        <v>2</v>
      </c>
      <c r="C24" s="1" t="str">
        <f>Palpites!B24</f>
        <v>México</v>
      </c>
      <c r="D24" s="1">
        <f>3*COUNTIF(L24:N24,"V")+COUNTIF(L24:N24,"E")</f>
        <v>5</v>
      </c>
      <c r="E24" s="1">
        <f>Palpites!D24-Palpites!F24+Palpites!F25-Palpites!D25+Palpites!F28-Palpites!D28</f>
        <v>3</v>
      </c>
      <c r="F24" s="1">
        <f>Palpites!D24+Palpites!F25+Palpites!F28</f>
        <v>4</v>
      </c>
      <c r="G24" s="1">
        <f>COUNTIF(L24:N24,"V")</f>
        <v>1</v>
      </c>
      <c r="H24" s="1">
        <f>COUNTIF(L24:N24,"e")</f>
        <v>2</v>
      </c>
      <c r="I24" s="1">
        <f>COUNTIF(L24:N24,"D")</f>
        <v>0</v>
      </c>
      <c r="J24" s="1">
        <f>F24-E24</f>
        <v>1</v>
      </c>
      <c r="K24" s="1">
        <v>3</v>
      </c>
      <c r="L24" s="1" t="str">
        <f>IF(OR(Palpites!D24="",Palpites!F24=""),0,IF(Palpites!D24&gt;Palpites!F24,"V",IF(Palpites!D24=Palpites!F24,"E",IF(Palpites!D24&lt;Palpites!F24,"D"))))</f>
        <v>E</v>
      </c>
      <c r="M24" s="1" t="str">
        <f>IF(OR(Palpites!F25="",Palpites!D25=""),0,IF(Palpites!F25&gt;Palpites!D25,"V",IF(Palpites!F25=Palpites!D25,"E",IF(Palpites!F25&lt;Palpites!D25,"D"))))</f>
        <v>E</v>
      </c>
      <c r="N24" s="1" t="str">
        <f>IF(OR(Palpites!F28="",Palpites!D28=""),0,IF(Palpites!F28&gt;Palpites!D28,"V",IF(Palpites!F28=Palpites!D28,"E",IF(Palpites!F28&lt;Palpites!D28,"D"))))</f>
        <v>V</v>
      </c>
    </row>
    <row r="25" spans="1:23" x14ac:dyDescent="0.3">
      <c r="A25" s="1">
        <f>100000000*D25+100000*E25+1000*F25+K25*10</f>
        <v>-598980</v>
      </c>
      <c r="B25" s="1">
        <f t="shared" si="1"/>
        <v>4</v>
      </c>
      <c r="C25" s="1" t="str">
        <f>Palpites!G23</f>
        <v>Arábia Saudita</v>
      </c>
      <c r="D25" s="1">
        <f>3*COUNTIF(L25:N25,"V")+COUNTIF(L25:N25,"E")</f>
        <v>0</v>
      </c>
      <c r="E25" s="1">
        <f>Palpites!F23-Palpites!D23+Palpites!D26-Palpites!F26+Palpites!D28-Palpites!F28</f>
        <v>-6</v>
      </c>
      <c r="F25" s="1">
        <f>Palpites!F23+Palpites!D26+Palpites!D28</f>
        <v>1</v>
      </c>
      <c r="G25" s="1">
        <f>COUNTIF(L25:N25,"V")</f>
        <v>0</v>
      </c>
      <c r="H25" s="1">
        <f>COUNTIF(L25:N25,"e")</f>
        <v>0</v>
      </c>
      <c r="I25" s="1">
        <f>COUNTIF(L25:N25,"D")</f>
        <v>3</v>
      </c>
      <c r="J25" s="1">
        <f>F25-E25</f>
        <v>7</v>
      </c>
      <c r="K25" s="1">
        <v>2</v>
      </c>
      <c r="L25" s="1" t="str">
        <f>IF(OR(Palpites!F23="",Palpites!D23=""),0,IF(Palpites!F23&gt;Palpites!D23,"V",IF(Palpites!F23=Palpites!D23,"E",IF(Palpites!F23&lt;Palpites!D23,"D"))))</f>
        <v>D</v>
      </c>
      <c r="M25" s="1" t="str">
        <f>IF(OR(Palpites!D26="",Palpites!F26=""),0,IF(Palpites!D26&gt;Palpites!F26,"V",IF(Palpites!D26=Palpites!F26,"E",IF(Palpites!D26&lt;Palpites!F26,"D"))))</f>
        <v>D</v>
      </c>
      <c r="N25" s="1" t="str">
        <f>IF(OR(Palpites!D28="",Palpites!F28=""),0,IF(Palpites!D28&gt;Palpites!F28,"V",IF(Palpites!D28=Palpites!F28,"E",IF(Palpites!D28&lt;Palpites!F28,"D"))))</f>
        <v>D</v>
      </c>
    </row>
    <row r="26" spans="1:23" x14ac:dyDescent="0.3">
      <c r="A26" s="1">
        <f>100000000*D26+100000*E26+1000*F26+K26*10</f>
        <v>400002010</v>
      </c>
      <c r="B26" s="1">
        <f t="shared" si="1"/>
        <v>3</v>
      </c>
      <c r="C26" s="1" t="str">
        <f>Palpites!G24</f>
        <v>Polônia</v>
      </c>
      <c r="D26" s="1">
        <f>3*COUNTIF(L26:N26,"V")+COUNTIF(L26:N26,"E")</f>
        <v>4</v>
      </c>
      <c r="E26" s="1">
        <f>Palpites!F24-Palpites!D24+Palpites!F26-Palpites!D26+Palpites!F27-Palpites!D27</f>
        <v>0</v>
      </c>
      <c r="F26" s="1">
        <f>Palpites!F24+Palpites!F26+Palpites!F27</f>
        <v>2</v>
      </c>
      <c r="G26" s="1">
        <f>COUNTIF(L26:N26,"V")</f>
        <v>1</v>
      </c>
      <c r="H26" s="1">
        <f>COUNTIF(L26:N26,"e")</f>
        <v>1</v>
      </c>
      <c r="I26" s="1">
        <f>COUNTIF(L26:N26,"D")</f>
        <v>1</v>
      </c>
      <c r="J26" s="1">
        <f>F26-E26</f>
        <v>2</v>
      </c>
      <c r="K26" s="1">
        <v>1</v>
      </c>
      <c r="L26" s="1" t="str">
        <f>IF(OR(Palpites!F24="",Palpites!D24=""),0,IF(Palpites!F24&gt;Palpites!D24,"V",IF(Palpites!F24=Palpites!D24,"E",IF(Palpites!F24&lt;Palpites!D24,"D"))))</f>
        <v>E</v>
      </c>
      <c r="M26" s="1" t="str">
        <f>IF(OR(Palpites!F26="",Palpites!D26=""),0,IF(Palpites!F26&gt;Palpites!D26,"V",IF(Palpites!F26=Palpites!D26,"E",IF(Palpites!F26&lt;Palpites!D26,"D"))))</f>
        <v>V</v>
      </c>
      <c r="N26" s="1" t="str">
        <f>IF(OR(Palpites!F27="",Palpites!D27=""),0,IF(Palpites!F27&gt;Palpites!D27,"V",IF(Palpites!F27=Palpites!D27,"E",IF(Palpites!F27&lt;Palpites!D27,"D"))))</f>
        <v>D</v>
      </c>
    </row>
    <row r="30" spans="1:23" x14ac:dyDescent="0.3">
      <c r="C30" s="113"/>
      <c r="D30" s="113"/>
      <c r="E30" s="113"/>
      <c r="F30" s="113"/>
      <c r="G30" s="113"/>
      <c r="H30" s="113"/>
      <c r="I30" s="113"/>
      <c r="J30" s="113"/>
      <c r="K30" s="113"/>
      <c r="L30" s="113"/>
      <c r="M30" s="113"/>
      <c r="N30" s="113"/>
    </row>
    <row r="31" spans="1:23" x14ac:dyDescent="0.3">
      <c r="A31" s="1" t="s">
        <v>109</v>
      </c>
      <c r="B31" s="1" t="s">
        <v>110</v>
      </c>
      <c r="C31" s="1" t="s">
        <v>7</v>
      </c>
      <c r="D31" s="1" t="s">
        <v>6</v>
      </c>
      <c r="E31" s="1" t="s">
        <v>4</v>
      </c>
      <c r="F31" s="1" t="s">
        <v>5</v>
      </c>
      <c r="G31" s="1" t="s">
        <v>15</v>
      </c>
      <c r="H31" s="1" t="s">
        <v>16</v>
      </c>
      <c r="I31" s="1" t="s">
        <v>17</v>
      </c>
      <c r="J31" s="1" t="s">
        <v>18</v>
      </c>
      <c r="K31" s="1" t="s">
        <v>108</v>
      </c>
      <c r="L31" s="1" t="s">
        <v>35</v>
      </c>
      <c r="M31" s="1" t="s">
        <v>36</v>
      </c>
      <c r="N31" s="1" t="s">
        <v>37</v>
      </c>
    </row>
    <row r="32" spans="1:23" x14ac:dyDescent="0.3">
      <c r="A32" s="1">
        <f>100000000*D32+100000*E32+1000*F32+K32*10</f>
        <v>700304040</v>
      </c>
      <c r="B32" s="1">
        <f>RANK(A32,$A$32:$A$35)</f>
        <v>2</v>
      </c>
      <c r="C32" s="1" t="str">
        <f>Palpites!B32</f>
        <v>França</v>
      </c>
      <c r="D32" s="1">
        <f>3*COUNTIF(L32:N32,"V")+COUNTIF(L32:N32,"E")</f>
        <v>7</v>
      </c>
      <c r="E32" s="1">
        <f>Palpites!D32-Palpites!F32+Palpites!D34-Palpites!F34+Palpites!D36-Palpites!F36</f>
        <v>3</v>
      </c>
      <c r="F32" s="1">
        <f>Palpites!D32+Palpites!D34+Palpites!D36</f>
        <v>4</v>
      </c>
      <c r="G32" s="1">
        <f>COUNTIF(L32:N32,"V")</f>
        <v>2</v>
      </c>
      <c r="H32" s="1">
        <f>COUNTIF(L32:N32,"e")</f>
        <v>1</v>
      </c>
      <c r="I32" s="1">
        <f>COUNTIF(L32:N32,"D")</f>
        <v>0</v>
      </c>
      <c r="J32" s="1">
        <f>F32-E32</f>
        <v>1</v>
      </c>
      <c r="K32" s="1">
        <v>4</v>
      </c>
      <c r="L32" s="1" t="str">
        <f>IF(OR(Palpites!D32="",Palpites!F32=""),0,IF(Palpites!D32&gt;Palpites!F32,"V",IF(Palpites!D32=Palpites!F32,"E",IF(Palpites!D32&lt;Palpites!F32,"D"))))</f>
        <v>V</v>
      </c>
      <c r="M32" s="1" t="str">
        <f>IF(OR(Palpites!D34="",Palpites!F34=""),0,IF(Palpites!D34&gt;Palpites!F34,"V",IF(Palpites!D34=Palpites!F34,"E",IF(Palpites!D34&lt;Palpites!F34,"D"))))</f>
        <v>E</v>
      </c>
      <c r="N32" s="1" t="str">
        <f>IF(OR(Palpites!D36="",Palpites!F36=""),0,IF(Palpites!D36&gt;Palpites!F36,"V",IF(Palpites!D36=Palpites!F36,"E",IF(Palpites!D36&lt;Palpites!F36,"D"))))</f>
        <v>V</v>
      </c>
    </row>
    <row r="33" spans="1:14" x14ac:dyDescent="0.3">
      <c r="A33" s="1">
        <f>100000000*D33+100000*E33+1000*F33+K33*10</f>
        <v>700405030</v>
      </c>
      <c r="B33" s="1">
        <f t="shared" ref="B33:B35" si="2">RANK(A33,$A$32:$A$35)</f>
        <v>1</v>
      </c>
      <c r="C33" s="1" t="str">
        <f>Palpites!B33</f>
        <v>Dinamarca</v>
      </c>
      <c r="D33" s="1">
        <f>3*COUNTIF(L33:N33,"V")+COUNTIF(L33:N33,"E")</f>
        <v>7</v>
      </c>
      <c r="E33" s="1">
        <f>Palpites!D33-Palpites!F33+Palpites!F34-Palpites!D34+Palpites!F37-Palpites!D37</f>
        <v>4</v>
      </c>
      <c r="F33" s="1">
        <f>Palpites!D33+Palpites!F34+Palpites!F37</f>
        <v>5</v>
      </c>
      <c r="G33" s="1">
        <f>COUNTIF(L33:N33,"V")</f>
        <v>2</v>
      </c>
      <c r="H33" s="1">
        <f>COUNTIF(L33:N33,"e")</f>
        <v>1</v>
      </c>
      <c r="I33" s="1">
        <f>COUNTIF(L33:N33,"D")</f>
        <v>0</v>
      </c>
      <c r="J33" s="1">
        <f>F33-E33</f>
        <v>1</v>
      </c>
      <c r="K33" s="1">
        <v>3</v>
      </c>
      <c r="L33" s="1" t="str">
        <f>IF(OR(Palpites!D33="",Palpites!F33=""),0,IF(Palpites!D33&gt;Palpites!F33,"V",IF(Palpites!D33=Palpites!F33,"E",IF(Palpites!D33&lt;Palpites!F33,"D"))))</f>
        <v>V</v>
      </c>
      <c r="M33" s="1" t="str">
        <f>IF(OR(Palpites!F34="",Palpites!D34=""),0,IF(Palpites!F34&gt;Palpites!D34,"V",IF(Palpites!F34=Palpites!D34,"E",IF(Palpites!F34&lt;Palpites!D34,"D"))))</f>
        <v>E</v>
      </c>
      <c r="N33" s="1" t="str">
        <f>IF(OR(Palpites!F37="",Palpites!D37=""),0,IF(Palpites!F37&gt;Palpites!D37,"V",IF(Palpites!F37=Palpites!D37,"E",IF(Palpites!F37&lt;Palpites!D37,"D"))))</f>
        <v>V</v>
      </c>
    </row>
    <row r="34" spans="1:14" x14ac:dyDescent="0.3">
      <c r="A34" s="1">
        <f>100000000*D34+100000*E34+1000*F34+K34*10</f>
        <v>-699980</v>
      </c>
      <c r="B34" s="1">
        <f t="shared" si="2"/>
        <v>4</v>
      </c>
      <c r="C34" s="1" t="str">
        <f>Palpites!G32</f>
        <v>Austrália</v>
      </c>
      <c r="D34" s="1">
        <f>3*COUNTIF(L34:N34,"V")+COUNTIF(L34:N34,"E")</f>
        <v>0</v>
      </c>
      <c r="E34" s="1">
        <f>Palpites!F32-Palpites!D32+Palpites!D35-Palpites!F35+Palpites!D37-Palpites!F37</f>
        <v>-7</v>
      </c>
      <c r="F34" s="1">
        <f>Palpites!F32+Palpites!D35+Palpites!D37</f>
        <v>0</v>
      </c>
      <c r="G34" s="1">
        <f>COUNTIF(L34:N34,"V")</f>
        <v>0</v>
      </c>
      <c r="H34" s="1">
        <f>COUNTIF(L34:N34,"e")</f>
        <v>0</v>
      </c>
      <c r="I34" s="1">
        <f>COUNTIF(L34:N34,"D")</f>
        <v>3</v>
      </c>
      <c r="J34" s="1">
        <f>F34-E34</f>
        <v>7</v>
      </c>
      <c r="K34" s="1">
        <v>2</v>
      </c>
      <c r="L34" s="1" t="str">
        <f>IF(OR(Palpites!F32="",Palpites!D32=""),0,IF(Palpites!F32&gt;Palpites!D32,"V",IF(Palpites!F32=Palpites!D32,"E",IF(Palpites!F32&lt;Palpites!D32,"D"))))</f>
        <v>D</v>
      </c>
      <c r="M34" s="1" t="str">
        <f>IF(OR(Palpites!D35="",Palpites!F35=""),0,IF(Palpites!D35&gt;Palpites!F35,"V",IF(Palpites!D35=Palpites!F35,"E",IF(Palpites!D35&lt;Palpites!F35,"D"))))</f>
        <v>D</v>
      </c>
      <c r="N34" s="1" t="str">
        <f>IF(OR(Palpites!D37="",Palpites!F37=""),0,IF(Palpites!D37&gt;Palpites!F37,"V",IF(Palpites!D37=Palpites!F37,"E",IF(Palpites!D37&lt;Palpites!F37,"D"))))</f>
        <v>D</v>
      </c>
    </row>
    <row r="35" spans="1:14" x14ac:dyDescent="0.3">
      <c r="A35" s="1">
        <f>100000000*D35+100000*E35+1000*F35+K35*10</f>
        <v>300004010</v>
      </c>
      <c r="B35" s="1">
        <f t="shared" si="2"/>
        <v>3</v>
      </c>
      <c r="C35" s="1" t="str">
        <f>Palpites!G33</f>
        <v>Tunísia</v>
      </c>
      <c r="D35" s="1">
        <f>3*COUNTIF(L35:N35,"V")+COUNTIF(L35:N35,"E")</f>
        <v>3</v>
      </c>
      <c r="E35" s="1">
        <f>Palpites!F33-Palpites!D33+Palpites!F35-Palpites!D35+Palpites!F36-Palpites!D36</f>
        <v>0</v>
      </c>
      <c r="F35" s="1">
        <f>Palpites!F33+Palpites!F35+Palpites!F36</f>
        <v>4</v>
      </c>
      <c r="G35" s="1">
        <f>COUNTIF(L35:N35,"V")</f>
        <v>1</v>
      </c>
      <c r="H35" s="1">
        <f>COUNTIF(L35:N35,"e")</f>
        <v>0</v>
      </c>
      <c r="I35" s="1">
        <f>COUNTIF(L35:N35,"D")</f>
        <v>2</v>
      </c>
      <c r="J35" s="1">
        <f>F35-E35</f>
        <v>4</v>
      </c>
      <c r="K35" s="1">
        <v>1</v>
      </c>
      <c r="L35" s="1" t="str">
        <f>IF(OR(Palpites!F33="",Palpites!D33=""),0,IF(Palpites!F33&gt;Palpites!D33,"V",IF(Palpites!F33=Palpites!D33,"E",IF(Palpites!F33&lt;Palpites!D33,"D"))))</f>
        <v>D</v>
      </c>
      <c r="M35" s="1" t="str">
        <f>IF(OR(Palpites!F35="",Palpites!D35=""),0,IF(Palpites!F35&gt;Palpites!D35,"V",IF(Palpites!F35=Palpites!D35,"E",IF(Palpites!F35&lt;Palpites!D35,"D"))))</f>
        <v>V</v>
      </c>
      <c r="N35" s="1" t="str">
        <f>IF(OR(Palpites!F36="",Palpites!D36=""),0,IF(Palpites!F36&gt;Palpites!D36,"V",IF(Palpites!F36=Palpites!D36,"E",IF(Palpites!F36&lt;Palpites!D36,"D"))))</f>
        <v>D</v>
      </c>
    </row>
    <row r="39" spans="1:14" x14ac:dyDescent="0.3">
      <c r="C39" s="113"/>
      <c r="D39" s="113"/>
      <c r="E39" s="113"/>
      <c r="F39" s="113"/>
      <c r="G39" s="113"/>
      <c r="H39" s="113"/>
      <c r="I39" s="113"/>
      <c r="J39" s="113"/>
      <c r="K39" s="113"/>
      <c r="L39" s="113"/>
      <c r="M39" s="113"/>
      <c r="N39" s="113"/>
    </row>
    <row r="40" spans="1:14" x14ac:dyDescent="0.3">
      <c r="A40" s="1" t="s">
        <v>109</v>
      </c>
      <c r="B40" s="1" t="s">
        <v>110</v>
      </c>
      <c r="C40" s="1" t="s">
        <v>7</v>
      </c>
      <c r="D40" s="1" t="s">
        <v>6</v>
      </c>
      <c r="E40" s="1" t="s">
        <v>4</v>
      </c>
      <c r="F40" s="1" t="s">
        <v>5</v>
      </c>
      <c r="G40" s="1" t="s">
        <v>15</v>
      </c>
      <c r="H40" s="1" t="s">
        <v>16</v>
      </c>
      <c r="I40" s="1" t="s">
        <v>17</v>
      </c>
      <c r="J40" s="1" t="s">
        <v>18</v>
      </c>
      <c r="K40" s="1" t="s">
        <v>108</v>
      </c>
      <c r="L40" s="1" t="s">
        <v>35</v>
      </c>
      <c r="M40" s="1" t="s">
        <v>36</v>
      </c>
      <c r="N40" s="1" t="s">
        <v>37</v>
      </c>
    </row>
    <row r="41" spans="1:14" x14ac:dyDescent="0.3">
      <c r="A41" s="1">
        <f>100000000*D41+100000*E41+1000*F41+K41*10</f>
        <v>700306040</v>
      </c>
      <c r="B41" s="1">
        <f>RANK(A41,$A$41:$A$44)</f>
        <v>2</v>
      </c>
      <c r="C41" s="1" t="str">
        <f>Palpites!B41</f>
        <v>Espanha</v>
      </c>
      <c r="D41" s="1">
        <f>3*COUNTIF(L41:N41,"V")+COUNTIF(L41:N41,"E")</f>
        <v>7</v>
      </c>
      <c r="E41" s="1">
        <f>Palpites!D41-Palpites!F41+Palpites!D43-Palpites!F43+Palpites!D45-Palpites!F45</f>
        <v>3</v>
      </c>
      <c r="F41" s="1">
        <f>Palpites!D41+Palpites!D43+Palpites!D45</f>
        <v>6</v>
      </c>
      <c r="G41" s="1">
        <f>COUNTIF(L41:N41,"V")</f>
        <v>2</v>
      </c>
      <c r="H41" s="1">
        <f>COUNTIF(L41:N41,"e")</f>
        <v>1</v>
      </c>
      <c r="I41" s="1">
        <f>COUNTIF(L41:N41,"D")</f>
        <v>0</v>
      </c>
      <c r="J41" s="1">
        <f>F41-E41</f>
        <v>3</v>
      </c>
      <c r="K41" s="1">
        <v>4</v>
      </c>
      <c r="L41" s="1" t="str">
        <f>IF(OR(Palpites!D41="",Palpites!F41=""),0,IF(Palpites!D41&gt;Palpites!F41,"V",IF(Palpites!D41=Palpites!F41,"E",IF(Palpites!D41&lt;Palpites!F41,"D"))))</f>
        <v>V</v>
      </c>
      <c r="M41" s="1" t="str">
        <f>IF(OR(Palpites!D43="",Palpites!F43=""),0,IF(Palpites!D43&gt;Palpites!F43,"V",IF(Palpites!D43=Palpites!F43,"E",IF(Palpites!D43&lt;Palpites!F43,"D"))))</f>
        <v>E</v>
      </c>
      <c r="N41" s="1" t="str">
        <f>IF(OR(Palpites!D45="",Palpites!F45=""),0,IF(Palpites!D45&gt;Palpites!F45,"V",IF(Palpites!D45=Palpites!F45,"E",IF(Palpites!D45&lt;Palpites!F45,"D"))))</f>
        <v>V</v>
      </c>
    </row>
    <row r="42" spans="1:14" x14ac:dyDescent="0.3">
      <c r="A42" s="1">
        <f>100000000*D42+100000*E42+1000*F42+K42*10</f>
        <v>700509030</v>
      </c>
      <c r="B42" s="1">
        <f t="shared" ref="B42:B44" si="3">RANK(A42,$A$41:$A$44)</f>
        <v>1</v>
      </c>
      <c r="C42" s="1" t="str">
        <f>Palpites!B42</f>
        <v>Alemanha</v>
      </c>
      <c r="D42" s="1">
        <f>3*COUNTIF(L42:N42,"V")+COUNTIF(L42:N42,"E")</f>
        <v>7</v>
      </c>
      <c r="E42" s="1">
        <f>Palpites!D42-Palpites!F42+Palpites!F43-Palpites!D43+Palpites!F46-Palpites!D46</f>
        <v>5</v>
      </c>
      <c r="F42" s="1">
        <f>Palpites!D42+Palpites!F43+Palpites!F46</f>
        <v>9</v>
      </c>
      <c r="G42" s="1">
        <f>COUNTIF(L42:N42,"V")</f>
        <v>2</v>
      </c>
      <c r="H42" s="1">
        <f>COUNTIF(L42:N42,"e")</f>
        <v>1</v>
      </c>
      <c r="I42" s="1">
        <f>COUNTIF(L42:N42,"D")</f>
        <v>0</v>
      </c>
      <c r="J42" s="1">
        <f>F42-E42</f>
        <v>4</v>
      </c>
      <c r="K42" s="1">
        <v>3</v>
      </c>
      <c r="L42" s="1" t="str">
        <f>IF(OR(Palpites!D42="",Palpites!F42=""),0,IF(Palpites!D42&gt;Palpites!F42,"V",IF(Palpites!D42=Palpites!F42,"E",IF(Palpites!D42&lt;Palpites!F42,"D"))))</f>
        <v>V</v>
      </c>
      <c r="M42" s="1" t="str">
        <f>IF(OR(Palpites!F43="",Palpites!D43=""),0,IF(Palpites!F43&gt;Palpites!D43,"V",IF(Palpites!F43=Palpites!D43,"E",IF(Palpites!F43&lt;Palpites!D43,"D"))))</f>
        <v>E</v>
      </c>
      <c r="N42" s="1" t="str">
        <f>IF(OR(Palpites!F46="",Palpites!D46=""),0,IF(Palpites!F46&gt;Palpites!D46,"V",IF(Palpites!F46=Palpites!D46,"E",IF(Palpites!F46&lt;Palpites!D46,"D"))))</f>
        <v>V</v>
      </c>
    </row>
    <row r="43" spans="1:14" x14ac:dyDescent="0.3">
      <c r="A43" s="1">
        <f>100000000*D43+100000*E43+1000*F43+K43*10</f>
        <v>-697980</v>
      </c>
      <c r="B43" s="1">
        <f t="shared" si="3"/>
        <v>4</v>
      </c>
      <c r="C43" s="1" t="str">
        <f>Palpites!G41</f>
        <v>Costa Rica</v>
      </c>
      <c r="D43" s="1">
        <f>3*COUNTIF(L43:N43,"V")+COUNTIF(L43:N43,"E")</f>
        <v>0</v>
      </c>
      <c r="E43" s="1">
        <f>Palpites!F41-Palpites!D41+Palpites!D44-Palpites!F44+Palpites!D46-Palpites!F46</f>
        <v>-7</v>
      </c>
      <c r="F43" s="1">
        <f>Palpites!F41+Palpites!D44+Palpites!D46</f>
        <v>2</v>
      </c>
      <c r="G43" s="1">
        <f>COUNTIF(L43:N43,"V")</f>
        <v>0</v>
      </c>
      <c r="H43" s="1">
        <f>COUNTIF(L43:N43,"e")</f>
        <v>0</v>
      </c>
      <c r="I43" s="1">
        <f>COUNTIF(L43:N43,"D")</f>
        <v>3</v>
      </c>
      <c r="J43" s="1">
        <f>F43-E43</f>
        <v>9</v>
      </c>
      <c r="K43" s="1">
        <v>2</v>
      </c>
      <c r="L43" s="1" t="str">
        <f>IF(OR(Palpites!F41="",Palpites!D41=""),0,IF(Palpites!F41&gt;Palpites!D41,"V",IF(Palpites!F41=Palpites!D41,"E",IF(Palpites!F41&lt;Palpites!D41,"D"))))</f>
        <v>D</v>
      </c>
      <c r="M43" s="1" t="str">
        <f>IF(OR(Palpites!D44="",Palpites!F44=""),0,IF(Palpites!D44&gt;Palpites!F44,"V",IF(Palpites!D44=Palpites!F44,"E",IF(Palpites!D44&lt;Palpites!F44,"D"))))</f>
        <v>D</v>
      </c>
      <c r="N43" s="1" t="str">
        <f>IF(OR(Palpites!D46="",Palpites!F46=""),0,IF(Palpites!D46&gt;Palpites!F46,"V",IF(Palpites!D46=Palpites!F46,"E",IF(Palpites!D46&lt;Palpites!F46,"D"))))</f>
        <v>D</v>
      </c>
    </row>
    <row r="44" spans="1:14" x14ac:dyDescent="0.3">
      <c r="A44" s="1">
        <f>100000000*D44+100000*E44+1000*F44+K44*10</f>
        <v>299905010</v>
      </c>
      <c r="B44" s="1">
        <f t="shared" si="3"/>
        <v>3</v>
      </c>
      <c r="C44" s="1" t="str">
        <f>Palpites!G42</f>
        <v>Japão</v>
      </c>
      <c r="D44" s="1">
        <f>3*COUNTIF(L44:N44,"V")+COUNTIF(L44:N44,"E")</f>
        <v>3</v>
      </c>
      <c r="E44" s="1">
        <f>Palpites!F42-Palpites!D42+Palpites!F44-Palpites!D44+Palpites!F45-Palpites!D45</f>
        <v>-1</v>
      </c>
      <c r="F44" s="1">
        <f>Palpites!F42+Palpites!F44+Palpites!F45</f>
        <v>5</v>
      </c>
      <c r="G44" s="1">
        <f>COUNTIF(L44:N44,"V")</f>
        <v>1</v>
      </c>
      <c r="H44" s="1">
        <f>COUNTIF(L44:N44,"e")</f>
        <v>0</v>
      </c>
      <c r="I44" s="1">
        <f>COUNTIF(L44:N44,"D")</f>
        <v>2</v>
      </c>
      <c r="J44" s="1">
        <f>F44-E44</f>
        <v>6</v>
      </c>
      <c r="K44" s="1">
        <v>1</v>
      </c>
      <c r="L44" s="1" t="str">
        <f>IF(OR(Palpites!F42="",Palpites!D42=""),0,IF(Palpites!F42&gt;Palpites!D42,"V",IF(Palpites!F42=Palpites!D42,"E",IF(Palpites!F42&lt;Palpites!D42,"D"))))</f>
        <v>D</v>
      </c>
      <c r="M44" s="1" t="str">
        <f>IF(OR(Palpites!F44="",Palpites!D44=""),0,IF(Palpites!F44&gt;Palpites!D44,"V",IF(Palpites!F44=Palpites!D44,"E",IF(Palpites!F44&lt;Palpites!D44,"D"))))</f>
        <v>V</v>
      </c>
      <c r="N44" s="1" t="str">
        <f>IF(OR(Palpites!F45="",Palpites!D45=""),0,IF(Palpites!F45&gt;Palpites!D45,"V",IF(Palpites!F45=Palpites!D45,"E",IF(Palpites!F45&lt;Palpites!D45,"D"))))</f>
        <v>D</v>
      </c>
    </row>
    <row r="48" spans="1:14" x14ac:dyDescent="0.3">
      <c r="C48" s="113"/>
      <c r="D48" s="113"/>
      <c r="E48" s="113"/>
      <c r="F48" s="113"/>
      <c r="G48" s="113"/>
      <c r="H48" s="113"/>
      <c r="I48" s="113"/>
      <c r="J48" s="113"/>
      <c r="K48" s="113"/>
      <c r="L48" s="113"/>
      <c r="M48" s="113"/>
      <c r="N48" s="113"/>
    </row>
    <row r="49" spans="1:14" x14ac:dyDescent="0.3">
      <c r="A49" s="1" t="s">
        <v>109</v>
      </c>
      <c r="B49" s="1" t="s">
        <v>110</v>
      </c>
      <c r="C49" s="1" t="s">
        <v>7</v>
      </c>
      <c r="D49" s="1" t="s">
        <v>6</v>
      </c>
      <c r="E49" s="1" t="s">
        <v>4</v>
      </c>
      <c r="F49" s="1" t="s">
        <v>5</v>
      </c>
      <c r="G49" s="1" t="s">
        <v>15</v>
      </c>
      <c r="H49" s="1" t="s">
        <v>16</v>
      </c>
      <c r="I49" s="1" t="s">
        <v>17</v>
      </c>
      <c r="J49" s="1" t="s">
        <v>18</v>
      </c>
      <c r="K49" s="1" t="s">
        <v>108</v>
      </c>
      <c r="L49" s="1" t="s">
        <v>35</v>
      </c>
      <c r="M49" s="1" t="s">
        <v>36</v>
      </c>
      <c r="N49" s="1" t="s">
        <v>37</v>
      </c>
    </row>
    <row r="50" spans="1:14" x14ac:dyDescent="0.3">
      <c r="A50" s="1">
        <f>100000000*D50+100000*E50+1000*F50+K50*10</f>
        <v>900608040</v>
      </c>
      <c r="B50" s="1">
        <f>RANK(A50,$A$50:$A$53)</f>
        <v>1</v>
      </c>
      <c r="C50" s="1" t="str">
        <f>Palpites!B50</f>
        <v>Bélgica</v>
      </c>
      <c r="D50" s="1">
        <f>3*COUNTIF(L50:N50,"V")+COUNTIF(L50:N50,"E")</f>
        <v>9</v>
      </c>
      <c r="E50" s="1">
        <f>Palpites!D50-Palpites!F50+Palpites!D52-Palpites!F52+Palpites!D54-Palpites!F54</f>
        <v>6</v>
      </c>
      <c r="F50" s="1">
        <f>Palpites!D50+Palpites!D52+Palpites!D54</f>
        <v>8</v>
      </c>
      <c r="G50" s="1">
        <f>COUNTIF(L50:N50,"V")</f>
        <v>3</v>
      </c>
      <c r="H50" s="1">
        <f>COUNTIF(L50:N50,"e")</f>
        <v>0</v>
      </c>
      <c r="I50" s="1">
        <f>COUNTIF(L50:N50,"D")</f>
        <v>0</v>
      </c>
      <c r="J50" s="1">
        <f>F50-E50</f>
        <v>2</v>
      </c>
      <c r="K50" s="1">
        <v>4</v>
      </c>
      <c r="L50" s="1" t="str">
        <f>IF(OR(Palpites!D50="",Palpites!F50=""),0,IF(Palpites!D50&gt;Palpites!F50,"V",IF(Palpites!D50=Palpites!F50,"E",IF(Palpites!D50&lt;Palpites!F50,"D"))))</f>
        <v>V</v>
      </c>
      <c r="M50" s="1" t="str">
        <f>IF(OR(Palpites!D52="",Palpites!F52=""),0,IF(Palpites!D52&gt;Palpites!F52,"V",IF(Palpites!D52=Palpites!F52,"E",IF(Palpites!D52&lt;Palpites!F52,"D"))))</f>
        <v>V</v>
      </c>
      <c r="N50" s="1" t="str">
        <f>IF(OR(Palpites!D54="",Palpites!F54=""),0,IF(Palpites!D54&gt;Palpites!F54,"V",IF(Palpites!D54=Palpites!F54,"E",IF(Palpites!D54&lt;Palpites!F54,"D"))))</f>
        <v>V</v>
      </c>
    </row>
    <row r="51" spans="1:14" x14ac:dyDescent="0.3">
      <c r="A51" s="1">
        <f>100000000*D51+100000*E51+1000*F51+K51*10</f>
        <v>199905030</v>
      </c>
      <c r="B51" s="1">
        <f t="shared" ref="B51:B53" si="4">RANK(A51,$A$50:$A$53)</f>
        <v>3</v>
      </c>
      <c r="C51" s="1" t="str">
        <f>Palpites!B51</f>
        <v>Marrocos</v>
      </c>
      <c r="D51" s="1">
        <f>3*COUNTIF(L51:N51,"V")+COUNTIF(L51:N51,"E")</f>
        <v>2</v>
      </c>
      <c r="E51" s="1">
        <f>Palpites!D51-Palpites!F51+Palpites!F52-Palpites!D52+Palpites!F55-Palpites!D55</f>
        <v>-1</v>
      </c>
      <c r="F51" s="1">
        <f>Palpites!D51+Palpites!F52+Palpites!F55</f>
        <v>5</v>
      </c>
      <c r="G51" s="1">
        <f>COUNTIF(L51:N51,"V")</f>
        <v>0</v>
      </c>
      <c r="H51" s="1">
        <f>COUNTIF(L51:N51,"e")</f>
        <v>2</v>
      </c>
      <c r="I51" s="1">
        <f>COUNTIF(L51:N51,"D")</f>
        <v>1</v>
      </c>
      <c r="J51" s="1">
        <f>F51-E51</f>
        <v>6</v>
      </c>
      <c r="K51" s="1">
        <v>3</v>
      </c>
      <c r="L51" s="1" t="str">
        <f>IF(OR(Palpites!D51="",Palpites!F51=""),0,IF(Palpites!D51&gt;Palpites!F51,"V",IF(Palpites!D51=Palpites!F51,"E",IF(Palpites!D51&lt;Palpites!F51,"D"))))</f>
        <v>E</v>
      </c>
      <c r="M51" s="1" t="str">
        <f>IF(OR(Palpites!F52="",Palpites!D52=""),0,IF(Palpites!F52&gt;Palpites!D52,"V",IF(Palpites!F52=Palpites!D52,"E",IF(Palpites!F52&lt;Palpites!D52,"D"))))</f>
        <v>D</v>
      </c>
      <c r="N51" s="1" t="str">
        <f>IF(OR(Palpites!F55="",Palpites!D55=""),0,IF(Palpites!F55&gt;Palpites!D55,"V",IF(Palpites!F55=Palpites!D55,"E",IF(Palpites!F55&lt;Palpites!D55,"D"))))</f>
        <v>E</v>
      </c>
    </row>
    <row r="52" spans="1:14" x14ac:dyDescent="0.3">
      <c r="A52" s="1">
        <f>100000000*D52+100000*E52+1000*F52+K52*10</f>
        <v>99702020</v>
      </c>
      <c r="B52" s="1">
        <f t="shared" si="4"/>
        <v>4</v>
      </c>
      <c r="C52" s="1" t="str">
        <f>Palpites!G50</f>
        <v>Canadá</v>
      </c>
      <c r="D52" s="1">
        <f>3*COUNTIF(L52:N52,"V")+COUNTIF(L52:N52,"E")</f>
        <v>1</v>
      </c>
      <c r="E52" s="1">
        <f>Palpites!F50-Palpites!D50+Palpites!D53-Palpites!F53+Palpites!D55-Palpites!F55</f>
        <v>-3</v>
      </c>
      <c r="F52" s="1">
        <f>Palpites!F50+Palpites!D53+Palpites!D55</f>
        <v>2</v>
      </c>
      <c r="G52" s="1">
        <f>COUNTIF(L52:N52,"V")</f>
        <v>0</v>
      </c>
      <c r="H52" s="1">
        <f>COUNTIF(L52:N52,"e")</f>
        <v>1</v>
      </c>
      <c r="I52" s="1">
        <f>COUNTIF(L52:N52,"D")</f>
        <v>2</v>
      </c>
      <c r="J52" s="1">
        <f>F52-E52</f>
        <v>5</v>
      </c>
      <c r="K52" s="1">
        <v>2</v>
      </c>
      <c r="L52" s="1" t="str">
        <f>IF(OR(Palpites!F50="",Palpites!D50=""),0,IF(Palpites!F50&gt;Palpites!D50,"V",IF(Palpites!F50=Palpites!D50,"E",IF(Palpites!F50&lt;Palpites!D50,"D"))))</f>
        <v>D</v>
      </c>
      <c r="M52" s="1" t="str">
        <f>IF(OR(Palpites!D53="",Palpites!F53=""),0,IF(Palpites!D53&gt;Palpites!F53,"V",IF(Palpites!D53=Palpites!F53,"E",IF(Palpites!D53&lt;Palpites!F53,"D"))))</f>
        <v>D</v>
      </c>
      <c r="N52" s="1" t="str">
        <f>IF(OR(Palpites!D55="",Palpites!F55=""),0,IF(Palpites!D55&gt;Palpites!F55,"V",IF(Palpites!D55=Palpites!F55,"E",IF(Palpites!D55&lt;Palpites!F55,"D"))))</f>
        <v>E</v>
      </c>
    </row>
    <row r="53" spans="1:14" x14ac:dyDescent="0.3">
      <c r="A53" s="1">
        <f>100000000*D53+100000*E53+1000*F53+K53*10</f>
        <v>399802010</v>
      </c>
      <c r="B53" s="1">
        <f t="shared" si="4"/>
        <v>2</v>
      </c>
      <c r="C53" s="1" t="str">
        <f>Palpites!G51</f>
        <v>Croácia</v>
      </c>
      <c r="D53" s="1">
        <f>3*COUNTIF(L53:N53,"V")+COUNTIF(L53:N53,"E")</f>
        <v>4</v>
      </c>
      <c r="E53" s="1">
        <f>Palpites!F51-Palpites!D51+Palpites!F53-Palpites!D53+Palpites!F54-Palpites!D54</f>
        <v>-2</v>
      </c>
      <c r="F53" s="1">
        <f>Palpites!F51+Palpites!F53+Palpites!F54</f>
        <v>2</v>
      </c>
      <c r="G53" s="1">
        <f>COUNTIF(L53:N53,"V")</f>
        <v>1</v>
      </c>
      <c r="H53" s="1">
        <f>COUNTIF(L53:N53,"e")</f>
        <v>1</v>
      </c>
      <c r="I53" s="1">
        <f>COUNTIF(L53:N53,"D")</f>
        <v>1</v>
      </c>
      <c r="J53" s="1">
        <f>F53-E53</f>
        <v>4</v>
      </c>
      <c r="K53" s="1">
        <v>1</v>
      </c>
      <c r="L53" s="1" t="str">
        <f>IF(OR(Palpites!F51="",Palpites!D51=""),0,IF(Palpites!F51&gt;Palpites!D51,"V",IF(Palpites!F51=Palpites!D51,"E",IF(Palpites!F51&lt;Palpites!D51,"D"))))</f>
        <v>E</v>
      </c>
      <c r="M53" s="1" t="str">
        <f>IF(OR(Palpites!F53="",Palpites!D53=""),0,IF(Palpites!F53&gt;Palpites!D53,"V",IF(Palpites!F53=Palpites!D53,"E",IF(Palpites!F53&lt;Palpites!D53,"D"))))</f>
        <v>V</v>
      </c>
      <c r="N53" s="1" t="str">
        <f>IF(OR(Palpites!F54="",Palpites!D54=""),0,IF(Palpites!F54&gt;Palpites!D54,"V",IF(Palpites!F54=Palpites!D54,"E",IF(Palpites!F54&lt;Palpites!D54,"D"))))</f>
        <v>D</v>
      </c>
    </row>
    <row r="57" spans="1:14" x14ac:dyDescent="0.3">
      <c r="C57" s="113"/>
      <c r="D57" s="113"/>
      <c r="E57" s="113"/>
      <c r="F57" s="113"/>
      <c r="G57" s="113"/>
      <c r="H57" s="113"/>
      <c r="I57" s="113"/>
      <c r="J57" s="113"/>
      <c r="K57" s="113"/>
      <c r="L57" s="113"/>
      <c r="M57" s="113"/>
      <c r="N57" s="113"/>
    </row>
    <row r="58" spans="1:14" x14ac:dyDescent="0.3">
      <c r="A58" s="1" t="s">
        <v>109</v>
      </c>
      <c r="B58" s="1" t="s">
        <v>110</v>
      </c>
      <c r="C58" s="1" t="s">
        <v>7</v>
      </c>
      <c r="D58" s="1" t="s">
        <v>6</v>
      </c>
      <c r="E58" s="1" t="s">
        <v>4</v>
      </c>
      <c r="F58" s="1" t="s">
        <v>5</v>
      </c>
      <c r="G58" s="1" t="s">
        <v>15</v>
      </c>
      <c r="H58" s="1" t="s">
        <v>16</v>
      </c>
      <c r="I58" s="1" t="s">
        <v>17</v>
      </c>
      <c r="J58" s="1" t="s">
        <v>18</v>
      </c>
      <c r="K58" s="1" t="s">
        <v>108</v>
      </c>
      <c r="L58" s="1" t="s">
        <v>35</v>
      </c>
      <c r="M58" s="1" t="s">
        <v>36</v>
      </c>
      <c r="N58" s="1" t="s">
        <v>37</v>
      </c>
    </row>
    <row r="59" spans="1:14" x14ac:dyDescent="0.3">
      <c r="A59" s="1">
        <f>100000000*D59+100000*E59+1000*F59+K59*10</f>
        <v>900306040</v>
      </c>
      <c r="B59" s="1">
        <f>RANK(A59,$A$59:$A$62)</f>
        <v>1</v>
      </c>
      <c r="C59" s="1" t="str">
        <f>Palpites!B59</f>
        <v>Brasil</v>
      </c>
      <c r="D59" s="1">
        <f>3*COUNTIF(L59:N59,"V")+COUNTIF(L59:N59,"E")</f>
        <v>9</v>
      </c>
      <c r="E59" s="1">
        <f>Palpites!D59-Palpites!F59+Palpites!D61-Palpites!F61+Palpites!D63-Palpites!F63</f>
        <v>3</v>
      </c>
      <c r="F59" s="1">
        <f>Palpites!D59+Palpites!D61+Palpites!D63</f>
        <v>6</v>
      </c>
      <c r="G59" s="1">
        <f>COUNTIF(L59:N59,"V")</f>
        <v>3</v>
      </c>
      <c r="H59" s="1">
        <f>COUNTIF(L59:N59,"e")</f>
        <v>0</v>
      </c>
      <c r="I59" s="1">
        <f>COUNTIF(L59:N59,"D")</f>
        <v>0</v>
      </c>
      <c r="J59" s="1">
        <f>F59-E59</f>
        <v>3</v>
      </c>
      <c r="K59" s="1">
        <v>4</v>
      </c>
      <c r="L59" s="1" t="str">
        <f>IF(OR(Palpites!D59="",Palpites!F59=""),0,IF(Palpites!D59&gt;Palpites!F59,"V",IF(Palpites!D59=Palpites!F59,"E",IF(Palpites!D59&lt;Palpites!F59,"D"))))</f>
        <v>V</v>
      </c>
      <c r="M59" s="1" t="str">
        <f>IF(OR(Palpites!D61="",Palpites!F61=""),0,IF(Palpites!D61&gt;Palpites!F61,"V",IF(Palpites!D61=Palpites!F61,"E",IF(Palpites!D61&lt;Palpites!F61,"D"))))</f>
        <v>V</v>
      </c>
      <c r="N59" s="1" t="str">
        <f>IF(OR(Palpites!D63="",Palpites!F63=""),0,IF(Palpites!D63&gt;Palpites!F63,"V",IF(Palpites!D63=Palpites!F63,"E",IF(Palpites!D63&lt;Palpites!F63,"D"))))</f>
        <v>V</v>
      </c>
    </row>
    <row r="60" spans="1:14" x14ac:dyDescent="0.3">
      <c r="A60" s="1">
        <f>100000000*D60+100000*E60+1000*F60+K60*10</f>
        <v>600106030</v>
      </c>
      <c r="B60" s="1">
        <f t="shared" ref="B60:B62" si="5">RANK(A60,$A$59:$A$62)</f>
        <v>2</v>
      </c>
      <c r="C60" s="1" t="str">
        <f>Palpites!B60</f>
        <v>Suíça</v>
      </c>
      <c r="D60" s="1">
        <f>3*COUNTIF(L60:N60,"V")+COUNTIF(L60:N60,"E")</f>
        <v>6</v>
      </c>
      <c r="E60" s="1">
        <f>Palpites!D60-Palpites!F60+Palpites!F61-Palpites!D61+Palpites!F64-Palpites!D64</f>
        <v>1</v>
      </c>
      <c r="F60" s="1">
        <f>Palpites!D60+Palpites!F61+Palpites!F64</f>
        <v>6</v>
      </c>
      <c r="G60" s="1">
        <f>COUNTIF(L60:N60,"V")</f>
        <v>2</v>
      </c>
      <c r="H60" s="1">
        <f>COUNTIF(L60:N60,"e")</f>
        <v>0</v>
      </c>
      <c r="I60" s="1">
        <f>COUNTIF(L60:N60,"D")</f>
        <v>1</v>
      </c>
      <c r="J60" s="1">
        <f>F60-E60</f>
        <v>5</v>
      </c>
      <c r="K60" s="1">
        <v>3</v>
      </c>
      <c r="L60" s="1" t="str">
        <f>IF(OR(Palpites!D60="",Palpites!F60=""),0,IF(Palpites!D60&gt;Palpites!F60,"V",IF(Palpites!D60=Palpites!F60,"E",IF(Palpites!D60&lt;Palpites!F60,"D"))))</f>
        <v>V</v>
      </c>
      <c r="M60" s="1" t="str">
        <f>IF(OR(Palpites!F61="",Palpites!D61=""),0,IF(Palpites!F61&gt;Palpites!D61,"V",IF(Palpites!F61=Palpites!D61,"E",IF(Palpites!F61&lt;Palpites!D61,"D"))))</f>
        <v>D</v>
      </c>
      <c r="N60" s="1" t="str">
        <f>IF(OR(Palpites!F64="",Palpites!D64=""),0,IF(Palpites!F64&gt;Palpites!D64,"V",IF(Palpites!F64=Palpites!D64,"E",IF(Palpites!F64&lt;Palpites!D64,"D"))))</f>
        <v>V</v>
      </c>
    </row>
    <row r="61" spans="1:14" x14ac:dyDescent="0.3">
      <c r="A61" s="1">
        <f>100000000*D61+100000*E61+1000*F61+K61*10</f>
        <v>99804020</v>
      </c>
      <c r="B61" s="1">
        <f t="shared" si="5"/>
        <v>3</v>
      </c>
      <c r="C61" s="1" t="str">
        <f>Palpites!G59</f>
        <v>Sérvia</v>
      </c>
      <c r="D61" s="1">
        <f>3*COUNTIF(L61:N61,"V")+COUNTIF(L61:N61,"E")</f>
        <v>1</v>
      </c>
      <c r="E61" s="1">
        <f>Palpites!F59-Palpites!D59+Palpites!D62-Palpites!F62+Palpites!D64-Palpites!F64</f>
        <v>-2</v>
      </c>
      <c r="F61" s="1">
        <f>Palpites!F59+Palpites!D62+Palpites!D64</f>
        <v>4</v>
      </c>
      <c r="G61" s="1">
        <f>COUNTIF(L61:N61,"V")</f>
        <v>0</v>
      </c>
      <c r="H61" s="1">
        <f>COUNTIF(L61:N61,"e")</f>
        <v>1</v>
      </c>
      <c r="I61" s="1">
        <f>COUNTIF(L61:N61,"D")</f>
        <v>2</v>
      </c>
      <c r="J61" s="1">
        <f>F61-E61</f>
        <v>6</v>
      </c>
      <c r="K61" s="1">
        <v>2</v>
      </c>
      <c r="L61" s="1" t="str">
        <f>IF(OR(Palpites!F59="",Palpites!D59=""),0,IF(Palpites!F59&gt;Palpites!D59,"V",IF(Palpites!F59=Palpites!D59,"E",IF(Palpites!F59&lt;Palpites!D59,"D"))))</f>
        <v>D</v>
      </c>
      <c r="M61" s="1" t="str">
        <f>IF(OR(Palpites!D62="",Palpites!F62=""),0,IF(Palpites!D62&gt;Palpites!F62,"V",IF(Palpites!D62=Palpites!F62,"E",IF(Palpites!D62&lt;Palpites!F62,"D"))))</f>
        <v>E</v>
      </c>
      <c r="N61" s="1" t="str">
        <f>IF(OR(Palpites!D64="",Palpites!F64=""),0,IF(Palpites!D64&gt;Palpites!F64,"V",IF(Palpites!D64=Palpites!F64,"E",IF(Palpites!D64&lt;Palpites!F64,"D"))))</f>
        <v>D</v>
      </c>
    </row>
    <row r="62" spans="1:14" x14ac:dyDescent="0.3">
      <c r="A62" s="1">
        <f>100000000*D62+100000*E62+1000*F62+K62*10</f>
        <v>99803010</v>
      </c>
      <c r="B62" s="1">
        <f t="shared" si="5"/>
        <v>4</v>
      </c>
      <c r="C62" s="1" t="str">
        <f>Palpites!G60</f>
        <v>Camarões</v>
      </c>
      <c r="D62" s="1">
        <f>3*COUNTIF(L62:N62,"V")+COUNTIF(L62:N62,"E")</f>
        <v>1</v>
      </c>
      <c r="E62" s="1">
        <f>Palpites!F60-Palpites!D60+Palpites!F62-Palpites!D62+Palpites!F63-Palpites!D63</f>
        <v>-2</v>
      </c>
      <c r="F62" s="1">
        <f>Palpites!F60+Palpites!F62+Palpites!F63</f>
        <v>3</v>
      </c>
      <c r="G62" s="1">
        <f>COUNTIF(L62:N62,"V")</f>
        <v>0</v>
      </c>
      <c r="H62" s="1">
        <f>COUNTIF(L62:N62,"e")</f>
        <v>1</v>
      </c>
      <c r="I62" s="1">
        <f>COUNTIF(L62:N62,"D")</f>
        <v>2</v>
      </c>
      <c r="J62" s="1">
        <f>F62-E62</f>
        <v>5</v>
      </c>
      <c r="K62" s="1">
        <v>1</v>
      </c>
      <c r="L62" s="1" t="str">
        <f>IF(OR(Palpites!F60="",Palpites!D60=""),0,IF(Palpites!F60&gt;Palpites!D60,"V",IF(Palpites!F60=Palpites!D60,"E",IF(Palpites!F60&lt;Palpites!D60,"D"))))</f>
        <v>D</v>
      </c>
      <c r="M62" s="1" t="str">
        <f>IF(OR(Palpites!F62="",Palpites!D62=""),0,IF(Palpites!F62&gt;Palpites!D62,"V",IF(Palpites!F62=Palpites!D62,"E",IF(Palpites!F62&lt;Palpites!D62,"D"))))</f>
        <v>E</v>
      </c>
      <c r="N62" s="1" t="str">
        <f>IF(OR(Palpites!F63="",Palpites!D63=""),0,IF(Palpites!F63&gt;Palpites!D63,"V",IF(Palpites!F63=Palpites!D63,"E",IF(Palpites!F63&lt;Palpites!D63,"D"))))</f>
        <v>D</v>
      </c>
    </row>
    <row r="66" spans="1:14" x14ac:dyDescent="0.3">
      <c r="C66" s="113"/>
      <c r="D66" s="113"/>
      <c r="E66" s="113"/>
      <c r="F66" s="113"/>
      <c r="G66" s="113"/>
      <c r="H66" s="113"/>
      <c r="I66" s="113"/>
      <c r="J66" s="113"/>
      <c r="K66" s="113"/>
      <c r="L66" s="113"/>
      <c r="M66" s="113"/>
      <c r="N66" s="113"/>
    </row>
    <row r="67" spans="1:14" x14ac:dyDescent="0.3">
      <c r="A67" s="1" t="s">
        <v>109</v>
      </c>
      <c r="B67" s="1" t="s">
        <v>110</v>
      </c>
      <c r="C67" s="1" t="s">
        <v>7</v>
      </c>
      <c r="D67" s="1" t="s">
        <v>6</v>
      </c>
      <c r="E67" s="1" t="s">
        <v>4</v>
      </c>
      <c r="F67" s="1" t="s">
        <v>5</v>
      </c>
      <c r="G67" s="1" t="s">
        <v>15</v>
      </c>
      <c r="H67" s="1" t="s">
        <v>16</v>
      </c>
      <c r="I67" s="1" t="s">
        <v>17</v>
      </c>
      <c r="J67" s="1" t="s">
        <v>18</v>
      </c>
      <c r="K67" s="1" t="s">
        <v>108</v>
      </c>
      <c r="L67" s="1" t="s">
        <v>35</v>
      </c>
      <c r="M67" s="1" t="s">
        <v>36</v>
      </c>
      <c r="N67" s="1" t="s">
        <v>37</v>
      </c>
    </row>
    <row r="68" spans="1:14" x14ac:dyDescent="0.3">
      <c r="A68" s="1">
        <f>100000000*D68+100000*E68+1000*F68+K68*10</f>
        <v>900406040</v>
      </c>
      <c r="B68" s="1">
        <f>RANK(A68,$A$68:$A$71)</f>
        <v>1</v>
      </c>
      <c r="C68" s="1" t="str">
        <f>Palpites!B68</f>
        <v>Portugal</v>
      </c>
      <c r="D68" s="1">
        <f>3*COUNTIF(L68:N68,"V")+COUNTIF(L68:N68,"E")</f>
        <v>9</v>
      </c>
      <c r="E68" s="1">
        <f>Palpites!D68-Palpites!F68+Palpites!D70-Palpites!F70+Palpites!D72-Palpites!F72</f>
        <v>4</v>
      </c>
      <c r="F68" s="1">
        <f>Palpites!D68+Palpites!D70+Palpites!D72</f>
        <v>6</v>
      </c>
      <c r="G68" s="1">
        <f>COUNTIF(L68:N68,"V")</f>
        <v>3</v>
      </c>
      <c r="H68" s="1">
        <f>COUNTIF(L68:N68,"e")</f>
        <v>0</v>
      </c>
      <c r="I68" s="1">
        <f>COUNTIF(L68:N68,"D")</f>
        <v>0</v>
      </c>
      <c r="J68" s="1">
        <f>F68-E68</f>
        <v>2</v>
      </c>
      <c r="K68" s="1">
        <v>4</v>
      </c>
      <c r="L68" s="1" t="str">
        <f>IF(OR(Palpites!D68="",Palpites!F68=""),0,IF(Palpites!D68&gt;Palpites!F68,"V",IF(Palpites!D68=Palpites!F68,"E",IF(Palpites!D68&lt;Palpites!F68,"D"))))</f>
        <v>V</v>
      </c>
      <c r="M68" s="1" t="str">
        <f>IF(OR(Palpites!D70="",Palpites!F70=""),0,IF(Palpites!D70&gt;Palpites!F70,"V",IF(Palpites!D70=Palpites!F70,"E",IF(Palpites!D70&lt;Palpites!F70,"D"))))</f>
        <v>V</v>
      </c>
      <c r="N68" s="1" t="str">
        <f>IF(OR(Palpites!D72="",Palpites!F72=""),0,IF(Palpites!D72&gt;Palpites!F72,"V",IF(Palpites!D72=Palpites!F72,"E",IF(Palpites!D72&lt;Palpites!F72,"D"))))</f>
        <v>V</v>
      </c>
    </row>
    <row r="69" spans="1:14" x14ac:dyDescent="0.3">
      <c r="A69" s="1">
        <f>100000000*D69+100000*E69+1000*F69+K69*10</f>
        <v>199902030</v>
      </c>
      <c r="B69" s="1">
        <f t="shared" ref="B69:B71" si="6">RANK(A69,$A$68:$A$71)</f>
        <v>3</v>
      </c>
      <c r="C69" s="1" t="str">
        <f>Palpites!B69</f>
        <v>Uruguai</v>
      </c>
      <c r="D69" s="1">
        <f>3*COUNTIF(L69:N69,"V")+COUNTIF(L69:N69,"E")</f>
        <v>2</v>
      </c>
      <c r="E69" s="1">
        <f>Palpites!D69-Palpites!F69+Palpites!F70-Palpites!D70+Palpites!F73-Palpites!D73</f>
        <v>-1</v>
      </c>
      <c r="F69" s="1">
        <f>Palpites!D69+Palpites!F70+Palpites!F73</f>
        <v>2</v>
      </c>
      <c r="G69" s="1">
        <f>COUNTIF(L69:N69,"V")</f>
        <v>0</v>
      </c>
      <c r="H69" s="1">
        <f>COUNTIF(L69:N69,"e")</f>
        <v>2</v>
      </c>
      <c r="I69" s="1">
        <f>COUNTIF(L69:N69,"D")</f>
        <v>1</v>
      </c>
      <c r="J69" s="1">
        <f>F69-E69</f>
        <v>3</v>
      </c>
      <c r="K69" s="1">
        <v>3</v>
      </c>
      <c r="L69" s="1" t="str">
        <f>IF(OR(Palpites!D69="",Palpites!F69=""),0,IF(Palpites!D69&gt;Palpites!F69,"V",IF(Palpites!D69=Palpites!F69,"E",IF(Palpites!D69&lt;Palpites!F69,"D"))))</f>
        <v>E</v>
      </c>
      <c r="M69" s="1" t="str">
        <f>IF(OR(Palpites!F70="",Palpites!D70=""),0,IF(Palpites!F70&gt;Palpites!D70,"V",IF(Palpites!F70=Palpites!D70,"E",IF(Palpites!F70&lt;Palpites!D70,"D"))))</f>
        <v>D</v>
      </c>
      <c r="N69" s="1" t="str">
        <f>IF(OR(Palpites!F73="",Palpites!D73=""),0,IF(Palpites!F73&gt;Palpites!D73,"V",IF(Palpites!F73=Palpites!D73,"E",IF(Palpites!F73&lt;Palpites!D73,"D"))))</f>
        <v>E</v>
      </c>
    </row>
    <row r="70" spans="1:14" x14ac:dyDescent="0.3">
      <c r="A70" s="1">
        <f>100000000*D70+100000*E70+1000*F70+K70*10</f>
        <v>99701020</v>
      </c>
      <c r="B70" s="1">
        <f t="shared" si="6"/>
        <v>4</v>
      </c>
      <c r="C70" s="1" t="str">
        <f>Palpites!G68</f>
        <v>Gana</v>
      </c>
      <c r="D70" s="1">
        <f>3*COUNTIF(L70:N70,"V")+COUNTIF(L70:N70,"E")</f>
        <v>1</v>
      </c>
      <c r="E70" s="1">
        <f>Palpites!F68-Palpites!D68+Palpites!D71-Palpites!F71+Palpites!D73-Palpites!F73</f>
        <v>-3</v>
      </c>
      <c r="F70" s="1">
        <f>Palpites!F68+Palpites!D71+Palpites!D73</f>
        <v>1</v>
      </c>
      <c r="G70" s="1">
        <f>COUNTIF(L70:N70,"V")</f>
        <v>0</v>
      </c>
      <c r="H70" s="1">
        <f>COUNTIF(L70:N70,"e")</f>
        <v>1</v>
      </c>
      <c r="I70" s="1">
        <f>COUNTIF(L70:N70,"D")</f>
        <v>2</v>
      </c>
      <c r="J70" s="1">
        <f>F70-E70</f>
        <v>4</v>
      </c>
      <c r="K70" s="1">
        <v>2</v>
      </c>
      <c r="L70" s="1" t="str">
        <f>IF(OR(Palpites!F68="",Palpites!D68=""),0,IF(Palpites!F68&gt;Palpites!D68,"V",IF(Palpites!F68=Palpites!D68,"E",IF(Palpites!F68&lt;Palpites!D68,"D"))))</f>
        <v>D</v>
      </c>
      <c r="M70" s="1" t="str">
        <f>IF(OR(Palpites!D71="",Palpites!F71=""),0,IF(Palpites!D71&gt;Palpites!F71,"V",IF(Palpites!D71=Palpites!F71,"E",IF(Palpites!D71&lt;Palpites!F71,"D"))))</f>
        <v>D</v>
      </c>
      <c r="N70" s="1" t="str">
        <f>IF(OR(Palpites!D73="",Palpites!F73=""),0,IF(Palpites!D73&gt;Palpites!F73,"V",IF(Palpites!D73=Palpites!F73,"E",IF(Palpites!D73&lt;Palpites!F73,"D"))))</f>
        <v>E</v>
      </c>
    </row>
    <row r="71" spans="1:14" x14ac:dyDescent="0.3">
      <c r="A71" s="1">
        <f>100000000*D71+100000*E71+1000*F71+K71*10</f>
        <v>400004010</v>
      </c>
      <c r="B71" s="1">
        <f t="shared" si="6"/>
        <v>2</v>
      </c>
      <c r="C71" s="1" t="str">
        <f>Palpites!G69</f>
        <v>Coréia do Sul</v>
      </c>
      <c r="D71" s="1">
        <f>3*COUNTIF(L71:N71,"V")+COUNTIF(L71:N71,"E")</f>
        <v>4</v>
      </c>
      <c r="E71" s="1">
        <f>Palpites!F69-Palpites!D69+Palpites!F71-Palpites!D71+Palpites!F72-Palpites!D72</f>
        <v>0</v>
      </c>
      <c r="F71" s="1">
        <f>Palpites!F69+Palpites!F71+Palpites!F72</f>
        <v>4</v>
      </c>
      <c r="G71" s="1">
        <f>COUNTIF(L71:N71,"V")</f>
        <v>1</v>
      </c>
      <c r="H71" s="1">
        <f>COUNTIF(L71:N71,"e")</f>
        <v>1</v>
      </c>
      <c r="I71" s="1">
        <f>COUNTIF(L71:N71,"D")</f>
        <v>1</v>
      </c>
      <c r="J71" s="1">
        <f>F71-E71</f>
        <v>4</v>
      </c>
      <c r="K71" s="1">
        <v>1</v>
      </c>
      <c r="L71" s="1" t="str">
        <f>IF(OR(Palpites!F69="",Palpites!D69=""),0,IF(Palpites!F69&gt;Palpites!D69,"V",IF(Palpites!F69=Palpites!D69,"E",IF(Palpites!F69&lt;Palpites!D69,"D"))))</f>
        <v>E</v>
      </c>
      <c r="M71" s="1" t="str">
        <f>IF(OR(Palpites!F71="",Palpites!D71=""),0,IF(Palpites!F71&gt;Palpites!D71,"V",IF(Palpites!F71=Palpites!D71,"E",IF(Palpites!F71&lt;Palpites!D71,"D"))))</f>
        <v>V</v>
      </c>
      <c r="N71" s="1" t="str">
        <f>IF(OR(Palpites!F72="",Palpites!D72=""),0,IF(Palpites!F72&gt;Palpites!D72,"V",IF(Palpites!F72=Palpites!D72,"E",IF(Palpites!F72&lt;Palpites!D72,"D"))))</f>
        <v>D</v>
      </c>
    </row>
  </sheetData>
  <mergeCells count="8">
    <mergeCell ref="C66:N66"/>
    <mergeCell ref="C3:N3"/>
    <mergeCell ref="C12:N12"/>
    <mergeCell ref="C21:N21"/>
    <mergeCell ref="C30:N30"/>
    <mergeCell ref="C39:N39"/>
    <mergeCell ref="C48:N48"/>
    <mergeCell ref="C57:N57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Bolão</vt:lpstr>
      <vt:lpstr>Palpites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Samsung</dc:creator>
  <cp:lastModifiedBy>Filipe Bacci -X (fibacci - Manpower at Cisco)</cp:lastModifiedBy>
  <dcterms:created xsi:type="dcterms:W3CDTF">2022-03-29T20:00:23Z</dcterms:created>
  <dcterms:modified xsi:type="dcterms:W3CDTF">2022-11-15T14:55:56Z</dcterms:modified>
</cp:coreProperties>
</file>