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icial" sheetId="4" r:id="rId1"/>
    <sheet name="Ofertas" sheetId="1" r:id="rId2"/>
  </sheets>
  <definedNames>
    <definedName name="CapInicial">Inicial!$B$2</definedName>
    <definedName name="CDI">Ofertas!$Z$15</definedName>
    <definedName name="CDIP">Ofertas!$Y$15</definedName>
    <definedName name="FatorIR">Ofertas!$Z$2</definedName>
    <definedName name="FatorIRF">Ofertas!$Z$7</definedName>
    <definedName name="IPCA">Ofertas!$Z$16</definedName>
    <definedName name="IPCAP">Ofertas!$Y$16</definedName>
    <definedName name="IRP">Ofertas!$Y$21</definedName>
    <definedName name="PrazoA">Ofertas!$Y$19</definedName>
    <definedName name="PrazoM">Ofertas!$Y$18</definedName>
    <definedName name="RefTipo">Ofertas!$Y$1</definedName>
    <definedName name="Tipo">Ofertas!$Y$2</definedName>
    <definedName name="Tipo1">Ofertas!$Y$2</definedName>
    <definedName name="Tipo6">Ofertas!$Y$7</definedName>
    <definedName name="TipoF">Ofertas!$Y$7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Y18" i="1"/>
  <c r="Q24" i="1" l="1"/>
  <c r="Y21" i="1"/>
  <c r="J7" i="1"/>
  <c r="J21" i="1"/>
  <c r="J5" i="1"/>
  <c r="J18" i="1"/>
  <c r="J10" i="1"/>
  <c r="J3" i="1"/>
  <c r="J17" i="1"/>
  <c r="J24" i="1"/>
  <c r="J20" i="1"/>
  <c r="J16" i="1"/>
  <c r="J12" i="1"/>
  <c r="J8" i="1"/>
  <c r="J4" i="1"/>
  <c r="J23" i="1"/>
  <c r="J19" i="1"/>
  <c r="J15" i="1"/>
  <c r="J11" i="1"/>
  <c r="Q15" i="1"/>
  <c r="P3" i="1"/>
  <c r="P11" i="1"/>
  <c r="P19" i="1"/>
  <c r="Q4" i="1"/>
  <c r="Q12" i="1"/>
  <c r="Q21" i="1"/>
  <c r="P4" i="1"/>
  <c r="P8" i="1"/>
  <c r="P12" i="1"/>
  <c r="P16" i="1"/>
  <c r="P20" i="1"/>
  <c r="P24" i="1"/>
  <c r="Q5" i="1"/>
  <c r="Q9" i="1"/>
  <c r="Q13" i="1"/>
  <c r="Q18" i="1"/>
  <c r="Q22" i="1"/>
  <c r="P7" i="1"/>
  <c r="P15" i="1"/>
  <c r="P23" i="1"/>
  <c r="Q8" i="1"/>
  <c r="Q17" i="1"/>
  <c r="P5" i="1"/>
  <c r="P9" i="1"/>
  <c r="P13" i="1"/>
  <c r="P17" i="1"/>
  <c r="P21" i="1"/>
  <c r="Q3" i="1"/>
  <c r="Q6" i="1"/>
  <c r="Q10" i="1"/>
  <c r="Q14" i="1"/>
  <c r="Q19" i="1"/>
  <c r="Q23" i="1"/>
  <c r="P6" i="1"/>
  <c r="P10" i="1"/>
  <c r="P14" i="1"/>
  <c r="P18" i="1"/>
  <c r="P22" i="1"/>
  <c r="Q7" i="1"/>
  <c r="Q11" i="1"/>
  <c r="Q16" i="1"/>
  <c r="Q20" i="1"/>
  <c r="Z13" i="1"/>
  <c r="Z12" i="1"/>
  <c r="Z11" i="1"/>
  <c r="Z15" i="1"/>
  <c r="Z16" i="1"/>
  <c r="Y19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G3" i="1"/>
  <c r="J9" i="1" l="1"/>
  <c r="J13" i="1"/>
  <c r="J6" i="1"/>
  <c r="J14" i="1"/>
  <c r="J22" i="1"/>
  <c r="R21" i="1"/>
  <c r="R15" i="1"/>
  <c r="R17" i="1"/>
  <c r="R12" i="1"/>
  <c r="R10" i="1"/>
  <c r="R5" i="1"/>
  <c r="R20" i="1"/>
  <c r="R22" i="1"/>
  <c r="R14" i="1"/>
  <c r="R9" i="1"/>
  <c r="R23" i="1"/>
  <c r="R24" i="1"/>
  <c r="R8" i="1"/>
  <c r="R4" i="1"/>
  <c r="S4" i="1" s="1"/>
  <c r="U4" i="1" s="1"/>
  <c r="R19" i="1"/>
  <c r="R6" i="1"/>
  <c r="R7" i="1"/>
  <c r="R16" i="1"/>
  <c r="R11" i="1"/>
  <c r="R18" i="1"/>
  <c r="R13" i="1"/>
  <c r="R3" i="1"/>
  <c r="S8" i="1"/>
  <c r="U8" i="1" s="1"/>
  <c r="S11" i="1" l="1"/>
  <c r="U11" i="1" s="1"/>
  <c r="S21" i="1"/>
  <c r="S23" i="1"/>
  <c r="U23" i="1" s="1"/>
  <c r="V23" i="1" s="1"/>
  <c r="T23" i="1" s="1"/>
  <c r="S22" i="1"/>
  <c r="U22" i="1" s="1"/>
  <c r="V22" i="1" s="1"/>
  <c r="T22" i="1" s="1"/>
  <c r="S24" i="1"/>
  <c r="U24" i="1" s="1"/>
  <c r="S9" i="1"/>
  <c r="U9" i="1" s="1"/>
  <c r="V9" i="1" s="1"/>
  <c r="T9" i="1" s="1"/>
  <c r="S15" i="1"/>
  <c r="U15" i="1" s="1"/>
  <c r="V15" i="1" s="1"/>
  <c r="T15" i="1" s="1"/>
  <c r="S17" i="1"/>
  <c r="U21" i="1"/>
  <c r="V21" i="1" s="1"/>
  <c r="T21" i="1" s="1"/>
  <c r="S3" i="1"/>
  <c r="U3" i="1" s="1"/>
  <c r="S7" i="1"/>
  <c r="U7" i="1" s="1"/>
  <c r="V7" i="1" s="1"/>
  <c r="T7" i="1" s="1"/>
  <c r="S6" i="1"/>
  <c r="U6" i="1" s="1"/>
  <c r="V6" i="1" s="1"/>
  <c r="T6" i="1" s="1"/>
  <c r="S13" i="1"/>
  <c r="V8" i="1"/>
  <c r="T8" i="1" s="1"/>
  <c r="S5" i="1"/>
  <c r="S18" i="1"/>
  <c r="S10" i="1"/>
  <c r="S20" i="1"/>
  <c r="V4" i="1"/>
  <c r="T4" i="1" s="1"/>
  <c r="V24" i="1"/>
  <c r="T24" i="1" s="1"/>
  <c r="V11" i="1"/>
  <c r="T11" i="1" s="1"/>
  <c r="S19" i="1"/>
  <c r="S16" i="1"/>
  <c r="S14" i="1"/>
  <c r="S12" i="1"/>
  <c r="U20" i="1" l="1"/>
  <c r="V20" i="1" s="1"/>
  <c r="T20" i="1" s="1"/>
  <c r="U19" i="1"/>
  <c r="V19" i="1" s="1"/>
  <c r="T19" i="1" s="1"/>
  <c r="U17" i="1"/>
  <c r="V17" i="1" s="1"/>
  <c r="T17" i="1" s="1"/>
  <c r="U12" i="1"/>
  <c r="V12" i="1" s="1"/>
  <c r="T12" i="1" s="1"/>
  <c r="U18" i="1"/>
  <c r="V18" i="1" s="1"/>
  <c r="T18" i="1" s="1"/>
  <c r="U13" i="1"/>
  <c r="V13" i="1" s="1"/>
  <c r="T13" i="1" s="1"/>
  <c r="U16" i="1"/>
  <c r="V16" i="1" s="1"/>
  <c r="T16" i="1" s="1"/>
  <c r="U10" i="1"/>
  <c r="V10" i="1" s="1"/>
  <c r="T10" i="1" s="1"/>
  <c r="U14" i="1"/>
  <c r="V14" i="1" s="1"/>
  <c r="T14" i="1" s="1"/>
  <c r="U5" i="1"/>
  <c r="V5" i="1" s="1"/>
  <c r="T5" i="1" s="1"/>
  <c r="V3" i="1"/>
  <c r="T3" i="1" s="1"/>
  <c r="T25" i="1" l="1"/>
  <c r="B11" i="4" l="1"/>
  <c r="A25" i="1"/>
  <c r="Q25" i="1" l="1"/>
  <c r="P25" i="1"/>
  <c r="S25" i="1"/>
  <c r="M25" i="1"/>
  <c r="I25" i="1"/>
  <c r="E25" i="1"/>
  <c r="B7" i="4" s="1"/>
  <c r="J25" i="1"/>
  <c r="B9" i="4" s="1"/>
  <c r="B4" i="4"/>
  <c r="R25" i="1"/>
  <c r="L25" i="1"/>
  <c r="B10" i="4" s="1"/>
  <c r="H25" i="1"/>
  <c r="D25" i="1"/>
  <c r="N25" i="1"/>
  <c r="B25" i="1"/>
  <c r="V25" i="1"/>
  <c r="B12" i="4" s="1"/>
  <c r="O25" i="1"/>
  <c r="K25" i="1"/>
  <c r="G25" i="1"/>
  <c r="B8" i="4" s="1"/>
  <c r="C25" i="1"/>
  <c r="U25" i="1"/>
  <c r="F25" i="1"/>
  <c r="B6" i="4" l="1"/>
  <c r="B5" i="4"/>
</calcChain>
</file>

<file path=xl/sharedStrings.xml><?xml version="1.0" encoding="utf-8"?>
<sst xmlns="http://schemas.openxmlformats.org/spreadsheetml/2006/main" count="169" uniqueCount="83">
  <si>
    <t>Nome</t>
  </si>
  <si>
    <t>Inv. Mínimo (R$)</t>
  </si>
  <si>
    <t>Liquidez</t>
  </si>
  <si>
    <t>CDB + Crédito</t>
  </si>
  <si>
    <t>CDB Pos</t>
  </si>
  <si>
    <t>Tipo</t>
  </si>
  <si>
    <t>CDB</t>
  </si>
  <si>
    <t>LCI</t>
  </si>
  <si>
    <t>Taxas (%)</t>
  </si>
  <si>
    <t>IR (%)</t>
  </si>
  <si>
    <t>LCI PRE 1080</t>
  </si>
  <si>
    <t>LCI PRE 720</t>
  </si>
  <si>
    <t>Instituição</t>
  </si>
  <si>
    <t>Inter</t>
  </si>
  <si>
    <t>CRI</t>
  </si>
  <si>
    <t>CRI AVM Multiplan</t>
  </si>
  <si>
    <t>Travessia S/A</t>
  </si>
  <si>
    <t>CRI BR Malls S105</t>
  </si>
  <si>
    <t>True S/A</t>
  </si>
  <si>
    <t>CRI LOG CP</t>
  </si>
  <si>
    <t>ISEC S/A</t>
  </si>
  <si>
    <t>Resgate Mínimo (Meses)</t>
  </si>
  <si>
    <t>Resgate Máximo (Meses)</t>
  </si>
  <si>
    <t>CRA</t>
  </si>
  <si>
    <t>Rating da Emissora</t>
  </si>
  <si>
    <t>Garantia FGC</t>
  </si>
  <si>
    <t>CRA BR Foods</t>
  </si>
  <si>
    <t>BR Foods</t>
  </si>
  <si>
    <t>CRA Cocal S1</t>
  </si>
  <si>
    <t>Cocal</t>
  </si>
  <si>
    <t>CRA Duratex S4</t>
  </si>
  <si>
    <t>Duratex</t>
  </si>
  <si>
    <t>CRA Fibria S94</t>
  </si>
  <si>
    <t>Fibria</t>
  </si>
  <si>
    <t>CRA Fibria S9</t>
  </si>
  <si>
    <t>CRA Klabin S105</t>
  </si>
  <si>
    <t>Klabin</t>
  </si>
  <si>
    <t>CRA Raízen Energia</t>
  </si>
  <si>
    <t>Raízen Energia</t>
  </si>
  <si>
    <t>CRA Raízen S3</t>
  </si>
  <si>
    <t>CRA Raízen Energia S4</t>
  </si>
  <si>
    <t>CDI</t>
  </si>
  <si>
    <t>IPCA</t>
  </si>
  <si>
    <t>LCI DI 360</t>
  </si>
  <si>
    <t>LCI DI 180</t>
  </si>
  <si>
    <t>LCI DI 1080</t>
  </si>
  <si>
    <t>LCI DI 720</t>
  </si>
  <si>
    <t>Fator Unitário</t>
  </si>
  <si>
    <t>-</t>
  </si>
  <si>
    <t>CRI Multiplan S272</t>
  </si>
  <si>
    <t>CRA Fibria S93</t>
  </si>
  <si>
    <t>Rendimento a.a (%)</t>
  </si>
  <si>
    <t>Diária</t>
  </si>
  <si>
    <t>Vencimento</t>
  </si>
  <si>
    <t>AAA</t>
  </si>
  <si>
    <t>AA+</t>
  </si>
  <si>
    <t>AA-</t>
  </si>
  <si>
    <t>Sim</t>
  </si>
  <si>
    <t>Não</t>
  </si>
  <si>
    <t>LCA</t>
  </si>
  <si>
    <t>Tempo (Meses)</t>
  </si>
  <si>
    <t>Tempo Estimado (Meses [m.6])</t>
  </si>
  <si>
    <t>Capital Inicial (R$)</t>
  </si>
  <si>
    <t>N°</t>
  </si>
  <si>
    <t>Fator</t>
  </si>
  <si>
    <t>Fator Tipo (IR) (%)</t>
  </si>
  <si>
    <t>Lucro Bruto (R$)</t>
  </si>
  <si>
    <t>Lucro Líquido (R$)</t>
  </si>
  <si>
    <t>Lucro Real (R$)</t>
  </si>
  <si>
    <t>Valor de Resgate (R$)</t>
  </si>
  <si>
    <t>Valor Real (R$)</t>
  </si>
  <si>
    <t>Prazo (Anos)</t>
  </si>
  <si>
    <t>Melhor Opção</t>
  </si>
  <si>
    <t>Melhor Resultado:</t>
  </si>
  <si>
    <t>Prazo Máximo (Meses)</t>
  </si>
  <si>
    <t>Imposto de Renda (%)</t>
  </si>
  <si>
    <t>Rendimento a.a. (%)</t>
  </si>
  <si>
    <t>Valor Final Real (R$)</t>
  </si>
  <si>
    <t>IR sobre o tempo estimado (%)</t>
  </si>
  <si>
    <t>Prazo (Meses)</t>
  </si>
  <si>
    <t>Prazo &lt; Resg. Mínimo</t>
  </si>
  <si>
    <t>Prazo &gt; Resg. Máximo</t>
  </si>
  <si>
    <t>Tesouro Direto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</si>
</sst>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2" fillId="0" borderId="0" xfId="2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2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4" fontId="2" fillId="5" borderId="2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0" fontId="2" fillId="5" borderId="2" xfId="2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0" fontId="2" fillId="8" borderId="1" xfId="2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2" fillId="6" borderId="1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4" fontId="2" fillId="12" borderId="1" xfId="0" applyNumberFormat="1" applyFont="1" applyFill="1" applyBorder="1" applyAlignment="1">
      <alignment horizontal="center" vertical="center"/>
    </xf>
    <xf numFmtId="44" fontId="2" fillId="12" borderId="2" xfId="1" applyFont="1" applyFill="1" applyBorder="1" applyAlignment="1">
      <alignment horizontal="center" vertical="center"/>
    </xf>
    <xf numFmtId="44" fontId="2" fillId="12" borderId="2" xfId="0" applyNumberFormat="1" applyFont="1" applyFill="1" applyBorder="1" applyAlignment="1">
      <alignment horizontal="center" vertical="center"/>
    </xf>
    <xf numFmtId="164" fontId="2" fillId="10" borderId="1" xfId="2" applyNumberFormat="1" applyFont="1" applyFill="1" applyBorder="1" applyAlignment="1">
      <alignment horizontal="center" vertical="center"/>
    </xf>
    <xf numFmtId="44" fontId="2" fillId="12" borderId="2" xfId="1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10" fontId="2" fillId="6" borderId="1" xfId="2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4" fontId="2" fillId="6" borderId="1" xfId="0" applyNumberFormat="1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2" fillId="0" borderId="0" xfId="2" applyNumberFormat="1" applyFont="1" applyFill="1" applyBorder="1" applyAlignment="1">
      <alignment horizontal="center" vertical="center" wrapText="1"/>
    </xf>
    <xf numFmtId="0" fontId="2" fillId="5" borderId="2" xfId="2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4" fontId="3" fillId="5" borderId="1" xfId="1" applyFont="1" applyFill="1" applyBorder="1" applyAlignment="1">
      <alignment horizontal="center" vertical="center" wrapText="1"/>
    </xf>
    <xf numFmtId="10" fontId="3" fillId="5" borderId="1" xfId="2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9" fontId="3" fillId="5" borderId="1" xfId="2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4" sqref="A4"/>
    </sheetView>
  </sheetViews>
  <sheetFormatPr defaultRowHeight="15" x14ac:dyDescent="0.25"/>
  <cols>
    <col min="1" max="1" width="16.85546875" style="2" customWidth="1"/>
    <col min="2" max="2" width="17" style="2" bestFit="1" customWidth="1"/>
    <col min="3" max="3" width="16" style="2" customWidth="1"/>
    <col min="4" max="16384" width="9.140625" style="2"/>
  </cols>
  <sheetData>
    <row r="1" spans="1:3" ht="36" customHeight="1" x14ac:dyDescent="0.25">
      <c r="A1" s="20" t="s">
        <v>61</v>
      </c>
      <c r="B1" s="20" t="s">
        <v>62</v>
      </c>
    </row>
    <row r="2" spans="1:3" x14ac:dyDescent="0.25">
      <c r="A2" s="20">
        <v>36</v>
      </c>
      <c r="B2" s="21">
        <v>10000</v>
      </c>
      <c r="C2" s="35"/>
    </row>
    <row r="4" spans="1:3" x14ac:dyDescent="0.25">
      <c r="A4" s="32" t="s">
        <v>73</v>
      </c>
      <c r="B4" s="32">
        <f>Ofertas!A25</f>
        <v>7</v>
      </c>
    </row>
    <row r="5" spans="1:3" x14ac:dyDescent="0.25">
      <c r="A5" s="32" t="s">
        <v>0</v>
      </c>
      <c r="B5" s="32" t="str">
        <f ca="1">Ofertas!B25</f>
        <v>LCI PRE 1080</v>
      </c>
    </row>
    <row r="6" spans="1:3" x14ac:dyDescent="0.25">
      <c r="A6" s="32" t="s">
        <v>12</v>
      </c>
      <c r="B6" s="32" t="str">
        <f ca="1">Ofertas!C25</f>
        <v>Inter</v>
      </c>
    </row>
    <row r="7" spans="1:3" x14ac:dyDescent="0.25">
      <c r="A7" s="32" t="s">
        <v>1</v>
      </c>
      <c r="B7" s="33">
        <f ca="1">Ofertas!E25</f>
        <v>100</v>
      </c>
    </row>
    <row r="8" spans="1:3" ht="30" x14ac:dyDescent="0.25">
      <c r="A8" s="32" t="s">
        <v>76</v>
      </c>
      <c r="B8" s="34">
        <f ca="1">Ofertas!G25</f>
        <v>6.4000000000000001E-2</v>
      </c>
    </row>
    <row r="9" spans="1:3" ht="30" x14ac:dyDescent="0.25">
      <c r="A9" s="32" t="s">
        <v>75</v>
      </c>
      <c r="B9" s="34">
        <f ca="1">Ofertas!J25</f>
        <v>0</v>
      </c>
    </row>
    <row r="10" spans="1:3" ht="30" x14ac:dyDescent="0.25">
      <c r="A10" s="32" t="s">
        <v>74</v>
      </c>
      <c r="B10" s="32">
        <f ca="1">Ofertas!L25</f>
        <v>36</v>
      </c>
    </row>
    <row r="11" spans="1:3" x14ac:dyDescent="0.25">
      <c r="A11" s="32" t="s">
        <v>68</v>
      </c>
      <c r="B11" s="33">
        <f>Ofertas!T25</f>
        <v>784.14329070707026</v>
      </c>
    </row>
    <row r="12" spans="1:3" ht="30" x14ac:dyDescent="0.25">
      <c r="A12" s="32" t="s">
        <v>77</v>
      </c>
      <c r="B12" s="33">
        <f ca="1">Ofertas!V25</f>
        <v>10784.14329070707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zoomScale="85" zoomScaleNormal="85" workbookViewId="0">
      <selection activeCell="D11" sqref="D11"/>
    </sheetView>
  </sheetViews>
  <sheetFormatPr defaultRowHeight="15" x14ac:dyDescent="0.25"/>
  <cols>
    <col min="1" max="1" width="13.28515625" style="1" bestFit="1" customWidth="1"/>
    <col min="2" max="2" width="21.85546875" style="1" bestFit="1" customWidth="1"/>
    <col min="3" max="4" width="14" style="1" customWidth="1"/>
    <col min="5" max="5" width="13.7109375" style="5" customWidth="1"/>
    <col min="6" max="6" width="13.7109375" style="1" customWidth="1"/>
    <col min="7" max="7" width="13.140625" style="4" customWidth="1"/>
    <col min="8" max="9" width="10.85546875" style="3" customWidth="1"/>
    <col min="10" max="10" width="12.28515625" style="1" customWidth="1"/>
    <col min="11" max="11" width="12" style="1" customWidth="1"/>
    <col min="12" max="12" width="11.28515625" style="1" customWidth="1"/>
    <col min="13" max="13" width="9.140625" style="1"/>
    <col min="14" max="14" width="11.28515625" style="1" customWidth="1"/>
    <col min="15" max="15" width="9.140625" style="1"/>
    <col min="16" max="17" width="15.140625" style="1" bestFit="1" customWidth="1"/>
    <col min="18" max="18" width="16.28515625" style="1" bestFit="1" customWidth="1"/>
    <col min="19" max="19" width="18.140625" style="1" bestFit="1" customWidth="1"/>
    <col min="20" max="20" width="15.28515625" style="1" bestFit="1" customWidth="1"/>
    <col min="21" max="21" width="18.140625" style="1" customWidth="1"/>
    <col min="22" max="22" width="13.85546875" style="1" customWidth="1"/>
    <col min="24" max="24" width="14.5703125" style="1" bestFit="1" customWidth="1"/>
    <col min="25" max="25" width="12" style="1" bestFit="1" customWidth="1"/>
    <col min="26" max="16384" width="9.140625" style="1"/>
  </cols>
  <sheetData>
    <row r="1" spans="1:34" s="2" customFormat="1" ht="28.5" customHeight="1" x14ac:dyDescent="0.25">
      <c r="A1" s="37" t="s">
        <v>63</v>
      </c>
      <c r="B1" s="37" t="s">
        <v>0</v>
      </c>
      <c r="C1" s="37" t="s">
        <v>12</v>
      </c>
      <c r="D1" s="37" t="s">
        <v>5</v>
      </c>
      <c r="E1" s="38" t="s">
        <v>1</v>
      </c>
      <c r="F1" s="42" t="s">
        <v>47</v>
      </c>
      <c r="G1" s="39" t="s">
        <v>51</v>
      </c>
      <c r="H1" s="41" t="s">
        <v>8</v>
      </c>
      <c r="I1" s="41" t="s">
        <v>65</v>
      </c>
      <c r="J1" s="42" t="s">
        <v>9</v>
      </c>
      <c r="K1" s="40" t="s">
        <v>2</v>
      </c>
      <c r="L1" s="40" t="s">
        <v>21</v>
      </c>
      <c r="M1" s="40" t="s">
        <v>22</v>
      </c>
      <c r="N1" s="40" t="s">
        <v>24</v>
      </c>
      <c r="O1" s="40" t="s">
        <v>25</v>
      </c>
      <c r="P1" s="43" t="s">
        <v>80</v>
      </c>
      <c r="Q1" s="43" t="s">
        <v>81</v>
      </c>
      <c r="R1" s="50" t="s">
        <v>66</v>
      </c>
      <c r="S1" s="50" t="s">
        <v>67</v>
      </c>
      <c r="T1" s="50" t="s">
        <v>68</v>
      </c>
      <c r="U1" s="50" t="s">
        <v>69</v>
      </c>
      <c r="V1" s="51" t="s">
        <v>70</v>
      </c>
      <c r="X1" s="18" t="s">
        <v>0</v>
      </c>
      <c r="Y1" s="18" t="s">
        <v>5</v>
      </c>
      <c r="Z1" s="18" t="s">
        <v>64</v>
      </c>
      <c r="AA1" s="1"/>
      <c r="AD1" s="1"/>
      <c r="AG1" s="1"/>
      <c r="AH1" s="1"/>
    </row>
    <row r="2" spans="1:34" s="2" customFormat="1" ht="28.5" customHeight="1" x14ac:dyDescent="0.25">
      <c r="A2" s="37"/>
      <c r="B2" s="37"/>
      <c r="C2" s="37"/>
      <c r="D2" s="37"/>
      <c r="E2" s="38"/>
      <c r="F2" s="42"/>
      <c r="G2" s="39"/>
      <c r="H2" s="41"/>
      <c r="I2" s="41"/>
      <c r="J2" s="42"/>
      <c r="K2" s="40"/>
      <c r="L2" s="40"/>
      <c r="M2" s="40"/>
      <c r="N2" s="40"/>
      <c r="O2" s="40"/>
      <c r="P2" s="44"/>
      <c r="Q2" s="44"/>
      <c r="R2" s="50"/>
      <c r="S2" s="50"/>
      <c r="T2" s="50"/>
      <c r="U2" s="50"/>
      <c r="V2" s="52"/>
      <c r="X2" s="18" t="s">
        <v>6</v>
      </c>
      <c r="Y2" s="18">
        <v>1</v>
      </c>
      <c r="Z2" s="18">
        <v>1</v>
      </c>
      <c r="AA2" s="1"/>
      <c r="AD2" s="1"/>
      <c r="AG2" s="1"/>
      <c r="AH2" s="1"/>
    </row>
    <row r="3" spans="1:34" x14ac:dyDescent="0.25">
      <c r="A3" s="10">
        <v>1</v>
      </c>
      <c r="B3" s="10" t="s">
        <v>3</v>
      </c>
      <c r="C3" s="10" t="s">
        <v>13</v>
      </c>
      <c r="D3" s="10">
        <v>1</v>
      </c>
      <c r="E3" s="11">
        <v>100</v>
      </c>
      <c r="F3" s="12" t="s">
        <v>48</v>
      </c>
      <c r="G3" s="13">
        <f>Ofertas!Y15</f>
        <v>0.03</v>
      </c>
      <c r="H3" s="13">
        <v>0</v>
      </c>
      <c r="I3" s="36">
        <f t="shared" ref="I3:I24" ca="1" si="0">OFFSET(RefTipo,D3,1)</f>
        <v>1</v>
      </c>
      <c r="J3" s="13">
        <f>IFERROR(MATCH(D3,FatorIR:FatorIRF,0)*IRP,0)</f>
        <v>0.15</v>
      </c>
      <c r="K3" s="14" t="s">
        <v>52</v>
      </c>
      <c r="L3" s="14">
        <v>0</v>
      </c>
      <c r="M3" s="14">
        <v>36</v>
      </c>
      <c r="N3" s="14" t="s">
        <v>56</v>
      </c>
      <c r="O3" s="14" t="s">
        <v>57</v>
      </c>
      <c r="P3" s="14" t="b">
        <f>L3&gt;Y18</f>
        <v>0</v>
      </c>
      <c r="Q3" s="14" t="b">
        <f>M3&lt;Y18</f>
        <v>0</v>
      </c>
      <c r="R3" s="26">
        <f t="shared" ref="R3:R24" si="1">IF(P3,0,IF(Q3,((CapInicial*(1+G3)^(M3/12))-CapInicial),(CapInicial*(1+G3)^(PrazoM/12))-CapInicial))</f>
        <v>927.27000000000044</v>
      </c>
      <c r="S3" s="27">
        <f>IFERROR(R3-R3*J3,0)</f>
        <v>788.17950000000042</v>
      </c>
      <c r="T3" s="29">
        <f>IF(P3,0,Ofertas!V3-CapInicial)</f>
        <v>-341.51677675043175</v>
      </c>
      <c r="U3" s="27">
        <f>IF(P3,0,CapInicial+Ofertas!S3)</f>
        <v>10788.1795</v>
      </c>
      <c r="V3" s="25">
        <f>U3*((1-Y16)^Y19)</f>
        <v>9658.4832232495683</v>
      </c>
      <c r="X3" s="18" t="s">
        <v>7</v>
      </c>
      <c r="Y3" s="18">
        <v>2</v>
      </c>
      <c r="Z3" s="18">
        <v>0</v>
      </c>
    </row>
    <row r="4" spans="1:34" x14ac:dyDescent="0.25">
      <c r="A4" s="6">
        <v>2</v>
      </c>
      <c r="B4" s="6" t="s">
        <v>4</v>
      </c>
      <c r="C4" s="6" t="s">
        <v>13</v>
      </c>
      <c r="D4" s="6">
        <v>1</v>
      </c>
      <c r="E4" s="7">
        <v>100</v>
      </c>
      <c r="F4" s="8" t="s">
        <v>48</v>
      </c>
      <c r="G4" s="9">
        <f>Ofertas!Y15</f>
        <v>0.03</v>
      </c>
      <c r="H4" s="9">
        <v>0</v>
      </c>
      <c r="I4" s="36">
        <f t="shared" ca="1" si="0"/>
        <v>1</v>
      </c>
      <c r="J4" s="13">
        <f>IFERROR(MATCH(D4,FatorIR:FatorIRF,0)*IRP,0)</f>
        <v>0.15</v>
      </c>
      <c r="K4" s="15" t="s">
        <v>52</v>
      </c>
      <c r="L4" s="15">
        <v>0</v>
      </c>
      <c r="M4" s="15">
        <v>24</v>
      </c>
      <c r="N4" s="15" t="s">
        <v>56</v>
      </c>
      <c r="O4" s="15" t="s">
        <v>57</v>
      </c>
      <c r="P4" s="14" t="b">
        <f>L4&gt;Y18</f>
        <v>0</v>
      </c>
      <c r="Q4" s="14" t="b">
        <f>M4&lt;Y18</f>
        <v>1</v>
      </c>
      <c r="R4" s="26">
        <f t="shared" si="1"/>
        <v>609</v>
      </c>
      <c r="S4" s="27">
        <f t="shared" ref="S4:S24" si="2">IFERROR(R4-R4*J4,0)</f>
        <v>517.65</v>
      </c>
      <c r="T4" s="29">
        <f>IF(P4,0,Ofertas!V4-CapInicial)</f>
        <v>-583.71747772542949</v>
      </c>
      <c r="U4" s="27">
        <f>IF(P4,0,CapInicial+Ofertas!S4)</f>
        <v>10517.65</v>
      </c>
      <c r="V4" s="25">
        <f>U4*((1-Y16)^Y19)</f>
        <v>9416.2825222745705</v>
      </c>
      <c r="X4" s="18" t="s">
        <v>59</v>
      </c>
      <c r="Y4" s="18">
        <v>3</v>
      </c>
      <c r="Z4" s="18">
        <v>0</v>
      </c>
    </row>
    <row r="5" spans="1:34" x14ac:dyDescent="0.25">
      <c r="A5" s="6">
        <v>3</v>
      </c>
      <c r="B5" s="6" t="s">
        <v>45</v>
      </c>
      <c r="C5" s="6" t="s">
        <v>13</v>
      </c>
      <c r="D5" s="6">
        <v>2</v>
      </c>
      <c r="E5" s="7">
        <v>100</v>
      </c>
      <c r="F5" s="8" t="s">
        <v>48</v>
      </c>
      <c r="G5" s="9">
        <f>Ofertas!Y15*102%</f>
        <v>3.0599999999999999E-2</v>
      </c>
      <c r="H5" s="9">
        <v>0</v>
      </c>
      <c r="I5" s="36">
        <f t="shared" ca="1" si="0"/>
        <v>0</v>
      </c>
      <c r="J5" s="13">
        <f>IFERROR(MATCH(D5,FatorIR:FatorIRF,0)*IRP,0)</f>
        <v>0</v>
      </c>
      <c r="K5" s="15" t="s">
        <v>53</v>
      </c>
      <c r="L5" s="15">
        <v>36</v>
      </c>
      <c r="M5" s="15">
        <v>36</v>
      </c>
      <c r="N5" s="15" t="s">
        <v>56</v>
      </c>
      <c r="O5" s="15" t="s">
        <v>57</v>
      </c>
      <c r="P5" s="14" t="b">
        <f>L5&gt;Y18</f>
        <v>0</v>
      </c>
      <c r="Q5" s="14" t="b">
        <f>M5&lt;Y18</f>
        <v>0</v>
      </c>
      <c r="R5" s="26">
        <f t="shared" si="1"/>
        <v>946.37732615999994</v>
      </c>
      <c r="S5" s="27">
        <f t="shared" si="2"/>
        <v>946.37732615999994</v>
      </c>
      <c r="T5" s="29">
        <f>IF(P5,0,Ofertas!V5-CapInicial)</f>
        <v>-199.88481281055465</v>
      </c>
      <c r="U5" s="27">
        <f>IF(P5,0,CapInicial+Ofertas!S5)</f>
        <v>10946.37732616</v>
      </c>
      <c r="V5" s="25">
        <f>U5*((1-Y16)^Y19)</f>
        <v>9800.1151871894454</v>
      </c>
      <c r="X5" s="18" t="s">
        <v>14</v>
      </c>
      <c r="Y5" s="18">
        <v>4</v>
      </c>
      <c r="Z5" s="18">
        <v>0</v>
      </c>
    </row>
    <row r="6" spans="1:34" x14ac:dyDescent="0.25">
      <c r="A6" s="6">
        <v>4</v>
      </c>
      <c r="B6" s="6" t="s">
        <v>44</v>
      </c>
      <c r="C6" s="6" t="s">
        <v>13</v>
      </c>
      <c r="D6" s="6">
        <v>2</v>
      </c>
      <c r="E6" s="7">
        <v>100</v>
      </c>
      <c r="F6" s="8" t="s">
        <v>48</v>
      </c>
      <c r="G6" s="9">
        <f>Ofertas!Y15*96%</f>
        <v>2.8799999999999999E-2</v>
      </c>
      <c r="H6" s="9">
        <v>0</v>
      </c>
      <c r="I6" s="36">
        <f t="shared" ca="1" si="0"/>
        <v>0</v>
      </c>
      <c r="J6" s="13">
        <f>IFERROR(MATCH(D6,FatorIR:FatorIRF,0)*IRP,0)</f>
        <v>0</v>
      </c>
      <c r="K6" s="15" t="s">
        <v>53</v>
      </c>
      <c r="L6" s="15">
        <v>6</v>
      </c>
      <c r="M6" s="15">
        <v>6</v>
      </c>
      <c r="N6" s="15" t="s">
        <v>56</v>
      </c>
      <c r="O6" s="15" t="s">
        <v>57</v>
      </c>
      <c r="P6" s="14" t="b">
        <f>L6&gt;Y18</f>
        <v>0</v>
      </c>
      <c r="Q6" s="14" t="b">
        <f>M6&lt;Y18</f>
        <v>1</v>
      </c>
      <c r="R6" s="26">
        <f t="shared" si="1"/>
        <v>142.97786648477268</v>
      </c>
      <c r="S6" s="27">
        <f t="shared" si="2"/>
        <v>142.97786648477268</v>
      </c>
      <c r="T6" s="29">
        <f>IF(P6,0,Ofertas!V6-CapInicial)</f>
        <v>-919.15539992314007</v>
      </c>
      <c r="U6" s="27">
        <f>IF(P6,0,CapInicial+Ofertas!S6)</f>
        <v>10142.977866484773</v>
      </c>
      <c r="V6" s="25">
        <f>U6*((1-Y16)^Y19)</f>
        <v>9080.8446000768599</v>
      </c>
      <c r="X6" s="18" t="s">
        <v>23</v>
      </c>
      <c r="Y6" s="18">
        <v>5</v>
      </c>
      <c r="Z6" s="18">
        <v>0</v>
      </c>
    </row>
    <row r="7" spans="1:34" x14ac:dyDescent="0.25">
      <c r="A7" s="6">
        <v>5</v>
      </c>
      <c r="B7" s="6" t="s">
        <v>43</v>
      </c>
      <c r="C7" s="6" t="s">
        <v>13</v>
      </c>
      <c r="D7" s="6">
        <v>2</v>
      </c>
      <c r="E7" s="7">
        <v>100</v>
      </c>
      <c r="F7" s="8" t="s">
        <v>48</v>
      </c>
      <c r="G7" s="9">
        <f>Ofertas!Y15*97%</f>
        <v>2.9099999999999997E-2</v>
      </c>
      <c r="H7" s="9">
        <v>0</v>
      </c>
      <c r="I7" s="36">
        <f t="shared" ca="1" si="0"/>
        <v>0</v>
      </c>
      <c r="J7" s="13">
        <f>IFERROR(MATCH(D7,FatorIR:FatorIRF,0)*IRP,0)</f>
        <v>0</v>
      </c>
      <c r="K7" s="15" t="s">
        <v>53</v>
      </c>
      <c r="L7" s="15">
        <v>12</v>
      </c>
      <c r="M7" s="15">
        <v>12</v>
      </c>
      <c r="N7" s="15" t="s">
        <v>56</v>
      </c>
      <c r="O7" s="15" t="s">
        <v>57</v>
      </c>
      <c r="P7" s="14" t="b">
        <f>L7&gt;Y18</f>
        <v>0</v>
      </c>
      <c r="Q7" s="14" t="b">
        <f>M7&lt;Y18</f>
        <v>1</v>
      </c>
      <c r="R7" s="26">
        <f t="shared" si="1"/>
        <v>290.99999999999818</v>
      </c>
      <c r="S7" s="27">
        <f t="shared" si="2"/>
        <v>290.99999999999818</v>
      </c>
      <c r="T7" s="29">
        <f>IF(P7,0,Ofertas!V7-CapInicial)</f>
        <v>-786.63356959704834</v>
      </c>
      <c r="U7" s="27">
        <f>IF(P7,0,CapInicial+Ofertas!S7)</f>
        <v>10290.999999999998</v>
      </c>
      <c r="V7" s="25">
        <f>U7*((1-Y16)^Y19)</f>
        <v>9213.3664304029517</v>
      </c>
      <c r="X7" s="18" t="s">
        <v>82</v>
      </c>
      <c r="Y7" s="18">
        <v>6</v>
      </c>
      <c r="Z7" s="18">
        <v>1</v>
      </c>
    </row>
    <row r="8" spans="1:34" x14ac:dyDescent="0.25">
      <c r="A8" s="6">
        <v>6</v>
      </c>
      <c r="B8" s="6" t="s">
        <v>46</v>
      </c>
      <c r="C8" s="6" t="s">
        <v>13</v>
      </c>
      <c r="D8" s="6">
        <v>2</v>
      </c>
      <c r="E8" s="7">
        <v>100</v>
      </c>
      <c r="F8" s="8" t="s">
        <v>48</v>
      </c>
      <c r="G8" s="9">
        <f>Ofertas!Y15*101%</f>
        <v>3.0300000000000001E-2</v>
      </c>
      <c r="H8" s="9">
        <v>0</v>
      </c>
      <c r="I8" s="36">
        <f t="shared" ca="1" si="0"/>
        <v>0</v>
      </c>
      <c r="J8" s="13">
        <f>IFERROR(MATCH(D8,FatorIR:FatorIRF,0)*IRP,0)</f>
        <v>0</v>
      </c>
      <c r="K8" s="15" t="s">
        <v>53</v>
      </c>
      <c r="L8" s="15">
        <v>24</v>
      </c>
      <c r="M8" s="15">
        <v>24</v>
      </c>
      <c r="N8" s="15" t="s">
        <v>56</v>
      </c>
      <c r="O8" s="15" t="s">
        <v>57</v>
      </c>
      <c r="P8" s="14" t="b">
        <f>L8&gt;Y18</f>
        <v>0</v>
      </c>
      <c r="Q8" s="14" t="b">
        <f>M8&lt;Y18</f>
        <v>1</v>
      </c>
      <c r="R8" s="26">
        <f t="shared" si="1"/>
        <v>615.1809000000012</v>
      </c>
      <c r="S8" s="27">
        <f t="shared" si="2"/>
        <v>615.1809000000012</v>
      </c>
      <c r="T8" s="29">
        <f>IF(P8,0,Ofertas!V8-CapInicial)</f>
        <v>-496.39963495145093</v>
      </c>
      <c r="U8" s="27">
        <f>IF(P8,0,CapInicial+Ofertas!S8)</f>
        <v>10615.180900000001</v>
      </c>
      <c r="V8" s="25">
        <f>U8*((1-Y16)^Y19)</f>
        <v>9503.6003650485491</v>
      </c>
    </row>
    <row r="9" spans="1:34" x14ac:dyDescent="0.25">
      <c r="A9" s="6">
        <v>7</v>
      </c>
      <c r="B9" s="6" t="s">
        <v>10</v>
      </c>
      <c r="C9" s="6" t="s">
        <v>13</v>
      </c>
      <c r="D9" s="6">
        <v>2</v>
      </c>
      <c r="E9" s="7">
        <v>100</v>
      </c>
      <c r="F9" s="8" t="s">
        <v>48</v>
      </c>
      <c r="G9" s="9">
        <v>6.4000000000000001E-2</v>
      </c>
      <c r="H9" s="9">
        <v>0</v>
      </c>
      <c r="I9" s="36">
        <f t="shared" ca="1" si="0"/>
        <v>0</v>
      </c>
      <c r="J9" s="13">
        <f>IFERROR(MATCH(D9,FatorIR:FatorIRF,0)*IRP,0)</f>
        <v>0</v>
      </c>
      <c r="K9" s="15" t="s">
        <v>53</v>
      </c>
      <c r="L9" s="15">
        <v>36</v>
      </c>
      <c r="M9" s="15">
        <v>36</v>
      </c>
      <c r="N9" s="15" t="s">
        <v>56</v>
      </c>
      <c r="O9" s="15" t="s">
        <v>57</v>
      </c>
      <c r="P9" s="14" t="b">
        <f>L9&gt;Y18</f>
        <v>0</v>
      </c>
      <c r="Q9" s="14" t="b">
        <f>M9&lt;Y18</f>
        <v>0</v>
      </c>
      <c r="R9" s="26">
        <f t="shared" si="1"/>
        <v>2045.5014400000036</v>
      </c>
      <c r="S9" s="27">
        <f t="shared" si="2"/>
        <v>2045.5014400000036</v>
      </c>
      <c r="T9" s="29">
        <f>IF(P9,0,Ofertas!V9-CapInicial)</f>
        <v>784.14329070707026</v>
      </c>
      <c r="U9" s="27">
        <f>IF(P9,0,CapInicial+Ofertas!S9)</f>
        <v>12045.501440000004</v>
      </c>
      <c r="V9" s="25">
        <f>U9*((1-Y16)^Y19)</f>
        <v>10784.14329070707</v>
      </c>
      <c r="X9" s="19" t="s">
        <v>60</v>
      </c>
      <c r="Y9" s="19" t="s">
        <v>9</v>
      </c>
      <c r="Z9" s="19" t="s">
        <v>64</v>
      </c>
    </row>
    <row r="10" spans="1:34" x14ac:dyDescent="0.25">
      <c r="A10" s="6">
        <v>8</v>
      </c>
      <c r="B10" s="6" t="s">
        <v>11</v>
      </c>
      <c r="C10" s="6" t="s">
        <v>13</v>
      </c>
      <c r="D10" s="6">
        <v>2</v>
      </c>
      <c r="E10" s="7">
        <v>100</v>
      </c>
      <c r="F10" s="8" t="s">
        <v>48</v>
      </c>
      <c r="G10" s="9">
        <v>5.3999999999999999E-2</v>
      </c>
      <c r="H10" s="9">
        <v>0</v>
      </c>
      <c r="I10" s="36">
        <f t="shared" ca="1" si="0"/>
        <v>0</v>
      </c>
      <c r="J10" s="13">
        <f>IFERROR(MATCH(D10,FatorIR:FatorIRF,0)*IRP,0)</f>
        <v>0</v>
      </c>
      <c r="K10" s="15" t="s">
        <v>53</v>
      </c>
      <c r="L10" s="15">
        <v>24</v>
      </c>
      <c r="M10" s="15">
        <v>24</v>
      </c>
      <c r="N10" s="15" t="s">
        <v>56</v>
      </c>
      <c r="O10" s="15" t="s">
        <v>57</v>
      </c>
      <c r="P10" s="14" t="b">
        <f>L10&gt;Y18</f>
        <v>0</v>
      </c>
      <c r="Q10" s="14" t="b">
        <f>M10&lt;Y18</f>
        <v>1</v>
      </c>
      <c r="R10" s="26">
        <f t="shared" si="1"/>
        <v>1109.1599999999999</v>
      </c>
      <c r="S10" s="27">
        <f t="shared" si="2"/>
        <v>1109.1599999999999</v>
      </c>
      <c r="T10" s="29">
        <f>IF(P10,0,Ofertas!V10-CapInicial)</f>
        <v>-54.148108641020372</v>
      </c>
      <c r="U10" s="27">
        <f>IF(P10,0,CapInicial+Ofertas!S10)</f>
        <v>11109.16</v>
      </c>
      <c r="V10" s="25">
        <f>U10*((1-Y16)^Y19)</f>
        <v>9945.8518913589796</v>
      </c>
      <c r="X10" s="19">
        <v>6</v>
      </c>
      <c r="Y10" s="28">
        <v>0.22500000000000001</v>
      </c>
      <c r="Z10" s="28">
        <v>1</v>
      </c>
    </row>
    <row r="11" spans="1:34" x14ac:dyDescent="0.25">
      <c r="A11" s="6">
        <v>9</v>
      </c>
      <c r="B11" s="6" t="s">
        <v>15</v>
      </c>
      <c r="C11" s="6" t="s">
        <v>16</v>
      </c>
      <c r="D11" s="6">
        <v>4</v>
      </c>
      <c r="E11" s="7">
        <v>753.85</v>
      </c>
      <c r="F11" s="8">
        <v>1</v>
      </c>
      <c r="G11" s="9">
        <f>Ofertas!Y15+2.15%</f>
        <v>5.1499999999999997E-2</v>
      </c>
      <c r="H11" s="9">
        <v>0</v>
      </c>
      <c r="I11" s="36">
        <f t="shared" ca="1" si="0"/>
        <v>0</v>
      </c>
      <c r="J11" s="13">
        <f>IFERROR(MATCH(D11,FatorIR:FatorIRF,0)*IRP,0)</f>
        <v>0</v>
      </c>
      <c r="K11" s="15" t="s">
        <v>53</v>
      </c>
      <c r="L11" s="15">
        <v>24</v>
      </c>
      <c r="M11" s="15">
        <v>24</v>
      </c>
      <c r="N11" s="15" t="s">
        <v>54</v>
      </c>
      <c r="O11" s="15" t="s">
        <v>58</v>
      </c>
      <c r="P11" s="14" t="b">
        <f>L11&gt;Y18</f>
        <v>0</v>
      </c>
      <c r="Q11" s="14" t="b">
        <f>M11&lt;Y18</f>
        <v>1</v>
      </c>
      <c r="R11" s="26">
        <f t="shared" si="1"/>
        <v>1056.5225000000009</v>
      </c>
      <c r="S11" s="27">
        <f t="shared" si="2"/>
        <v>1056.5225000000009</v>
      </c>
      <c r="T11" s="29">
        <f>IF(P11,0,Ofertas!V11-CapInicial)</f>
        <v>-101.27361398358335</v>
      </c>
      <c r="U11" s="27">
        <f>IF(P11,0,CapInicial+Ofertas!S11)</f>
        <v>11056.522500000001</v>
      </c>
      <c r="V11" s="25">
        <f>U11*((1-Y16)^Y19)</f>
        <v>9898.7263860164167</v>
      </c>
      <c r="X11" s="19">
        <v>12</v>
      </c>
      <c r="Y11" s="28">
        <v>0.2</v>
      </c>
      <c r="Z11" s="28">
        <f>Y11/Y10</f>
        <v>0.88888888888888895</v>
      </c>
    </row>
    <row r="12" spans="1:34" x14ac:dyDescent="0.25">
      <c r="A12" s="6">
        <v>10</v>
      </c>
      <c r="B12" s="6" t="s">
        <v>17</v>
      </c>
      <c r="C12" s="6" t="s">
        <v>18</v>
      </c>
      <c r="D12" s="6">
        <v>4</v>
      </c>
      <c r="E12" s="7">
        <v>980.28</v>
      </c>
      <c r="F12" s="8">
        <v>1</v>
      </c>
      <c r="G12" s="9">
        <f>Ofertas!Y15*130%</f>
        <v>3.9E-2</v>
      </c>
      <c r="H12" s="9">
        <v>0</v>
      </c>
      <c r="I12" s="36">
        <f t="shared" ca="1" si="0"/>
        <v>0</v>
      </c>
      <c r="J12" s="13">
        <f>IFERROR(MATCH(D12,FatorIR:FatorIRF,0)*IRP,0)</f>
        <v>0</v>
      </c>
      <c r="K12" s="15" t="s">
        <v>53</v>
      </c>
      <c r="L12" s="15">
        <v>30</v>
      </c>
      <c r="M12" s="15">
        <v>30</v>
      </c>
      <c r="N12" s="15" t="s">
        <v>55</v>
      </c>
      <c r="O12" s="15" t="s">
        <v>58</v>
      </c>
      <c r="P12" s="14" t="b">
        <f>L12&gt;Y18</f>
        <v>0</v>
      </c>
      <c r="Q12" s="14" t="b">
        <f>M12&lt;Y18</f>
        <v>1</v>
      </c>
      <c r="R12" s="26">
        <f t="shared" si="1"/>
        <v>1003.7032285917212</v>
      </c>
      <c r="S12" s="27">
        <f t="shared" si="2"/>
        <v>1003.7032285917212</v>
      </c>
      <c r="T12" s="29">
        <f>IF(P12,0,Ofertas!V12-CapInicial)</f>
        <v>-148.56185633820314</v>
      </c>
      <c r="U12" s="27">
        <f>IF(P12,0,CapInicial+Ofertas!S12)</f>
        <v>11003.703228591721</v>
      </c>
      <c r="V12" s="25">
        <f>U12*((1-Y16)^Y19)</f>
        <v>9851.4381436617969</v>
      </c>
      <c r="X12" s="19">
        <v>18</v>
      </c>
      <c r="Y12" s="28">
        <v>0.17499999999999999</v>
      </c>
      <c r="Z12" s="28">
        <f>Y12/Y10</f>
        <v>0.77777777777777768</v>
      </c>
    </row>
    <row r="13" spans="1:34" x14ac:dyDescent="0.25">
      <c r="A13" s="6">
        <v>11</v>
      </c>
      <c r="B13" s="6" t="s">
        <v>19</v>
      </c>
      <c r="C13" s="6" t="s">
        <v>20</v>
      </c>
      <c r="D13" s="6">
        <v>4</v>
      </c>
      <c r="E13" s="7">
        <v>1003.56</v>
      </c>
      <c r="F13" s="8">
        <v>1</v>
      </c>
      <c r="G13" s="9">
        <f>Ofertas!Y15*118%</f>
        <v>3.5399999999999994E-2</v>
      </c>
      <c r="H13" s="9">
        <v>0</v>
      </c>
      <c r="I13" s="36">
        <f t="shared" ca="1" si="0"/>
        <v>0</v>
      </c>
      <c r="J13" s="13">
        <f>IFERROR(MATCH(D13,FatorIR:FatorIRF,0)*IRP,0)</f>
        <v>0</v>
      </c>
      <c r="K13" s="15" t="s">
        <v>53</v>
      </c>
      <c r="L13" s="15">
        <v>6</v>
      </c>
      <c r="M13" s="15">
        <v>6</v>
      </c>
      <c r="N13" s="15" t="s">
        <v>48</v>
      </c>
      <c r="O13" s="15" t="s">
        <v>58</v>
      </c>
      <c r="P13" s="14" t="b">
        <f>L13&gt;Y18</f>
        <v>0</v>
      </c>
      <c r="Q13" s="14" t="b">
        <f>M13&lt;Y18</f>
        <v>1</v>
      </c>
      <c r="R13" s="26">
        <f t="shared" si="1"/>
        <v>175.46067753200077</v>
      </c>
      <c r="S13" s="27">
        <f t="shared" si="2"/>
        <v>175.46067753200077</v>
      </c>
      <c r="T13" s="29">
        <f>IF(P13,0,Ofertas!V13-CapInicial)</f>
        <v>-890.0740627481664</v>
      </c>
      <c r="U13" s="27">
        <f>IF(P13,0,CapInicial+Ofertas!S13)</f>
        <v>10175.460677532001</v>
      </c>
      <c r="V13" s="25">
        <f>U13*((1-Y16)^Y19)</f>
        <v>9109.9259372518336</v>
      </c>
      <c r="X13" s="19">
        <v>24</v>
      </c>
      <c r="Y13" s="28">
        <v>0.15</v>
      </c>
      <c r="Z13" s="28">
        <f>Y13/Y10</f>
        <v>0.66666666666666663</v>
      </c>
    </row>
    <row r="14" spans="1:34" x14ac:dyDescent="0.25">
      <c r="A14" s="6">
        <v>12</v>
      </c>
      <c r="B14" s="6" t="s">
        <v>49</v>
      </c>
      <c r="C14" s="6" t="s">
        <v>16</v>
      </c>
      <c r="D14" s="6">
        <v>4</v>
      </c>
      <c r="E14" s="7">
        <v>972.67</v>
      </c>
      <c r="F14" s="8">
        <v>1</v>
      </c>
      <c r="G14" s="9">
        <f>Ofertas!Y15*128%</f>
        <v>3.8399999999999997E-2</v>
      </c>
      <c r="H14" s="9">
        <v>0</v>
      </c>
      <c r="I14" s="36">
        <f t="shared" ca="1" si="0"/>
        <v>0</v>
      </c>
      <c r="J14" s="13">
        <f>IFERROR(MATCH(D14,FatorIR:FatorIRF,0)*IRP,0)</f>
        <v>0</v>
      </c>
      <c r="K14" s="15" t="s">
        <v>53</v>
      </c>
      <c r="L14" s="15">
        <v>18</v>
      </c>
      <c r="M14" s="15">
        <v>18</v>
      </c>
      <c r="N14" s="15" t="s">
        <v>54</v>
      </c>
      <c r="O14" s="15" t="s">
        <v>58</v>
      </c>
      <c r="P14" s="14" t="b">
        <f>L14&gt;Y18</f>
        <v>0</v>
      </c>
      <c r="Q14" s="14" t="b">
        <f>M14&lt;Y18</f>
        <v>1</v>
      </c>
      <c r="R14" s="26">
        <f t="shared" si="1"/>
        <v>581.49471059736425</v>
      </c>
      <c r="S14" s="27">
        <f t="shared" si="2"/>
        <v>581.49471059736425</v>
      </c>
      <c r="T14" s="29">
        <f>IF(P14,0,Ofertas!V14-CapInicial)</f>
        <v>-526.55833737205649</v>
      </c>
      <c r="U14" s="27">
        <f>IF(P14,0,CapInicial+Ofertas!S14)</f>
        <v>10581.494710597364</v>
      </c>
      <c r="V14" s="25">
        <f>U14*((1-Y16)^Y19)</f>
        <v>9473.4416626279435</v>
      </c>
    </row>
    <row r="15" spans="1:34" x14ac:dyDescent="0.25">
      <c r="A15" s="6">
        <v>13</v>
      </c>
      <c r="B15" s="6" t="s">
        <v>26</v>
      </c>
      <c r="C15" s="6" t="s">
        <v>27</v>
      </c>
      <c r="D15" s="6">
        <v>5</v>
      </c>
      <c r="E15" s="7">
        <v>1311.35</v>
      </c>
      <c r="F15" s="8">
        <v>1</v>
      </c>
      <c r="G15" s="9">
        <f>Ofertas!Y16+2%</f>
        <v>5.62E-2</v>
      </c>
      <c r="H15" s="9">
        <v>0</v>
      </c>
      <c r="I15" s="36">
        <f t="shared" ca="1" si="0"/>
        <v>0</v>
      </c>
      <c r="J15" s="13">
        <f>IFERROR(MATCH(D15,FatorIR:FatorIRF,0)*IRP,0)</f>
        <v>0</v>
      </c>
      <c r="K15" s="15" t="s">
        <v>53</v>
      </c>
      <c r="L15" s="15">
        <v>30</v>
      </c>
      <c r="M15" s="15">
        <v>30</v>
      </c>
      <c r="N15" s="15" t="s">
        <v>55</v>
      </c>
      <c r="O15" s="15" t="s">
        <v>58</v>
      </c>
      <c r="P15" s="14" t="b">
        <f>L15&gt;Y18</f>
        <v>0</v>
      </c>
      <c r="Q15" s="14" t="b">
        <f>M15&lt;Y18</f>
        <v>1</v>
      </c>
      <c r="R15" s="26">
        <f t="shared" si="1"/>
        <v>1464.7716184533638</v>
      </c>
      <c r="S15" s="27">
        <f t="shared" si="2"/>
        <v>1464.7716184533638</v>
      </c>
      <c r="T15" s="29">
        <f>IF(P15,0,Ofertas!V15-CapInicial)</f>
        <v>264.22524163781418</v>
      </c>
      <c r="U15" s="27">
        <f>IF(P15,0,CapInicial+Ofertas!S15)</f>
        <v>11464.771618453364</v>
      </c>
      <c r="V15" s="25">
        <f>U15*((1-Y16)^Y19)</f>
        <v>10264.225241637814</v>
      </c>
      <c r="X15" s="16" t="s">
        <v>41</v>
      </c>
      <c r="Y15" s="17">
        <v>0.03</v>
      </c>
      <c r="Z15" s="30">
        <f>Y15*100</f>
        <v>3</v>
      </c>
    </row>
    <row r="16" spans="1:34" x14ac:dyDescent="0.25">
      <c r="A16" s="6">
        <v>14</v>
      </c>
      <c r="B16" s="6" t="s">
        <v>28</v>
      </c>
      <c r="C16" s="6" t="s">
        <v>29</v>
      </c>
      <c r="D16" s="6">
        <v>5</v>
      </c>
      <c r="E16" s="7">
        <v>1004.11</v>
      </c>
      <c r="F16" s="8">
        <v>1</v>
      </c>
      <c r="G16" s="9">
        <f>Ofertas!Y15+2.3%</f>
        <v>5.2999999999999999E-2</v>
      </c>
      <c r="H16" s="9">
        <v>0</v>
      </c>
      <c r="I16" s="36">
        <f t="shared" ca="1" si="0"/>
        <v>0</v>
      </c>
      <c r="J16" s="13">
        <f>IFERROR(MATCH(D16,FatorIR:FatorIRF,0)*IRP,0)</f>
        <v>0</v>
      </c>
      <c r="K16" s="15" t="s">
        <v>53</v>
      </c>
      <c r="L16" s="15">
        <v>24</v>
      </c>
      <c r="M16" s="15">
        <v>24</v>
      </c>
      <c r="N16" s="15" t="s">
        <v>55</v>
      </c>
      <c r="O16" s="15" t="s">
        <v>58</v>
      </c>
      <c r="P16" s="14" t="b">
        <f>L16&gt;Y18</f>
        <v>0</v>
      </c>
      <c r="Q16" s="14" t="b">
        <f>M16&lt;Y18</f>
        <v>1</v>
      </c>
      <c r="R16" s="26">
        <f t="shared" si="1"/>
        <v>1088.0900000000001</v>
      </c>
      <c r="S16" s="27">
        <f t="shared" si="2"/>
        <v>1088.0900000000001</v>
      </c>
      <c r="T16" s="29">
        <f>IF(P16,0,Ofertas!V16-CapInicial)</f>
        <v>-73.011740036276024</v>
      </c>
      <c r="U16" s="27">
        <f>IF(P16,0,CapInicial+Ofertas!S16)</f>
        <v>11088.09</v>
      </c>
      <c r="V16" s="25">
        <f>U16*((1-Y16)^Y19)</f>
        <v>9926.988259963724</v>
      </c>
      <c r="X16" s="16" t="s">
        <v>42</v>
      </c>
      <c r="Y16" s="17">
        <v>3.6200000000000003E-2</v>
      </c>
      <c r="Z16" s="30">
        <f>Y16*100</f>
        <v>3.62</v>
      </c>
    </row>
    <row r="17" spans="1:25" x14ac:dyDescent="0.25">
      <c r="A17" s="6">
        <v>15</v>
      </c>
      <c r="B17" s="6" t="s">
        <v>30</v>
      </c>
      <c r="C17" s="6" t="s">
        <v>31</v>
      </c>
      <c r="D17" s="6">
        <v>5</v>
      </c>
      <c r="E17" s="7">
        <v>976.49</v>
      </c>
      <c r="F17" s="8">
        <v>1</v>
      </c>
      <c r="G17" s="9">
        <f>Ofertas!Y15*126%</f>
        <v>3.78E-2</v>
      </c>
      <c r="H17" s="9">
        <v>0</v>
      </c>
      <c r="I17" s="36">
        <f t="shared" ca="1" si="0"/>
        <v>0</v>
      </c>
      <c r="J17" s="13">
        <f>IFERROR(MATCH(D17,FatorIR:FatorIRF,0)*IRP,0)</f>
        <v>0</v>
      </c>
      <c r="K17" s="15" t="s">
        <v>53</v>
      </c>
      <c r="L17" s="15">
        <v>18</v>
      </c>
      <c r="M17" s="15">
        <v>18</v>
      </c>
      <c r="N17" s="15" t="s">
        <v>55</v>
      </c>
      <c r="O17" s="15" t="s">
        <v>58</v>
      </c>
      <c r="P17" s="14" t="b">
        <f>L17&gt;Y18</f>
        <v>0</v>
      </c>
      <c r="Q17" s="14" t="b">
        <f>M17&lt;Y18</f>
        <v>1</v>
      </c>
      <c r="R17" s="26">
        <f t="shared" si="1"/>
        <v>572.32486330229949</v>
      </c>
      <c r="S17" s="27">
        <f t="shared" si="2"/>
        <v>572.32486330229949</v>
      </c>
      <c r="T17" s="29">
        <f>IF(P17,0,Ofertas!V17-CapInicial)</f>
        <v>-534.76795385638979</v>
      </c>
      <c r="U17" s="27">
        <f>IF(P17,0,CapInicial+Ofertas!S17)</f>
        <v>10572.324863302299</v>
      </c>
      <c r="V17" s="25">
        <f>U17*((1-Y16)^Y19)</f>
        <v>9465.2320461436102</v>
      </c>
    </row>
    <row r="18" spans="1:25" x14ac:dyDescent="0.25">
      <c r="A18" s="6">
        <v>16</v>
      </c>
      <c r="B18" s="6" t="s">
        <v>50</v>
      </c>
      <c r="C18" s="6" t="s">
        <v>33</v>
      </c>
      <c r="D18" s="6">
        <v>5</v>
      </c>
      <c r="E18" s="7">
        <v>996.87</v>
      </c>
      <c r="F18" s="8">
        <v>1</v>
      </c>
      <c r="G18" s="9">
        <f>Ofertas!Y15*120%</f>
        <v>3.5999999999999997E-2</v>
      </c>
      <c r="H18" s="9">
        <v>0</v>
      </c>
      <c r="I18" s="36">
        <f t="shared" ca="1" si="0"/>
        <v>0</v>
      </c>
      <c r="J18" s="13">
        <f>IFERROR(MATCH(D18,FatorIR:FatorIRF,0)*IRP,0)</f>
        <v>0</v>
      </c>
      <c r="K18" s="15" t="s">
        <v>53</v>
      </c>
      <c r="L18" s="15">
        <v>12</v>
      </c>
      <c r="M18" s="15">
        <v>12</v>
      </c>
      <c r="N18" s="15" t="s">
        <v>54</v>
      </c>
      <c r="O18" s="15" t="s">
        <v>58</v>
      </c>
      <c r="P18" s="14" t="b">
        <f>L18&gt;Y18</f>
        <v>0</v>
      </c>
      <c r="Q18" s="14" t="b">
        <f>M18&lt;Y18</f>
        <v>1</v>
      </c>
      <c r="R18" s="26">
        <f t="shared" si="1"/>
        <v>360</v>
      </c>
      <c r="S18" s="27">
        <f t="shared" si="2"/>
        <v>360</v>
      </c>
      <c r="T18" s="29">
        <f>IF(P18,0,Ofertas!V18-CapInicial)</f>
        <v>-724.85898173407986</v>
      </c>
      <c r="U18" s="27">
        <f>IF(P18,0,CapInicial+Ofertas!S18)</f>
        <v>10360</v>
      </c>
      <c r="V18" s="25">
        <f>U18*((1-Y16)^Y19)</f>
        <v>9275.1410182659201</v>
      </c>
      <c r="X18" s="24" t="s">
        <v>79</v>
      </c>
      <c r="Y18" s="24">
        <f>Inicial!A2</f>
        <v>36</v>
      </c>
    </row>
    <row r="19" spans="1:25" x14ac:dyDescent="0.25">
      <c r="A19" s="6">
        <v>17</v>
      </c>
      <c r="B19" s="6" t="s">
        <v>32</v>
      </c>
      <c r="C19" s="6" t="s">
        <v>33</v>
      </c>
      <c r="D19" s="6">
        <v>5</v>
      </c>
      <c r="E19" s="7">
        <v>1316.62</v>
      </c>
      <c r="F19" s="8">
        <v>1</v>
      </c>
      <c r="G19" s="9">
        <f>Ofertas!Y16+2%</f>
        <v>5.62E-2</v>
      </c>
      <c r="H19" s="9">
        <v>0</v>
      </c>
      <c r="I19" s="36">
        <f t="shared" ca="1" si="0"/>
        <v>0</v>
      </c>
      <c r="J19" s="13">
        <f>IFERROR(MATCH(D19,FatorIR:FatorIRF,0)*IRP,0)</f>
        <v>0</v>
      </c>
      <c r="K19" s="15" t="s">
        <v>53</v>
      </c>
      <c r="L19" s="15">
        <v>30</v>
      </c>
      <c r="M19" s="15">
        <v>30</v>
      </c>
      <c r="N19" s="15" t="s">
        <v>54</v>
      </c>
      <c r="O19" s="15" t="s">
        <v>58</v>
      </c>
      <c r="P19" s="14" t="b">
        <f>L19&gt;Y18</f>
        <v>0</v>
      </c>
      <c r="Q19" s="14" t="b">
        <f>M19&lt;Y18</f>
        <v>1</v>
      </c>
      <c r="R19" s="26">
        <f t="shared" si="1"/>
        <v>1464.7716184533638</v>
      </c>
      <c r="S19" s="27">
        <f t="shared" si="2"/>
        <v>1464.7716184533638</v>
      </c>
      <c r="T19" s="29">
        <f>IF(P19,0,Ofertas!V19-CapInicial)</f>
        <v>264.22524163781418</v>
      </c>
      <c r="U19" s="27">
        <f>IF(P19,0,CapInicial+Ofertas!S19)</f>
        <v>11464.771618453364</v>
      </c>
      <c r="V19" s="25">
        <f>U19*((1-Y16)^Y19)</f>
        <v>10264.225241637814</v>
      </c>
      <c r="X19" s="24" t="s">
        <v>71</v>
      </c>
      <c r="Y19" s="24">
        <f>Inicial!A2/12</f>
        <v>3</v>
      </c>
    </row>
    <row r="20" spans="1:25" x14ac:dyDescent="0.25">
      <c r="A20" s="6">
        <v>18</v>
      </c>
      <c r="B20" s="6" t="s">
        <v>34</v>
      </c>
      <c r="C20" s="6" t="s">
        <v>33</v>
      </c>
      <c r="D20" s="6">
        <v>5</v>
      </c>
      <c r="E20" s="7">
        <v>985.31</v>
      </c>
      <c r="F20" s="8">
        <v>1</v>
      </c>
      <c r="G20" s="9">
        <f>Ofertas!Y15*126%</f>
        <v>3.78E-2</v>
      </c>
      <c r="H20" s="9">
        <v>0</v>
      </c>
      <c r="I20" s="36">
        <f t="shared" ca="1" si="0"/>
        <v>0</v>
      </c>
      <c r="J20" s="13">
        <f>IFERROR(MATCH(D20,FatorIR:FatorIRF,0)*IRP,0)</f>
        <v>0</v>
      </c>
      <c r="K20" s="15" t="s">
        <v>53</v>
      </c>
      <c r="L20" s="15">
        <v>18</v>
      </c>
      <c r="M20" s="15">
        <v>18</v>
      </c>
      <c r="N20" s="15" t="s">
        <v>54</v>
      </c>
      <c r="O20" s="15" t="s">
        <v>58</v>
      </c>
      <c r="P20" s="14" t="b">
        <f>L20&gt;Y18</f>
        <v>0</v>
      </c>
      <c r="Q20" s="14" t="b">
        <f>M20&lt;Y18</f>
        <v>1</v>
      </c>
      <c r="R20" s="26">
        <f t="shared" si="1"/>
        <v>572.32486330229949</v>
      </c>
      <c r="S20" s="27">
        <f t="shared" si="2"/>
        <v>572.32486330229949</v>
      </c>
      <c r="T20" s="29">
        <f>IF(P20,0,Ofertas!V20-CapInicial)</f>
        <v>-534.76795385638979</v>
      </c>
      <c r="U20" s="27">
        <f>IF(P20,0,CapInicial+Ofertas!S20)</f>
        <v>10572.324863302299</v>
      </c>
      <c r="V20" s="25">
        <f>U20*((1-Y16)^Y19)</f>
        <v>9465.2320461436102</v>
      </c>
    </row>
    <row r="21" spans="1:25" x14ac:dyDescent="0.25">
      <c r="A21" s="6">
        <v>19</v>
      </c>
      <c r="B21" s="6" t="s">
        <v>35</v>
      </c>
      <c r="C21" s="6" t="s">
        <v>36</v>
      </c>
      <c r="D21" s="6">
        <v>5</v>
      </c>
      <c r="E21" s="7">
        <v>995.54</v>
      </c>
      <c r="F21" s="8">
        <v>1</v>
      </c>
      <c r="G21" s="9">
        <f>Ofertas!Y15*122%</f>
        <v>3.6600000000000001E-2</v>
      </c>
      <c r="H21" s="9">
        <v>0</v>
      </c>
      <c r="I21" s="36">
        <f t="shared" ca="1" si="0"/>
        <v>0</v>
      </c>
      <c r="J21" s="13">
        <f>IFERROR(MATCH(D21,FatorIR:FatorIRF,0)*IRP,0)</f>
        <v>0</v>
      </c>
      <c r="K21" s="15" t="s">
        <v>53</v>
      </c>
      <c r="L21" s="15">
        <v>12</v>
      </c>
      <c r="M21" s="15">
        <v>12</v>
      </c>
      <c r="N21" s="15" t="s">
        <v>54</v>
      </c>
      <c r="O21" s="15" t="s">
        <v>58</v>
      </c>
      <c r="P21" s="14" t="b">
        <f>L21&gt;Y18</f>
        <v>0</v>
      </c>
      <c r="Q21" s="14" t="b">
        <f>M21&lt;Y18</f>
        <v>1</v>
      </c>
      <c r="R21" s="26">
        <f t="shared" si="1"/>
        <v>366</v>
      </c>
      <c r="S21" s="27">
        <f t="shared" si="2"/>
        <v>366</v>
      </c>
      <c r="T21" s="29">
        <f>IF(P21,0,Ofertas!V21-CapInicial)</f>
        <v>-719.4872784416475</v>
      </c>
      <c r="U21" s="27">
        <f>IF(P21,0,CapInicial+Ofertas!S21)</f>
        <v>10366</v>
      </c>
      <c r="V21" s="25">
        <f>U21*((1-Y16)^Y19)</f>
        <v>9280.5127215583525</v>
      </c>
      <c r="X21" s="45" t="s">
        <v>78</v>
      </c>
      <c r="Y21" s="46">
        <f>IF(PrazoM=0,0,IF(PrazoM&lt;7,22.5%,IF(PrazoM&lt;13,20%,IF(PrazoM&lt;25,17.5%,IF(PrazoM&gt;25,15%)))))</f>
        <v>0.15</v>
      </c>
    </row>
    <row r="22" spans="1:25" x14ac:dyDescent="0.25">
      <c r="A22" s="6">
        <v>20</v>
      </c>
      <c r="B22" s="6" t="s">
        <v>37</v>
      </c>
      <c r="C22" s="6" t="s">
        <v>38</v>
      </c>
      <c r="D22" s="6">
        <v>5</v>
      </c>
      <c r="E22" s="7">
        <v>969.8</v>
      </c>
      <c r="F22" s="8">
        <v>1</v>
      </c>
      <c r="G22" s="9">
        <f>Ofertas!Y15*123%</f>
        <v>3.6899999999999995E-2</v>
      </c>
      <c r="H22" s="9">
        <v>0</v>
      </c>
      <c r="I22" s="36">
        <f t="shared" ca="1" si="0"/>
        <v>0</v>
      </c>
      <c r="J22" s="13">
        <f>IFERROR(MATCH(D22,FatorIR:FatorIRF,0)*IRP,0)</f>
        <v>0</v>
      </c>
      <c r="K22" s="15" t="s">
        <v>53</v>
      </c>
      <c r="L22" s="15">
        <v>24</v>
      </c>
      <c r="M22" s="15">
        <v>24</v>
      </c>
      <c r="N22" s="15" t="s">
        <v>54</v>
      </c>
      <c r="O22" s="15" t="s">
        <v>58</v>
      </c>
      <c r="P22" s="14" t="b">
        <f>L22&gt;Y18</f>
        <v>0</v>
      </c>
      <c r="Q22" s="14" t="b">
        <f>M22&lt;Y18</f>
        <v>1</v>
      </c>
      <c r="R22" s="26">
        <f t="shared" si="1"/>
        <v>751.61609999999928</v>
      </c>
      <c r="S22" s="27">
        <f t="shared" si="2"/>
        <v>751.61609999999928</v>
      </c>
      <c r="T22" s="29">
        <f>IF(P22,0,Ofertas!V22-CapInicial)</f>
        <v>-374.25139944418333</v>
      </c>
      <c r="U22" s="27">
        <f>IF(P22,0,CapInicial+Ofertas!S22)</f>
        <v>10751.616099999999</v>
      </c>
      <c r="V22" s="25">
        <f>U22*((1-Y16)^Y19)</f>
        <v>9625.7486005558167</v>
      </c>
      <c r="X22" s="45"/>
      <c r="Y22" s="46"/>
    </row>
    <row r="23" spans="1:25" x14ac:dyDescent="0.25">
      <c r="A23" s="6">
        <v>21</v>
      </c>
      <c r="B23" s="6" t="s">
        <v>40</v>
      </c>
      <c r="C23" s="6" t="s">
        <v>38</v>
      </c>
      <c r="D23" s="6">
        <v>5</v>
      </c>
      <c r="E23" s="7">
        <v>1331.73</v>
      </c>
      <c r="F23" s="8">
        <v>1</v>
      </c>
      <c r="G23" s="9">
        <f>Ofertas!Y16+2%</f>
        <v>5.62E-2</v>
      </c>
      <c r="H23" s="9">
        <v>0</v>
      </c>
      <c r="I23" s="36">
        <f t="shared" ca="1" si="0"/>
        <v>0</v>
      </c>
      <c r="J23" s="13">
        <f>IFERROR(MATCH(D23,FatorIR:FatorIRF,0)*IRP,0)</f>
        <v>0</v>
      </c>
      <c r="K23" s="15" t="s">
        <v>53</v>
      </c>
      <c r="L23" s="15">
        <v>24</v>
      </c>
      <c r="M23" s="15">
        <v>24</v>
      </c>
      <c r="N23" s="15" t="s">
        <v>54</v>
      </c>
      <c r="O23" s="15" t="s">
        <v>58</v>
      </c>
      <c r="P23" s="14" t="b">
        <f>L23&gt;Y18</f>
        <v>0</v>
      </c>
      <c r="Q23" s="14" t="b">
        <f>M23&lt;Y18</f>
        <v>1</v>
      </c>
      <c r="R23" s="26">
        <f t="shared" si="1"/>
        <v>1155.5843999999997</v>
      </c>
      <c r="S23" s="27">
        <f t="shared" si="2"/>
        <v>1155.5843999999997</v>
      </c>
      <c r="T23" s="29">
        <f>IF(P23,0,Ofertas!V23-CapInicial)</f>
        <v>-12.585091586157432</v>
      </c>
      <c r="U23" s="27">
        <f>IF(P23,0,CapInicial+Ofertas!S23)</f>
        <v>11155.5844</v>
      </c>
      <c r="V23" s="25">
        <f>U23*((1-Y16)^Y19)</f>
        <v>9987.4149084138426</v>
      </c>
      <c r="X23" s="45"/>
      <c r="Y23" s="46"/>
    </row>
    <row r="24" spans="1:25" x14ac:dyDescent="0.25">
      <c r="A24" s="6">
        <v>22</v>
      </c>
      <c r="B24" s="6" t="s">
        <v>39</v>
      </c>
      <c r="C24" s="6" t="s">
        <v>38</v>
      </c>
      <c r="D24" s="6">
        <v>5</v>
      </c>
      <c r="E24" s="7">
        <v>992.16</v>
      </c>
      <c r="F24" s="8">
        <v>1</v>
      </c>
      <c r="G24" s="9">
        <f>Ofertas!Y15*125%</f>
        <v>3.7499999999999999E-2</v>
      </c>
      <c r="H24" s="9">
        <v>0</v>
      </c>
      <c r="I24" s="36">
        <f t="shared" ca="1" si="0"/>
        <v>0</v>
      </c>
      <c r="J24" s="13">
        <f>IFERROR(MATCH(D24,FatorIR:FatorIRF,0)*IRP,0)</f>
        <v>0</v>
      </c>
      <c r="K24" s="15" t="s">
        <v>53</v>
      </c>
      <c r="L24" s="15">
        <v>12</v>
      </c>
      <c r="M24" s="15">
        <v>12</v>
      </c>
      <c r="N24" s="15" t="s">
        <v>54</v>
      </c>
      <c r="O24" s="15" t="s">
        <v>58</v>
      </c>
      <c r="P24" s="14" t="b">
        <f>L24&gt;Y18</f>
        <v>0</v>
      </c>
      <c r="Q24" s="14" t="b">
        <f>M24&lt;Y18</f>
        <v>1</v>
      </c>
      <c r="R24" s="26">
        <f t="shared" si="1"/>
        <v>375</v>
      </c>
      <c r="S24" s="27">
        <f t="shared" si="2"/>
        <v>375</v>
      </c>
      <c r="T24" s="29">
        <f>IF(P24,0,Ofertas!V24-CapInicial)</f>
        <v>-711.42972350299897</v>
      </c>
      <c r="U24" s="27">
        <f>IF(P24,0,CapInicial+Ofertas!S24)</f>
        <v>10375</v>
      </c>
      <c r="V24" s="25">
        <f>U24*((1-Y16)^Y19)</f>
        <v>9288.570276497001</v>
      </c>
    </row>
    <row r="25" spans="1:25" x14ac:dyDescent="0.25">
      <c r="A25" s="23">
        <f>MATCH(T25,T3:T24,0)</f>
        <v>7</v>
      </c>
      <c r="B25" s="23" t="str">
        <f ca="1">OFFSET(B2,A25,0)</f>
        <v>LCI PRE 1080</v>
      </c>
      <c r="C25" s="23" t="str">
        <f ca="1">OFFSET(C2,A25,0)</f>
        <v>Inter</v>
      </c>
      <c r="D25" s="23">
        <f ca="1">OFFSET(D2,A25,0)</f>
        <v>2</v>
      </c>
      <c r="E25" s="22">
        <f ca="1">OFFSET(E2,A25,0)</f>
        <v>100</v>
      </c>
      <c r="F25" s="23" t="str">
        <f ca="1">OFFSET(F2,A25,0)</f>
        <v>-</v>
      </c>
      <c r="G25" s="31">
        <f ca="1">OFFSET(G2,A25,0)</f>
        <v>6.4000000000000001E-2</v>
      </c>
      <c r="H25" s="31">
        <f ca="1">OFFSET(H2,A25,0)</f>
        <v>0</v>
      </c>
      <c r="I25" s="31">
        <f ca="1">OFFSET(I2,A25,0)</f>
        <v>0</v>
      </c>
      <c r="J25" s="31">
        <f ca="1">OFFSET(J2,A25,0)</f>
        <v>0</v>
      </c>
      <c r="K25" s="23" t="str">
        <f ca="1">OFFSET(K2,A25,0)</f>
        <v>Vencimento</v>
      </c>
      <c r="L25" s="23">
        <f ca="1">OFFSET(L2,A25,0)</f>
        <v>36</v>
      </c>
      <c r="M25" s="23">
        <f ca="1">OFFSET(M2,A25,0)</f>
        <v>36</v>
      </c>
      <c r="N25" s="23" t="str">
        <f ca="1">OFFSET(N2,A25,0)</f>
        <v>AA-</v>
      </c>
      <c r="O25" s="23" t="str">
        <f ca="1">OFFSET(O2,A25,0)</f>
        <v>Sim</v>
      </c>
      <c r="P25" s="23" t="b">
        <f ca="1">OFFSET(P2,A25,0)</f>
        <v>0</v>
      </c>
      <c r="Q25" s="23" t="b">
        <f ca="1">OFFSET(Q2,A25,0)</f>
        <v>0</v>
      </c>
      <c r="R25" s="22">
        <f ca="1">OFFSET(R2,A25,0)</f>
        <v>2045.5014400000036</v>
      </c>
      <c r="S25" s="22">
        <f ca="1">OFFSET(S2,A25,0)</f>
        <v>2045.5014400000036</v>
      </c>
      <c r="T25" s="22">
        <f>MAX(T3:T24)</f>
        <v>784.14329070707026</v>
      </c>
      <c r="U25" s="22">
        <f ca="1">OFFSET(U2,A25,0)</f>
        <v>12045.501440000004</v>
      </c>
      <c r="V25" s="22">
        <f ca="1">OFFSET(V2,A25,0)</f>
        <v>10784.14329070707</v>
      </c>
    </row>
    <row r="26" spans="1:25" x14ac:dyDescent="0.25">
      <c r="A26" s="47" t="s">
        <v>72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9"/>
    </row>
  </sheetData>
  <mergeCells count="25">
    <mergeCell ref="P1:P2"/>
    <mergeCell ref="Q1:Q2"/>
    <mergeCell ref="X21:X23"/>
    <mergeCell ref="Y21:Y23"/>
    <mergeCell ref="A26:V26"/>
    <mergeCell ref="R1:R2"/>
    <mergeCell ref="S1:S2"/>
    <mergeCell ref="T1:T2"/>
    <mergeCell ref="U1:U2"/>
    <mergeCell ref="V1:V2"/>
    <mergeCell ref="M1:M2"/>
    <mergeCell ref="N1:N2"/>
    <mergeCell ref="O1:O2"/>
    <mergeCell ref="F1:F2"/>
    <mergeCell ref="A1:A2"/>
    <mergeCell ref="I1:I2"/>
    <mergeCell ref="B1:B2"/>
    <mergeCell ref="E1:E2"/>
    <mergeCell ref="G1:G2"/>
    <mergeCell ref="K1:K2"/>
    <mergeCell ref="L1:L2"/>
    <mergeCell ref="D1:D2"/>
    <mergeCell ref="H1:H2"/>
    <mergeCell ref="J1:J2"/>
    <mergeCell ref="C1:C2"/>
  </mergeCells>
  <conditionalFormatting sqref="R3:R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{A99B7EB6-D4DF-45EC-93C8-45BD5E5B155B}</x14:id>
        </ext>
      </extLst>
    </cfRule>
  </conditionalFormatting>
  <conditionalFormatting sqref="S3:S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{133B6EC3-0329-451C-BEBA-3C5740F54891}</x14:id>
        </ext>
      </extLst>
    </cfRule>
  </conditionalFormatting>
  <conditionalFormatting sqref="T3:T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{AB16D606-B3AC-4769-9E94-5882663737FD}</x14:id>
        </ext>
      </extLst>
    </cfRule>
  </conditionalFormatting>
  <conditionalFormatting sqref="U3:U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{663205FA-CD99-463D-9454-8A06158E1BEB}</x14:id>
        </ext>
      </extLst>
    </cfRule>
  </conditionalFormatting>
  <conditionalFormatting sqref="V3:V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{8DEE21EB-1918-4EFF-B053-1CFB4564B07A}</x14:id>
        </ext>
      </extLst>
    </cfRule>
  </conditionalFormatting>
  <conditionalFormatting sqref="G3:G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{F94172C3-0691-4AF2-A8DA-A457D1522992}</x14:id>
        </ext>
      </extLst>
    </cfRule>
  </conditionalFormatting>
  <conditionalFormatting sqref="E3:E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{75CE8D2C-86E9-431E-80B4-BA5CA3816081}</x14:id>
        </ext>
      </extLst>
    </cfRule>
  </conditionalFormatting>
  <conditionalFormatting sqref="J3:J2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{045578FA-A4C2-48A1-817E-A567FE1E94B0}</x14:id>
        </ext>
      </extLst>
    </cfRule>
  </conditionalFormatting>
  <conditionalFormatting sqref="I3:I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{9134960F-F853-490F-9672-EF6ABA50DF05}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B7EB6-D4DF-45EC-93C8-45BD5E5B1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R3:R24</xm:sqref>
        </x14:conditionalFormatting>
        <x14:conditionalFormatting xmlns:xm="http://schemas.microsoft.com/office/excel/2006/main">
          <x14:cfRule type="dataBar" id="{133B6EC3-0329-451C-BEBA-3C5740F54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S3:S24</xm:sqref>
        </x14:conditionalFormatting>
        <x14:conditionalFormatting xmlns:xm="http://schemas.microsoft.com/office/excel/2006/main">
          <x14:cfRule type="dataBar" id="{AB16D606-B3AC-4769-9E94-588266373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T3:T24</xm:sqref>
        </x14:conditionalFormatting>
        <x14:conditionalFormatting xmlns:xm="http://schemas.microsoft.com/office/excel/2006/main">
          <x14:cfRule type="dataBar" id="{663205FA-CD99-463D-9454-8A06158E1B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U3:U24</xm:sqref>
        </x14:conditionalFormatting>
        <x14:conditionalFormatting xmlns:xm="http://schemas.microsoft.com/office/excel/2006/main">
          <x14:cfRule type="dataBar" id="{8DEE21EB-1918-4EFF-B053-1CFB4564B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V3:V24</xm:sqref>
        </x14:conditionalFormatting>
        <x14:conditionalFormatting xmlns:xm="http://schemas.microsoft.com/office/excel/2006/main">
          <x14:cfRule type="dataBar" id="{F94172C3-0691-4AF2-A8DA-A457D152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G3:G24</xm:sqref>
        </x14:conditionalFormatting>
        <x14:conditionalFormatting xmlns:xm="http://schemas.microsoft.com/office/excel/2006/main">
          <x14:cfRule type="dataBar" id="{75CE8D2C-86E9-431E-80B4-BA5CA3816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E3:E24</xm:sqref>
        </x14:conditionalFormatting>
        <x14:conditionalFormatting xmlns:xm="http://schemas.microsoft.com/office/excel/2006/main">
          <x14:cfRule type="dataBar" id="{045578FA-A4C2-48A1-817E-A567FE1E9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J3:J24</xm:sqref>
        </x14:conditionalFormatting>
        <x14:conditionalFormatting xmlns:xm="http://schemas.microsoft.com/office/excel/2006/main">
          <x14:cfRule type="dataBar" id="{9134960F-F853-490F-9672-EF6ABA50D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15</vt:i4>
      </vt:variant>
    </vt:vector>
  </HeadingPairs>
  <TitlesOfParts>
    <vt:vector size="17" baseType="lpstr">
      <vt:lpstr>Inicial</vt:lpstr>
      <vt:lpstr>Ofertas</vt:lpstr>
      <vt:lpstr>CapInicial</vt:lpstr>
      <vt:lpstr>CDI</vt:lpstr>
      <vt:lpstr>CDIP</vt:lpstr>
      <vt:lpstr>FatorIR</vt:lpstr>
      <vt:lpstr>FatorIRF</vt:lpstr>
      <vt:lpstr>IPCA</vt:lpstr>
      <vt:lpstr>IPCAP</vt:lpstr>
      <vt:lpstr>IRP</vt:lpstr>
      <vt:lpstr>PrazoA</vt:lpstr>
      <vt:lpstr>PrazoM</vt:lpstr>
      <vt:lpstr>RefTipo</vt:lpstr>
      <vt:lpstr>Tipo</vt:lpstr>
      <vt:lpstr>Tipo1</vt:lpstr>
      <vt:lpstr>Tipo6</vt:lpstr>
      <vt:lpstr>TipoF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2021-03-05T01:52:54Z</dcterms:modified>
</cp:coreProperties>
</file>