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alv\OneDrive - Princeton University\Documents\"/>
    </mc:Choice>
  </mc:AlternateContent>
  <xr:revisionPtr revIDLastSave="0" documentId="13_ncr:1_{980E6067-B966-4710-A2F7-FA7F85F15E13}" xr6:coauthVersionLast="47" xr6:coauthVersionMax="47" xr10:uidLastSave="{00000000-0000-0000-0000-000000000000}"/>
  <bookViews>
    <workbookView xWindow="-120" yWindow="-120" windowWidth="29040" windowHeight="15840" tabRatio="455" activeTab="2" xr2:uid="{FB9A8D1F-F16C-4C3D-8A3D-2F00B63AB462}"/>
  </bookViews>
  <sheets>
    <sheet name="Cover" sheetId="1" r:id="rId1"/>
    <sheet name="Summary" sheetId="2" r:id="rId2"/>
    <sheet name="Assumptions" sheetId="3" r:id="rId3"/>
    <sheet name="Scenarios" sheetId="4" r:id="rId4"/>
    <sheet name="Model" sheetId="5" r:id="rId5"/>
    <sheet name="DCF" sheetId="6" r:id="rId6"/>
  </sheets>
  <definedNames>
    <definedName name="_xlnm.Print_Area" localSheetId="2">Assumptions!$B$1:$P$103</definedName>
    <definedName name="_xlnm.Print_Area" localSheetId="5">DCF!$B$2:$O$37</definedName>
    <definedName name="_xlnm.Print_Area" localSheetId="4">Model!$B$1:$O$412</definedName>
    <definedName name="_xlnm.Print_Area" localSheetId="3">Scenarios!$A$1:$M$32</definedName>
    <definedName name="_xlnm.Print_Area" localSheetId="1">Summary!$C$1:$O$78</definedName>
  </definedNames>
  <calcPr calcId="191029" iterate="1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2" l="1"/>
  <c r="M72" i="2"/>
  <c r="L72" i="2"/>
  <c r="K72" i="2"/>
  <c r="J286" i="5"/>
  <c r="J284" i="5"/>
  <c r="J289" i="5"/>
  <c r="J291" i="5"/>
  <c r="N9" i="3" l="1"/>
  <c r="J170" i="5"/>
  <c r="J169" i="5"/>
  <c r="L28" i="6"/>
  <c r="M28" i="6"/>
  <c r="N28" i="6"/>
  <c r="O28" i="6"/>
  <c r="G19" i="6" s="1"/>
  <c r="K28" i="6"/>
  <c r="L16" i="6"/>
  <c r="M16" i="6"/>
  <c r="N16" i="6"/>
  <c r="O16" i="6"/>
  <c r="G11" i="6" s="1"/>
  <c r="K16" i="6"/>
  <c r="L4" i="6"/>
  <c r="M4" i="6"/>
  <c r="N4" i="6"/>
  <c r="O4" i="6"/>
  <c r="K4" i="6"/>
  <c r="I100" i="5"/>
  <c r="J100" i="5"/>
  <c r="H100" i="5"/>
  <c r="H20" i="4"/>
  <c r="J29" i="4"/>
  <c r="K29" i="4"/>
  <c r="I29" i="4"/>
  <c r="M52" i="5"/>
  <c r="N52" i="5"/>
  <c r="O52" i="5" s="1"/>
  <c r="L52" i="5"/>
  <c r="Z19" i="3"/>
  <c r="O11" i="6"/>
  <c r="O23" i="6" s="1"/>
  <c r="O35" i="6" s="1"/>
  <c r="AB20" i="3"/>
  <c r="AB19" i="3"/>
  <c r="O8" i="6"/>
  <c r="O20" i="6" s="1"/>
  <c r="O32" i="6" s="1"/>
  <c r="G12" i="6"/>
  <c r="G20" i="6" s="1"/>
  <c r="D9" i="6"/>
  <c r="N73" i="2"/>
  <c r="M73" i="2"/>
  <c r="L73" i="2"/>
  <c r="H170" i="5"/>
  <c r="D6" i="6"/>
  <c r="D4" i="6"/>
  <c r="N22" i="3"/>
  <c r="D3" i="6"/>
  <c r="O9" i="6" s="1"/>
  <c r="O21" i="6" s="1"/>
  <c r="O33" i="6" s="1"/>
  <c r="N78" i="2"/>
  <c r="M78" i="2"/>
  <c r="L78" i="2"/>
  <c r="N68" i="2"/>
  <c r="M68" i="2"/>
  <c r="H90" i="5"/>
  <c r="K33" i="2"/>
  <c r="K58" i="2" s="1"/>
  <c r="L33" i="2"/>
  <c r="L58" i="2" s="1"/>
  <c r="M33" i="2"/>
  <c r="M58" i="2" s="1"/>
  <c r="N33" i="2"/>
  <c r="N58" i="2" s="1"/>
  <c r="K8" i="2"/>
  <c r="L8" i="2"/>
  <c r="M8" i="2"/>
  <c r="N8" i="2"/>
  <c r="H33" i="2"/>
  <c r="H58" i="2" s="1"/>
  <c r="I33" i="2"/>
  <c r="I58" i="2" s="1"/>
  <c r="J33" i="2"/>
  <c r="J58" i="2" s="1"/>
  <c r="G33" i="2"/>
  <c r="G58" i="2" s="1"/>
  <c r="H8" i="2"/>
  <c r="I8" i="2"/>
  <c r="J8" i="2"/>
  <c r="G8" i="2"/>
  <c r="K78" i="2"/>
  <c r="J78" i="2"/>
  <c r="K73" i="2"/>
  <c r="J73" i="2"/>
  <c r="L68" i="2"/>
  <c r="K68" i="2"/>
  <c r="J68" i="2"/>
  <c r="N64" i="2"/>
  <c r="M64" i="2"/>
  <c r="L64" i="2"/>
  <c r="K64" i="2"/>
  <c r="J64" i="2"/>
  <c r="N53" i="2"/>
  <c r="M53" i="2"/>
  <c r="L53" i="2"/>
  <c r="K53" i="2"/>
  <c r="J53" i="2"/>
  <c r="N48" i="2"/>
  <c r="M48" i="2"/>
  <c r="L48" i="2"/>
  <c r="K48" i="2"/>
  <c r="J48" i="2"/>
  <c r="N43" i="2"/>
  <c r="M43" i="2"/>
  <c r="L43" i="2"/>
  <c r="K43" i="2"/>
  <c r="J43" i="2"/>
  <c r="N39" i="2"/>
  <c r="M39" i="2"/>
  <c r="L39" i="2"/>
  <c r="K39" i="2"/>
  <c r="J39" i="2"/>
  <c r="K28" i="2"/>
  <c r="L28" i="2"/>
  <c r="M28" i="2"/>
  <c r="N28" i="2"/>
  <c r="J28" i="2"/>
  <c r="K23" i="2"/>
  <c r="L23" i="2"/>
  <c r="M23" i="2"/>
  <c r="N23" i="2"/>
  <c r="J23" i="2"/>
  <c r="K18" i="2"/>
  <c r="L18" i="2"/>
  <c r="M18" i="2"/>
  <c r="N18" i="2"/>
  <c r="J18" i="2"/>
  <c r="K14" i="2"/>
  <c r="L14" i="2"/>
  <c r="M14" i="2"/>
  <c r="N14" i="2"/>
  <c r="J14" i="2"/>
  <c r="J238" i="5"/>
  <c r="I238" i="5"/>
  <c r="I237" i="5"/>
  <c r="J237" i="5"/>
  <c r="I236" i="5"/>
  <c r="J236" i="5"/>
  <c r="H236" i="5"/>
  <c r="I235" i="5"/>
  <c r="J235" i="5"/>
  <c r="H235" i="5"/>
  <c r="I234" i="5"/>
  <c r="J234" i="5"/>
  <c r="H234" i="5"/>
  <c r="K95" i="5"/>
  <c r="L95" i="5" s="1"/>
  <c r="M95" i="5" s="1"/>
  <c r="N95" i="5" s="1"/>
  <c r="O95" i="5" s="1"/>
  <c r="K94" i="5"/>
  <c r="L94" i="5" s="1"/>
  <c r="M94" i="5" s="1"/>
  <c r="N94" i="5" s="1"/>
  <c r="O94" i="5" s="1"/>
  <c r="I227" i="5"/>
  <c r="I196" i="5"/>
  <c r="J196" i="5"/>
  <c r="H196" i="5"/>
  <c r="I209" i="5"/>
  <c r="J209" i="5"/>
  <c r="H209" i="5"/>
  <c r="I216" i="5"/>
  <c r="J216" i="5"/>
  <c r="H216" i="5"/>
  <c r="I140" i="5"/>
  <c r="J140" i="5"/>
  <c r="H140" i="5"/>
  <c r="L60" i="3"/>
  <c r="L62" i="3" s="1"/>
  <c r="K140" i="5" s="1"/>
  <c r="K212" i="5"/>
  <c r="L212" i="5" s="1"/>
  <c r="M212" i="5" s="1"/>
  <c r="N212" i="5" s="1"/>
  <c r="O212" i="5" s="1"/>
  <c r="L157" i="5"/>
  <c r="M157" i="5" s="1"/>
  <c r="N157" i="5" s="1"/>
  <c r="O157" i="5" s="1"/>
  <c r="K207" i="5"/>
  <c r="L207" i="5" s="1"/>
  <c r="M207" i="5" s="1"/>
  <c r="N207" i="5" s="1"/>
  <c r="O207" i="5" s="1"/>
  <c r="J131" i="5"/>
  <c r="H131" i="5"/>
  <c r="I190" i="5"/>
  <c r="J190" i="5"/>
  <c r="H190" i="5"/>
  <c r="L72" i="3"/>
  <c r="M72" i="3" s="1"/>
  <c r="N72" i="3" s="1"/>
  <c r="O72" i="3" s="1"/>
  <c r="P72" i="3" s="1"/>
  <c r="P75" i="3"/>
  <c r="O131" i="5" s="1"/>
  <c r="O75" i="3"/>
  <c r="N131" i="5" s="1"/>
  <c r="N75" i="3"/>
  <c r="M131" i="5" s="1"/>
  <c r="M75" i="3"/>
  <c r="L131" i="5" s="1"/>
  <c r="L75" i="3"/>
  <c r="K131" i="5" s="1"/>
  <c r="J75" i="3"/>
  <c r="I131" i="5" s="1"/>
  <c r="J353" i="5"/>
  <c r="D15" i="6" l="1"/>
  <c r="D10" i="6" s="1"/>
  <c r="I228" i="5"/>
  <c r="J227" i="5"/>
  <c r="H227" i="5"/>
  <c r="L90" i="3"/>
  <c r="M90" i="3" s="1"/>
  <c r="N90" i="3" s="1"/>
  <c r="O90" i="3" s="1"/>
  <c r="P90" i="3" s="1"/>
  <c r="O227" i="5" s="1"/>
  <c r="N7" i="3"/>
  <c r="I218" i="5"/>
  <c r="J218" i="5"/>
  <c r="H218" i="5"/>
  <c r="L87" i="3"/>
  <c r="K218" i="5" s="1"/>
  <c r="I208" i="5"/>
  <c r="J208" i="5"/>
  <c r="H208" i="5"/>
  <c r="L86" i="3"/>
  <c r="M86" i="3" s="1"/>
  <c r="I186" i="5"/>
  <c r="J186" i="5"/>
  <c r="J335" i="5" s="1"/>
  <c r="K333" i="5" s="1"/>
  <c r="H186" i="5"/>
  <c r="I210" i="5"/>
  <c r="J210" i="5"/>
  <c r="H210" i="5"/>
  <c r="L85" i="3"/>
  <c r="K210" i="5" s="1"/>
  <c r="I225" i="5"/>
  <c r="H225" i="5"/>
  <c r="H226" i="5" s="1"/>
  <c r="K222" i="5"/>
  <c r="L222" i="5" s="1"/>
  <c r="M222" i="5" s="1"/>
  <c r="N222" i="5" s="1"/>
  <c r="O222" i="5" s="1"/>
  <c r="I199" i="5"/>
  <c r="J199" i="5"/>
  <c r="H199" i="5"/>
  <c r="L82" i="3"/>
  <c r="M82" i="3" s="1"/>
  <c r="L199" i="5" s="1"/>
  <c r="I200" i="5"/>
  <c r="J200" i="5"/>
  <c r="H200" i="5"/>
  <c r="L81" i="3"/>
  <c r="K200" i="5" s="1"/>
  <c r="L59" i="3"/>
  <c r="M59" i="3" s="1"/>
  <c r="N59" i="3" s="1"/>
  <c r="O59" i="3" s="1"/>
  <c r="P59" i="3" s="1"/>
  <c r="O122" i="5" s="1"/>
  <c r="Z20" i="3"/>
  <c r="G20" i="4" s="1"/>
  <c r="G15" i="4"/>
  <c r="G14" i="4" s="1"/>
  <c r="Z24" i="3"/>
  <c r="K163" i="5"/>
  <c r="M60" i="3" s="1"/>
  <c r="N60" i="3" s="1"/>
  <c r="O60" i="3" s="1"/>
  <c r="P60" i="3" s="1"/>
  <c r="I160" i="5"/>
  <c r="J160" i="5"/>
  <c r="H160" i="5"/>
  <c r="I157" i="5"/>
  <c r="J157" i="5"/>
  <c r="H157" i="5"/>
  <c r="L71" i="3"/>
  <c r="M71" i="3" s="1"/>
  <c r="I156" i="5"/>
  <c r="J156" i="5"/>
  <c r="H156" i="5"/>
  <c r="H153" i="5"/>
  <c r="I153" i="5"/>
  <c r="J153" i="5"/>
  <c r="L152" i="5"/>
  <c r="M152" i="5"/>
  <c r="N152" i="5"/>
  <c r="O152" i="5"/>
  <c r="K152" i="5"/>
  <c r="L151" i="5"/>
  <c r="M151" i="5"/>
  <c r="N151" i="5"/>
  <c r="O151" i="5"/>
  <c r="K151" i="5"/>
  <c r="H149" i="5"/>
  <c r="I149" i="5"/>
  <c r="J149" i="5"/>
  <c r="H150" i="5"/>
  <c r="I150" i="5"/>
  <c r="J150" i="5"/>
  <c r="K150" i="5"/>
  <c r="L150" i="5"/>
  <c r="M150" i="5"/>
  <c r="N150" i="5"/>
  <c r="O150" i="5"/>
  <c r="I148" i="5"/>
  <c r="J148" i="5"/>
  <c r="K148" i="5"/>
  <c r="L148" i="5"/>
  <c r="M148" i="5"/>
  <c r="N148" i="5"/>
  <c r="O148" i="5"/>
  <c r="H148" i="5"/>
  <c r="H118" i="5"/>
  <c r="J15" i="5"/>
  <c r="I15" i="5" s="1"/>
  <c r="H15" i="5" s="1"/>
  <c r="H123" i="5"/>
  <c r="I122" i="5"/>
  <c r="J122" i="5"/>
  <c r="H122" i="5"/>
  <c r="I121" i="5"/>
  <c r="J121" i="5"/>
  <c r="K121" i="5"/>
  <c r="L121" i="5"/>
  <c r="M121" i="5"/>
  <c r="N121" i="5"/>
  <c r="O121" i="5"/>
  <c r="H121" i="5"/>
  <c r="I120" i="5"/>
  <c r="J120" i="5"/>
  <c r="H120" i="5"/>
  <c r="I119" i="5"/>
  <c r="J119" i="5"/>
  <c r="K119" i="5"/>
  <c r="L119" i="5"/>
  <c r="M119" i="5"/>
  <c r="N119" i="5"/>
  <c r="O119" i="5"/>
  <c r="H119" i="5"/>
  <c r="I118" i="5"/>
  <c r="J118" i="5"/>
  <c r="I89" i="5"/>
  <c r="J89" i="5"/>
  <c r="K89" i="5"/>
  <c r="L89" i="5"/>
  <c r="M89" i="5"/>
  <c r="N89" i="5"/>
  <c r="O89" i="5"/>
  <c r="H89" i="5"/>
  <c r="K407" i="5"/>
  <c r="K103" i="3"/>
  <c r="K102" i="3"/>
  <c r="L102" i="3" s="1"/>
  <c r="M102" i="3" s="1"/>
  <c r="N102" i="3" s="1"/>
  <c r="O102" i="3" s="1"/>
  <c r="P102" i="3" s="1"/>
  <c r="K400" i="5"/>
  <c r="N10" i="3"/>
  <c r="L395" i="5" s="1"/>
  <c r="M101" i="3"/>
  <c r="N101" i="3"/>
  <c r="O101" i="3"/>
  <c r="P101" i="3"/>
  <c r="L101" i="3"/>
  <c r="L100" i="3"/>
  <c r="M100" i="3" s="1"/>
  <c r="N100" i="3" s="1"/>
  <c r="O100" i="3" s="1"/>
  <c r="P100" i="3" s="1"/>
  <c r="O392" i="5" s="1"/>
  <c r="O408" i="5" s="1"/>
  <c r="J394" i="5"/>
  <c r="K391" i="5" s="1"/>
  <c r="K388" i="5"/>
  <c r="L388" i="5" s="1"/>
  <c r="M388" i="5" s="1"/>
  <c r="N388" i="5" s="1"/>
  <c r="O388" i="5" s="1"/>
  <c r="B383" i="5"/>
  <c r="O382" i="5"/>
  <c r="F280" i="5"/>
  <c r="K377" i="5"/>
  <c r="L377" i="5"/>
  <c r="M377" i="5"/>
  <c r="N377" i="5"/>
  <c r="O377" i="5"/>
  <c r="K374" i="5"/>
  <c r="L369" i="5"/>
  <c r="M369" i="5"/>
  <c r="N369" i="5"/>
  <c r="O369" i="5"/>
  <c r="K369" i="5"/>
  <c r="K362" i="5"/>
  <c r="L362" i="5"/>
  <c r="M362" i="5"/>
  <c r="N362" i="5"/>
  <c r="O362" i="5"/>
  <c r="J362" i="5"/>
  <c r="K358" i="5"/>
  <c r="K350" i="5"/>
  <c r="L346" i="5"/>
  <c r="M346" i="5"/>
  <c r="N346" i="5"/>
  <c r="O346" i="5"/>
  <c r="K346" i="5"/>
  <c r="L88" i="3"/>
  <c r="K345" i="5" s="1"/>
  <c r="L341" i="5"/>
  <c r="M341" i="5"/>
  <c r="N341" i="5"/>
  <c r="O341" i="5"/>
  <c r="K341" i="5"/>
  <c r="O354" i="5"/>
  <c r="K336" i="5"/>
  <c r="L336" i="5"/>
  <c r="M336" i="5"/>
  <c r="N336" i="5"/>
  <c r="O336" i="5"/>
  <c r="K139" i="5"/>
  <c r="L139" i="5" s="1"/>
  <c r="M139" i="5" s="1"/>
  <c r="N139" i="5" s="1"/>
  <c r="O139" i="5" s="1"/>
  <c r="I145" i="5"/>
  <c r="I169" i="5" s="1"/>
  <c r="I170" i="5" s="1"/>
  <c r="I173" i="5" s="1"/>
  <c r="J145" i="5"/>
  <c r="J173" i="5" s="1"/>
  <c r="H145" i="5"/>
  <c r="H169" i="5" s="1"/>
  <c r="H173" i="5" s="1"/>
  <c r="K329" i="5"/>
  <c r="J329" i="5" s="1"/>
  <c r="I329" i="5" s="1"/>
  <c r="H329" i="5" s="1"/>
  <c r="B324" i="5"/>
  <c r="O323" i="5"/>
  <c r="I188" i="5"/>
  <c r="I189" i="5"/>
  <c r="J189" i="5"/>
  <c r="H189" i="5"/>
  <c r="H188" i="5"/>
  <c r="I206" i="5"/>
  <c r="J206" i="5"/>
  <c r="H206" i="5"/>
  <c r="L73" i="3"/>
  <c r="K301" i="5"/>
  <c r="L301" i="5" s="1"/>
  <c r="M301" i="5" s="1"/>
  <c r="N301" i="5" s="1"/>
  <c r="O301" i="5" s="1"/>
  <c r="O303" i="5" s="1"/>
  <c r="K280" i="5"/>
  <c r="L280" i="5" s="1"/>
  <c r="M280" i="5" s="1"/>
  <c r="N280" i="5" s="1"/>
  <c r="O280" i="5" s="1"/>
  <c r="K249" i="5"/>
  <c r="L249" i="5" s="1"/>
  <c r="M249" i="5" s="1"/>
  <c r="N249" i="5" s="1"/>
  <c r="O249" i="5" s="1"/>
  <c r="K182" i="5"/>
  <c r="L182" i="5" s="1"/>
  <c r="M182" i="5" s="1"/>
  <c r="N182" i="5" s="1"/>
  <c r="O182" i="5" s="1"/>
  <c r="K110" i="5"/>
  <c r="L110" i="5" s="1"/>
  <c r="M110" i="5" s="1"/>
  <c r="N110" i="5" s="1"/>
  <c r="O110" i="5" s="1"/>
  <c r="K67" i="5"/>
  <c r="L67" i="5" s="1"/>
  <c r="M67" i="5" s="1"/>
  <c r="N67" i="5" s="1"/>
  <c r="O67" i="5" s="1"/>
  <c r="K37" i="5"/>
  <c r="L37" i="5" s="1"/>
  <c r="M37" i="5" s="1"/>
  <c r="N37" i="5" s="1"/>
  <c r="O37" i="5" s="1"/>
  <c r="K7" i="5"/>
  <c r="J7" i="5" s="1"/>
  <c r="I7" i="5" s="1"/>
  <c r="H7" i="5" s="1"/>
  <c r="B296" i="5"/>
  <c r="O295" i="5"/>
  <c r="I81" i="5"/>
  <c r="J81" i="5"/>
  <c r="H81" i="5"/>
  <c r="J77" i="5"/>
  <c r="I76" i="5"/>
  <c r="J76" i="5"/>
  <c r="H76" i="5"/>
  <c r="I75" i="5"/>
  <c r="J75" i="5"/>
  <c r="H75" i="5"/>
  <c r="I74" i="5"/>
  <c r="I307" i="5" s="1"/>
  <c r="J74" i="5"/>
  <c r="J307" i="5" s="1"/>
  <c r="H74" i="5"/>
  <c r="H307" i="5" s="1"/>
  <c r="I72" i="5"/>
  <c r="J72" i="5"/>
  <c r="H72" i="5"/>
  <c r="I71" i="5"/>
  <c r="J71" i="5"/>
  <c r="H71" i="5"/>
  <c r="I70" i="5"/>
  <c r="J70" i="5"/>
  <c r="H70" i="5"/>
  <c r="B177" i="5"/>
  <c r="O176" i="5"/>
  <c r="B105" i="5"/>
  <c r="O104" i="5"/>
  <c r="I53" i="5"/>
  <c r="I78" i="5" s="1"/>
  <c r="J53" i="5"/>
  <c r="J78" i="5" s="1"/>
  <c r="H53" i="5"/>
  <c r="H56" i="5" s="1"/>
  <c r="B62" i="5"/>
  <c r="O61" i="5"/>
  <c r="B275" i="5"/>
  <c r="O274" i="5"/>
  <c r="J257" i="5"/>
  <c r="K257" i="5" s="1"/>
  <c r="K256" i="5"/>
  <c r="L256" i="5" s="1"/>
  <c r="M256" i="5" s="1"/>
  <c r="N256" i="5" s="1"/>
  <c r="O256" i="5" s="1"/>
  <c r="K255" i="5"/>
  <c r="L255" i="5" s="1"/>
  <c r="M255" i="5" s="1"/>
  <c r="N255" i="5" s="1"/>
  <c r="O255" i="5" s="1"/>
  <c r="B242" i="5"/>
  <c r="O241" i="5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32" i="3"/>
  <c r="AA32" i="3" s="1"/>
  <c r="B32" i="5"/>
  <c r="O31" i="5"/>
  <c r="I26" i="5"/>
  <c r="I172" i="5" s="1"/>
  <c r="J26" i="5"/>
  <c r="J172" i="5" s="1"/>
  <c r="H26" i="5"/>
  <c r="K25" i="5"/>
  <c r="L25" i="5" s="1"/>
  <c r="L72" i="5" s="1"/>
  <c r="L95" i="3"/>
  <c r="M95" i="3" s="1"/>
  <c r="N95" i="3" s="1"/>
  <c r="O95" i="3" s="1"/>
  <c r="P95" i="3" s="1"/>
  <c r="K19" i="5"/>
  <c r="L19" i="5" s="1"/>
  <c r="M19" i="5" s="1"/>
  <c r="N19" i="5" s="1"/>
  <c r="O19" i="5" s="1"/>
  <c r="K31" i="4"/>
  <c r="J31" i="4"/>
  <c r="I31" i="4"/>
  <c r="H31" i="4"/>
  <c r="K89" i="3"/>
  <c r="J13" i="5" s="1"/>
  <c r="J17" i="5" s="1"/>
  <c r="J89" i="3"/>
  <c r="I13" i="5" s="1"/>
  <c r="I17" i="5" s="1"/>
  <c r="I89" i="3"/>
  <c r="H13" i="5" s="1"/>
  <c r="H17" i="5" s="1"/>
  <c r="K26" i="4"/>
  <c r="J26" i="4"/>
  <c r="I26" i="4"/>
  <c r="H26" i="4"/>
  <c r="G26" i="4"/>
  <c r="K25" i="4"/>
  <c r="J25" i="4"/>
  <c r="I25" i="4"/>
  <c r="H25" i="4"/>
  <c r="G25" i="4"/>
  <c r="K24" i="4"/>
  <c r="J24" i="4"/>
  <c r="I24" i="4"/>
  <c r="H24" i="4"/>
  <c r="G24" i="4"/>
  <c r="B2" i="5"/>
  <c r="O1" i="5"/>
  <c r="Y14" i="3"/>
  <c r="W13" i="3"/>
  <c r="G6" i="4"/>
  <c r="H6" i="4" s="1"/>
  <c r="I6" i="4" s="1"/>
  <c r="J6" i="4" s="1"/>
  <c r="K6" i="4" s="1"/>
  <c r="B1" i="4"/>
  <c r="L84" i="3"/>
  <c r="M84" i="3" s="1"/>
  <c r="L83" i="3"/>
  <c r="M83" i="3" s="1"/>
  <c r="L79" i="3"/>
  <c r="M79" i="3" s="1"/>
  <c r="N79" i="3" s="1"/>
  <c r="O79" i="3" s="1"/>
  <c r="P79" i="3" s="1"/>
  <c r="L78" i="3"/>
  <c r="M78" i="3" s="1"/>
  <c r="N78" i="3" s="1"/>
  <c r="O78" i="3" s="1"/>
  <c r="P78" i="3" s="1"/>
  <c r="O340" i="5" s="1"/>
  <c r="O160" i="5"/>
  <c r="L70" i="3"/>
  <c r="M70" i="3" s="1"/>
  <c r="N70" i="3" s="1"/>
  <c r="O70" i="3" s="1"/>
  <c r="P70" i="3" s="1"/>
  <c r="O156" i="5" s="1"/>
  <c r="O410" i="5" s="1"/>
  <c r="L69" i="3"/>
  <c r="M69" i="3" s="1"/>
  <c r="N69" i="3" s="1"/>
  <c r="O69" i="3" s="1"/>
  <c r="P69" i="3" s="1"/>
  <c r="L65" i="3"/>
  <c r="M65" i="3" s="1"/>
  <c r="N65" i="3" s="1"/>
  <c r="O65" i="3" s="1"/>
  <c r="P65" i="3" s="1"/>
  <c r="M62" i="3"/>
  <c r="B42" i="3"/>
  <c r="Y40" i="3"/>
  <c r="Y42" i="3" s="1"/>
  <c r="J270" i="5" s="1"/>
  <c r="X40" i="3"/>
  <c r="X42" i="3" s="1"/>
  <c r="E35" i="3"/>
  <c r="Z11" i="3"/>
  <c r="Z10" i="3"/>
  <c r="B1" i="3"/>
  <c r="B1" i="2"/>
  <c r="A8" i="1"/>
  <c r="D5" i="6" l="1"/>
  <c r="D17" i="6" s="1"/>
  <c r="H73" i="5"/>
  <c r="H306" i="5" s="1"/>
  <c r="H172" i="5"/>
  <c r="N84" i="3"/>
  <c r="L194" i="5"/>
  <c r="N62" i="3"/>
  <c r="L140" i="5"/>
  <c r="N83" i="3"/>
  <c r="L201" i="5"/>
  <c r="X14" i="3"/>
  <c r="Z13" i="3"/>
  <c r="D25" i="3" s="1"/>
  <c r="N86" i="3"/>
  <c r="L208" i="5"/>
  <c r="K138" i="5"/>
  <c r="K187" i="5" s="1"/>
  <c r="J73" i="5"/>
  <c r="I73" i="5"/>
  <c r="J202" i="5"/>
  <c r="M85" i="3"/>
  <c r="M87" i="3"/>
  <c r="N87" i="3" s="1"/>
  <c r="O87" i="3" s="1"/>
  <c r="P87" i="3" s="1"/>
  <c r="O218" i="5" s="1"/>
  <c r="N227" i="5"/>
  <c r="M227" i="5"/>
  <c r="L227" i="5"/>
  <c r="K227" i="5"/>
  <c r="H191" i="5"/>
  <c r="H202" i="5" s="1"/>
  <c r="I191" i="5"/>
  <c r="I202" i="5" s="1"/>
  <c r="J213" i="5"/>
  <c r="J219" i="5" s="1"/>
  <c r="K363" i="5"/>
  <c r="I213" i="5"/>
  <c r="I219" i="5" s="1"/>
  <c r="I229" i="5" s="1"/>
  <c r="H228" i="5"/>
  <c r="N218" i="5"/>
  <c r="M218" i="5"/>
  <c r="K208" i="5"/>
  <c r="L218" i="5"/>
  <c r="H213" i="5"/>
  <c r="H219" i="5" s="1"/>
  <c r="K199" i="5"/>
  <c r="N82" i="3"/>
  <c r="M199" i="5" s="1"/>
  <c r="J225" i="5"/>
  <c r="J226" i="5" s="1"/>
  <c r="J228" i="5" s="1"/>
  <c r="M81" i="3"/>
  <c r="N71" i="3"/>
  <c r="H158" i="5"/>
  <c r="K194" i="5"/>
  <c r="J158" i="5"/>
  <c r="I158" i="5"/>
  <c r="N160" i="5"/>
  <c r="M160" i="5"/>
  <c r="L160" i="5"/>
  <c r="K160" i="5"/>
  <c r="K225" i="5" s="1"/>
  <c r="K201" i="5"/>
  <c r="N122" i="5"/>
  <c r="O409" i="5"/>
  <c r="N409" i="5"/>
  <c r="M409" i="5"/>
  <c r="K409" i="5"/>
  <c r="L403" i="5"/>
  <c r="L409" i="5"/>
  <c r="M156" i="5"/>
  <c r="M410" i="5" s="1"/>
  <c r="M122" i="5"/>
  <c r="L156" i="5"/>
  <c r="L410" i="5" s="1"/>
  <c r="K403" i="5"/>
  <c r="N156" i="5"/>
  <c r="N410" i="5" s="1"/>
  <c r="L122" i="5"/>
  <c r="K156" i="5"/>
  <c r="K410" i="5" s="1"/>
  <c r="K122" i="5"/>
  <c r="K393" i="5"/>
  <c r="K155" i="5" s="1"/>
  <c r="O393" i="5"/>
  <c r="O155" i="5" s="1"/>
  <c r="O403" i="5"/>
  <c r="N393" i="5"/>
  <c r="N155" i="5" s="1"/>
  <c r="M393" i="5"/>
  <c r="M155" i="5" s="1"/>
  <c r="L393" i="5"/>
  <c r="L155" i="5" s="1"/>
  <c r="K395" i="5"/>
  <c r="M340" i="5"/>
  <c r="M342" i="5" s="1"/>
  <c r="K354" i="5"/>
  <c r="K355" i="5" s="1"/>
  <c r="K340" i="5"/>
  <c r="K342" i="5" s="1"/>
  <c r="K392" i="5"/>
  <c r="K408" i="5" s="1"/>
  <c r="O33" i="3"/>
  <c r="O395" i="5"/>
  <c r="N392" i="5"/>
  <c r="N408" i="5" s="1"/>
  <c r="N395" i="5"/>
  <c r="M392" i="5"/>
  <c r="M408" i="5" s="1"/>
  <c r="M395" i="5"/>
  <c r="N403" i="5"/>
  <c r="L392" i="5"/>
  <c r="L408" i="5" s="1"/>
  <c r="M403" i="5"/>
  <c r="M88" i="3"/>
  <c r="K23" i="4"/>
  <c r="O10" i="5" s="1"/>
  <c r="K251" i="5"/>
  <c r="W14" i="3"/>
  <c r="L354" i="5"/>
  <c r="O32" i="3"/>
  <c r="N354" i="5"/>
  <c r="O35" i="3"/>
  <c r="G29" i="4"/>
  <c r="O34" i="3"/>
  <c r="N340" i="5"/>
  <c r="N342" i="5" s="1"/>
  <c r="M354" i="5"/>
  <c r="K53" i="5"/>
  <c r="L340" i="5"/>
  <c r="L342" i="5" s="1"/>
  <c r="J388" i="5"/>
  <c r="I388" i="5" s="1"/>
  <c r="H388" i="5" s="1"/>
  <c r="J290" i="5"/>
  <c r="J283" i="5"/>
  <c r="K347" i="5"/>
  <c r="O342" i="5"/>
  <c r="K361" i="5"/>
  <c r="L358" i="5" s="1"/>
  <c r="K337" i="5"/>
  <c r="L329" i="5"/>
  <c r="M329" i="5" s="1"/>
  <c r="N329" i="5" s="1"/>
  <c r="O329" i="5" s="1"/>
  <c r="J182" i="5"/>
  <c r="I182" i="5" s="1"/>
  <c r="H182" i="5" s="1"/>
  <c r="M303" i="5"/>
  <c r="L303" i="5"/>
  <c r="J80" i="5"/>
  <c r="I56" i="5"/>
  <c r="N303" i="5"/>
  <c r="I80" i="5"/>
  <c r="K72" i="5"/>
  <c r="H78" i="5"/>
  <c r="H80" i="5" s="1"/>
  <c r="L7" i="5"/>
  <c r="M7" i="5" s="1"/>
  <c r="N7" i="5" s="1"/>
  <c r="O7" i="5" s="1"/>
  <c r="J301" i="5"/>
  <c r="J280" i="5"/>
  <c r="I280" i="5" s="1"/>
  <c r="H280" i="5" s="1"/>
  <c r="J249" i="5"/>
  <c r="I249" i="5" s="1"/>
  <c r="H249" i="5" s="1"/>
  <c r="J110" i="5"/>
  <c r="I110" i="5" s="1"/>
  <c r="H110" i="5" s="1"/>
  <c r="J67" i="5"/>
  <c r="I67" i="5" s="1"/>
  <c r="H67" i="5" s="1"/>
  <c r="J37" i="5"/>
  <c r="I37" i="5" s="1"/>
  <c r="H37" i="5" s="1"/>
  <c r="G16" i="4"/>
  <c r="J23" i="4"/>
  <c r="N10" i="5" s="1"/>
  <c r="L257" i="5"/>
  <c r="J56" i="5"/>
  <c r="G23" i="4"/>
  <c r="K10" i="5" s="1"/>
  <c r="K11" i="5" s="1"/>
  <c r="H23" i="4"/>
  <c r="L10" i="5" s="1"/>
  <c r="I23" i="4"/>
  <c r="M10" i="5" s="1"/>
  <c r="L89" i="3"/>
  <c r="M25" i="5"/>
  <c r="M72" i="5" s="1"/>
  <c r="G13" i="6" l="1"/>
  <c r="G15" i="6" s="1"/>
  <c r="O18" i="6" s="1"/>
  <c r="G5" i="6"/>
  <c r="H83" i="5"/>
  <c r="J306" i="5"/>
  <c r="J98" i="5"/>
  <c r="I306" i="5"/>
  <c r="I98" i="5"/>
  <c r="H102" i="5"/>
  <c r="I83" i="5"/>
  <c r="J83" i="5"/>
  <c r="J86" i="5" s="1"/>
  <c r="J88" i="5" s="1"/>
  <c r="L225" i="5"/>
  <c r="O86" i="3"/>
  <c r="M208" i="5"/>
  <c r="I28" i="4"/>
  <c r="M14" i="5" s="1"/>
  <c r="K28" i="4"/>
  <c r="O14" i="5" s="1"/>
  <c r="J28" i="4"/>
  <c r="N14" i="5" s="1"/>
  <c r="H28" i="4"/>
  <c r="L14" i="5" s="1"/>
  <c r="G30" i="4"/>
  <c r="G28" i="4" s="1"/>
  <c r="K14" i="5" s="1"/>
  <c r="L80" i="3" s="1"/>
  <c r="K196" i="5" s="1"/>
  <c r="N81" i="3"/>
  <c r="L200" i="5"/>
  <c r="O83" i="3"/>
  <c r="M201" i="5"/>
  <c r="O62" i="3"/>
  <c r="M140" i="5"/>
  <c r="N85" i="3"/>
  <c r="L210" i="5"/>
  <c r="O84" i="3"/>
  <c r="M194" i="5"/>
  <c r="K411" i="5"/>
  <c r="K193" i="5"/>
  <c r="M225" i="5"/>
  <c r="N225" i="5" s="1"/>
  <c r="O225" i="5" s="1"/>
  <c r="I231" i="5"/>
  <c r="J229" i="5"/>
  <c r="J231" i="5" s="1"/>
  <c r="H229" i="5"/>
  <c r="H231" i="5" s="1"/>
  <c r="O82" i="3"/>
  <c r="N199" i="5" s="1"/>
  <c r="N370" i="5"/>
  <c r="K370" i="5"/>
  <c r="L370" i="5"/>
  <c r="L345" i="5"/>
  <c r="L347" i="5" s="1"/>
  <c r="O370" i="5"/>
  <c r="M370" i="5"/>
  <c r="O71" i="3"/>
  <c r="H86" i="5"/>
  <c r="H88" i="5" s="1"/>
  <c r="K78" i="5"/>
  <c r="L57" i="3"/>
  <c r="K120" i="5" s="1"/>
  <c r="L120" i="5" s="1"/>
  <c r="M120" i="5" s="1"/>
  <c r="N120" i="5" s="1"/>
  <c r="O120" i="5" s="1"/>
  <c r="N88" i="3"/>
  <c r="K394" i="5"/>
  <c r="L391" i="5" s="1"/>
  <c r="L394" i="5" s="1"/>
  <c r="M391" i="5" s="1"/>
  <c r="M394" i="5" s="1"/>
  <c r="L361" i="5"/>
  <c r="M358" i="5" s="1"/>
  <c r="L363" i="5"/>
  <c r="K303" i="5"/>
  <c r="I301" i="5"/>
  <c r="L53" i="5"/>
  <c r="M257" i="5"/>
  <c r="L11" i="5"/>
  <c r="M11" i="5" s="1"/>
  <c r="M89" i="3"/>
  <c r="K13" i="5"/>
  <c r="G21" i="4"/>
  <c r="I21" i="4" s="1"/>
  <c r="J21" i="4" s="1"/>
  <c r="K21" i="4" s="1"/>
  <c r="G19" i="4"/>
  <c r="H19" i="4" s="1"/>
  <c r="N25" i="5"/>
  <c r="N72" i="5" s="1"/>
  <c r="I20" i="4"/>
  <c r="J20" i="4" s="1"/>
  <c r="K20" i="4" s="1"/>
  <c r="H16" i="4"/>
  <c r="I16" i="4" s="1"/>
  <c r="J16" i="4" s="1"/>
  <c r="K16" i="4" s="1"/>
  <c r="G12" i="4"/>
  <c r="K40" i="5" s="1"/>
  <c r="K41" i="5" s="1"/>
  <c r="K74" i="5" s="1"/>
  <c r="K307" i="5" s="1"/>
  <c r="O17" i="6" l="1"/>
  <c r="O29" i="6"/>
  <c r="K17" i="6"/>
  <c r="L29" i="6"/>
  <c r="K29" i="6"/>
  <c r="N17" i="6"/>
  <c r="M17" i="6"/>
  <c r="N5" i="6"/>
  <c r="L17" i="6"/>
  <c r="N29" i="6"/>
  <c r="M29" i="6"/>
  <c r="G21" i="6"/>
  <c r="G23" i="6" s="1"/>
  <c r="O30" i="6" s="1"/>
  <c r="I86" i="5"/>
  <c r="I88" i="5" s="1"/>
  <c r="I113" i="5" s="1"/>
  <c r="I102" i="5"/>
  <c r="J102" i="5"/>
  <c r="M80" i="3"/>
  <c r="L196" i="5" s="1"/>
  <c r="K16" i="5"/>
  <c r="L15" i="5" s="1"/>
  <c r="L16" i="5" s="1"/>
  <c r="L92" i="3"/>
  <c r="K209" i="5" s="1"/>
  <c r="L91" i="3"/>
  <c r="P83" i="3"/>
  <c r="O201" i="5" s="1"/>
  <c r="N201" i="5"/>
  <c r="O81" i="3"/>
  <c r="M200" i="5"/>
  <c r="P62" i="3"/>
  <c r="O140" i="5" s="1"/>
  <c r="N140" i="5"/>
  <c r="O85" i="3"/>
  <c r="M210" i="5"/>
  <c r="P86" i="3"/>
  <c r="O208" i="5" s="1"/>
  <c r="N208" i="5"/>
  <c r="P84" i="3"/>
  <c r="O194" i="5" s="1"/>
  <c r="N194" i="5"/>
  <c r="K153" i="5"/>
  <c r="M345" i="5"/>
  <c r="M347" i="5" s="1"/>
  <c r="O88" i="3"/>
  <c r="P88" i="3" s="1"/>
  <c r="L407" i="5"/>
  <c r="L411" i="5" s="1"/>
  <c r="K223" i="5"/>
  <c r="P82" i="3"/>
  <c r="O199" i="5" s="1"/>
  <c r="P71" i="3"/>
  <c r="H113" i="5"/>
  <c r="H171" i="5"/>
  <c r="J90" i="5"/>
  <c r="J171" i="5" s="1"/>
  <c r="J113" i="5"/>
  <c r="L78" i="5"/>
  <c r="M57" i="3"/>
  <c r="N391" i="5"/>
  <c r="N394" i="5" s="1"/>
  <c r="H18" i="4"/>
  <c r="L44" i="5" s="1"/>
  <c r="N345" i="5"/>
  <c r="N347" i="5" s="1"/>
  <c r="M361" i="5"/>
  <c r="N358" i="5" s="1"/>
  <c r="M363" i="5"/>
  <c r="H301" i="5"/>
  <c r="I303" i="5" s="1"/>
  <c r="I313" i="5" s="1"/>
  <c r="J303" i="5"/>
  <c r="J313" i="5" s="1"/>
  <c r="M53" i="5"/>
  <c r="N57" i="3" s="1"/>
  <c r="N257" i="5"/>
  <c r="N89" i="3"/>
  <c r="L13" i="5"/>
  <c r="G18" i="4"/>
  <c r="N11" i="5"/>
  <c r="O25" i="5"/>
  <c r="O72" i="5" s="1"/>
  <c r="I19" i="4"/>
  <c r="I18" i="4" s="1"/>
  <c r="H14" i="4"/>
  <c r="H15" i="4"/>
  <c r="I15" i="4" s="1"/>
  <c r="J15" i="4" s="1"/>
  <c r="K15" i="4" s="1"/>
  <c r="O31" i="6" l="1"/>
  <c r="O34" i="6" s="1"/>
  <c r="O36" i="6" s="1"/>
  <c r="O37" i="6" s="1"/>
  <c r="O19" i="6"/>
  <c r="K132" i="5"/>
  <c r="L132" i="5" s="1"/>
  <c r="L133" i="5" s="1"/>
  <c r="I90" i="5"/>
  <c r="I171" i="5" s="1"/>
  <c r="J99" i="5"/>
  <c r="J92" i="5"/>
  <c r="J91" i="5"/>
  <c r="H99" i="5"/>
  <c r="H91" i="5"/>
  <c r="H92" i="5"/>
  <c r="I99" i="5"/>
  <c r="I92" i="5"/>
  <c r="I91" i="5"/>
  <c r="K17" i="5"/>
  <c r="K20" i="5" s="1"/>
  <c r="K23" i="5" s="1"/>
  <c r="K71" i="5" s="1"/>
  <c r="M15" i="5"/>
  <c r="M16" i="5" s="1"/>
  <c r="N80" i="3"/>
  <c r="M196" i="5" s="1"/>
  <c r="M92" i="3"/>
  <c r="K216" i="5"/>
  <c r="M91" i="3"/>
  <c r="P85" i="3"/>
  <c r="O210" i="5" s="1"/>
  <c r="N210" i="5"/>
  <c r="P81" i="3"/>
  <c r="O200" i="5" s="1"/>
  <c r="N200" i="5"/>
  <c r="L17" i="5"/>
  <c r="L20" i="5" s="1"/>
  <c r="L70" i="5" s="1"/>
  <c r="M153" i="5"/>
  <c r="L153" i="5"/>
  <c r="M407" i="5"/>
  <c r="M411" i="5" s="1"/>
  <c r="L223" i="5"/>
  <c r="O345" i="5"/>
  <c r="O347" i="5" s="1"/>
  <c r="L48" i="5"/>
  <c r="O391" i="5"/>
  <c r="O394" i="5" s="1"/>
  <c r="N361" i="5"/>
  <c r="O358" i="5" s="1"/>
  <c r="N363" i="5"/>
  <c r="K313" i="5"/>
  <c r="K319" i="5" s="1"/>
  <c r="J311" i="5"/>
  <c r="I310" i="5"/>
  <c r="I311" i="5"/>
  <c r="N53" i="5"/>
  <c r="O57" i="3" s="1"/>
  <c r="M78" i="5"/>
  <c r="K44" i="5"/>
  <c r="K45" i="5" s="1"/>
  <c r="K48" i="5"/>
  <c r="K49" i="5" s="1"/>
  <c r="M44" i="5"/>
  <c r="M48" i="5"/>
  <c r="O257" i="5"/>
  <c r="O89" i="3"/>
  <c r="M13" i="5"/>
  <c r="O11" i="5"/>
  <c r="I14" i="4"/>
  <c r="H12" i="4"/>
  <c r="L40" i="5" s="1"/>
  <c r="L41" i="5" s="1"/>
  <c r="J19" i="4"/>
  <c r="J18" i="4" s="1"/>
  <c r="O22" i="6" l="1"/>
  <c r="O24" i="6" s="1"/>
  <c r="O25" i="6" s="1"/>
  <c r="K133" i="5"/>
  <c r="K70" i="5"/>
  <c r="K26" i="5"/>
  <c r="L74" i="3" s="1"/>
  <c r="L23" i="5"/>
  <c r="L26" i="5" s="1"/>
  <c r="O80" i="3"/>
  <c r="N196" i="5" s="1"/>
  <c r="N91" i="3"/>
  <c r="L216" i="5"/>
  <c r="N92" i="3"/>
  <c r="M209" i="5" s="1"/>
  <c r="L209" i="5"/>
  <c r="M132" i="5"/>
  <c r="M17" i="5"/>
  <c r="M20" i="5" s="1"/>
  <c r="M23" i="5" s="1"/>
  <c r="N153" i="5"/>
  <c r="N15" i="5"/>
  <c r="N16" i="5" s="1"/>
  <c r="O15" i="5" s="1"/>
  <c r="O16" i="5" s="1"/>
  <c r="K134" i="5"/>
  <c r="K190" i="5" s="1"/>
  <c r="L313" i="5"/>
  <c r="N407" i="5"/>
  <c r="N411" i="5" s="1"/>
  <c r="M223" i="5"/>
  <c r="K311" i="5"/>
  <c r="K318" i="5" s="1"/>
  <c r="O361" i="5"/>
  <c r="O363" i="5"/>
  <c r="K56" i="5"/>
  <c r="L49" i="5"/>
  <c r="L76" i="5" s="1"/>
  <c r="K76" i="5"/>
  <c r="O53" i="5"/>
  <c r="N78" i="5"/>
  <c r="L74" i="5"/>
  <c r="L307" i="5" s="1"/>
  <c r="L45" i="5"/>
  <c r="K75" i="5"/>
  <c r="N44" i="5"/>
  <c r="N48" i="5"/>
  <c r="P89" i="3"/>
  <c r="O13" i="5" s="1"/>
  <c r="N13" i="5"/>
  <c r="J14" i="4"/>
  <c r="I12" i="4"/>
  <c r="M40" i="5" s="1"/>
  <c r="M41" i="5" s="1"/>
  <c r="K19" i="4"/>
  <c r="K130" i="5" l="1"/>
  <c r="K217" i="5" s="1"/>
  <c r="L54" i="3"/>
  <c r="M74" i="3"/>
  <c r="D261" i="5" s="1"/>
  <c r="D260" i="5"/>
  <c r="K73" i="5"/>
  <c r="K84" i="5" s="1"/>
  <c r="L71" i="5"/>
  <c r="L49" i="3"/>
  <c r="K81" i="5" s="1"/>
  <c r="K98" i="5"/>
  <c r="P80" i="3"/>
  <c r="O196" i="5" s="1"/>
  <c r="M70" i="5"/>
  <c r="M216" i="5"/>
  <c r="O91" i="3"/>
  <c r="O92" i="3"/>
  <c r="N209" i="5" s="1"/>
  <c r="N17" i="5"/>
  <c r="N20" i="5" s="1"/>
  <c r="N23" i="5" s="1"/>
  <c r="N132" i="5"/>
  <c r="O132" i="5" s="1"/>
  <c r="O133" i="5" s="1"/>
  <c r="M133" i="5"/>
  <c r="O17" i="5"/>
  <c r="O20" i="5" s="1"/>
  <c r="O23" i="5" s="1"/>
  <c r="L134" i="5"/>
  <c r="L190" i="5" s="1"/>
  <c r="K206" i="5"/>
  <c r="K129" i="5"/>
  <c r="M313" i="5"/>
  <c r="L319" i="5"/>
  <c r="L206" i="5" s="1"/>
  <c r="L311" i="5"/>
  <c r="K127" i="5"/>
  <c r="O407" i="5"/>
  <c r="O411" i="5" s="1"/>
  <c r="N223" i="5"/>
  <c r="O78" i="5"/>
  <c r="P57" i="3"/>
  <c r="L55" i="3"/>
  <c r="K118" i="5" s="1"/>
  <c r="K117" i="5"/>
  <c r="L73" i="5"/>
  <c r="L130" i="5"/>
  <c r="L217" i="5" s="1"/>
  <c r="M54" i="3"/>
  <c r="M49" i="5"/>
  <c r="M76" i="5" s="1"/>
  <c r="M26" i="5"/>
  <c r="M71" i="5"/>
  <c r="L75" i="5"/>
  <c r="M45" i="5"/>
  <c r="M74" i="5"/>
  <c r="M307" i="5" s="1"/>
  <c r="L56" i="5"/>
  <c r="K18" i="4"/>
  <c r="K14" i="4"/>
  <c r="K12" i="4" s="1"/>
  <c r="O40" i="5" s="1"/>
  <c r="J12" i="4"/>
  <c r="N40" i="5" s="1"/>
  <c r="N41" i="5" s="1"/>
  <c r="K306" i="5" l="1"/>
  <c r="K260" i="5"/>
  <c r="K252" i="5"/>
  <c r="N74" i="3"/>
  <c r="D262" i="5" s="1"/>
  <c r="M49" i="3"/>
  <c r="L81" i="5" s="1"/>
  <c r="L98" i="5"/>
  <c r="N70" i="5"/>
  <c r="N216" i="5"/>
  <c r="P91" i="3"/>
  <c r="O216" i="5" s="1"/>
  <c r="P92" i="3"/>
  <c r="O209" i="5" s="1"/>
  <c r="O70" i="5"/>
  <c r="N133" i="5"/>
  <c r="M134" i="5"/>
  <c r="M190" i="5" s="1"/>
  <c r="O153" i="5"/>
  <c r="L252" i="5"/>
  <c r="L141" i="5" s="1"/>
  <c r="L261" i="5"/>
  <c r="M311" i="5"/>
  <c r="L318" i="5"/>
  <c r="N313" i="5"/>
  <c r="M319" i="5"/>
  <c r="M206" i="5" s="1"/>
  <c r="O223" i="5"/>
  <c r="K189" i="5"/>
  <c r="L84" i="5"/>
  <c r="L306" i="5"/>
  <c r="M55" i="3"/>
  <c r="L118" i="5" s="1"/>
  <c r="L117" i="5"/>
  <c r="M73" i="5"/>
  <c r="N54" i="3"/>
  <c r="M130" i="5"/>
  <c r="M217" i="5" s="1"/>
  <c r="L129" i="5"/>
  <c r="M56" i="5"/>
  <c r="N49" i="5"/>
  <c r="N76" i="5" s="1"/>
  <c r="M75" i="5"/>
  <c r="N45" i="5"/>
  <c r="N26" i="5"/>
  <c r="N71" i="5"/>
  <c r="O26" i="5"/>
  <c r="O71" i="5"/>
  <c r="N74" i="5"/>
  <c r="O44" i="5"/>
  <c r="O48" i="5"/>
  <c r="O41" i="5"/>
  <c r="O74" i="5" s="1"/>
  <c r="O74" i="3" l="1"/>
  <c r="P74" i="3" s="1"/>
  <c r="K141" i="5"/>
  <c r="K145" i="5" s="1"/>
  <c r="K367" i="5" s="1"/>
  <c r="K266" i="5"/>
  <c r="L260" i="5"/>
  <c r="M260" i="5" s="1"/>
  <c r="N260" i="5" s="1"/>
  <c r="O260" i="5" s="1"/>
  <c r="N134" i="5"/>
  <c r="O134" i="5" s="1"/>
  <c r="N49" i="3"/>
  <c r="M81" i="5" s="1"/>
  <c r="M98" i="5"/>
  <c r="L189" i="5"/>
  <c r="L127" i="5"/>
  <c r="M262" i="5"/>
  <c r="M252" i="5"/>
  <c r="M141" i="5" s="1"/>
  <c r="O262" i="5"/>
  <c r="N262" i="5"/>
  <c r="D264" i="5"/>
  <c r="D263" i="5"/>
  <c r="M261" i="5"/>
  <c r="O313" i="5"/>
  <c r="N311" i="5"/>
  <c r="M318" i="5"/>
  <c r="M84" i="5"/>
  <c r="M306" i="5"/>
  <c r="O73" i="5"/>
  <c r="P54" i="3"/>
  <c r="O130" i="5"/>
  <c r="N55" i="3"/>
  <c r="M118" i="5" s="1"/>
  <c r="M117" i="5"/>
  <c r="N73" i="5"/>
  <c r="O54" i="3"/>
  <c r="N130" i="5"/>
  <c r="N217" i="5" s="1"/>
  <c r="M129" i="5"/>
  <c r="O49" i="5"/>
  <c r="O76" i="5" s="1"/>
  <c r="O45" i="5"/>
  <c r="O75" i="5" s="1"/>
  <c r="N75" i="5"/>
  <c r="N56" i="5"/>
  <c r="N307" i="5"/>
  <c r="N319" i="5" s="1"/>
  <c r="N206" i="5" s="1"/>
  <c r="O307" i="5"/>
  <c r="K116" i="5" l="1"/>
  <c r="K77" i="5"/>
  <c r="K80" i="5" s="1"/>
  <c r="K83" i="5" s="1"/>
  <c r="L266" i="5"/>
  <c r="L116" i="5" s="1"/>
  <c r="K270" i="5"/>
  <c r="N190" i="5"/>
  <c r="O190" i="5" s="1"/>
  <c r="O306" i="5"/>
  <c r="O98" i="5"/>
  <c r="N306" i="5"/>
  <c r="N98" i="5"/>
  <c r="M189" i="5"/>
  <c r="M127" i="5"/>
  <c r="N261" i="5"/>
  <c r="M266" i="5"/>
  <c r="N263" i="5"/>
  <c r="N252" i="5"/>
  <c r="N141" i="5" s="1"/>
  <c r="O263" i="5"/>
  <c r="O252" i="5"/>
  <c r="O141" i="5" s="1"/>
  <c r="O264" i="5"/>
  <c r="O311" i="5"/>
  <c r="O318" i="5" s="1"/>
  <c r="N318" i="5"/>
  <c r="O319" i="5"/>
  <c r="O206" i="5" s="1"/>
  <c r="O217" i="5"/>
  <c r="P49" i="3"/>
  <c r="O81" i="5" s="1"/>
  <c r="O49" i="3"/>
  <c r="N81" i="5" s="1"/>
  <c r="O84" i="5"/>
  <c r="P55" i="3"/>
  <c r="O118" i="5" s="1"/>
  <c r="O117" i="5"/>
  <c r="O55" i="3"/>
  <c r="N118" i="5" s="1"/>
  <c r="N117" i="5"/>
  <c r="N84" i="5"/>
  <c r="O56" i="5"/>
  <c r="K195" i="5" l="1"/>
  <c r="L251" i="5"/>
  <c r="L270" i="5" s="1"/>
  <c r="L195" i="5" s="1"/>
  <c r="K102" i="5"/>
  <c r="L77" i="5"/>
  <c r="L80" i="5" s="1"/>
  <c r="L83" i="5" s="1"/>
  <c r="O189" i="5"/>
  <c r="O127" i="5"/>
  <c r="N189" i="5"/>
  <c r="N127" i="5"/>
  <c r="M251" i="5"/>
  <c r="M270" i="5" s="1"/>
  <c r="M195" i="5" s="1"/>
  <c r="M116" i="5"/>
  <c r="M77" i="5"/>
  <c r="M80" i="5" s="1"/>
  <c r="M83" i="5" s="1"/>
  <c r="O261" i="5"/>
  <c r="O266" i="5" s="1"/>
  <c r="N266" i="5"/>
  <c r="N129" i="5"/>
  <c r="O129" i="5"/>
  <c r="L102" i="5" l="1"/>
  <c r="M102" i="5"/>
  <c r="N116" i="5"/>
  <c r="N77" i="5"/>
  <c r="N80" i="5" s="1"/>
  <c r="N83" i="5" s="1"/>
  <c r="O116" i="5"/>
  <c r="O77" i="5"/>
  <c r="O80" i="5" s="1"/>
  <c r="O83" i="5" s="1"/>
  <c r="N251" i="5"/>
  <c r="N270" i="5" s="1"/>
  <c r="N195" i="5" s="1"/>
  <c r="K368" i="5"/>
  <c r="K353" i="5"/>
  <c r="K215" i="5" s="1"/>
  <c r="O102" i="5" l="1"/>
  <c r="N102" i="5"/>
  <c r="O251" i="5"/>
  <c r="O270" i="5" s="1"/>
  <c r="O195" i="5" s="1"/>
  <c r="L350" i="5"/>
  <c r="L355" i="5" s="1"/>
  <c r="L368" i="5"/>
  <c r="L353" i="5" l="1"/>
  <c r="L215" i="5" s="1"/>
  <c r="M350" i="5" l="1"/>
  <c r="M355" i="5" s="1"/>
  <c r="M368" i="5"/>
  <c r="M353" i="5" l="1"/>
  <c r="M215" i="5" s="1"/>
  <c r="N350" i="5" l="1"/>
  <c r="N355" i="5" s="1"/>
  <c r="N368" i="5"/>
  <c r="N353" i="5" l="1"/>
  <c r="N215" i="5" s="1"/>
  <c r="O350" i="5" l="1"/>
  <c r="O355" i="5" s="1"/>
  <c r="O368" i="5"/>
  <c r="O353" i="5"/>
  <c r="O215" i="5" s="1"/>
  <c r="L138" i="5" l="1"/>
  <c r="M138" i="5"/>
  <c r="M145" i="5" s="1"/>
  <c r="M367" i="5" s="1"/>
  <c r="N138" i="5"/>
  <c r="N145" i="5" s="1"/>
  <c r="N367" i="5" s="1"/>
  <c r="O138" i="5"/>
  <c r="O145" i="5" s="1"/>
  <c r="O367" i="5" s="1"/>
  <c r="L187" i="5" l="1"/>
  <c r="M187" i="5" s="1"/>
  <c r="N187" i="5" s="1"/>
  <c r="O187" i="5" s="1"/>
  <c r="L193" i="5"/>
  <c r="M193" i="5" s="1"/>
  <c r="N193" i="5" s="1"/>
  <c r="O193" i="5" s="1"/>
  <c r="L145" i="5"/>
  <c r="L367" i="5" s="1"/>
  <c r="K166" i="5" l="1"/>
  <c r="L166" i="5" l="1"/>
  <c r="K197" i="5"/>
  <c r="L197" i="5" l="1"/>
  <c r="M166" i="5"/>
  <c r="N166" i="5" l="1"/>
  <c r="M197" i="5"/>
  <c r="N197" i="5" l="1"/>
  <c r="O166" i="5"/>
  <c r="O197" i="5" s="1"/>
  <c r="K5" i="6"/>
  <c r="G3" i="6"/>
  <c r="G7" i="6" s="1"/>
  <c r="O6" i="6" s="1"/>
  <c r="L5" i="6"/>
  <c r="M5" i="6"/>
  <c r="O5" i="6"/>
  <c r="O7" i="6" l="1"/>
  <c r="O10" i="6" s="1"/>
  <c r="O12" i="6" s="1"/>
  <c r="O13" i="6" s="1"/>
  <c r="L97" i="3"/>
  <c r="M97" i="3"/>
  <c r="N97" i="3"/>
  <c r="O97" i="3"/>
  <c r="P97" i="3"/>
  <c r="L98" i="3"/>
  <c r="M98" i="3"/>
  <c r="N98" i="3"/>
  <c r="O98" i="3"/>
  <c r="P98" i="3"/>
  <c r="K85" i="5"/>
  <c r="L85" i="5"/>
  <c r="M85" i="5"/>
  <c r="N85" i="5"/>
  <c r="O85" i="5"/>
  <c r="K86" i="5"/>
  <c r="L86" i="5"/>
  <c r="M86" i="5"/>
  <c r="N86" i="5"/>
  <c r="O86" i="5"/>
  <c r="K87" i="5"/>
  <c r="L87" i="5"/>
  <c r="M87" i="5"/>
  <c r="N87" i="5"/>
  <c r="O87" i="5"/>
  <c r="K88" i="5"/>
  <c r="L88" i="5"/>
  <c r="M88" i="5"/>
  <c r="N88" i="5"/>
  <c r="O88" i="5"/>
  <c r="K90" i="5"/>
  <c r="L90" i="5"/>
  <c r="M90" i="5"/>
  <c r="N90" i="5"/>
  <c r="O90" i="5"/>
  <c r="K91" i="5"/>
  <c r="L91" i="5"/>
  <c r="M91" i="5"/>
  <c r="N91" i="5"/>
  <c r="O91" i="5"/>
  <c r="K92" i="5"/>
  <c r="L92" i="5"/>
  <c r="M92" i="5"/>
  <c r="N92" i="5"/>
  <c r="O92" i="5"/>
  <c r="K99" i="5"/>
  <c r="L99" i="5"/>
  <c r="M99" i="5"/>
  <c r="N99" i="5"/>
  <c r="O99" i="5"/>
  <c r="K100" i="5"/>
  <c r="L100" i="5"/>
  <c r="M100" i="5"/>
  <c r="N100" i="5"/>
  <c r="O100" i="5"/>
  <c r="K101" i="5"/>
  <c r="L101" i="5"/>
  <c r="M101" i="5"/>
  <c r="N101" i="5"/>
  <c r="O101" i="5"/>
  <c r="K113" i="5"/>
  <c r="L113" i="5"/>
  <c r="M113" i="5"/>
  <c r="N113" i="5"/>
  <c r="O113" i="5"/>
  <c r="K126" i="5"/>
  <c r="L126" i="5"/>
  <c r="M126" i="5"/>
  <c r="N126" i="5"/>
  <c r="O126" i="5"/>
  <c r="K128" i="5"/>
  <c r="L128" i="5"/>
  <c r="M128" i="5"/>
  <c r="N128" i="5"/>
  <c r="O128" i="5"/>
  <c r="K135" i="5"/>
  <c r="L135" i="5"/>
  <c r="M135" i="5"/>
  <c r="N135" i="5"/>
  <c r="O135" i="5"/>
  <c r="K149" i="5"/>
  <c r="L149" i="5"/>
  <c r="M149" i="5"/>
  <c r="N149" i="5"/>
  <c r="O149" i="5"/>
  <c r="K154" i="5"/>
  <c r="L154" i="5"/>
  <c r="M154" i="5"/>
  <c r="N154" i="5"/>
  <c r="O154" i="5"/>
  <c r="K158" i="5"/>
  <c r="L158" i="5"/>
  <c r="M158" i="5"/>
  <c r="N158" i="5"/>
  <c r="O158" i="5"/>
  <c r="K161" i="5"/>
  <c r="L161" i="5"/>
  <c r="M161" i="5"/>
  <c r="N161" i="5"/>
  <c r="O161" i="5"/>
  <c r="L163" i="5"/>
  <c r="M163" i="5"/>
  <c r="N163" i="5"/>
  <c r="O163" i="5"/>
  <c r="K164" i="5"/>
  <c r="L164" i="5"/>
  <c r="M164" i="5"/>
  <c r="N164" i="5"/>
  <c r="O164" i="5"/>
  <c r="K169" i="5"/>
  <c r="L169" i="5"/>
  <c r="M169" i="5"/>
  <c r="N169" i="5"/>
  <c r="O169" i="5"/>
  <c r="K170" i="5"/>
  <c r="L170" i="5"/>
  <c r="M170" i="5"/>
  <c r="N170" i="5"/>
  <c r="O170" i="5"/>
  <c r="K171" i="5"/>
  <c r="L171" i="5"/>
  <c r="M171" i="5"/>
  <c r="N171" i="5"/>
  <c r="O171" i="5"/>
  <c r="K172" i="5"/>
  <c r="L172" i="5"/>
  <c r="M172" i="5"/>
  <c r="N172" i="5"/>
  <c r="O172" i="5"/>
  <c r="K173" i="5"/>
  <c r="L173" i="5"/>
  <c r="M173" i="5"/>
  <c r="N173" i="5"/>
  <c r="O173" i="5"/>
  <c r="K186" i="5"/>
  <c r="L186" i="5"/>
  <c r="M186" i="5"/>
  <c r="N186" i="5"/>
  <c r="O186" i="5"/>
  <c r="K188" i="5"/>
  <c r="L188" i="5"/>
  <c r="M188" i="5"/>
  <c r="N188" i="5"/>
  <c r="O188" i="5"/>
  <c r="K191" i="5"/>
  <c r="L191" i="5"/>
  <c r="M191" i="5"/>
  <c r="N191" i="5"/>
  <c r="O191" i="5"/>
  <c r="K198" i="5"/>
  <c r="L198" i="5"/>
  <c r="M198" i="5"/>
  <c r="N198" i="5"/>
  <c r="O198" i="5"/>
  <c r="K202" i="5"/>
  <c r="L202" i="5"/>
  <c r="M202" i="5"/>
  <c r="N202" i="5"/>
  <c r="O202" i="5"/>
  <c r="K211" i="5"/>
  <c r="L211" i="5"/>
  <c r="M211" i="5"/>
  <c r="N211" i="5"/>
  <c r="O211" i="5"/>
  <c r="K213" i="5"/>
  <c r="L213" i="5"/>
  <c r="M213" i="5"/>
  <c r="N213" i="5"/>
  <c r="O213" i="5"/>
  <c r="K219" i="5"/>
  <c r="L219" i="5"/>
  <c r="M219" i="5"/>
  <c r="N219" i="5"/>
  <c r="O219" i="5"/>
  <c r="K224" i="5"/>
  <c r="L224" i="5"/>
  <c r="M224" i="5"/>
  <c r="N224" i="5"/>
  <c r="O224" i="5"/>
  <c r="K226" i="5"/>
  <c r="L226" i="5"/>
  <c r="M226" i="5"/>
  <c r="N226" i="5"/>
  <c r="O226" i="5"/>
  <c r="K228" i="5"/>
  <c r="L228" i="5"/>
  <c r="M228" i="5"/>
  <c r="N228" i="5"/>
  <c r="O228" i="5"/>
  <c r="K229" i="5"/>
  <c r="L229" i="5"/>
  <c r="M229" i="5"/>
  <c r="N229" i="5"/>
  <c r="O229" i="5"/>
  <c r="K231" i="5"/>
  <c r="L231" i="5"/>
  <c r="M231" i="5"/>
  <c r="N231" i="5"/>
  <c r="O231" i="5"/>
  <c r="K234" i="5"/>
  <c r="L234" i="5"/>
  <c r="M234" i="5"/>
  <c r="N234" i="5"/>
  <c r="O234" i="5"/>
  <c r="K235" i="5"/>
  <c r="L235" i="5"/>
  <c r="M235" i="5"/>
  <c r="N235" i="5"/>
  <c r="O235" i="5"/>
  <c r="K236" i="5"/>
  <c r="L236" i="5"/>
  <c r="M236" i="5"/>
  <c r="N236" i="5"/>
  <c r="O236" i="5"/>
  <c r="K237" i="5"/>
  <c r="L237" i="5"/>
  <c r="M237" i="5"/>
  <c r="N237" i="5"/>
  <c r="O237" i="5"/>
  <c r="K238" i="5"/>
  <c r="L238" i="5"/>
  <c r="M238" i="5"/>
  <c r="N238" i="5"/>
  <c r="O238" i="5"/>
  <c r="K282" i="5"/>
  <c r="L282" i="5"/>
  <c r="M282" i="5"/>
  <c r="N282" i="5"/>
  <c r="O282" i="5"/>
  <c r="K283" i="5"/>
  <c r="L283" i="5"/>
  <c r="M283" i="5"/>
  <c r="N283" i="5"/>
  <c r="O283" i="5"/>
  <c r="K284" i="5"/>
  <c r="L284" i="5"/>
  <c r="M284" i="5"/>
  <c r="N284" i="5"/>
  <c r="O284" i="5"/>
  <c r="K286" i="5"/>
  <c r="L286" i="5"/>
  <c r="M286" i="5"/>
  <c r="N286" i="5"/>
  <c r="O286" i="5"/>
  <c r="K289" i="5"/>
  <c r="L289" i="5"/>
  <c r="M289" i="5"/>
  <c r="N289" i="5"/>
  <c r="O289" i="5"/>
  <c r="K290" i="5"/>
  <c r="L290" i="5"/>
  <c r="M290" i="5"/>
  <c r="N290" i="5"/>
  <c r="O290" i="5"/>
  <c r="K291" i="5"/>
  <c r="L291" i="5"/>
  <c r="M291" i="5"/>
  <c r="N291" i="5"/>
  <c r="O291" i="5"/>
  <c r="J310" i="5"/>
  <c r="K310" i="5"/>
  <c r="L310" i="5"/>
  <c r="M310" i="5"/>
  <c r="N310" i="5"/>
  <c r="O310" i="5"/>
  <c r="K317" i="5"/>
  <c r="L317" i="5"/>
  <c r="M317" i="5"/>
  <c r="N317" i="5"/>
  <c r="O317" i="5"/>
  <c r="L333" i="5"/>
  <c r="M333" i="5"/>
  <c r="N333" i="5"/>
  <c r="O333" i="5"/>
  <c r="K334" i="5"/>
  <c r="L334" i="5"/>
  <c r="M334" i="5"/>
  <c r="N334" i="5"/>
  <c r="O334" i="5"/>
  <c r="K335" i="5"/>
  <c r="L335" i="5"/>
  <c r="M335" i="5"/>
  <c r="N335" i="5"/>
  <c r="O335" i="5"/>
  <c r="L337" i="5"/>
  <c r="M337" i="5"/>
  <c r="N337" i="5"/>
  <c r="O337" i="5"/>
  <c r="K366" i="5"/>
  <c r="L366" i="5"/>
  <c r="M366" i="5"/>
  <c r="N366" i="5"/>
  <c r="O366" i="5"/>
  <c r="K371" i="5"/>
  <c r="L371" i="5"/>
  <c r="M371" i="5"/>
  <c r="N371" i="5"/>
  <c r="O371" i="5"/>
  <c r="K372" i="5"/>
  <c r="L372" i="5"/>
  <c r="M372" i="5"/>
  <c r="N372" i="5"/>
  <c r="O372" i="5"/>
  <c r="L374" i="5"/>
  <c r="M374" i="5"/>
  <c r="N374" i="5"/>
  <c r="O374" i="5"/>
  <c r="K375" i="5"/>
  <c r="L375" i="5"/>
  <c r="M375" i="5"/>
  <c r="N375" i="5"/>
  <c r="O375" i="5"/>
  <c r="K376" i="5"/>
  <c r="L376" i="5"/>
  <c r="M376" i="5"/>
  <c r="N376" i="5"/>
  <c r="O376" i="5"/>
  <c r="K378" i="5"/>
  <c r="L378" i="5"/>
  <c r="M378" i="5"/>
  <c r="N378" i="5"/>
  <c r="O378" i="5"/>
  <c r="K380" i="5"/>
  <c r="L380" i="5"/>
  <c r="M380" i="5"/>
  <c r="N380" i="5"/>
  <c r="O380" i="5"/>
  <c r="K396" i="5"/>
  <c r="L396" i="5"/>
  <c r="M396" i="5"/>
  <c r="N396" i="5"/>
  <c r="O396" i="5"/>
  <c r="K397" i="5"/>
  <c r="L397" i="5"/>
  <c r="M397" i="5"/>
  <c r="N397" i="5"/>
  <c r="O397" i="5"/>
  <c r="L400" i="5"/>
  <c r="M400" i="5"/>
  <c r="N400" i="5"/>
  <c r="O400" i="5"/>
  <c r="K401" i="5"/>
  <c r="L401" i="5"/>
  <c r="M401" i="5"/>
  <c r="N401" i="5"/>
  <c r="O401" i="5"/>
  <c r="K402" i="5"/>
  <c r="L402" i="5"/>
  <c r="M402" i="5"/>
  <c r="N402" i="5"/>
  <c r="O402" i="5"/>
  <c r="K404" i="5"/>
  <c r="L404" i="5"/>
  <c r="M404" i="5"/>
  <c r="N404" i="5"/>
  <c r="O404" i="5"/>
</calcChain>
</file>

<file path=xl/sharedStrings.xml><?xml version="1.0" encoding="utf-8"?>
<sst xmlns="http://schemas.openxmlformats.org/spreadsheetml/2006/main" count="736" uniqueCount="467">
  <si>
    <t>Starbucks CORP</t>
  </si>
  <si>
    <t>Summary Outputs</t>
  </si>
  <si>
    <t>Inputs and Assumptions</t>
  </si>
  <si>
    <t>General</t>
  </si>
  <si>
    <t>First year of forecast:</t>
  </si>
  <si>
    <t>-</t>
  </si>
  <si>
    <t>Base Case</t>
  </si>
  <si>
    <t>Best Case</t>
  </si>
  <si>
    <t>Worst Case</t>
  </si>
  <si>
    <t>Notes</t>
  </si>
  <si>
    <t>Three scenarios have been used for cost inflation,</t>
  </si>
  <si>
    <t>The product average ticket cases used in this</t>
  </si>
  <si>
    <t xml:space="preserve"> model are as follows:</t>
  </si>
  <si>
    <t>1) I assumed that sales (and therefore revenues) would be noncyclical due to the fact that coffee is a low cost, habitual, potentially addictive habit</t>
  </si>
  <si>
    <t>Average Ticket (applies to company operated stores)</t>
  </si>
  <si>
    <t>2) Average Ticket Price Cases were based off a 3 year average of net percent change in the average ticket</t>
  </si>
  <si>
    <t>comperable transactions volume, average ticket</t>
  </si>
  <si>
    <t>Average Ticket Price Cases</t>
  </si>
  <si>
    <t>ATPC</t>
  </si>
  <si>
    <t>ACTC</t>
  </si>
  <si>
    <t>avg</t>
  </si>
  <si>
    <t xml:space="preserve"> </t>
  </si>
  <si>
    <t>price, and new store revenue growth</t>
  </si>
  <si>
    <t>4) New Store Revenue Growth were based off a 3 year average of net percent change in store count</t>
  </si>
  <si>
    <t>Comparable Transactions Cases</t>
  </si>
  <si>
    <t>New Store Revenue</t>
  </si>
  <si>
    <t>Costs</t>
  </si>
  <si>
    <t>PDC (in millions)</t>
  </si>
  <si>
    <t>SOE (in millions)</t>
  </si>
  <si>
    <t>Cost Items</t>
  </si>
  <si>
    <t xml:space="preserve">Product/Distribution </t>
  </si>
  <si>
    <t xml:space="preserve">Store Operating </t>
  </si>
  <si>
    <t>Other Operating</t>
  </si>
  <si>
    <t xml:space="preserve">SG &amp; A </t>
  </si>
  <si>
    <t>g&amp;a (in millions)</t>
  </si>
  <si>
    <t>MM</t>
  </si>
  <si>
    <t>Increases</t>
  </si>
  <si>
    <t>Depreciation</t>
  </si>
  <si>
    <t>Depreciation Methodology Used</t>
  </si>
  <si>
    <t>Striahgt Line</t>
  </si>
  <si>
    <t>years used for depreciation buildings</t>
  </si>
  <si>
    <t>Years remainning for buildings</t>
  </si>
  <si>
    <t>years remaining for equiptment</t>
  </si>
  <si>
    <t>years remaining for leases</t>
  </si>
  <si>
    <t>years used for leases</t>
  </si>
  <si>
    <t>8) years remaining for _ is calculated as UL * (1 - % used up) where % used up is accumulated depreciation/gross PP&amp;E and</t>
  </si>
  <si>
    <t>land (in millions)</t>
  </si>
  <si>
    <t>buiuldings (in millions)</t>
  </si>
  <si>
    <t>leasehold improvements (in millions)</t>
  </si>
  <si>
    <t>roasting equiptment (in millions)</t>
  </si>
  <si>
    <t>furniture, fixtures and other (in millions)</t>
  </si>
  <si>
    <t>work in progress (in millions)</t>
  </si>
  <si>
    <t>store equiptment (in millions)</t>
  </si>
  <si>
    <t>capitalized software (in millions)</t>
  </si>
  <si>
    <t>gross PP&amp;E (in millions)</t>
  </si>
  <si>
    <t>accumulated depreciation (in millions)</t>
  </si>
  <si>
    <t>net PP&amp;E (in millions)</t>
  </si>
  <si>
    <t>years remaining for capitalized software</t>
  </si>
  <si>
    <t>years used for capitalized software</t>
  </si>
  <si>
    <t>average UL for buildings is 35, 8.5 for equiptment, 10 for leases and 5 for software (land and work in progress not depreciated)</t>
  </si>
  <si>
    <t>Equity</t>
  </si>
  <si>
    <t xml:space="preserve">Common Dividend Payout Rate </t>
  </si>
  <si>
    <t>Fully Diluted Shares (MM) O/S - Oct 2024</t>
  </si>
  <si>
    <t>9) dividend payout rate = DPS/EPS = D/E = 2.32/3.31</t>
  </si>
  <si>
    <t>Operations</t>
  </si>
  <si>
    <t>N/A</t>
  </si>
  <si>
    <t>10) im assuming that there is no limitation is starbucks production/comparable sales levels</t>
  </si>
  <si>
    <t>Interest Rates</t>
  </si>
  <si>
    <t xml:space="preserve">11) SBUX uses the largest of 1) BofA prime rate (7.5%) 2) FED rate + .5% (4.75) 3) SOFR term rate + .1% (4.4%) plus an </t>
  </si>
  <si>
    <t xml:space="preserve">applicable margin based on moody's/S&amp;P credit rating (which for the 2026 revolver would likely be 105 bp) so </t>
  </si>
  <si>
    <t>for revolver interest rate would likley be 8.55%</t>
  </si>
  <si>
    <t>Interest earned on outstanding cash</t>
  </si>
  <si>
    <t>Interest on revolver</t>
  </si>
  <si>
    <r>
      <t xml:space="preserve">12) </t>
    </r>
    <r>
      <rPr>
        <b/>
        <sz val="11"/>
        <color theme="1"/>
        <rFont val="Aptos Narrow"/>
        <family val="2"/>
        <scheme val="minor"/>
      </rPr>
      <t>Short term debt issuing (CP) + revolver drawing &lt;= total revolver credit line</t>
    </r>
  </si>
  <si>
    <t>13) short term commercial paper has an average rate of 4.6% interest given p-2 rating (according to google ai for 2025)</t>
  </si>
  <si>
    <t>Interest rate on LT debt</t>
  </si>
  <si>
    <t>Interest on ST debt</t>
  </si>
  <si>
    <t>14) short term debt calculated as interest expense / average total long term debt outstanding</t>
  </si>
  <si>
    <t xml:space="preserve">15) interest earned on cash and short term investments is found as interest income = cash * rc + st investments * rs + </t>
  </si>
  <si>
    <t>lt investments *rl and rate on cash is assumed to be .5% and st invesments are assumed to return 5% given market conditions</t>
  </si>
  <si>
    <t>interest earned on ST investments</t>
  </si>
  <si>
    <t>interest earned on LT investments</t>
  </si>
  <si>
    <t>LT is equity and LT inv</t>
  </si>
  <si>
    <t>This would lead to 122.8 = ((3286.2 + 3551.5)/2) * .005 + ((257 + 401.5)/2) * 0.05 + ((739.9 + 687.2)/2) * rl so rl equals 12.5%</t>
  </si>
  <si>
    <t>Taxes</t>
  </si>
  <si>
    <t>16) given assumed tax rate has increase by 0.9% on average each year, I will add 2.25% to current tax rate and use that across model</t>
  </si>
  <si>
    <t>Other Assumptions</t>
  </si>
  <si>
    <t>Income From Equity Investies</t>
  </si>
  <si>
    <t>2022A</t>
  </si>
  <si>
    <t>2023A</t>
  </si>
  <si>
    <t>2024A</t>
  </si>
  <si>
    <t>17) income from equity investees is assumed to remain equal to 0.8% of revenue as it has roughly been for the past 3 years</t>
  </si>
  <si>
    <t>Gain (Loss) on disposition of assets</t>
  </si>
  <si>
    <t>Gain (Loss) attributed to noncontrolling interest</t>
  </si>
  <si>
    <t>Income Statement</t>
  </si>
  <si>
    <t>Cash Flow Statement</t>
  </si>
  <si>
    <t>Distributions received from equity method investees</t>
  </si>
  <si>
    <t>18) Distributions from equity earnings (actual cash) is assumed to equal income from Equity Investees (accounting) given it switched from being less than accounting amount to over accounting amount</t>
  </si>
  <si>
    <t>Stock Based Compensation</t>
  </si>
  <si>
    <t>19) given the fact that stock based compensation/G &amp; A ratio appears to be approaching 12%, I will assume that it will be 12% for the duration of the model</t>
  </si>
  <si>
    <t>271. 5</t>
  </si>
  <si>
    <t>Non-Cash Lease Cost</t>
  </si>
  <si>
    <t xml:space="preserve">30) due to volatile change in the non-cash lease cost, I will assume in this model that that value is equal to the 5 year average </t>
  </si>
  <si>
    <t>Loss on returement and impairment of assets</t>
  </si>
  <si>
    <t>31) because loss on retirement and impairment of assets does not appear to follow depreciation and amortization expense, I will use a CAGR estimate of 9.4% (earlier years were probably outliers due to covid)</t>
  </si>
  <si>
    <t xml:space="preserve">Purchase of investments </t>
  </si>
  <si>
    <t>Proceeds from sales of assets</t>
  </si>
  <si>
    <t>Maturity and calls of investments</t>
  </si>
  <si>
    <t>Proceeds from sale of productive assets</t>
  </si>
  <si>
    <t>Net Proceeds from divestiture of certain operations</t>
  </si>
  <si>
    <t>Other</t>
  </si>
  <si>
    <t>Proceeds from (Repayment of) commercial paper</t>
  </si>
  <si>
    <t>Proceeds from issuance of short term debt</t>
  </si>
  <si>
    <t>Repayment of short term debt</t>
  </si>
  <si>
    <t>Proceeds from issuance of common stock</t>
  </si>
  <si>
    <t>Minimum tax withholding on share awards</t>
  </si>
  <si>
    <t>Effect of exchange rate on cash</t>
  </si>
  <si>
    <t>CAPEX</t>
  </si>
  <si>
    <t>32)  Capex = ending PPE -beginning PPE + depreciation</t>
  </si>
  <si>
    <t>Balance Sheet</t>
  </si>
  <si>
    <t>Short term Investments</t>
  </si>
  <si>
    <t>Prepaid Expenses and other Assets, Current</t>
  </si>
  <si>
    <t>Operating Lease, ROU asset</t>
  </si>
  <si>
    <t>33) Operating Lease, ROU asset appears to be growing consistenly throught the years so I grew it at a CAGR rate</t>
  </si>
  <si>
    <t>Goodwill</t>
  </si>
  <si>
    <t>Equity Investments</t>
  </si>
  <si>
    <t>Sales Scenarios</t>
  </si>
  <si>
    <t>3) Comparable Transactions Cases were based off a 3 year average of net percent change in the transaction volume/ Average New Store Growth was 3 year average of store growth %</t>
  </si>
  <si>
    <t>Product and Distribution Cost Inflation</t>
  </si>
  <si>
    <t>Store Operating Expense Inflation</t>
  </si>
  <si>
    <t>C-O Store Count</t>
  </si>
  <si>
    <t>Store Growth %</t>
  </si>
  <si>
    <t>Comparable Store Sales Growth</t>
  </si>
  <si>
    <t>Scenario Switch</t>
  </si>
  <si>
    <t>Revenue Schedule</t>
  </si>
  <si>
    <t>projected</t>
  </si>
  <si>
    <t>New Store Growth Cases</t>
  </si>
  <si>
    <t>New Store Revenue Per Store</t>
  </si>
  <si>
    <t>(non cyclical assumption)</t>
  </si>
  <si>
    <t>New Store Growth %</t>
  </si>
  <si>
    <t>Comparable Store Sales</t>
  </si>
  <si>
    <t>Forex Translation Impact</t>
  </si>
  <si>
    <t>Company-Operated Stores (COS)</t>
  </si>
  <si>
    <t>Net COS Revenue</t>
  </si>
  <si>
    <t>New Store Growth Rate</t>
  </si>
  <si>
    <t>%</t>
  </si>
  <si>
    <t>New Stores Added</t>
  </si>
  <si>
    <t>Revenue</t>
  </si>
  <si>
    <t>34) Forex Translation Impact forecasted to remain at 2024 levels due to difficulty in predicting it and the relative small impact it has on total revenue</t>
  </si>
  <si>
    <t>New Store Total Sales</t>
  </si>
  <si>
    <t>Licensed Stores</t>
  </si>
  <si>
    <t>2022 = 36.2%, 2023 = 23.4 %, 2024 = -0.2%</t>
  </si>
  <si>
    <t>Licensed Store Revenue</t>
  </si>
  <si>
    <t>35) Licensed Store Revenue to remain at about 14% of COS revenue</t>
  </si>
  <si>
    <t>Other Revenue</t>
  </si>
  <si>
    <t>Total Net Revenue</t>
  </si>
  <si>
    <t>Compable Sales Growth</t>
  </si>
  <si>
    <t>Product and Distribution Costs</t>
  </si>
  <si>
    <t xml:space="preserve">Product &amp; Distribution (P&amp;D) Costs </t>
  </si>
  <si>
    <t>P&amp;D Growth Rate</t>
  </si>
  <si>
    <t>P&amp;D Costs</t>
  </si>
  <si>
    <t>Store Operating Expenses</t>
  </si>
  <si>
    <t>Store Operating (SO) Expenses</t>
  </si>
  <si>
    <t>SO Growth Rate</t>
  </si>
  <si>
    <t>SO Expense</t>
  </si>
  <si>
    <t>cagr</t>
  </si>
  <si>
    <t>Other Operating (OO) Expenses</t>
  </si>
  <si>
    <t>OO Growth Rate</t>
  </si>
  <si>
    <t>growth total basis</t>
  </si>
  <si>
    <t>OO Expense</t>
  </si>
  <si>
    <t xml:space="preserve">Restructuring and Impairment </t>
  </si>
  <si>
    <t>Total Operating Expense*</t>
  </si>
  <si>
    <t>Operating Expense Schedule (excluding D&amp;A costs)*</t>
  </si>
  <si>
    <t>Fillings believe 2025 capex spending will be largely consistent with 2024 so I will assume for future years that capex will be tied to revenue at that rate</t>
  </si>
  <si>
    <t>Depreciation Schedule</t>
  </si>
  <si>
    <t>net change</t>
  </si>
  <si>
    <t>% of capex spending</t>
  </si>
  <si>
    <t>Plus: Capex</t>
  </si>
  <si>
    <t>Depreciation to Existing Assets</t>
  </si>
  <si>
    <t xml:space="preserve">Depreciation and Amortization </t>
  </si>
  <si>
    <t>Minus: Amortization</t>
  </si>
  <si>
    <t>Net Depreciation to Existing Assets</t>
  </si>
  <si>
    <t>Useful Life in Years</t>
  </si>
  <si>
    <t>Asset Class:</t>
  </si>
  <si>
    <t>Leases</t>
  </si>
  <si>
    <t>Buildings</t>
  </si>
  <si>
    <t>Equiptment</t>
  </si>
  <si>
    <t>years used for equiptment</t>
  </si>
  <si>
    <t>Software</t>
  </si>
  <si>
    <t>Capex</t>
  </si>
  <si>
    <t>Total Depreciation</t>
  </si>
  <si>
    <t>Ending Fixed Assets (PP&amp;E)</t>
  </si>
  <si>
    <t>Beginning Fixed Assets (PP&amp;E)</t>
  </si>
  <si>
    <t>Expected Amortization</t>
  </si>
  <si>
    <t>Income Tax Schedule</t>
  </si>
  <si>
    <t>Tax Rate:</t>
  </si>
  <si>
    <t>Net Revenues:</t>
  </si>
  <si>
    <t>Company Operated Stores</t>
  </si>
  <si>
    <t>Total Net Revenues</t>
  </si>
  <si>
    <t>Other Operating Expenses</t>
  </si>
  <si>
    <t>CAGR</t>
  </si>
  <si>
    <t>G&amp;A</t>
  </si>
  <si>
    <t xml:space="preserve">G&amp;A </t>
  </si>
  <si>
    <t>G&amp;A Growth Rate</t>
  </si>
  <si>
    <t>G&amp;A Expense</t>
  </si>
  <si>
    <t>Restructuring and Impairments</t>
  </si>
  <si>
    <t>Total Operating Expenses</t>
  </si>
  <si>
    <t>Income From Equity Investees</t>
  </si>
  <si>
    <t>Gains From Sale of Assets</t>
  </si>
  <si>
    <t>Operating Income</t>
  </si>
  <si>
    <t>Interest Income and Other Net</t>
  </si>
  <si>
    <t>Interest Expense</t>
  </si>
  <si>
    <t>Earnings Before Income Taxes</t>
  </si>
  <si>
    <t>Income Tax Expense</t>
  </si>
  <si>
    <t>Net Earnings Attributable to Starbucks</t>
  </si>
  <si>
    <t>Net Earnings Including Non-Controlling</t>
  </si>
  <si>
    <t>Net Earnings Attributable to Non-Cont</t>
  </si>
  <si>
    <t>Earnings Per Share - Basic</t>
  </si>
  <si>
    <t>Earnings Per Share - Diluted</t>
  </si>
  <si>
    <t>Weighted Avg Shares Outstanding</t>
  </si>
  <si>
    <t>Basic</t>
  </si>
  <si>
    <t>Diluted</t>
  </si>
  <si>
    <t>Operating Activites:</t>
  </si>
  <si>
    <t xml:space="preserve">Net Earnings including non-controllong </t>
  </si>
  <si>
    <t>Adjustments to reconcile net earnings to</t>
  </si>
  <si>
    <t>net cash provided by operation</t>
  </si>
  <si>
    <t>Income  from equity investees</t>
  </si>
  <si>
    <t>Gain on sale of assets</t>
  </si>
  <si>
    <t>Stock-based compensation</t>
  </si>
  <si>
    <t>Non-cash lease costs</t>
  </si>
  <si>
    <t>Loss on retirement and impairment assets</t>
  </si>
  <si>
    <t>Depreciation and Amortization</t>
  </si>
  <si>
    <t>Distributions from equity investees</t>
  </si>
  <si>
    <t>Cash Provided by/ (used in) changes to</t>
  </si>
  <si>
    <t>operating assets and liabilities</t>
  </si>
  <si>
    <t>Accounts Receivable</t>
  </si>
  <si>
    <t>Investories</t>
  </si>
  <si>
    <t>Income Taxes Payable</t>
  </si>
  <si>
    <t>Accounts Payable</t>
  </si>
  <si>
    <t>Deferred Revenue</t>
  </si>
  <si>
    <t>Operating Lease Liability</t>
  </si>
  <si>
    <t>Other Operating Assets/Liabilit</t>
  </si>
  <si>
    <t>Net Cash Provided by Operating Activities</t>
  </si>
  <si>
    <t>Investing Activities</t>
  </si>
  <si>
    <t>Purchase of investments</t>
  </si>
  <si>
    <t>Sale of investments</t>
  </si>
  <si>
    <t>Maturities and calls of investments</t>
  </si>
  <si>
    <t>Additions to PP&amp;E</t>
  </si>
  <si>
    <t>Proceeds from sale of assets</t>
  </si>
  <si>
    <t>Net Proceeds from the divestitude of certain operati</t>
  </si>
  <si>
    <t>Net Cash Used in Investing Activities</t>
  </si>
  <si>
    <t>Financing Activities</t>
  </si>
  <si>
    <t>Net proceeds from issuance of short-term debt</t>
  </si>
  <si>
    <t>Repayments of short-term debt</t>
  </si>
  <si>
    <t>Net proceeds from issuance of long-term debt</t>
  </si>
  <si>
    <t>Repayments of long-term debt</t>
  </si>
  <si>
    <t>Cash dividends paid</t>
  </si>
  <si>
    <t>Repurchase of common stock</t>
  </si>
  <si>
    <t>Net Cash used in Financing Activities</t>
  </si>
  <si>
    <t>Effect of exhange rate changes on cash and equivalen</t>
  </si>
  <si>
    <t>Net Incrase/(decrease) in cash and equivalents</t>
  </si>
  <si>
    <t>CASH AND CASH EQUIVALENTS</t>
  </si>
  <si>
    <t>Beginning of Period</t>
  </si>
  <si>
    <t>End of Period</t>
  </si>
  <si>
    <t>Balance Sheets</t>
  </si>
  <si>
    <t>Current Assets</t>
  </si>
  <si>
    <t>Cash and cash equivalents</t>
  </si>
  <si>
    <t>Short-term investments</t>
  </si>
  <si>
    <t>Accounts receivable, net</t>
  </si>
  <si>
    <t>Prepaid expenses and other current assets</t>
  </si>
  <si>
    <t>Total Current Assets</t>
  </si>
  <si>
    <t>Long-term investments</t>
  </si>
  <si>
    <t>PP&amp;E, net</t>
  </si>
  <si>
    <t>Operating lease, ROU asset</t>
  </si>
  <si>
    <t>Deferred income taxes, net</t>
  </si>
  <si>
    <t>Other long-term assets</t>
  </si>
  <si>
    <t>Other intangible assets</t>
  </si>
  <si>
    <t>ASSETS</t>
  </si>
  <si>
    <t>LIABILITIES AND SHAREHOLDERS' EQUITY/(DEFICIT)</t>
  </si>
  <si>
    <t>Current Liabilities</t>
  </si>
  <si>
    <t>Accounts payable</t>
  </si>
  <si>
    <t>Accrued Liabilities</t>
  </si>
  <si>
    <t>Accrued payroll and benefits</t>
  </si>
  <si>
    <t>Current portion of operating lease liability</t>
  </si>
  <si>
    <t>Short-term debt</t>
  </si>
  <si>
    <t>Current portion of long-term debt</t>
  </si>
  <si>
    <t>Total Current Liabilities</t>
  </si>
  <si>
    <t>Long-term debt</t>
  </si>
  <si>
    <t>Operating lease liability</t>
  </si>
  <si>
    <t>Deferred revenue</t>
  </si>
  <si>
    <t>Other long-term liabilities</t>
  </si>
  <si>
    <t>Total Liabilities</t>
  </si>
  <si>
    <t>Shareholder's Deficit</t>
  </si>
  <si>
    <t>Common Stock ($0.001 par value)</t>
  </si>
  <si>
    <t>Additional paid-in capital</t>
  </si>
  <si>
    <t>Retained Deficit</t>
  </si>
  <si>
    <t>Accumulated other comprehensive income/(loss)</t>
  </si>
  <si>
    <t>Total Shareholders' Deficit</t>
  </si>
  <si>
    <t>Noncontrolling Interests</t>
  </si>
  <si>
    <t>Total Deficit</t>
  </si>
  <si>
    <t>TOTAL ASSETS</t>
  </si>
  <si>
    <t>TOTAL LIABILITIES AND SHAREHOLDERS' EQUITY</t>
  </si>
  <si>
    <t>Accounting EBT (as seen on Income Statement)</t>
  </si>
  <si>
    <t>Effective Tax Rate assumed in the model</t>
  </si>
  <si>
    <t>US Corporate Tax Rate</t>
  </si>
  <si>
    <t>Minus: Reduction in EBT for Timing Differences</t>
  </si>
  <si>
    <t>Government EBT</t>
  </si>
  <si>
    <t>Accounting Taxes</t>
  </si>
  <si>
    <t>Taxes as Appering on Income Statement</t>
  </si>
  <si>
    <t>Total Current Tax</t>
  </si>
  <si>
    <t>Increase/(Decrease) in Deferred Income Tax</t>
  </si>
  <si>
    <t>Total Income Tax (Same as Above)</t>
  </si>
  <si>
    <t>Days Per Year</t>
  </si>
  <si>
    <t>Income Statement Items</t>
  </si>
  <si>
    <t>Net Revenue</t>
  </si>
  <si>
    <t>Product and Distribution costs</t>
  </si>
  <si>
    <t>Days In</t>
  </si>
  <si>
    <t>Inventories</t>
  </si>
  <si>
    <t>Prepaid Expenses</t>
  </si>
  <si>
    <t>days</t>
  </si>
  <si>
    <t>Account Balances</t>
  </si>
  <si>
    <t>Accrued Payroll and Benefits</t>
  </si>
  <si>
    <t>accrued cap and other opex</t>
  </si>
  <si>
    <t>n/a</t>
  </si>
  <si>
    <t>Working Capital Schedule</t>
  </si>
  <si>
    <t>Debt Schedule</t>
  </si>
  <si>
    <t>will not use 2022 because beginning cash is inflated from divestiture in south korea (1.1billion cash)</t>
  </si>
  <si>
    <t>Financing Component</t>
  </si>
  <si>
    <t>Cash</t>
  </si>
  <si>
    <t>Amount Outstanding - Beginning</t>
  </si>
  <si>
    <t>Change in Cash</t>
  </si>
  <si>
    <t>Amount Outstanding - Ending</t>
  </si>
  <si>
    <t>Interest Rate</t>
  </si>
  <si>
    <t>Annual Interest Income</t>
  </si>
  <si>
    <t>Short-Term Investments</t>
  </si>
  <si>
    <t>Amount Outstanding - Beginning of Year</t>
  </si>
  <si>
    <t>Long-Term Investments</t>
  </si>
  <si>
    <t>Long Term Investments</t>
  </si>
  <si>
    <t>Long Term Debt</t>
  </si>
  <si>
    <t>Annual Interest Expense</t>
  </si>
  <si>
    <t>Repayments</t>
  </si>
  <si>
    <t>Additions</t>
  </si>
  <si>
    <t xml:space="preserve">36) weight of debt is equal to value of debt/(debt + equity) </t>
  </si>
  <si>
    <t>currently that is 12.6% (15.57/15.57+107.32). Assuming this ratio remains constant, and pe ratios follow estimates (38, 31.6, 25.3 onwards),</t>
  </si>
  <si>
    <t>I will calculate the amount of debt required to keep it at this ratio</t>
  </si>
  <si>
    <t>PE ratio estimates</t>
  </si>
  <si>
    <t xml:space="preserve">Forecasted market equity value </t>
  </si>
  <si>
    <t xml:space="preserve">Debt required to remain at 12.6% </t>
  </si>
  <si>
    <t>Short Term Debt</t>
  </si>
  <si>
    <t>Revolver</t>
  </si>
  <si>
    <t>Operating Cash Flow</t>
  </si>
  <si>
    <t>Investing Cash Flow</t>
  </si>
  <si>
    <t>Mandatory Debt Repayments</t>
  </si>
  <si>
    <t>Common Stock Issuance / (Buy-back)</t>
  </si>
  <si>
    <t>Dividends</t>
  </si>
  <si>
    <t>FCF After Mandatory Debt Repayment and Dividend</t>
  </si>
  <si>
    <t>Revolver Outstanding - Beginning</t>
  </si>
  <si>
    <t>Revolver Outstanding - Ending</t>
  </si>
  <si>
    <t>Debt Addition</t>
  </si>
  <si>
    <t>Additions/(Repayments)</t>
  </si>
  <si>
    <t>Equity Schedule</t>
  </si>
  <si>
    <t>Common Shares</t>
  </si>
  <si>
    <t>Dividend Payout Rate</t>
  </si>
  <si>
    <t>Net Income</t>
  </si>
  <si>
    <t>Common Dividend</t>
  </si>
  <si>
    <t xml:space="preserve">New Issuance </t>
  </si>
  <si>
    <t>Common Stock Shares</t>
  </si>
  <si>
    <t>Stock Issuance</t>
  </si>
  <si>
    <t>MM shares</t>
  </si>
  <si>
    <t>Stock Buyback</t>
  </si>
  <si>
    <t>Dividend Payout Ratio</t>
  </si>
  <si>
    <t>Retained Earnings</t>
  </si>
  <si>
    <t>AOCI</t>
  </si>
  <si>
    <t>Repurchase</t>
  </si>
  <si>
    <t>Implied issuance price</t>
  </si>
  <si>
    <t>Additional Paid-In Capital</t>
  </si>
  <si>
    <t>Stock-Based Comp. + Proceeds from  Options + Other Issuances</t>
  </si>
  <si>
    <t>approximated options and other issuances are near 0</t>
  </si>
  <si>
    <t>Deferred revenue, current</t>
  </si>
  <si>
    <t>Total Stores Prior Year</t>
  </si>
  <si>
    <t>Total Interest Expense</t>
  </si>
  <si>
    <t>Proceeds/(Repayment) of commercial paper</t>
  </si>
  <si>
    <t>Minimum tax withholdings on share-based awards</t>
  </si>
  <si>
    <t xml:space="preserve">          </t>
  </si>
  <si>
    <t xml:space="preserve">        </t>
  </si>
  <si>
    <t xml:space="preserve">Other Intangible assets </t>
  </si>
  <si>
    <t>37) other intangible assets, net will remain constant because amortization is accounted for in depreciation and amortization schedule</t>
  </si>
  <si>
    <t>Other long-tern assets</t>
  </si>
  <si>
    <t xml:space="preserve">Other long-term Liabilities </t>
  </si>
  <si>
    <t>Non-Controlling Interest</t>
  </si>
  <si>
    <t>Check</t>
  </si>
  <si>
    <t>Cash used in changes to operating lease liab</t>
  </si>
  <si>
    <t>OLL from new stores</t>
  </si>
  <si>
    <t>Total OLL</t>
  </si>
  <si>
    <t>?</t>
  </si>
  <si>
    <t>Taxes on issuances</t>
  </si>
  <si>
    <t>=</t>
  </si>
  <si>
    <t>noncurrent oll</t>
  </si>
  <si>
    <t>current oll</t>
  </si>
  <si>
    <t>Cummulative Non-Cash reconciliation of ROU asset (unaccounted for additional lease)</t>
  </si>
  <si>
    <t>Income Statement KPIs</t>
  </si>
  <si>
    <t>Revenue Growth</t>
  </si>
  <si>
    <t>Net Profit Margin</t>
  </si>
  <si>
    <t>EBITDA margin</t>
  </si>
  <si>
    <t>Interest Coverage Ratio</t>
  </si>
  <si>
    <t>Return on Sales</t>
  </si>
  <si>
    <t>Cash Flow Statement KPIs</t>
  </si>
  <si>
    <t>Free Cash Flow</t>
  </si>
  <si>
    <t>Free Cash Flow to Firm</t>
  </si>
  <si>
    <t>CFO/Net Income</t>
  </si>
  <si>
    <t>Cash Conversion Ratio</t>
  </si>
  <si>
    <t>Dividend Payout from FCFF Ratio</t>
  </si>
  <si>
    <t>Balance Sheet KPIs</t>
  </si>
  <si>
    <t>Quick Ratio</t>
  </si>
  <si>
    <t>Debt Ratio</t>
  </si>
  <si>
    <t>Asset Turnover Ratio</t>
  </si>
  <si>
    <t>Return on Asset Ratio</t>
  </si>
  <si>
    <t>SUMMARY VALUES - BASE CASE</t>
  </si>
  <si>
    <t>Projected</t>
  </si>
  <si>
    <t>($ Millions)</t>
  </si>
  <si>
    <t>Trend</t>
  </si>
  <si>
    <t>sparkline</t>
  </si>
  <si>
    <t xml:space="preserve">   Growth</t>
  </si>
  <si>
    <t>EBITDA</t>
  </si>
  <si>
    <t xml:space="preserve">   Margin</t>
  </si>
  <si>
    <t>SUMMARY VALUES - BEST CASE</t>
  </si>
  <si>
    <t>SUMMARY VALUES - WORST CASE</t>
  </si>
  <si>
    <t>Growth</t>
  </si>
  <si>
    <t>By: Bryam Alvarado</t>
  </si>
  <si>
    <t>WACC Calculations</t>
  </si>
  <si>
    <t>Total Debt:</t>
  </si>
  <si>
    <t>Weighted Cost of Debt:</t>
  </si>
  <si>
    <t>% Debt:</t>
  </si>
  <si>
    <t>Equity Value</t>
  </si>
  <si>
    <t>Equity Value:</t>
  </si>
  <si>
    <t>Cost of Equity:</t>
  </si>
  <si>
    <t>% Equity:</t>
  </si>
  <si>
    <t>Risk-Free Rate:</t>
  </si>
  <si>
    <t>Beta:</t>
  </si>
  <si>
    <t>Market-Risk Premium:</t>
  </si>
  <si>
    <t>Debt + Equity:</t>
  </si>
  <si>
    <t>WACC:</t>
  </si>
  <si>
    <t>Stock Price - 07/21/25</t>
  </si>
  <si>
    <t>Last Forecasted FCFF:</t>
  </si>
  <si>
    <t>Terminal Growth Rate:</t>
  </si>
  <si>
    <t>Terminal Value:</t>
  </si>
  <si>
    <t>TV Calculations (Base Case)</t>
  </si>
  <si>
    <t>TV Calculations (Best Case)</t>
  </si>
  <si>
    <t>TV Calculations (Worst Case)</t>
  </si>
  <si>
    <t>Year</t>
  </si>
  <si>
    <t>Implied Share Price Calculations (Base Case)</t>
  </si>
  <si>
    <t>FCFF</t>
  </si>
  <si>
    <t>PV of FCFF</t>
  </si>
  <si>
    <t>PV of TV</t>
  </si>
  <si>
    <t>Enterprise Value</t>
  </si>
  <si>
    <t xml:space="preserve"> + Cash</t>
  </si>
  <si>
    <t xml:space="preserve"> - Debt</t>
  </si>
  <si>
    <t>Number of Shares</t>
  </si>
  <si>
    <t>Implied PPS</t>
  </si>
  <si>
    <t>&lt;- too high, using 7%</t>
  </si>
  <si>
    <t>&lt;- post 2025 this growth will slow down everywhere but in US to about 3%</t>
  </si>
  <si>
    <t>so growth rate will be 5.32</t>
  </si>
  <si>
    <t>% upside/(downside)</t>
  </si>
  <si>
    <t>Implied Share Price Calculations (Best Case)</t>
  </si>
  <si>
    <t>2024 Corporate Tax Rate</t>
  </si>
  <si>
    <t>2024 Effective Tax Rate:</t>
  </si>
  <si>
    <t>Since Current Tax is 1220.9 for 2024, with a 21% corporate tax rate, Governmnet EBT is 1220.9/.21 or 5813.95. Accounting EBT is 4969.50 leading to a timing difference of 844.45. I will assume this ratio is consistent when calculating income tax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</si>
</sst>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3" formatCode="_(* #,##0.00_);_(* \(#,##0.00\);_(* &quot;-&quot;??_);_(@_)"/>
    <numFmt numFmtId="164" formatCode="0.00_);\(0.00\)"/>
    <numFmt numFmtId="165" formatCode="0_);\(0\)"/>
    <numFmt numFmtId="166" formatCode="0.0%"/>
    <numFmt numFmtId="167" formatCode="0\A"/>
    <numFmt numFmtId="168" formatCode="0\F"/>
    <numFmt numFmtId="169" formatCode="0.0%;\(0.0%\)"/>
    <numFmt numFmtId="170" formatCode="0.0_);\(0.0\)"/>
  </numFmts>
  <fonts count="37" x14ac:knownFonts="1">
    <font>
      <sz val="11"/>
      <color theme="1"/>
      <name val="Aptos Narrow"/>
      <family val="2"/>
      <scheme val="minor"/>
    </font>
    <font>
      <sz val="24"/>
      <color theme="9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4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sz val="9"/>
      <color rgb="FF002F6C"/>
      <name val="Arial"/>
      <family val="2"/>
    </font>
    <font>
      <sz val="10"/>
      <color rgb="FF4586BB"/>
      <name val="Arial"/>
      <family val="2"/>
    </font>
    <font>
      <i/>
      <sz val="10"/>
      <name val="Arial"/>
      <family val="2"/>
    </font>
    <font>
      <sz val="9"/>
      <color rgb="FF002F6C"/>
      <name val="Arial"/>
      <family val="2"/>
    </font>
    <font>
      <b/>
      <sz val="8"/>
      <name val="Arial"/>
      <family val="2"/>
    </font>
    <font>
      <sz val="10"/>
      <color theme="4" tint="-0.499984740745262"/>
      <name val="Arial"/>
      <family val="2"/>
    </font>
    <font>
      <sz val="11"/>
      <color theme="4" tint="-0.499984740745262"/>
      <name val="Aptos Narrow"/>
      <family val="2"/>
      <scheme val="minor"/>
    </font>
    <font>
      <i/>
      <sz val="9"/>
      <color rgb="FF002060"/>
      <name val="Arial"/>
      <family val="2"/>
    </font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48"/>
      <color theme="9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EFF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/>
      <right/>
      <top/>
      <bottom style="dotted">
        <color rgb="FF009966"/>
      </bottom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/>
      <right/>
      <top/>
      <bottom style="dotted">
        <color theme="9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4" fillId="0" borderId="0"/>
  </cellStyleXfs>
  <cellXfs count="157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" xfId="0" applyBorder="1"/>
    <xf numFmtId="0" fontId="4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/>
    <xf numFmtId="0" fontId="3" fillId="0" borderId="0" xfId="0" applyFon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 applyAlignment="1">
      <alignment horizontal="centerContinuous"/>
    </xf>
    <xf numFmtId="9" fontId="0" fillId="0" borderId="0" xfId="0" applyNumberFormat="1"/>
    <xf numFmtId="0" fontId="4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3" fillId="0" borderId="2" xfId="0" applyFont="1" applyBorder="1"/>
    <xf numFmtId="165" fontId="0" fillId="0" borderId="0" xfId="0" applyNumberFormat="1"/>
    <xf numFmtId="0" fontId="8" fillId="0" borderId="0" xfId="0" applyFont="1" applyAlignment="1">
      <alignment horizontal="right"/>
    </xf>
    <xf numFmtId="0" fontId="7" fillId="0" borderId="1" xfId="0" applyFont="1" applyBorder="1" applyAlignment="1">
      <alignment horizontal="centerContinuous"/>
    </xf>
    <xf numFmtId="1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6" xfId="0" applyBorder="1" applyAlignment="1">
      <alignment horizontal="right"/>
    </xf>
    <xf numFmtId="0" fontId="0" fillId="0" borderId="8" xfId="0" applyBorder="1"/>
    <xf numFmtId="0" fontId="0" fillId="0" borderId="9" xfId="0" applyBorder="1"/>
    <xf numFmtId="10" fontId="0" fillId="0" borderId="1" xfId="0" applyNumberFormat="1" applyBorder="1"/>
    <xf numFmtId="0" fontId="0" fillId="0" borderId="3" xfId="0" applyBorder="1"/>
    <xf numFmtId="0" fontId="5" fillId="0" borderId="4" xfId="0" applyFont="1" applyBorder="1"/>
    <xf numFmtId="10" fontId="0" fillId="0" borderId="7" xfId="0" applyNumberFormat="1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0" xfId="0" applyFont="1"/>
    <xf numFmtId="0" fontId="5" fillId="0" borderId="6" xfId="0" applyFont="1" applyBorder="1"/>
    <xf numFmtId="0" fontId="5" fillId="0" borderId="12" xfId="0" applyFont="1" applyBorder="1"/>
    <xf numFmtId="0" fontId="5" fillId="0" borderId="5" xfId="0" applyFont="1" applyBorder="1"/>
    <xf numFmtId="4" fontId="0" fillId="0" borderId="0" xfId="1" applyNumberFormat="1" applyFont="1" applyFill="1" applyBorder="1" applyProtection="1"/>
    <xf numFmtId="4" fontId="0" fillId="0" borderId="0" xfId="1" applyNumberFormat="1" applyFont="1" applyFill="1" applyBorder="1" applyAlignment="1" applyProtection="1">
      <alignment horizontal="left"/>
    </xf>
    <xf numFmtId="0" fontId="9" fillId="0" borderId="0" xfId="0" applyFont="1"/>
    <xf numFmtId="10" fontId="0" fillId="0" borderId="7" xfId="0" applyNumberFormat="1" applyBorder="1" applyAlignment="1">
      <alignment horizontal="right"/>
    </xf>
    <xf numFmtId="0" fontId="10" fillId="0" borderId="0" xfId="0" applyFont="1"/>
    <xf numFmtId="3" fontId="12" fillId="0" borderId="0" xfId="0" applyNumberFormat="1" applyFont="1"/>
    <xf numFmtId="166" fontId="0" fillId="0" borderId="0" xfId="0" applyNumberFormat="1"/>
    <xf numFmtId="164" fontId="0" fillId="0" borderId="0" xfId="0" applyNumberFormat="1" applyAlignment="1">
      <alignment horizontal="right"/>
    </xf>
    <xf numFmtId="2" fontId="5" fillId="0" borderId="0" xfId="0" applyNumberFormat="1" applyFont="1"/>
    <xf numFmtId="2" fontId="0" fillId="0" borderId="0" xfId="0" quotePrefix="1" applyNumberFormat="1"/>
    <xf numFmtId="0" fontId="13" fillId="0" borderId="0" xfId="0" applyFont="1"/>
    <xf numFmtId="0" fontId="7" fillId="0" borderId="0" xfId="0" applyFont="1"/>
    <xf numFmtId="0" fontId="0" fillId="0" borderId="0" xfId="0" applyFill="1" applyBorder="1"/>
    <xf numFmtId="10" fontId="0" fillId="0" borderId="9" xfId="0" applyNumberFormat="1" applyBorder="1"/>
    <xf numFmtId="0" fontId="0" fillId="0" borderId="12" xfId="0" applyBorder="1"/>
    <xf numFmtId="0" fontId="0" fillId="0" borderId="5" xfId="0" applyBorder="1"/>
    <xf numFmtId="164" fontId="0" fillId="0" borderId="0" xfId="0" applyNumberFormat="1" applyBorder="1"/>
    <xf numFmtId="164" fontId="0" fillId="0" borderId="13" xfId="0" applyNumberFormat="1" applyBorder="1"/>
    <xf numFmtId="0" fontId="13" fillId="0" borderId="5" xfId="0" applyFont="1" applyBorder="1"/>
    <xf numFmtId="0" fontId="13" fillId="0" borderId="12" xfId="0" applyFont="1" applyBorder="1"/>
    <xf numFmtId="0" fontId="9" fillId="0" borderId="0" xfId="2" applyFont="1" applyAlignment="1">
      <alignment horizontal="centerContinuous"/>
    </xf>
    <xf numFmtId="0" fontId="15" fillId="0" borderId="0" xfId="2" applyFont="1" applyAlignment="1">
      <alignment horizontal="centerContinuous"/>
    </xf>
    <xf numFmtId="0" fontId="16" fillId="0" borderId="0" xfId="2" applyFont="1" applyAlignment="1">
      <alignment horizontal="centerContinuous"/>
    </xf>
    <xf numFmtId="0" fontId="14" fillId="3" borderId="14" xfId="2" applyFill="1" applyBorder="1" applyAlignment="1">
      <alignment vertical="center"/>
    </xf>
    <xf numFmtId="0" fontId="14" fillId="3" borderId="15" xfId="2" applyFill="1" applyBorder="1" applyAlignment="1">
      <alignment vertical="center"/>
    </xf>
    <xf numFmtId="0" fontId="17" fillId="3" borderId="15" xfId="2" applyFont="1" applyFill="1" applyBorder="1" applyAlignment="1">
      <alignment vertical="center"/>
    </xf>
    <xf numFmtId="0" fontId="18" fillId="3" borderId="16" xfId="2" applyFont="1" applyFill="1" applyBorder="1" applyAlignment="1">
      <alignment horizontal="centerContinuous" vertical="center"/>
    </xf>
    <xf numFmtId="0" fontId="19" fillId="3" borderId="16" xfId="2" applyFont="1" applyFill="1" applyBorder="1" applyAlignment="1">
      <alignment horizontal="centerContinuous" vertical="center"/>
    </xf>
    <xf numFmtId="0" fontId="17" fillId="3" borderId="17" xfId="2" applyFont="1" applyFill="1" applyBorder="1" applyAlignment="1">
      <alignment vertical="center"/>
    </xf>
    <xf numFmtId="0" fontId="14" fillId="3" borderId="18" xfId="2" applyFill="1" applyBorder="1" applyAlignment="1">
      <alignment vertical="center"/>
    </xf>
    <xf numFmtId="0" fontId="20" fillId="3" borderId="0" xfId="2" applyFont="1" applyFill="1" applyAlignment="1">
      <alignment vertical="center"/>
    </xf>
    <xf numFmtId="0" fontId="14" fillId="3" borderId="0" xfId="2" applyFill="1" applyAlignment="1">
      <alignment vertical="center"/>
    </xf>
    <xf numFmtId="167" fontId="20" fillId="3" borderId="0" xfId="0" applyNumberFormat="1" applyFont="1" applyFill="1" applyAlignment="1">
      <alignment vertical="center"/>
    </xf>
    <xf numFmtId="0" fontId="17" fillId="3" borderId="19" xfId="2" applyFont="1" applyFill="1" applyBorder="1" applyAlignment="1">
      <alignment vertical="center"/>
    </xf>
    <xf numFmtId="0" fontId="14" fillId="4" borderId="18" xfId="2" applyFill="1" applyBorder="1"/>
    <xf numFmtId="0" fontId="14" fillId="4" borderId="0" xfId="2" applyFill="1"/>
    <xf numFmtId="167" fontId="10" fillId="4" borderId="0" xfId="0" applyNumberFormat="1" applyFont="1" applyFill="1"/>
    <xf numFmtId="168" fontId="10" fillId="4" borderId="0" xfId="0" quotePrefix="1" applyNumberFormat="1" applyFont="1" applyFill="1" applyAlignment="1">
      <alignment horizontal="right"/>
    </xf>
    <xf numFmtId="0" fontId="10" fillId="4" borderId="0" xfId="0" applyFont="1" applyFill="1"/>
    <xf numFmtId="0" fontId="10" fillId="4" borderId="19" xfId="0" applyFont="1" applyFill="1" applyBorder="1"/>
    <xf numFmtId="0" fontId="14" fillId="5" borderId="18" xfId="2" applyFill="1" applyBorder="1"/>
    <xf numFmtId="0" fontId="14" fillId="5" borderId="0" xfId="2" applyFill="1"/>
    <xf numFmtId="167" fontId="10" fillId="5" borderId="0" xfId="0" applyNumberFormat="1" applyFont="1" applyFill="1"/>
    <xf numFmtId="168" fontId="10" fillId="5" borderId="0" xfId="0" quotePrefix="1" applyNumberFormat="1" applyFont="1" applyFill="1" applyAlignment="1">
      <alignment horizontal="right"/>
    </xf>
    <xf numFmtId="0" fontId="10" fillId="5" borderId="0" xfId="0" applyFont="1" applyFill="1"/>
    <xf numFmtId="0" fontId="10" fillId="5" borderId="19" xfId="0" applyFont="1" applyFill="1" applyBorder="1"/>
    <xf numFmtId="0" fontId="14" fillId="0" borderId="18" xfId="2" applyBorder="1"/>
    <xf numFmtId="0" fontId="9" fillId="0" borderId="0" xfId="2" applyFont="1"/>
    <xf numFmtId="0" fontId="14" fillId="0" borderId="0" xfId="2"/>
    <xf numFmtId="0" fontId="14" fillId="0" borderId="19" xfId="2" applyBorder="1"/>
    <xf numFmtId="0" fontId="21" fillId="0" borderId="0" xfId="2" applyFont="1"/>
    <xf numFmtId="0" fontId="23" fillId="0" borderId="0" xfId="2" applyFont="1"/>
    <xf numFmtId="0" fontId="24" fillId="0" borderId="0" xfId="2" applyFont="1"/>
    <xf numFmtId="0" fontId="26" fillId="0" borderId="0" xfId="2" applyFont="1"/>
    <xf numFmtId="5" fontId="14" fillId="0" borderId="19" xfId="1" applyNumberFormat="1" applyFont="1" applyBorder="1"/>
    <xf numFmtId="169" fontId="27" fillId="0" borderId="19" xfId="0" applyNumberFormat="1" applyFont="1" applyBorder="1"/>
    <xf numFmtId="0" fontId="29" fillId="0" borderId="0" xfId="2" applyFont="1"/>
    <xf numFmtId="0" fontId="14" fillId="0" borderId="21" xfId="2" applyBorder="1"/>
    <xf numFmtId="0" fontId="14" fillId="0" borderId="22" xfId="2" applyBorder="1"/>
    <xf numFmtId="0" fontId="14" fillId="0" borderId="23" xfId="2" applyBorder="1"/>
    <xf numFmtId="5" fontId="22" fillId="0" borderId="0" xfId="1" applyNumberFormat="1" applyFont="1" applyFill="1" applyBorder="1"/>
    <xf numFmtId="0" fontId="22" fillId="0" borderId="0" xfId="2" applyFont="1" applyFill="1"/>
    <xf numFmtId="169" fontId="25" fillId="0" borderId="0" xfId="0" applyNumberFormat="1" applyFont="1" applyFill="1"/>
    <xf numFmtId="0" fontId="22" fillId="0" borderId="20" xfId="2" applyFont="1" applyFill="1" applyBorder="1"/>
    <xf numFmtId="0" fontId="14" fillId="0" borderId="0" xfId="2" applyAlignment="1">
      <alignment horizontal="right"/>
    </xf>
    <xf numFmtId="0" fontId="23" fillId="0" borderId="0" xfId="2" applyFont="1" applyAlignment="1">
      <alignment horizontal="right"/>
    </xf>
    <xf numFmtId="0" fontId="26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23" fillId="0" borderId="22" xfId="2" applyFont="1" applyBorder="1" applyAlignment="1">
      <alignment horizontal="left"/>
    </xf>
    <xf numFmtId="169" fontId="25" fillId="0" borderId="24" xfId="0" applyNumberFormat="1" applyFont="1" applyFill="1" applyBorder="1"/>
    <xf numFmtId="5" fontId="30" fillId="0" borderId="19" xfId="1" applyNumberFormat="1" applyFont="1" applyBorder="1"/>
    <xf numFmtId="0" fontId="31" fillId="0" borderId="13" xfId="0" applyFont="1" applyBorder="1"/>
    <xf numFmtId="0" fontId="14" fillId="0" borderId="12" xfId="2" applyBorder="1"/>
    <xf numFmtId="5" fontId="30" fillId="0" borderId="13" xfId="1" applyNumberFormat="1" applyFont="1" applyBorder="1"/>
    <xf numFmtId="169" fontId="28" fillId="0" borderId="0" xfId="1" applyNumberFormat="1" applyFont="1" applyFill="1" applyBorder="1"/>
    <xf numFmtId="170" fontId="22" fillId="0" borderId="0" xfId="0" applyNumberFormat="1" applyFont="1" applyFill="1"/>
    <xf numFmtId="169" fontId="32" fillId="0" borderId="22" xfId="2" applyNumberFormat="1" applyFont="1" applyBorder="1"/>
    <xf numFmtId="168" fontId="20" fillId="3" borderId="0" xfId="0" applyNumberFormat="1" applyFont="1" applyFill="1" applyAlignment="1">
      <alignment vertical="center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2" fontId="11" fillId="2" borderId="0" xfId="0" applyNumberFormat="1" applyFont="1" applyFill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64" fontId="0" fillId="0" borderId="9" xfId="0" applyNumberFormat="1" applyBorder="1"/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13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13" xfId="0" applyNumberFormat="1" applyFill="1" applyBorder="1" applyAlignment="1">
      <alignment horizontal="right"/>
    </xf>
    <xf numFmtId="164" fontId="0" fillId="0" borderId="2" xfId="0" applyNumberFormat="1" applyBorder="1"/>
    <xf numFmtId="164" fontId="0" fillId="0" borderId="8" xfId="0" applyNumberFormat="1" applyBorder="1"/>
    <xf numFmtId="39" fontId="0" fillId="0" borderId="0" xfId="0" applyNumberFormat="1" applyAlignment="1">
      <alignment horizontal="right"/>
    </xf>
    <xf numFmtId="39" fontId="0" fillId="0" borderId="0" xfId="0" applyNumberFormat="1"/>
    <xf numFmtId="0" fontId="33" fillId="0" borderId="0" xfId="0" applyFont="1" applyAlignment="1">
      <alignment horizontal="centerContinuous"/>
    </xf>
    <xf numFmtId="0" fontId="35" fillId="0" borderId="0" xfId="0" applyFont="1" applyAlignment="1">
      <alignment horizontal="centerContinuous"/>
    </xf>
    <xf numFmtId="0" fontId="36" fillId="0" borderId="0" xfId="0" applyFont="1" applyAlignment="1">
      <alignment horizontal="centerContinuous"/>
    </xf>
    <xf numFmtId="14" fontId="34" fillId="0" borderId="0" xfId="0" applyNumberFormat="1" applyFont="1" applyAlignment="1">
      <alignment horizontal="centerContinuous"/>
    </xf>
    <xf numFmtId="0" fontId="0" fillId="0" borderId="0" xfId="0" applyAlignment="1">
      <alignment horizontal="right"/>
    </xf>
    <xf numFmtId="0" fontId="3" fillId="0" borderId="0" xfId="0" applyFont="1" applyBorder="1"/>
    <xf numFmtId="2" fontId="0" fillId="0" borderId="0" xfId="0" applyNumberFormat="1" applyBorder="1"/>
    <xf numFmtId="10" fontId="0" fillId="0" borderId="0" xfId="0" applyNumberFormat="1" applyBorder="1"/>
    <xf numFmtId="0" fontId="3" fillId="0" borderId="5" xfId="0" applyFont="1" applyBorder="1"/>
    <xf numFmtId="2" fontId="0" fillId="0" borderId="13" xfId="0" applyNumberFormat="1" applyBorder="1"/>
    <xf numFmtId="10" fontId="0" fillId="0" borderId="13" xfId="0" applyNumberFormat="1" applyBorder="1"/>
    <xf numFmtId="0" fontId="0" fillId="0" borderId="13" xfId="0" applyBorder="1"/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169" fontId="0" fillId="0" borderId="13" xfId="0" applyNumberFormat="1" applyBorder="1"/>
    <xf numFmtId="169" fontId="0" fillId="0" borderId="9" xfId="0" applyNumberFormat="1" applyBorder="1"/>
    <xf numFmtId="0" fontId="3" fillId="0" borderId="12" xfId="0" applyFont="1" applyBorder="1"/>
  </cellXfs>
  <cellStyles count="3">
    <cellStyle name="Comma" xfId="1" builtinId="3"/>
    <cellStyle name="Normal" xfId="0" builtinId="0"/>
    <cellStyle name="Normal_DrydenNewDCF3" xfId="2" xr:uid="{F96CF6B8-FE40-4223-A3BE-F3BF0C29B4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$D$6" fmlaRange="$C$19:$C$21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585107</xdr:colOff>
      <xdr:row>8</xdr:row>
      <xdr:rowOff>54428</xdr:rowOff>
    </xdr:from>
    <xdr:to>
      <xdr:col>7</xdr:col>
      <xdr:colOff>599623</xdr:colOff>
      <xdr:row>19</xdr:row>
      <xdr:rowOff>27214</xdr:rowOff>
    </xdr:to>
    <xdr:pic>
      <xdr:nvPicPr>
        <xdr:cNvPr id="2" name="Picture 1" descr="Why a Siren, Starbucks? - Behind the Starbucks Logo Design | Logoworks">
          <a:extLst>
            <a:ext uri="{FF2B5EF4-FFF2-40B4-BE49-F238E27FC236}">
              <a16:creationId xmlns:a16="http://schemas.microsoft.com/office/drawing/2014/main" id="{ABCED27B-7490-0E6B-3E8B-B7D75C27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036" y="2354035"/>
          <a:ext cx="3688444" cy="206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923925</xdr:colOff>
          <xdr:row>5</xdr:row>
          <xdr:rowOff>19050</xdr:rowOff>
        </xdr:from>
        <xdr:to>
          <xdr:col>4</xdr:col>
          <xdr:colOff>19050</xdr:colOff>
          <xdr:row>6</xdr:row>
          <xdr:rowOff>28575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EAD5-DA12-4BB6-8500-941CD1F2C872}">
  <dimension ref="A7:J20"/>
  <sheetViews>
    <sheetView zoomScale="70" zoomScaleNormal="70" workbookViewId="0">
      <selection activeCell="R25" sqref="R25"/>
    </sheetView>
  </sheetViews>
  <sheetFormatPr defaultRowHeight="15" x14ac:dyDescent="0.25"/>
  <cols>
    <col min="1" max="1" width="9.42578125" bestFit="1" customWidth="1"/>
  </cols>
  <sheetData>
    <row r="7" spans="1:10" ht="63.75" x14ac:dyDescent="1">
      <c r="A7" s="142" t="s">
        <v>0</v>
      </c>
      <c r="B7" s="1"/>
      <c r="C7" s="2"/>
      <c r="D7" s="2"/>
      <c r="E7" s="2"/>
      <c r="F7" s="2"/>
      <c r="G7" s="2"/>
      <c r="H7" s="2"/>
      <c r="I7" s="2"/>
      <c r="J7" s="2"/>
    </row>
    <row r="8" spans="1:10" ht="26.25" x14ac:dyDescent="0.4">
      <c r="A8" s="143">
        <f ca="1">TODAY()</f>
        <v>45865</v>
      </c>
      <c r="B8" s="2"/>
      <c r="C8" s="2"/>
      <c r="D8" s="2"/>
      <c r="E8" s="2"/>
      <c r="F8" s="2"/>
      <c r="G8" s="2"/>
      <c r="H8" s="2"/>
      <c r="I8" s="2"/>
      <c r="J8" s="2"/>
    </row>
    <row r="20" spans="1:10" ht="46.5" x14ac:dyDescent="0.7">
      <c r="A20" s="141" t="s">
        <v>428</v>
      </c>
      <c r="B20" s="2"/>
      <c r="C20" s="2"/>
      <c r="D20" s="2"/>
      <c r="E20" s="140"/>
      <c r="F20" s="2"/>
      <c r="G20" s="2"/>
      <c r="H20" s="2"/>
      <c r="I20" s="2"/>
      <c r="J20" s="2"/>
    </row>
  </sheetData>
  <printOptions gridLines="1"/>
  <pageMargins left="0.2" right="0.25" top="0.5" bottom="0.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15ED-A49D-4579-AEC9-068A8CF959F0}">
  <dimension ref="A1:Q78"/>
  <sheetViews>
    <sheetView topLeftCell="A43" zoomScale="90" zoomScaleNormal="90" workbookViewId="0">
      <selection activeCell="R76" sqref="R76"/>
    </sheetView>
  </sheetViews>
  <sheetFormatPr defaultRowHeight="15" x14ac:dyDescent="0.25"/>
  <cols>
    <col min="1" max="1" width="3.42578125" customWidth="1"/>
    <col min="17" max="17" width="12" bestFit="1" customWidth="1"/>
  </cols>
  <sheetData>
    <row r="1" spans="1:17" ht="28.5" x14ac:dyDescent="0.45">
      <c r="B1" s="4" t="str">
        <f>Cover!A7</f>
        <v>Starbucks CORP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8.5" x14ac:dyDescent="0.45"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5.25" customHeight="1" x14ac:dyDescent="0.25">
      <c r="A3" s="2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1"/>
      <c r="Q3" s="21"/>
    </row>
    <row r="6" spans="1:17" ht="18.75" x14ac:dyDescent="0.3">
      <c r="B6" s="60" t="s">
        <v>417</v>
      </c>
      <c r="C6" s="61"/>
      <c r="D6" s="61"/>
      <c r="E6" s="61"/>
      <c r="F6" s="61"/>
      <c r="G6" s="62"/>
      <c r="H6" s="62"/>
      <c r="I6" s="62"/>
      <c r="J6" s="62"/>
      <c r="K6" s="62"/>
      <c r="L6" s="62"/>
      <c r="M6" s="62"/>
      <c r="N6" s="62"/>
      <c r="O6" s="62"/>
    </row>
    <row r="7" spans="1:17" x14ac:dyDescent="0.25">
      <c r="B7" s="63"/>
      <c r="C7" s="64"/>
      <c r="D7" s="64"/>
      <c r="E7" s="64"/>
      <c r="F7" s="64"/>
      <c r="G7" s="65"/>
      <c r="H7" s="65"/>
      <c r="I7" s="65"/>
      <c r="J7" s="66" t="s">
        <v>418</v>
      </c>
      <c r="K7" s="67"/>
      <c r="L7" s="67"/>
      <c r="M7" s="67"/>
      <c r="N7" s="67"/>
      <c r="O7" s="68"/>
    </row>
    <row r="8" spans="1:17" x14ac:dyDescent="0.25">
      <c r="B8" s="69"/>
      <c r="C8" s="70" t="s">
        <v>419</v>
      </c>
      <c r="D8" s="71"/>
      <c r="E8" s="70" t="s">
        <v>420</v>
      </c>
      <c r="F8" s="71"/>
      <c r="G8" s="72">
        <f>Model!H7</f>
        <v>2022</v>
      </c>
      <c r="H8" s="72">
        <f>Model!I7</f>
        <v>2023</v>
      </c>
      <c r="I8" s="72">
        <f>Model!J7</f>
        <v>2024</v>
      </c>
      <c r="J8" s="117">
        <f>Model!K7</f>
        <v>2025</v>
      </c>
      <c r="K8" s="117">
        <f>Model!L7</f>
        <v>2026</v>
      </c>
      <c r="L8" s="117">
        <f>Model!M7</f>
        <v>2027</v>
      </c>
      <c r="M8" s="117">
        <f>Model!N7</f>
        <v>2028</v>
      </c>
      <c r="N8" s="117">
        <f>Model!O7</f>
        <v>2029</v>
      </c>
      <c r="O8" s="73"/>
    </row>
    <row r="9" spans="1:17" x14ac:dyDescent="0.25">
      <c r="B9" s="74"/>
      <c r="C9" s="75"/>
      <c r="D9" s="75"/>
      <c r="E9" s="75"/>
      <c r="F9" s="75"/>
      <c r="G9" s="76"/>
      <c r="H9" s="76"/>
      <c r="I9" s="77"/>
      <c r="J9" s="78"/>
      <c r="K9" s="78"/>
      <c r="L9" s="78"/>
      <c r="M9" s="78"/>
      <c r="N9" s="78"/>
      <c r="O9" s="79"/>
    </row>
    <row r="10" spans="1:17" x14ac:dyDescent="0.25">
      <c r="B10" s="80"/>
      <c r="C10" s="81"/>
      <c r="D10" s="81"/>
      <c r="E10" s="81"/>
      <c r="F10" s="81"/>
      <c r="G10" s="82"/>
      <c r="H10" s="82"/>
      <c r="I10" s="83"/>
      <c r="J10" s="84"/>
      <c r="K10" s="84"/>
      <c r="L10" s="84"/>
      <c r="M10" s="84"/>
      <c r="N10" s="84"/>
      <c r="O10" s="85"/>
    </row>
    <row r="11" spans="1:17" x14ac:dyDescent="0.25">
      <c r="B11" s="86"/>
      <c r="C11" s="87" t="s">
        <v>313</v>
      </c>
      <c r="D11" s="88"/>
      <c r="E11" s="88" t="s">
        <v>421</v>
      </c>
      <c r="F11" s="88"/>
      <c r="G11" s="88"/>
      <c r="H11" s="88"/>
      <c r="I11" s="88"/>
      <c r="J11" s="88"/>
      <c r="K11" s="88"/>
      <c r="L11" s="88"/>
      <c r="M11" s="88"/>
      <c r="N11" s="88"/>
      <c r="O11" s="89"/>
    </row>
    <row r="12" spans="1:17" x14ac:dyDescent="0.25">
      <c r="B12" s="86"/>
      <c r="C12" s="87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9"/>
    </row>
    <row r="13" spans="1:17" x14ac:dyDescent="0.25">
      <c r="B13" s="86"/>
      <c r="C13" s="88"/>
      <c r="D13" s="104" t="s">
        <v>314</v>
      </c>
      <c r="E13" s="90"/>
      <c r="F13" s="88"/>
      <c r="G13" s="100">
        <v>32250.3</v>
      </c>
      <c r="H13" s="100">
        <v>35975</v>
      </c>
      <c r="I13" s="100">
        <v>36176</v>
      </c>
      <c r="J13" s="100">
        <v>37791.199999999997</v>
      </c>
      <c r="K13" s="100">
        <v>39219.9</v>
      </c>
      <c r="L13" s="100">
        <v>41222.9</v>
      </c>
      <c r="M13" s="100">
        <v>43332.7</v>
      </c>
      <c r="N13" s="100">
        <v>45554.9</v>
      </c>
      <c r="O13" s="89"/>
    </row>
    <row r="14" spans="1:17" x14ac:dyDescent="0.25">
      <c r="B14" s="86"/>
      <c r="C14" s="88"/>
      <c r="D14" s="105" t="s">
        <v>422</v>
      </c>
      <c r="E14" s="92"/>
      <c r="F14" s="91"/>
      <c r="G14" s="101"/>
      <c r="H14" s="102"/>
      <c r="I14" s="102"/>
      <c r="J14" s="102">
        <f>(J13-I13)/I13</f>
        <v>4.4648385670057418E-2</v>
      </c>
      <c r="K14" s="102">
        <f t="shared" ref="K14:N14" si="0">(K13-J13)/J13</f>
        <v>3.7805097483012036E-2</v>
      </c>
      <c r="L14" s="102">
        <f t="shared" si="0"/>
        <v>5.1071012419715497E-2</v>
      </c>
      <c r="M14" s="102">
        <f t="shared" si="0"/>
        <v>5.1180290566650952E-2</v>
      </c>
      <c r="N14" s="102">
        <f t="shared" si="0"/>
        <v>5.1282287971901229E-2</v>
      </c>
      <c r="O14" s="89"/>
    </row>
    <row r="15" spans="1:17" x14ac:dyDescent="0.25">
      <c r="B15" s="86"/>
      <c r="C15" s="88"/>
      <c r="D15" s="106"/>
      <c r="E15" s="93"/>
      <c r="F15" s="93"/>
      <c r="G15" s="103"/>
      <c r="H15" s="103"/>
      <c r="I15" s="103"/>
      <c r="J15" s="103"/>
      <c r="K15" s="103"/>
      <c r="L15" s="103"/>
      <c r="M15" s="103"/>
      <c r="N15" s="103"/>
      <c r="O15" s="89"/>
    </row>
    <row r="16" spans="1:17" x14ac:dyDescent="0.25">
      <c r="B16" s="86"/>
      <c r="C16" s="88"/>
      <c r="D16" s="104"/>
      <c r="E16" s="88"/>
      <c r="F16" s="88"/>
      <c r="G16" s="101"/>
      <c r="H16" s="101"/>
      <c r="I16" s="101"/>
      <c r="J16" s="101"/>
      <c r="K16" s="101"/>
      <c r="L16" s="101"/>
      <c r="M16" s="101"/>
      <c r="N16" s="101"/>
      <c r="O16" s="89"/>
    </row>
    <row r="17" spans="2:15" x14ac:dyDescent="0.25">
      <c r="B17" s="86"/>
      <c r="C17" s="88"/>
      <c r="D17" s="104" t="s">
        <v>423</v>
      </c>
      <c r="E17" s="90"/>
      <c r="F17" s="88"/>
      <c r="G17" s="100">
        <v>6160.9</v>
      </c>
      <c r="H17" s="100">
        <v>7314</v>
      </c>
      <c r="I17" s="100">
        <v>7043</v>
      </c>
      <c r="J17" s="100">
        <v>7024.87</v>
      </c>
      <c r="K17" s="100">
        <v>7094.02</v>
      </c>
      <c r="L17" s="100">
        <v>7681.11</v>
      </c>
      <c r="M17" s="100">
        <v>8310.49</v>
      </c>
      <c r="N17" s="100">
        <v>8984.77</v>
      </c>
      <c r="O17" s="94"/>
    </row>
    <row r="18" spans="2:15" x14ac:dyDescent="0.25">
      <c r="B18" s="86"/>
      <c r="C18" s="88"/>
      <c r="D18" s="105" t="s">
        <v>427</v>
      </c>
      <c r="E18" s="90"/>
      <c r="F18" s="88"/>
      <c r="G18" s="100"/>
      <c r="H18" s="100"/>
      <c r="I18" s="100"/>
      <c r="J18" s="114">
        <f>(J17-I17)/I17</f>
        <v>-2.5741871361635821E-3</v>
      </c>
      <c r="K18" s="114">
        <f t="shared" ref="K18:N18" si="1">(K17-J17)/J17</f>
        <v>9.84359852922553E-3</v>
      </c>
      <c r="L18" s="114">
        <f t="shared" si="1"/>
        <v>8.2758435978471892E-2</v>
      </c>
      <c r="M18" s="114">
        <f t="shared" si="1"/>
        <v>8.1938678133759338E-2</v>
      </c>
      <c r="N18" s="114">
        <f t="shared" si="1"/>
        <v>8.1136010030696232E-2</v>
      </c>
      <c r="O18" s="94"/>
    </row>
    <row r="19" spans="2:15" x14ac:dyDescent="0.25">
      <c r="B19" s="86"/>
      <c r="C19" s="88"/>
      <c r="D19" s="105" t="s">
        <v>424</v>
      </c>
      <c r="E19" s="92"/>
      <c r="F19" s="91"/>
      <c r="G19" s="102"/>
      <c r="H19" s="102"/>
      <c r="I19" s="102"/>
      <c r="J19" s="102">
        <v>0.18590000000000001</v>
      </c>
      <c r="K19" s="102">
        <v>0.18090000000000001</v>
      </c>
      <c r="L19" s="102">
        <v>0.18629999999999999</v>
      </c>
      <c r="M19" s="102">
        <v>0.1918</v>
      </c>
      <c r="N19" s="102">
        <v>0.19719999999999999</v>
      </c>
      <c r="O19" s="95"/>
    </row>
    <row r="20" spans="2:15" x14ac:dyDescent="0.25">
      <c r="B20" s="86"/>
      <c r="C20" s="88"/>
      <c r="D20" s="106"/>
      <c r="E20" s="93"/>
      <c r="F20" s="93"/>
      <c r="G20" s="103"/>
      <c r="H20" s="103"/>
      <c r="I20" s="103"/>
      <c r="J20" s="103"/>
      <c r="K20" s="103"/>
      <c r="L20" s="103"/>
      <c r="M20" s="103"/>
      <c r="N20" s="103"/>
      <c r="O20" s="89"/>
    </row>
    <row r="21" spans="2:15" x14ac:dyDescent="0.25">
      <c r="B21" s="86"/>
      <c r="C21" s="88"/>
      <c r="D21" s="104"/>
      <c r="E21" s="88"/>
      <c r="F21" s="88"/>
      <c r="G21" s="101"/>
      <c r="H21" s="101"/>
      <c r="I21" s="101"/>
      <c r="J21" s="101"/>
      <c r="K21" s="101"/>
      <c r="L21" s="101"/>
      <c r="M21" s="101"/>
      <c r="N21" s="101"/>
      <c r="O21" s="89"/>
    </row>
    <row r="22" spans="2:15" x14ac:dyDescent="0.25">
      <c r="B22" s="86"/>
      <c r="C22" s="88"/>
      <c r="D22" s="104" t="s">
        <v>363</v>
      </c>
      <c r="E22" s="90"/>
      <c r="F22" s="88"/>
      <c r="G22" s="100">
        <v>3281.6</v>
      </c>
      <c r="H22" s="100">
        <v>4124.5</v>
      </c>
      <c r="I22" s="100">
        <v>3761</v>
      </c>
      <c r="J22" s="100">
        <v>3607.79</v>
      </c>
      <c r="K22" s="100">
        <v>3487.08</v>
      </c>
      <c r="L22" s="100">
        <v>3793.07</v>
      </c>
      <c r="M22" s="100">
        <v>4013.57</v>
      </c>
      <c r="N22" s="100">
        <v>4311.67</v>
      </c>
      <c r="O22" s="94"/>
    </row>
    <row r="23" spans="2:15" x14ac:dyDescent="0.25">
      <c r="B23" s="86"/>
      <c r="C23" s="88"/>
      <c r="D23" s="105" t="s">
        <v>427</v>
      </c>
      <c r="E23" s="90"/>
      <c r="F23" s="88"/>
      <c r="G23" s="100"/>
      <c r="H23" s="100"/>
      <c r="I23" s="100"/>
      <c r="J23" s="114">
        <f>(J22-I22)/I22</f>
        <v>-4.0736506248338217E-2</v>
      </c>
      <c r="K23" s="114">
        <f t="shared" ref="K23:N23" si="2">(K22-J22)/J22</f>
        <v>-3.3458155823925459E-2</v>
      </c>
      <c r="L23" s="114">
        <f t="shared" si="2"/>
        <v>8.7749635798433145E-2</v>
      </c>
      <c r="M23" s="114">
        <f t="shared" si="2"/>
        <v>5.8132330803280716E-2</v>
      </c>
      <c r="N23" s="114">
        <f t="shared" si="2"/>
        <v>7.4273028749965719E-2</v>
      </c>
      <c r="O23" s="94"/>
    </row>
    <row r="24" spans="2:15" x14ac:dyDescent="0.25">
      <c r="B24" s="86"/>
      <c r="C24" s="88"/>
      <c r="D24" s="105" t="s">
        <v>424</v>
      </c>
      <c r="E24" s="96"/>
      <c r="F24" s="91"/>
      <c r="G24" s="102"/>
      <c r="H24" s="102"/>
      <c r="I24" s="102"/>
      <c r="J24" s="102">
        <v>9.5500000000000002E-2</v>
      </c>
      <c r="K24" s="102">
        <v>8.8900000000000007E-2</v>
      </c>
      <c r="L24" s="102">
        <v>9.0700000000000003E-2</v>
      </c>
      <c r="M24" s="102">
        <v>9.2600000000000002E-2</v>
      </c>
      <c r="N24" s="102">
        <v>9.4600000000000004E-2</v>
      </c>
      <c r="O24" s="110"/>
    </row>
    <row r="25" spans="2:15" x14ac:dyDescent="0.25">
      <c r="B25" s="112"/>
      <c r="C25" s="88"/>
      <c r="D25" s="105"/>
      <c r="E25" s="96"/>
      <c r="F25" s="91"/>
      <c r="G25" s="109"/>
      <c r="H25" s="109"/>
      <c r="I25" s="109"/>
      <c r="J25" s="109"/>
      <c r="K25" s="109"/>
      <c r="L25" s="109"/>
      <c r="M25" s="109"/>
      <c r="N25" s="109"/>
      <c r="O25" s="113"/>
    </row>
    <row r="26" spans="2:15" x14ac:dyDescent="0.25">
      <c r="B26" s="54"/>
      <c r="O26" s="111"/>
    </row>
    <row r="27" spans="2:15" x14ac:dyDescent="0.25">
      <c r="B27" s="86"/>
      <c r="C27" s="88"/>
      <c r="D27" s="107" t="s">
        <v>408</v>
      </c>
      <c r="E27" s="96"/>
      <c r="F27" s="91"/>
      <c r="G27" s="115">
        <v>2616.5553</v>
      </c>
      <c r="H27" s="115">
        <v>4154.33</v>
      </c>
      <c r="I27" s="115">
        <v>3821.83</v>
      </c>
      <c r="J27" s="115">
        <v>2498.35</v>
      </c>
      <c r="K27" s="115">
        <v>2924.2</v>
      </c>
      <c r="L27" s="115">
        <v>3141.98</v>
      </c>
      <c r="M27" s="115">
        <v>3864.76</v>
      </c>
      <c r="N27" s="115">
        <v>4142.0600000000004</v>
      </c>
      <c r="O27" s="94"/>
    </row>
    <row r="28" spans="2:15" x14ac:dyDescent="0.25">
      <c r="B28" s="97"/>
      <c r="C28" s="98"/>
      <c r="D28" s="108" t="s">
        <v>427</v>
      </c>
      <c r="E28" s="98"/>
      <c r="F28" s="98"/>
      <c r="G28" s="98"/>
      <c r="H28" s="98"/>
      <c r="I28" s="98"/>
      <c r="J28" s="116">
        <f>(J27-I27)/I27</f>
        <v>-0.34629483781329889</v>
      </c>
      <c r="K28" s="116">
        <f t="shared" ref="K28:N28" si="3">(K27-J27)/J27</f>
        <v>0.17045249864910839</v>
      </c>
      <c r="L28" s="116">
        <f t="shared" si="3"/>
        <v>7.4475070104644076E-2</v>
      </c>
      <c r="M28" s="116">
        <f t="shared" si="3"/>
        <v>0.23003965652232039</v>
      </c>
      <c r="N28" s="116">
        <f t="shared" si="3"/>
        <v>7.17508978565293E-2</v>
      </c>
      <c r="O28" s="99"/>
    </row>
    <row r="31" spans="2:15" ht="18.75" x14ac:dyDescent="0.3">
      <c r="B31" s="60" t="s">
        <v>425</v>
      </c>
      <c r="C31" s="61"/>
      <c r="D31" s="61"/>
      <c r="E31" s="61"/>
      <c r="F31" s="61"/>
      <c r="G31" s="62"/>
      <c r="H31" s="62"/>
      <c r="I31" s="62"/>
      <c r="J31" s="62"/>
      <c r="K31" s="62"/>
      <c r="L31" s="62"/>
      <c r="M31" s="62"/>
      <c r="N31" s="62"/>
      <c r="O31" s="62"/>
    </row>
    <row r="32" spans="2:15" x14ac:dyDescent="0.25">
      <c r="B32" s="63"/>
      <c r="C32" s="64"/>
      <c r="D32" s="64"/>
      <c r="E32" s="64"/>
      <c r="F32" s="64"/>
      <c r="G32" s="65"/>
      <c r="H32" s="65"/>
      <c r="I32" s="65"/>
      <c r="J32" s="66" t="s">
        <v>418</v>
      </c>
      <c r="K32" s="67"/>
      <c r="L32" s="67"/>
      <c r="M32" s="67"/>
      <c r="N32" s="67"/>
      <c r="O32" s="68"/>
    </row>
    <row r="33" spans="2:15" x14ac:dyDescent="0.25">
      <c r="B33" s="69"/>
      <c r="C33" s="70" t="s">
        <v>419</v>
      </c>
      <c r="D33" s="71"/>
      <c r="E33" s="70" t="s">
        <v>420</v>
      </c>
      <c r="F33" s="71"/>
      <c r="G33" s="72">
        <f>Model!H7</f>
        <v>2022</v>
      </c>
      <c r="H33" s="72">
        <f>Model!I7</f>
        <v>2023</v>
      </c>
      <c r="I33" s="72">
        <f>Model!J7</f>
        <v>2024</v>
      </c>
      <c r="J33" s="117">
        <f>Model!K7</f>
        <v>2025</v>
      </c>
      <c r="K33" s="117">
        <f>Model!L7</f>
        <v>2026</v>
      </c>
      <c r="L33" s="117">
        <f>Model!M7</f>
        <v>2027</v>
      </c>
      <c r="M33" s="117">
        <f>Model!N7</f>
        <v>2028</v>
      </c>
      <c r="N33" s="117">
        <f>Model!O7</f>
        <v>2029</v>
      </c>
      <c r="O33" s="73"/>
    </row>
    <row r="34" spans="2:15" x14ac:dyDescent="0.25">
      <c r="B34" s="74"/>
      <c r="C34" s="75"/>
      <c r="D34" s="75"/>
      <c r="E34" s="75"/>
      <c r="F34" s="75"/>
      <c r="G34" s="76"/>
      <c r="H34" s="76"/>
      <c r="I34" s="77"/>
      <c r="J34" s="78"/>
      <c r="K34" s="78"/>
      <c r="L34" s="78"/>
      <c r="M34" s="78"/>
      <c r="N34" s="78"/>
      <c r="O34" s="79"/>
    </row>
    <row r="35" spans="2:15" x14ac:dyDescent="0.25">
      <c r="B35" s="80"/>
      <c r="C35" s="81"/>
      <c r="D35" s="81"/>
      <c r="E35" s="81"/>
      <c r="F35" s="81"/>
      <c r="G35" s="82"/>
      <c r="H35" s="82"/>
      <c r="I35" s="83"/>
      <c r="J35" s="84"/>
      <c r="K35" s="84"/>
      <c r="L35" s="84"/>
      <c r="M35" s="84"/>
      <c r="N35" s="84"/>
      <c r="O35" s="85"/>
    </row>
    <row r="36" spans="2:15" x14ac:dyDescent="0.25">
      <c r="B36" s="86"/>
      <c r="C36" s="87" t="s">
        <v>313</v>
      </c>
      <c r="D36" s="88"/>
      <c r="E36" s="88" t="s">
        <v>421</v>
      </c>
      <c r="F36" s="88"/>
      <c r="G36" s="88"/>
      <c r="H36" s="88"/>
      <c r="I36" s="88"/>
      <c r="J36" s="88"/>
      <c r="K36" s="88"/>
      <c r="L36" s="88"/>
      <c r="M36" s="88"/>
      <c r="N36" s="88"/>
      <c r="O36" s="89"/>
    </row>
    <row r="37" spans="2:15" x14ac:dyDescent="0.25">
      <c r="B37" s="86"/>
      <c r="C37" s="87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</row>
    <row r="38" spans="2:15" x14ac:dyDescent="0.25">
      <c r="B38" s="86"/>
      <c r="C38" s="88"/>
      <c r="D38" s="104" t="s">
        <v>314</v>
      </c>
      <c r="E38" s="90"/>
      <c r="F38" s="88"/>
      <c r="G38" s="100">
        <v>32250.3</v>
      </c>
      <c r="H38" s="100">
        <v>35975</v>
      </c>
      <c r="I38" s="100">
        <v>36176</v>
      </c>
      <c r="J38" s="100">
        <v>38710</v>
      </c>
      <c r="K38" s="100">
        <v>41630.1</v>
      </c>
      <c r="L38" s="100">
        <v>44826</v>
      </c>
      <c r="M38" s="100">
        <v>48277.2</v>
      </c>
      <c r="N38" s="100">
        <v>52004.3</v>
      </c>
      <c r="O38" s="89"/>
    </row>
    <row r="39" spans="2:15" x14ac:dyDescent="0.25">
      <c r="B39" s="86"/>
      <c r="C39" s="88"/>
      <c r="D39" s="105" t="s">
        <v>422</v>
      </c>
      <c r="E39" s="92"/>
      <c r="F39" s="91"/>
      <c r="G39" s="101"/>
      <c r="H39" s="102"/>
      <c r="I39" s="102"/>
      <c r="J39" s="102">
        <f>(J38-I38)/I38</f>
        <v>7.0046439628482976E-2</v>
      </c>
      <c r="K39" s="102">
        <f t="shared" ref="K39" si="4">(K38-J38)/J38</f>
        <v>7.5435288039266302E-2</v>
      </c>
      <c r="L39" s="102">
        <f t="shared" ref="L39" si="5">(L38-K38)/K38</f>
        <v>7.676897245022235E-2</v>
      </c>
      <c r="M39" s="102">
        <f t="shared" ref="M39" si="6">(M38-L38)/L38</f>
        <v>7.6991031990362668E-2</v>
      </c>
      <c r="N39" s="102">
        <f t="shared" ref="N39" si="7">(N38-M38)/M38</f>
        <v>7.7202074685358849E-2</v>
      </c>
      <c r="O39" s="89"/>
    </row>
    <row r="40" spans="2:15" x14ac:dyDescent="0.25">
      <c r="B40" s="86"/>
      <c r="C40" s="88"/>
      <c r="D40" s="106"/>
      <c r="E40" s="93"/>
      <c r="F40" s="93"/>
      <c r="G40" s="103"/>
      <c r="H40" s="103"/>
      <c r="I40" s="103"/>
      <c r="J40" s="103"/>
      <c r="K40" s="103"/>
      <c r="L40" s="103"/>
      <c r="M40" s="103"/>
      <c r="N40" s="103"/>
      <c r="O40" s="89"/>
    </row>
    <row r="41" spans="2:15" x14ac:dyDescent="0.25">
      <c r="B41" s="86"/>
      <c r="C41" s="88"/>
      <c r="D41" s="104"/>
      <c r="E41" s="88"/>
      <c r="F41" s="88"/>
      <c r="G41" s="101"/>
      <c r="H41" s="101"/>
      <c r="I41" s="101"/>
      <c r="J41" s="101"/>
      <c r="K41" s="101"/>
      <c r="L41" s="101"/>
      <c r="M41" s="101"/>
      <c r="N41" s="101"/>
      <c r="O41" s="89"/>
    </row>
    <row r="42" spans="2:15" x14ac:dyDescent="0.25">
      <c r="B42" s="86"/>
      <c r="C42" s="88"/>
      <c r="D42" s="104" t="s">
        <v>423</v>
      </c>
      <c r="E42" s="90"/>
      <c r="F42" s="88"/>
      <c r="G42" s="100">
        <v>6160.9</v>
      </c>
      <c r="H42" s="100">
        <v>7314</v>
      </c>
      <c r="I42" s="100">
        <v>7043</v>
      </c>
      <c r="J42" s="100">
        <v>8540.81</v>
      </c>
      <c r="K42" s="100">
        <v>10427.9</v>
      </c>
      <c r="L42" s="100">
        <v>12553</v>
      </c>
      <c r="M42" s="100">
        <v>14893.8</v>
      </c>
      <c r="N42" s="100">
        <v>17468.900000000001</v>
      </c>
      <c r="O42" s="94"/>
    </row>
    <row r="43" spans="2:15" x14ac:dyDescent="0.25">
      <c r="B43" s="86"/>
      <c r="C43" s="88"/>
      <c r="D43" s="105" t="s">
        <v>427</v>
      </c>
      <c r="E43" s="90"/>
      <c r="F43" s="88"/>
      <c r="G43" s="100"/>
      <c r="H43" s="100"/>
      <c r="I43" s="100"/>
      <c r="J43" s="114">
        <f>(J42-I42)/I42</f>
        <v>0.21266647735340047</v>
      </c>
      <c r="K43" s="114">
        <f t="shared" ref="K43" si="8">(K42-J42)/J42</f>
        <v>0.2209497694012629</v>
      </c>
      <c r="L43" s="114">
        <f t="shared" ref="L43" si="9">(L42-K42)/K42</f>
        <v>0.20378983304404535</v>
      </c>
      <c r="M43" s="114">
        <f t="shared" ref="M43" si="10">(M42-L42)/L42</f>
        <v>0.18647335298335055</v>
      </c>
      <c r="N43" s="114">
        <f t="shared" ref="N43" si="11">(N42-M42)/M42</f>
        <v>0.17289744725993381</v>
      </c>
      <c r="O43" s="94"/>
    </row>
    <row r="44" spans="2:15" x14ac:dyDescent="0.25">
      <c r="B44" s="86"/>
      <c r="C44" s="88"/>
      <c r="D44" s="105" t="s">
        <v>424</v>
      </c>
      <c r="E44" s="92"/>
      <c r="F44" s="91"/>
      <c r="G44" s="102"/>
      <c r="H44" s="102"/>
      <c r="I44" s="102"/>
      <c r="J44" s="102">
        <v>0.22059999999999999</v>
      </c>
      <c r="K44" s="102">
        <v>0.2505</v>
      </c>
      <c r="L44" s="102">
        <v>0.28000000000000003</v>
      </c>
      <c r="M44" s="102">
        <v>0.3085</v>
      </c>
      <c r="N44" s="102">
        <v>0.33589999999999998</v>
      </c>
      <c r="O44" s="95"/>
    </row>
    <row r="45" spans="2:15" x14ac:dyDescent="0.25">
      <c r="B45" s="86"/>
      <c r="C45" s="88"/>
      <c r="D45" s="106"/>
      <c r="E45" s="93"/>
      <c r="F45" s="93"/>
      <c r="G45" s="103"/>
      <c r="H45" s="103"/>
      <c r="I45" s="103"/>
      <c r="J45" s="103"/>
      <c r="K45" s="103"/>
      <c r="L45" s="103"/>
      <c r="M45" s="103"/>
      <c r="N45" s="103"/>
      <c r="O45" s="89"/>
    </row>
    <row r="46" spans="2:15" x14ac:dyDescent="0.25">
      <c r="B46" s="86"/>
      <c r="C46" s="88"/>
      <c r="D46" s="104"/>
      <c r="E46" s="88"/>
      <c r="F46" s="88"/>
      <c r="G46" s="101"/>
      <c r="H46" s="101"/>
      <c r="I46" s="101"/>
      <c r="J46" s="101"/>
      <c r="K46" s="101"/>
      <c r="L46" s="101"/>
      <c r="M46" s="101"/>
      <c r="N46" s="101"/>
      <c r="O46" s="89"/>
    </row>
    <row r="47" spans="2:15" x14ac:dyDescent="0.25">
      <c r="B47" s="86"/>
      <c r="C47" s="88"/>
      <c r="D47" s="104" t="s">
        <v>363</v>
      </c>
      <c r="E47" s="90"/>
      <c r="F47" s="88"/>
      <c r="G47" s="100">
        <v>3281.6</v>
      </c>
      <c r="H47" s="100">
        <v>4124.5</v>
      </c>
      <c r="I47" s="100">
        <v>3761</v>
      </c>
      <c r="J47" s="100">
        <v>4751.13</v>
      </c>
      <c r="K47" s="100">
        <v>5995.5</v>
      </c>
      <c r="L47" s="100">
        <v>7395.17</v>
      </c>
      <c r="M47" s="100">
        <v>8942.39</v>
      </c>
      <c r="N47" s="100">
        <v>10649.7</v>
      </c>
      <c r="O47" s="94"/>
    </row>
    <row r="48" spans="2:15" x14ac:dyDescent="0.25">
      <c r="B48" s="86"/>
      <c r="C48" s="88"/>
      <c r="D48" s="105" t="s">
        <v>427</v>
      </c>
      <c r="E48" s="90"/>
      <c r="F48" s="88"/>
      <c r="G48" s="100"/>
      <c r="H48" s="100"/>
      <c r="I48" s="100"/>
      <c r="J48" s="114">
        <f>(J47-I47)/I47</f>
        <v>0.26326243020473283</v>
      </c>
      <c r="K48" s="114">
        <f t="shared" ref="K48" si="12">(K47-J47)/J47</f>
        <v>0.26191032449122625</v>
      </c>
      <c r="L48" s="114">
        <f t="shared" ref="L48" si="13">(L47-K47)/K47</f>
        <v>0.23345342340088401</v>
      </c>
      <c r="M48" s="114">
        <f t="shared" ref="M48" si="14">(M47-L47)/L47</f>
        <v>0.20922034246677215</v>
      </c>
      <c r="N48" s="114">
        <f t="shared" ref="N48" si="15">(N47-M47)/M47</f>
        <v>0.19092323193240301</v>
      </c>
      <c r="O48" s="94"/>
    </row>
    <row r="49" spans="2:15" x14ac:dyDescent="0.25">
      <c r="B49" s="86"/>
      <c r="C49" s="88"/>
      <c r="D49" s="105" t="s">
        <v>424</v>
      </c>
      <c r="E49" s="96"/>
      <c r="F49" s="91"/>
      <c r="G49" s="102"/>
      <c r="H49" s="102"/>
      <c r="I49" s="102"/>
      <c r="J49" s="102">
        <v>0.1227</v>
      </c>
      <c r="K49" s="102">
        <v>0.14399999999999999</v>
      </c>
      <c r="L49" s="102">
        <v>0.16500000000000001</v>
      </c>
      <c r="M49" s="102">
        <v>0.1852</v>
      </c>
      <c r="N49" s="102">
        <v>0.20480000000000001</v>
      </c>
      <c r="O49" s="110"/>
    </row>
    <row r="50" spans="2:15" x14ac:dyDescent="0.25">
      <c r="B50" s="112"/>
      <c r="C50" s="88"/>
      <c r="D50" s="105"/>
      <c r="E50" s="96"/>
      <c r="F50" s="91"/>
      <c r="G50" s="109"/>
      <c r="H50" s="109"/>
      <c r="I50" s="109"/>
      <c r="J50" s="109"/>
      <c r="K50" s="109"/>
      <c r="L50" s="109"/>
      <c r="M50" s="109"/>
      <c r="N50" s="109"/>
      <c r="O50" s="113"/>
    </row>
    <row r="51" spans="2:15" x14ac:dyDescent="0.25">
      <c r="B51" s="54"/>
      <c r="O51" s="111"/>
    </row>
    <row r="52" spans="2:15" x14ac:dyDescent="0.25">
      <c r="B52" s="86"/>
      <c r="C52" s="88"/>
      <c r="D52" s="107" t="s">
        <v>408</v>
      </c>
      <c r="E52" s="96"/>
      <c r="F52" s="91"/>
      <c r="G52" s="115">
        <v>2616.5553</v>
      </c>
      <c r="H52" s="115">
        <v>4154.33</v>
      </c>
      <c r="I52" s="115">
        <v>3821.83</v>
      </c>
      <c r="J52" s="115">
        <v>3525.78</v>
      </c>
      <c r="K52" s="115">
        <v>5172.7299999999996</v>
      </c>
      <c r="L52" s="115">
        <v>6424.34</v>
      </c>
      <c r="M52" s="115">
        <v>8329.44</v>
      </c>
      <c r="N52" s="115">
        <v>9871.39</v>
      </c>
      <c r="O52" s="94"/>
    </row>
    <row r="53" spans="2:15" x14ac:dyDescent="0.25">
      <c r="B53" s="97"/>
      <c r="C53" s="98"/>
      <c r="D53" s="108" t="s">
        <v>427</v>
      </c>
      <c r="E53" s="98"/>
      <c r="F53" s="98"/>
      <c r="G53" s="98"/>
      <c r="H53" s="98"/>
      <c r="I53" s="98"/>
      <c r="J53" s="116">
        <f>(J52-I52)/I52</f>
        <v>-7.7462890814086374E-2</v>
      </c>
      <c r="K53" s="116">
        <f t="shared" ref="K53" si="16">(K52-J52)/J52</f>
        <v>0.46711649620793111</v>
      </c>
      <c r="L53" s="116">
        <f t="shared" ref="L53" si="17">(L52-K52)/K52</f>
        <v>0.24196314131996077</v>
      </c>
      <c r="M53" s="116">
        <f t="shared" ref="M53" si="18">(M52-L52)/L52</f>
        <v>0.2965440807927352</v>
      </c>
      <c r="N53" s="116">
        <f t="shared" ref="N53" si="19">(N52-M52)/M52</f>
        <v>0.18512048829212993</v>
      </c>
      <c r="O53" s="99"/>
    </row>
    <row r="56" spans="2:15" ht="18.75" x14ac:dyDescent="0.3">
      <c r="B56" s="60" t="s">
        <v>426</v>
      </c>
      <c r="C56" s="61"/>
      <c r="D56" s="61"/>
      <c r="E56" s="61"/>
      <c r="F56" s="61"/>
      <c r="G56" s="62"/>
      <c r="H56" s="62"/>
      <c r="I56" s="62"/>
      <c r="J56" s="62"/>
      <c r="K56" s="62"/>
      <c r="L56" s="62"/>
      <c r="M56" s="62"/>
      <c r="N56" s="62"/>
      <c r="O56" s="62"/>
    </row>
    <row r="57" spans="2:15" x14ac:dyDescent="0.25">
      <c r="B57" s="63"/>
      <c r="C57" s="64"/>
      <c r="D57" s="64"/>
      <c r="E57" s="64"/>
      <c r="F57" s="64"/>
      <c r="G57" s="65"/>
      <c r="H57" s="65"/>
      <c r="I57" s="65"/>
      <c r="J57" s="66" t="s">
        <v>418</v>
      </c>
      <c r="K57" s="67"/>
      <c r="L57" s="67"/>
      <c r="M57" s="67"/>
      <c r="N57" s="67"/>
      <c r="O57" s="68"/>
    </row>
    <row r="58" spans="2:15" x14ac:dyDescent="0.25">
      <c r="B58" s="69"/>
      <c r="C58" s="70" t="s">
        <v>419</v>
      </c>
      <c r="D58" s="71"/>
      <c r="E58" s="70" t="s">
        <v>420</v>
      </c>
      <c r="F58" s="71"/>
      <c r="G58" s="72">
        <f>G33</f>
        <v>2022</v>
      </c>
      <c r="H58" s="72">
        <f t="shared" ref="H58:N58" si="20">H33</f>
        <v>2023</v>
      </c>
      <c r="I58" s="72">
        <f t="shared" si="20"/>
        <v>2024</v>
      </c>
      <c r="J58" s="117">
        <f t="shared" si="20"/>
        <v>2025</v>
      </c>
      <c r="K58" s="117">
        <f t="shared" si="20"/>
        <v>2026</v>
      </c>
      <c r="L58" s="117">
        <f t="shared" si="20"/>
        <v>2027</v>
      </c>
      <c r="M58" s="117">
        <f t="shared" si="20"/>
        <v>2028</v>
      </c>
      <c r="N58" s="117">
        <f t="shared" si="20"/>
        <v>2029</v>
      </c>
      <c r="O58" s="73"/>
    </row>
    <row r="59" spans="2:15" x14ac:dyDescent="0.25">
      <c r="B59" s="74"/>
      <c r="C59" s="75"/>
      <c r="D59" s="75"/>
      <c r="E59" s="75"/>
      <c r="F59" s="75"/>
      <c r="G59" s="76"/>
      <c r="H59" s="76"/>
      <c r="I59" s="77"/>
      <c r="J59" s="78"/>
      <c r="K59" s="78"/>
      <c r="L59" s="78"/>
      <c r="M59" s="78"/>
      <c r="N59" s="78"/>
      <c r="O59" s="79"/>
    </row>
    <row r="60" spans="2:15" x14ac:dyDescent="0.25">
      <c r="B60" s="80"/>
      <c r="C60" s="81"/>
      <c r="D60" s="81"/>
      <c r="E60" s="81"/>
      <c r="F60" s="81"/>
      <c r="G60" s="82"/>
      <c r="H60" s="82"/>
      <c r="I60" s="83"/>
      <c r="J60" s="84"/>
      <c r="K60" s="84"/>
      <c r="L60" s="84"/>
      <c r="M60" s="84"/>
      <c r="N60" s="84"/>
      <c r="O60" s="85"/>
    </row>
    <row r="61" spans="2:15" x14ac:dyDescent="0.25">
      <c r="B61" s="86"/>
      <c r="C61" s="87" t="s">
        <v>313</v>
      </c>
      <c r="D61" s="88"/>
      <c r="E61" s="88" t="s">
        <v>421</v>
      </c>
      <c r="F61" s="88"/>
      <c r="G61" s="88"/>
      <c r="H61" s="88"/>
      <c r="I61" s="88"/>
      <c r="J61" s="88"/>
      <c r="K61" s="88"/>
      <c r="L61" s="88"/>
      <c r="M61" s="88"/>
      <c r="N61" s="88"/>
      <c r="O61" s="89"/>
    </row>
    <row r="62" spans="2:15" x14ac:dyDescent="0.25">
      <c r="B62" s="86"/>
      <c r="C62" s="87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9"/>
    </row>
    <row r="63" spans="2:15" x14ac:dyDescent="0.25">
      <c r="B63" s="86"/>
      <c r="C63" s="88"/>
      <c r="D63" s="104" t="s">
        <v>314</v>
      </c>
      <c r="E63" s="90"/>
      <c r="F63" s="88"/>
      <c r="G63" s="100">
        <v>32250.3</v>
      </c>
      <c r="H63" s="100">
        <v>35975</v>
      </c>
      <c r="I63" s="100">
        <v>36176</v>
      </c>
      <c r="J63" s="100">
        <v>35543</v>
      </c>
      <c r="K63" s="100">
        <v>35107.4</v>
      </c>
      <c r="L63" s="100">
        <v>35126.5</v>
      </c>
      <c r="M63" s="100">
        <v>35146.199999999997</v>
      </c>
      <c r="N63" s="100">
        <v>35166.5</v>
      </c>
      <c r="O63" s="89"/>
    </row>
    <row r="64" spans="2:15" x14ac:dyDescent="0.25">
      <c r="B64" s="86"/>
      <c r="C64" s="88"/>
      <c r="D64" s="105" t="s">
        <v>422</v>
      </c>
      <c r="E64" s="92"/>
      <c r="F64" s="91"/>
      <c r="G64" s="101"/>
      <c r="H64" s="102"/>
      <c r="I64" s="102"/>
      <c r="J64" s="102">
        <f>(J63-I63)/I63</f>
        <v>-1.7497788589119857E-2</v>
      </c>
      <c r="K64" s="102">
        <f t="shared" ref="K64" si="21">(K63-J63)/J63</f>
        <v>-1.2255577750893244E-2</v>
      </c>
      <c r="L64" s="102">
        <f t="shared" ref="L64" si="22">(L63-K63)/K63</f>
        <v>5.4404484524625985E-4</v>
      </c>
      <c r="M64" s="102">
        <f t="shared" ref="M64" si="23">(M63-L63)/L63</f>
        <v>5.6083014248493553E-4</v>
      </c>
      <c r="N64" s="102">
        <f t="shared" ref="N64" si="24">(N63-M63)/M63</f>
        <v>5.7758733518852425E-4</v>
      </c>
      <c r="O64" s="89"/>
    </row>
    <row r="65" spans="2:15" x14ac:dyDescent="0.25">
      <c r="B65" s="86"/>
      <c r="C65" s="88"/>
      <c r="D65" s="106"/>
      <c r="E65" s="93"/>
      <c r="F65" s="93"/>
      <c r="G65" s="103"/>
      <c r="H65" s="103"/>
      <c r="I65" s="103"/>
      <c r="J65" s="103"/>
      <c r="K65" s="103"/>
      <c r="L65" s="103"/>
      <c r="M65" s="103"/>
      <c r="N65" s="103"/>
      <c r="O65" s="89"/>
    </row>
    <row r="66" spans="2:15" x14ac:dyDescent="0.25">
      <c r="B66" s="86"/>
      <c r="C66" s="88"/>
      <c r="D66" s="104"/>
      <c r="E66" s="88"/>
      <c r="F66" s="88"/>
      <c r="G66" s="101"/>
      <c r="H66" s="101"/>
      <c r="I66" s="101"/>
      <c r="J66" s="101"/>
      <c r="K66" s="101"/>
      <c r="L66" s="101"/>
      <c r="M66" s="101"/>
      <c r="N66" s="101"/>
      <c r="O66" s="89"/>
    </row>
    <row r="67" spans="2:15" x14ac:dyDescent="0.25">
      <c r="B67" s="86"/>
      <c r="C67" s="88"/>
      <c r="D67" s="104" t="s">
        <v>423</v>
      </c>
      <c r="E67" s="90"/>
      <c r="F67" s="88"/>
      <c r="G67" s="100">
        <v>6160.9</v>
      </c>
      <c r="H67" s="100">
        <v>7314</v>
      </c>
      <c r="I67" s="100">
        <v>7043</v>
      </c>
      <c r="J67" s="100">
        <v>4165.2700000000004</v>
      </c>
      <c r="K67" s="100">
        <v>1869.37</v>
      </c>
      <c r="L67" s="100">
        <v>-76.604200000000006</v>
      </c>
      <c r="M67" s="100">
        <v>-2138.1799999999998</v>
      </c>
      <c r="N67" s="100">
        <v>-4322.28</v>
      </c>
      <c r="O67" s="94"/>
    </row>
    <row r="68" spans="2:15" x14ac:dyDescent="0.25">
      <c r="B68" s="86"/>
      <c r="C68" s="88"/>
      <c r="D68" s="105" t="s">
        <v>427</v>
      </c>
      <c r="E68" s="90"/>
      <c r="F68" s="88"/>
      <c r="G68" s="100"/>
      <c r="H68" s="100"/>
      <c r="I68" s="100"/>
      <c r="J68" s="114">
        <f>(J67-I67)/I67</f>
        <v>-0.40859434899900604</v>
      </c>
      <c r="K68" s="114">
        <f t="shared" ref="K68" si="25">(K67-J67)/J67</f>
        <v>-0.55120076249558858</v>
      </c>
      <c r="L68" s="114">
        <f t="shared" ref="L68" si="26">(L67-K67)/K67</f>
        <v>-1.0409786184650445</v>
      </c>
      <c r="M68" s="114">
        <f>-(M67-L67)/L67</f>
        <v>-26.912046597967205</v>
      </c>
      <c r="N68" s="114">
        <f>-(N67-M67)/M67</f>
        <v>-1.0214762087382727</v>
      </c>
      <c r="O68" s="94"/>
    </row>
    <row r="69" spans="2:15" x14ac:dyDescent="0.25">
      <c r="B69" s="86"/>
      <c r="C69" s="88"/>
      <c r="D69" s="105" t="s">
        <v>424</v>
      </c>
      <c r="E69" s="92"/>
      <c r="F69" s="91"/>
      <c r="G69" s="102"/>
      <c r="H69" s="102"/>
      <c r="I69" s="102"/>
      <c r="J69" s="102">
        <v>0.1172</v>
      </c>
      <c r="K69" s="102">
        <v>5.3199999999999997E-2</v>
      </c>
      <c r="L69" s="102">
        <v>-2.2000000000000001E-3</v>
      </c>
      <c r="M69" s="102">
        <v>-6.08E-2</v>
      </c>
      <c r="N69" s="102">
        <v>-0.1229</v>
      </c>
      <c r="O69" s="95"/>
    </row>
    <row r="70" spans="2:15" x14ac:dyDescent="0.25">
      <c r="B70" s="86"/>
      <c r="C70" s="88"/>
      <c r="D70" s="106"/>
      <c r="E70" s="93"/>
      <c r="F70" s="93"/>
      <c r="G70" s="103"/>
      <c r="H70" s="103"/>
      <c r="I70" s="103"/>
      <c r="J70" s="103"/>
      <c r="K70" s="103"/>
      <c r="L70" s="103"/>
      <c r="M70" s="103"/>
      <c r="N70" s="103"/>
      <c r="O70" s="89"/>
    </row>
    <row r="71" spans="2:15" x14ac:dyDescent="0.25">
      <c r="B71" s="86"/>
      <c r="C71" s="88"/>
      <c r="D71" s="104"/>
      <c r="E71" s="88"/>
      <c r="F71" s="88"/>
      <c r="G71" s="101"/>
      <c r="H71" s="101"/>
      <c r="I71" s="101"/>
      <c r="J71" s="101"/>
      <c r="K71" s="101"/>
      <c r="L71" s="101"/>
      <c r="M71" s="101"/>
      <c r="N71" s="101"/>
      <c r="O71" s="89"/>
    </row>
    <row r="72" spans="2:15" x14ac:dyDescent="0.25">
      <c r="B72" s="86"/>
      <c r="C72" s="88"/>
      <c r="D72" s="104" t="s">
        <v>363</v>
      </c>
      <c r="E72" s="90"/>
      <c r="F72" s="88"/>
      <c r="G72" s="100">
        <v>3281.6</v>
      </c>
      <c r="H72" s="100">
        <v>4124.5</v>
      </c>
      <c r="I72" s="100">
        <v>3761</v>
      </c>
      <c r="J72" s="100">
        <v>1453.43</v>
      </c>
      <c r="K72" s="100">
        <f>-579.141</f>
        <v>-579.14099999999996</v>
      </c>
      <c r="L72" s="100">
        <f>-2742.23</f>
        <v>-2742.23</v>
      </c>
      <c r="M72" s="100">
        <f>-5071.37</f>
        <v>-5071.37</v>
      </c>
      <c r="N72" s="100">
        <f>-7531.16</f>
        <v>-7531.16</v>
      </c>
      <c r="O72" s="94"/>
    </row>
    <row r="73" spans="2:15" x14ac:dyDescent="0.25">
      <c r="B73" s="86"/>
      <c r="C73" s="88"/>
      <c r="D73" s="105" t="s">
        <v>427</v>
      </c>
      <c r="E73" s="90"/>
      <c r="F73" s="88"/>
      <c r="G73" s="100"/>
      <c r="H73" s="100"/>
      <c r="I73" s="100"/>
      <c r="J73" s="114">
        <f>(J72-I72)/I72</f>
        <v>-0.61355224674288744</v>
      </c>
      <c r="K73" s="114">
        <f t="shared" ref="K73" si="27">(K72-J72)/J72</f>
        <v>-1.3984650103548157</v>
      </c>
      <c r="L73" s="114">
        <f>-(L72-K72)/K72</f>
        <v>-3.7349954501580789</v>
      </c>
      <c r="M73" s="114">
        <f>-(M72-L72)/L72</f>
        <v>-0.84935982758557815</v>
      </c>
      <c r="N73" s="114">
        <f>-(N72-M72)/M72</f>
        <v>-0.48503461589274693</v>
      </c>
      <c r="O73" s="94"/>
    </row>
    <row r="74" spans="2:15" x14ac:dyDescent="0.25">
      <c r="B74" s="86"/>
      <c r="C74" s="88"/>
      <c r="D74" s="105" t="s">
        <v>424</v>
      </c>
      <c r="E74" s="96"/>
      <c r="F74" s="91"/>
      <c r="G74" s="102"/>
      <c r="H74" s="102"/>
      <c r="I74" s="102"/>
      <c r="J74" s="102">
        <v>4.0899999999999999E-2</v>
      </c>
      <c r="K74" s="102">
        <v>-1.6500000000000001E-2</v>
      </c>
      <c r="L74" s="102">
        <v>-7.8100000000000003E-2</v>
      </c>
      <c r="M74" s="102">
        <v>-0.14430000000000001</v>
      </c>
      <c r="N74" s="102">
        <v>-0.2142</v>
      </c>
      <c r="O74" s="110"/>
    </row>
    <row r="75" spans="2:15" x14ac:dyDescent="0.25">
      <c r="B75" s="112"/>
      <c r="C75" s="88"/>
      <c r="D75" s="105"/>
      <c r="E75" s="96"/>
      <c r="F75" s="91"/>
      <c r="G75" s="109"/>
      <c r="H75" s="109"/>
      <c r="I75" s="109"/>
      <c r="J75" s="109"/>
      <c r="K75" s="109"/>
      <c r="L75" s="109"/>
      <c r="M75" s="109"/>
      <c r="N75" s="109"/>
      <c r="O75" s="113"/>
    </row>
    <row r="76" spans="2:15" x14ac:dyDescent="0.25">
      <c r="B76" s="54"/>
      <c r="O76" s="111"/>
    </row>
    <row r="77" spans="2:15" x14ac:dyDescent="0.25">
      <c r="B77" s="86"/>
      <c r="C77" s="88"/>
      <c r="D77" s="107" t="s">
        <v>408</v>
      </c>
      <c r="E77" s="96"/>
      <c r="F77" s="91"/>
      <c r="G77" s="115">
        <v>2616.5553</v>
      </c>
      <c r="H77" s="115">
        <v>4154.33</v>
      </c>
      <c r="I77" s="115">
        <v>3821.83</v>
      </c>
      <c r="J77" s="115">
        <v>657.82100000000003</v>
      </c>
      <c r="K77" s="115">
        <v>-580.49199999999996</v>
      </c>
      <c r="L77" s="115">
        <v>-2064.8000000000002</v>
      </c>
      <c r="M77" s="115">
        <v>-3227.03</v>
      </c>
      <c r="N77" s="115">
        <v>-4870.93</v>
      </c>
      <c r="O77" s="94"/>
    </row>
    <row r="78" spans="2:15" x14ac:dyDescent="0.25">
      <c r="B78" s="97"/>
      <c r="C78" s="98"/>
      <c r="D78" s="108" t="s">
        <v>427</v>
      </c>
      <c r="E78" s="98"/>
      <c r="F78" s="98"/>
      <c r="G78" s="98"/>
      <c r="H78" s="98"/>
      <c r="I78" s="98"/>
      <c r="J78" s="116">
        <f>(J77-I77)/I77</f>
        <v>-0.82787800608608964</v>
      </c>
      <c r="K78" s="116">
        <f t="shared" ref="K78" si="28">(K77-J77)/J77</f>
        <v>-1.8824467446311384</v>
      </c>
      <c r="L78" s="116">
        <f>-(L77-K77)/K77</f>
        <v>-2.5569826974359686</v>
      </c>
      <c r="M78" s="116">
        <f>-(M77-L77)/L77</f>
        <v>-0.56287776055792327</v>
      </c>
      <c r="N78" s="116">
        <f>-(N77-M77)/M77</f>
        <v>-0.50941577859517884</v>
      </c>
      <c r="O78" s="99"/>
    </row>
  </sheetData>
  <printOptions gridLines="1"/>
  <pageMargins left="0.2" right="0.25" top="0.5" bottom="0.5" header="0.3" footer="0.3"/>
  <pageSetup scale="7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6213836-91F0-4927-B8D4-0B7C9B1655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Summary!G17:N17</xm:f>
              <xm:sqref>E17</xm:sqref>
            </x14:sparkline>
          </x14:sparklines>
        </x14:sparklineGroup>
        <x14:sparklineGroup manualMax="0" manualMin="0" lineWeight="1" displayEmptyCellsAs="gap" high="1" low="1" xr2:uid="{30C945F5-3605-41AF-B057-4B60810D459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Summary!G13:N13</xm:f>
              <xm:sqref>E13</xm:sqref>
            </x14:sparkline>
          </x14:sparklines>
        </x14:sparklineGroup>
        <x14:sparklineGroup manualMax="0" manualMin="0" lineWeight="1" displayEmptyCellsAs="gap" high="1" low="1" xr2:uid="{579B62BC-7BD8-4956-94E6-25B5C83C95B0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Summary!G22:N22</xm:f>
              <xm:sqref>E22</xm:sqref>
            </x14:sparkline>
          </x14:sparklines>
        </x14:sparklineGroup>
        <x14:sparklineGroup displayEmptyCellsAs="gap" xr2:uid="{C26541AE-9EA6-4B0F-AAFD-70DCE5B759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Summary!G52:N52</xm:f>
              <xm:sqref>E52</xm:sqref>
            </x14:sparkline>
          </x14:sparklines>
        </x14:sparklineGroup>
        <x14:sparklineGroup manualMax="0" manualMin="0" lineWeight="1" displayEmptyCellsAs="gap" high="1" low="1" xr2:uid="{3452F009-50F2-4B61-A74B-DBEC2D8A3E4D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Summary!G47:N47</xm:f>
              <xm:sqref>E47</xm:sqref>
            </x14:sparkline>
          </x14:sparklines>
        </x14:sparklineGroup>
        <x14:sparklineGroup manualMax="0" manualMin="0" lineWeight="1" displayEmptyCellsAs="gap" high="1" low="1" xr2:uid="{5A25AE93-FC6E-4EEC-BE68-16E053F96F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Summary!G38:N38</xm:f>
              <xm:sqref>E38</xm:sqref>
            </x14:sparkline>
          </x14:sparklines>
        </x14:sparklineGroup>
        <x14:sparklineGroup displayEmptyCellsAs="gap" xr2:uid="{4D49CF6D-CFBF-4E31-A450-FB3FB2069F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Summary!G77:N77</xm:f>
              <xm:sqref>E77</xm:sqref>
            </x14:sparkline>
          </x14:sparklines>
        </x14:sparklineGroup>
        <x14:sparklineGroup manualMax="0" manualMin="0" lineWeight="1" displayEmptyCellsAs="gap" high="1" low="1" xr2:uid="{CA566839-A2A2-4C55-B77F-C109885D833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Summary!G72:N72</xm:f>
              <xm:sqref>E72</xm:sqref>
            </x14:sparkline>
          </x14:sparklines>
        </x14:sparklineGroup>
        <x14:sparklineGroup manualMax="0" manualMin="0" lineWeight="1" displayEmptyCellsAs="gap" high="1" low="1" xr2:uid="{E09B1901-6E18-45D2-992A-84E73158E90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Summary!G63:N63</xm:f>
              <xm:sqref>E63</xm:sqref>
            </x14:sparkline>
          </x14:sparklines>
        </x14:sparklineGroup>
        <x14:sparklineGroup displayEmptyCellsAs="gap" xr2:uid="{AAFC3AC7-B9A7-493F-8D32-C2DCF29D2C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Summary!G27:N27</xm:f>
              <xm:sqref>E27</xm:sqref>
            </x14:sparkline>
          </x14:sparklines>
        </x14:sparklineGroup>
        <x14:sparklineGroup displayEmptyCellsAs="gap" xr2:uid="{5B77E8F3-DB59-43C7-895D-5CCB471B5E5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Summary!G42:N42</xm:f>
              <xm:sqref>E42</xm:sqref>
            </x14:sparkline>
          </x14:sparklines>
        </x14:sparklineGroup>
        <x14:sparklineGroup displayEmptyCellsAs="gap" xr2:uid="{B8DC020F-AB68-4EE3-BAB4-13FB1EF1C8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Summary!G67:N67</xm:f>
              <xm:sqref>E67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0D24-3A19-4BFD-9468-3EDB805D6171}">
  <dimension ref="A1:AH106"/>
  <sheetViews>
    <sheetView tabSelected="1" topLeftCell="A9" zoomScale="70" zoomScaleNormal="70" workbookViewId="0">
      <selection activeCell="N74" sqref="N74"/>
    </sheetView>
  </sheetViews>
  <sheetFormatPr defaultRowHeight="15" x14ac:dyDescent="0.25"/>
  <cols>
    <col min="2" max="2" width="3.42578125" customWidth="1"/>
    <col min="5" max="5" width="12.140625" customWidth="1"/>
    <col min="7" max="7" width="10.140625" customWidth="1"/>
    <col min="9" max="9" width="11.28515625" customWidth="1"/>
    <col min="10" max="10" width="10.7109375" customWidth="1"/>
    <col min="11" max="11" width="10.140625" customWidth="1"/>
    <col min="12" max="12" width="13" customWidth="1"/>
    <col min="13" max="13" width="14" customWidth="1"/>
    <col min="14" max="14" width="16.7109375" customWidth="1"/>
    <col min="15" max="15" width="12.7109375" customWidth="1"/>
    <col min="16" max="16" width="13.140625" customWidth="1"/>
    <col min="22" max="22" width="11.140625" customWidth="1"/>
    <col min="23" max="23" width="11.85546875" customWidth="1"/>
    <col min="24" max="24" width="12" customWidth="1"/>
    <col min="25" max="25" width="11.85546875" customWidth="1"/>
    <col min="26" max="26" width="12.85546875" customWidth="1"/>
    <col min="27" max="27" width="18.42578125" customWidth="1"/>
  </cols>
  <sheetData>
    <row r="1" spans="1:27" ht="28.5" x14ac:dyDescent="0.45">
      <c r="B1" s="4" t="str">
        <f>Cover!A7</f>
        <v>Starbucks CORP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7" ht="28.5" x14ac:dyDescent="0.45"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6" t="s">
        <v>9</v>
      </c>
      <c r="U2" s="6"/>
      <c r="V2" s="6"/>
    </row>
    <row r="3" spans="1:27" ht="6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7" x14ac:dyDescent="0.25">
      <c r="T4" t="s">
        <v>13</v>
      </c>
    </row>
    <row r="5" spans="1:27" x14ac:dyDescent="0.25">
      <c r="B5" s="5" t="s">
        <v>3</v>
      </c>
      <c r="J5" s="5" t="s">
        <v>60</v>
      </c>
      <c r="T5" t="s">
        <v>15</v>
      </c>
    </row>
    <row r="6" spans="1:27" x14ac:dyDescent="0.25">
      <c r="B6" t="s">
        <v>5</v>
      </c>
      <c r="C6" t="s">
        <v>4</v>
      </c>
      <c r="H6">
        <v>2025</v>
      </c>
      <c r="J6" t="s">
        <v>442</v>
      </c>
      <c r="N6">
        <v>94.42</v>
      </c>
      <c r="T6" t="s">
        <v>127</v>
      </c>
    </row>
    <row r="7" spans="1:27" x14ac:dyDescent="0.25">
      <c r="J7" t="s">
        <v>366</v>
      </c>
      <c r="N7" s="45">
        <f>1133500000/1000000</f>
        <v>1133.5</v>
      </c>
    </row>
    <row r="8" spans="1:27" x14ac:dyDescent="0.25">
      <c r="B8" t="s">
        <v>5</v>
      </c>
      <c r="C8" t="s">
        <v>10</v>
      </c>
      <c r="J8" t="s">
        <v>62</v>
      </c>
      <c r="N8">
        <v>1137.3</v>
      </c>
      <c r="T8" t="s">
        <v>23</v>
      </c>
    </row>
    <row r="9" spans="1:27" x14ac:dyDescent="0.25">
      <c r="C9" t="s">
        <v>16</v>
      </c>
      <c r="J9" t="s">
        <v>61</v>
      </c>
      <c r="N9" s="9">
        <f>2.28/3.31</f>
        <v>0.68882175226586095</v>
      </c>
      <c r="W9">
        <v>2022</v>
      </c>
      <c r="X9">
        <v>2023</v>
      </c>
      <c r="Y9">
        <v>2024</v>
      </c>
      <c r="Z9" t="s">
        <v>20</v>
      </c>
    </row>
    <row r="10" spans="1:27" x14ac:dyDescent="0.25">
      <c r="C10" t="s">
        <v>22</v>
      </c>
      <c r="J10" t="s">
        <v>370</v>
      </c>
      <c r="N10" s="46">
        <f>2.28/3.31</f>
        <v>0.68882175226586095</v>
      </c>
      <c r="T10" t="s">
        <v>18</v>
      </c>
      <c r="W10" s="8">
        <v>0.05</v>
      </c>
      <c r="X10" s="8">
        <v>0.05</v>
      </c>
      <c r="Y10" s="8">
        <v>0.02</v>
      </c>
      <c r="Z10" s="8">
        <f>AVERAGE(W10:Y10)</f>
        <v>0.04</v>
      </c>
    </row>
    <row r="11" spans="1:27" x14ac:dyDescent="0.25">
      <c r="T11" t="s">
        <v>19</v>
      </c>
      <c r="W11" s="8">
        <v>0.03</v>
      </c>
      <c r="X11" s="8">
        <v>0.03</v>
      </c>
      <c r="Y11" s="8">
        <v>-0.02</v>
      </c>
      <c r="Z11" s="8">
        <f>AVERAGE(W11:Y11)</f>
        <v>1.3333333333333331E-2</v>
      </c>
    </row>
    <row r="12" spans="1:27" ht="6.75" customHeight="1" x14ac:dyDescent="0.25">
      <c r="W12" s="10"/>
      <c r="X12" s="10"/>
      <c r="Y12" s="10"/>
      <c r="Z12" s="10"/>
    </row>
    <row r="13" spans="1:27" x14ac:dyDescent="0.25">
      <c r="B13" s="5" t="s">
        <v>14</v>
      </c>
      <c r="J13" s="5" t="s">
        <v>64</v>
      </c>
      <c r="T13" t="s">
        <v>130</v>
      </c>
      <c r="V13">
        <v>17133</v>
      </c>
      <c r="W13" s="16">
        <f>X13-1339</f>
        <v>18253</v>
      </c>
      <c r="X13" s="16">
        <v>19592</v>
      </c>
      <c r="Y13" s="16">
        <v>21208</v>
      </c>
      <c r="Z13" s="8">
        <f>((Y13/W13)^(1/2))-1</f>
        <v>7.7910569559361154E-2</v>
      </c>
      <c r="AA13" t="s">
        <v>460</v>
      </c>
    </row>
    <row r="14" spans="1:27" x14ac:dyDescent="0.25">
      <c r="B14" t="s">
        <v>5</v>
      </c>
      <c r="C14" t="s">
        <v>11</v>
      </c>
      <c r="J14" t="s">
        <v>65</v>
      </c>
      <c r="T14" t="s">
        <v>131</v>
      </c>
      <c r="W14" s="8">
        <f>(W13-V13)/V13</f>
        <v>6.5370921613260954E-2</v>
      </c>
      <c r="X14" s="8">
        <f t="shared" ref="X14:Y14" si="0">(X13-W13)/W13</f>
        <v>7.3357804196570425E-2</v>
      </c>
      <c r="Y14" s="8">
        <f t="shared" si="0"/>
        <v>8.2482645977950186E-2</v>
      </c>
      <c r="AA14" t="s">
        <v>461</v>
      </c>
    </row>
    <row r="15" spans="1:27" x14ac:dyDescent="0.25">
      <c r="C15" t="s">
        <v>12</v>
      </c>
    </row>
    <row r="16" spans="1:27" x14ac:dyDescent="0.25">
      <c r="B16" s="5" t="s">
        <v>17</v>
      </c>
      <c r="J16" s="5" t="s">
        <v>67</v>
      </c>
      <c r="W16" t="s">
        <v>151</v>
      </c>
    </row>
    <row r="17" spans="2:28" x14ac:dyDescent="0.25">
      <c r="B17" t="s">
        <v>6</v>
      </c>
      <c r="D17" s="11">
        <v>0.04</v>
      </c>
      <c r="E17" s="2"/>
      <c r="F17" s="2"/>
      <c r="G17" s="2"/>
      <c r="H17" s="2"/>
      <c r="J17" t="s">
        <v>71</v>
      </c>
      <c r="N17" s="8">
        <v>5.0000000000000001E-3</v>
      </c>
    </row>
    <row r="18" spans="2:28" x14ac:dyDescent="0.25">
      <c r="B18" t="s">
        <v>7</v>
      </c>
      <c r="D18" s="11">
        <v>0.05</v>
      </c>
      <c r="E18" s="2"/>
      <c r="F18" s="2"/>
      <c r="G18" s="2"/>
      <c r="H18" s="2"/>
      <c r="J18" t="s">
        <v>80</v>
      </c>
      <c r="N18" s="8">
        <v>0.05</v>
      </c>
      <c r="W18">
        <v>2022</v>
      </c>
      <c r="X18">
        <v>2023</v>
      </c>
      <c r="Y18">
        <v>2024</v>
      </c>
      <c r="Z18" t="s">
        <v>165</v>
      </c>
    </row>
    <row r="19" spans="2:28" x14ac:dyDescent="0.25">
      <c r="B19" t="s">
        <v>8</v>
      </c>
      <c r="D19" s="11">
        <v>0.02</v>
      </c>
      <c r="E19" s="2"/>
      <c r="F19" s="2"/>
      <c r="G19" s="2"/>
      <c r="H19" s="2"/>
      <c r="J19" t="s">
        <v>81</v>
      </c>
      <c r="M19" s="8"/>
      <c r="N19" s="8">
        <v>0.125</v>
      </c>
      <c r="T19" t="s">
        <v>27</v>
      </c>
      <c r="W19">
        <v>10317.4</v>
      </c>
      <c r="X19">
        <v>11409.1</v>
      </c>
      <c r="Y19">
        <v>11180.1</v>
      </c>
      <c r="Z19" s="8">
        <f>((Y19/W19)^(1/2))-1</f>
        <v>4.0968792660806885E-2</v>
      </c>
      <c r="AB19">
        <f>Y20/X20-1</f>
        <v>3.8463890002241818E-2</v>
      </c>
    </row>
    <row r="20" spans="2:28" x14ac:dyDescent="0.25">
      <c r="B20" s="5" t="s">
        <v>24</v>
      </c>
      <c r="J20" t="s">
        <v>72</v>
      </c>
      <c r="M20" s="8"/>
      <c r="N20" s="8">
        <v>8.5000000000000006E-2</v>
      </c>
      <c r="O20" s="8"/>
      <c r="T20" t="s">
        <v>28</v>
      </c>
      <c r="W20">
        <v>13561.8</v>
      </c>
      <c r="X20">
        <v>14720.3</v>
      </c>
      <c r="Y20">
        <v>15286.5</v>
      </c>
      <c r="Z20" s="8">
        <f>((Y20/W20)^(1/2))-1</f>
        <v>6.1684220502528753E-2</v>
      </c>
      <c r="AB20">
        <f>X20/W20-1</f>
        <v>8.542376380716421E-2</v>
      </c>
    </row>
    <row r="21" spans="2:28" x14ac:dyDescent="0.25">
      <c r="B21" t="s">
        <v>6</v>
      </c>
      <c r="D21" s="11">
        <v>1.3299999999999999E-2</v>
      </c>
      <c r="E21" s="2"/>
      <c r="F21" s="2"/>
      <c r="G21" s="2"/>
      <c r="H21" s="2"/>
      <c r="J21" t="s">
        <v>76</v>
      </c>
      <c r="M21" s="8"/>
      <c r="N21" s="8">
        <v>4.5999999999999999E-2</v>
      </c>
      <c r="V21" s="144"/>
    </row>
    <row r="22" spans="2:28" x14ac:dyDescent="0.25">
      <c r="B22" t="s">
        <v>7</v>
      </c>
      <c r="D22" s="11">
        <v>0.03</v>
      </c>
      <c r="E22" s="2"/>
      <c r="F22" s="2"/>
      <c r="G22" s="2"/>
      <c r="H22" s="2"/>
      <c r="J22" t="s">
        <v>75</v>
      </c>
      <c r="N22" s="8">
        <f>562/((14319.5+Model!J212+Model!I212+13547.6)/2)</f>
        <v>3.6334719052452592E-2</v>
      </c>
    </row>
    <row r="23" spans="2:28" x14ac:dyDescent="0.25">
      <c r="B23" t="s">
        <v>8</v>
      </c>
      <c r="D23" s="11">
        <v>-0.02</v>
      </c>
      <c r="E23" s="2"/>
      <c r="F23" s="2"/>
      <c r="G23" s="2"/>
      <c r="H23" s="2"/>
      <c r="W23">
        <v>2022</v>
      </c>
      <c r="X23">
        <v>2023</v>
      </c>
      <c r="Y23">
        <v>2024</v>
      </c>
      <c r="Z23" t="s">
        <v>200</v>
      </c>
    </row>
    <row r="24" spans="2:28" x14ac:dyDescent="0.25">
      <c r="B24" s="5" t="s">
        <v>136</v>
      </c>
      <c r="J24" s="5" t="s">
        <v>84</v>
      </c>
      <c r="T24" t="s">
        <v>34</v>
      </c>
      <c r="W24">
        <v>2032</v>
      </c>
      <c r="X24">
        <v>2441.3000000000002</v>
      </c>
      <c r="Y24">
        <v>2523.3000000000002</v>
      </c>
      <c r="Z24" s="8">
        <f>((Y24/W24)^(1/2))-1</f>
        <v>0.11435250081066917</v>
      </c>
      <c r="AA24" t="s">
        <v>459</v>
      </c>
    </row>
    <row r="25" spans="2:28" x14ac:dyDescent="0.25">
      <c r="B25" t="s">
        <v>6</v>
      </c>
      <c r="D25" s="11">
        <f>Z13</f>
        <v>7.7910569559361154E-2</v>
      </c>
      <c r="E25" s="2"/>
      <c r="F25" s="2"/>
      <c r="G25" s="2"/>
      <c r="H25" s="2"/>
      <c r="J25" t="s">
        <v>303</v>
      </c>
      <c r="N25" s="8">
        <v>0.24299999999999999</v>
      </c>
    </row>
    <row r="26" spans="2:28" x14ac:dyDescent="0.25">
      <c r="B26" t="s">
        <v>7</v>
      </c>
      <c r="D26" s="11">
        <v>0.08</v>
      </c>
      <c r="E26" s="2"/>
      <c r="F26" s="11"/>
      <c r="G26" s="2"/>
      <c r="H26" s="2"/>
      <c r="J26" t="s">
        <v>304</v>
      </c>
      <c r="N26" s="12">
        <v>0.21</v>
      </c>
    </row>
    <row r="27" spans="2:28" x14ac:dyDescent="0.25">
      <c r="B27" t="s">
        <v>8</v>
      </c>
      <c r="D27" s="11">
        <v>0.03</v>
      </c>
      <c r="E27" s="2"/>
      <c r="F27" s="2"/>
      <c r="G27" s="2"/>
      <c r="H27" s="2"/>
      <c r="Z27" s="8"/>
    </row>
    <row r="28" spans="2:28" x14ac:dyDescent="0.25">
      <c r="T28" t="s">
        <v>45</v>
      </c>
    </row>
    <row r="29" spans="2:28" ht="4.5" customHeight="1" x14ac:dyDescent="0.25"/>
    <row r="30" spans="2:28" x14ac:dyDescent="0.25">
      <c r="B30" s="5" t="s">
        <v>26</v>
      </c>
      <c r="J30" s="5" t="s">
        <v>37</v>
      </c>
      <c r="T30" t="s">
        <v>59</v>
      </c>
    </row>
    <row r="31" spans="2:28" x14ac:dyDescent="0.25">
      <c r="B31" s="5" t="s">
        <v>29</v>
      </c>
      <c r="E31">
        <v>2024</v>
      </c>
      <c r="G31" t="s">
        <v>36</v>
      </c>
      <c r="J31" t="s">
        <v>5</v>
      </c>
      <c r="K31" t="s">
        <v>38</v>
      </c>
      <c r="O31" t="s">
        <v>39</v>
      </c>
      <c r="X31">
        <v>2023</v>
      </c>
      <c r="Y31">
        <v>2024</v>
      </c>
      <c r="Z31" t="s">
        <v>175</v>
      </c>
      <c r="AA31" t="s">
        <v>176</v>
      </c>
    </row>
    <row r="32" spans="2:28" x14ac:dyDescent="0.25">
      <c r="B32" t="s">
        <v>30</v>
      </c>
      <c r="E32">
        <v>11180.1</v>
      </c>
      <c r="F32" t="s">
        <v>35</v>
      </c>
      <c r="G32" t="s">
        <v>168</v>
      </c>
      <c r="J32" t="s">
        <v>5</v>
      </c>
      <c r="K32" t="s">
        <v>41</v>
      </c>
      <c r="O32" s="9">
        <f>(-$Y$41/$Y$40)*O36</f>
        <v>19.399336453886111</v>
      </c>
      <c r="T32" t="s">
        <v>46</v>
      </c>
      <c r="X32">
        <v>46.1</v>
      </c>
      <c r="Y32">
        <v>56.9</v>
      </c>
      <c r="Z32">
        <f>Y32-X32</f>
        <v>10.799999999999997</v>
      </c>
      <c r="AA32" s="8">
        <f t="shared" ref="AA32:AA39" si="1">Z32/$K$74</f>
        <v>3.8695807954138291E-3</v>
      </c>
    </row>
    <row r="33" spans="1:27" x14ac:dyDescent="0.25">
      <c r="B33" t="s">
        <v>31</v>
      </c>
      <c r="E33">
        <v>15286.5</v>
      </c>
      <c r="F33" t="s">
        <v>35</v>
      </c>
      <c r="G33" t="s">
        <v>168</v>
      </c>
      <c r="J33" t="s">
        <v>5</v>
      </c>
      <c r="K33" t="s">
        <v>43</v>
      </c>
      <c r="O33" s="9">
        <f>(-$Y$41/$Y$40)*O37</f>
        <v>5.542667558253175</v>
      </c>
      <c r="T33" t="s">
        <v>47</v>
      </c>
      <c r="X33">
        <v>666.5</v>
      </c>
      <c r="Y33">
        <v>684.8</v>
      </c>
      <c r="Z33">
        <f t="shared" ref="Z33:Z39" si="2">Y33-X33</f>
        <v>18.299999999999955</v>
      </c>
      <c r="AA33" s="8">
        <f t="shared" si="1"/>
        <v>6.556789681117863E-3</v>
      </c>
    </row>
    <row r="34" spans="1:27" x14ac:dyDescent="0.25">
      <c r="B34" t="s">
        <v>32</v>
      </c>
      <c r="E34">
        <v>565.6</v>
      </c>
      <c r="F34" t="s">
        <v>35</v>
      </c>
      <c r="G34" t="s">
        <v>168</v>
      </c>
      <c r="J34" t="s">
        <v>5</v>
      </c>
      <c r="K34" t="s">
        <v>42</v>
      </c>
      <c r="O34" s="9">
        <f>(-$Y$41/$Y$40)*O38</f>
        <v>4.7112674245151984</v>
      </c>
      <c r="T34" t="s">
        <v>48</v>
      </c>
      <c r="X34">
        <v>10133.700000000001</v>
      </c>
      <c r="Y34">
        <v>11453.9</v>
      </c>
      <c r="Z34">
        <f t="shared" si="2"/>
        <v>1320.1999999999989</v>
      </c>
      <c r="AA34" s="8">
        <f t="shared" si="1"/>
        <v>0.47302042278753098</v>
      </c>
    </row>
    <row r="35" spans="1:27" x14ac:dyDescent="0.25">
      <c r="B35" t="s">
        <v>33</v>
      </c>
      <c r="E35">
        <f>2523.3+597.3</f>
        <v>3120.6000000000004</v>
      </c>
      <c r="F35" t="s">
        <v>35</v>
      </c>
      <c r="G35" t="s">
        <v>168</v>
      </c>
      <c r="J35" t="s">
        <v>5</v>
      </c>
      <c r="K35" t="s">
        <v>57</v>
      </c>
      <c r="O35" s="9">
        <f>(-$Y$41/$Y$40)*O39</f>
        <v>2.7713337791265875</v>
      </c>
      <c r="T35" t="s">
        <v>52</v>
      </c>
      <c r="X35">
        <v>3332.5</v>
      </c>
      <c r="Y35">
        <v>3803.6</v>
      </c>
      <c r="Z35">
        <f t="shared" si="2"/>
        <v>471.09999999999991</v>
      </c>
      <c r="AA35" s="8">
        <f t="shared" si="1"/>
        <v>0.16879254747402361</v>
      </c>
    </row>
    <row r="36" spans="1:27" x14ac:dyDescent="0.25">
      <c r="J36" t="s">
        <v>5</v>
      </c>
      <c r="K36" t="s">
        <v>40</v>
      </c>
      <c r="O36">
        <v>35</v>
      </c>
      <c r="T36" t="s">
        <v>49</v>
      </c>
      <c r="X36">
        <v>859.4</v>
      </c>
      <c r="Y36">
        <v>865.7</v>
      </c>
      <c r="Z36">
        <f t="shared" si="2"/>
        <v>6.3000000000000682</v>
      </c>
      <c r="AA36" s="8">
        <f t="shared" si="1"/>
        <v>2.2572554639914253E-3</v>
      </c>
    </row>
    <row r="37" spans="1:27" x14ac:dyDescent="0.25">
      <c r="B37" s="5"/>
      <c r="J37" t="s">
        <v>5</v>
      </c>
      <c r="K37" t="s">
        <v>44</v>
      </c>
      <c r="O37">
        <v>10</v>
      </c>
      <c r="T37" t="s">
        <v>53</v>
      </c>
      <c r="X37">
        <v>897.2</v>
      </c>
      <c r="Y37">
        <v>1049.7</v>
      </c>
      <c r="Z37">
        <f t="shared" si="2"/>
        <v>152.5</v>
      </c>
      <c r="AA37" s="8">
        <f t="shared" si="1"/>
        <v>5.4639914009315657E-2</v>
      </c>
    </row>
    <row r="38" spans="1:27" x14ac:dyDescent="0.25">
      <c r="J38" t="s">
        <v>5</v>
      </c>
      <c r="K38" t="s">
        <v>187</v>
      </c>
      <c r="O38">
        <v>8.5</v>
      </c>
      <c r="T38" t="s">
        <v>50</v>
      </c>
      <c r="X38">
        <v>767.3</v>
      </c>
      <c r="Y38">
        <v>775.5</v>
      </c>
      <c r="Z38">
        <f t="shared" si="2"/>
        <v>8.2000000000000455</v>
      </c>
      <c r="AA38" s="8">
        <f t="shared" si="1"/>
        <v>2.9380150483697761E-3</v>
      </c>
    </row>
    <row r="39" spans="1:27" x14ac:dyDescent="0.25">
      <c r="J39" t="s">
        <v>5</v>
      </c>
      <c r="K39" t="s">
        <v>58</v>
      </c>
      <c r="O39">
        <v>5</v>
      </c>
      <c r="T39" t="s">
        <v>51</v>
      </c>
      <c r="X39">
        <v>607.5</v>
      </c>
      <c r="Y39">
        <v>750.9</v>
      </c>
      <c r="Z39">
        <f t="shared" si="2"/>
        <v>143.39999999999998</v>
      </c>
      <c r="AA39" s="8">
        <f t="shared" si="1"/>
        <v>5.1379433894661403E-2</v>
      </c>
    </row>
    <row r="40" spans="1:27" x14ac:dyDescent="0.25">
      <c r="T40" t="s">
        <v>54</v>
      </c>
      <c r="X40">
        <f>SUM(X32:X39)</f>
        <v>17310.2</v>
      </c>
      <c r="Y40">
        <f>SUM(Y32:Y39)</f>
        <v>19441.000000000004</v>
      </c>
    </row>
    <row r="41" spans="1:27" x14ac:dyDescent="0.25">
      <c r="T41" t="s">
        <v>55</v>
      </c>
      <c r="X41">
        <v>-9923.1</v>
      </c>
      <c r="Y41">
        <v>-10775.5</v>
      </c>
    </row>
    <row r="42" spans="1:27" ht="28.5" x14ac:dyDescent="0.45">
      <c r="B42" s="4" t="str">
        <f>Cover!A7</f>
        <v>Starbucks CORP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T42" t="s">
        <v>56</v>
      </c>
      <c r="X42">
        <f>X40+X41</f>
        <v>7387.1</v>
      </c>
      <c r="Y42">
        <f>Y40+Y41</f>
        <v>8665.5000000000036</v>
      </c>
    </row>
    <row r="43" spans="1:27" ht="28.5" x14ac:dyDescent="0.45">
      <c r="B43" s="4" t="s">
        <v>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27" ht="4.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27" x14ac:dyDescent="0.25">
      <c r="T45" t="s">
        <v>63</v>
      </c>
    </row>
    <row r="47" spans="1:27" x14ac:dyDescent="0.25">
      <c r="B47" s="5" t="s">
        <v>86</v>
      </c>
      <c r="I47" t="s">
        <v>88</v>
      </c>
      <c r="J47" t="s">
        <v>89</v>
      </c>
      <c r="K47" t="s">
        <v>90</v>
      </c>
      <c r="L47">
        <v>2025</v>
      </c>
      <c r="M47">
        <v>2026</v>
      </c>
      <c r="N47">
        <v>2027</v>
      </c>
      <c r="O47">
        <v>2028</v>
      </c>
      <c r="P47">
        <v>2029</v>
      </c>
      <c r="T47" t="s">
        <v>66</v>
      </c>
    </row>
    <row r="48" spans="1:27" x14ac:dyDescent="0.25">
      <c r="B48" s="5" t="s">
        <v>94</v>
      </c>
    </row>
    <row r="49" spans="1:34" x14ac:dyDescent="0.25">
      <c r="B49" t="s">
        <v>87</v>
      </c>
      <c r="G49" t="s">
        <v>35</v>
      </c>
      <c r="I49" s="118">
        <v>234.1</v>
      </c>
      <c r="J49" s="118">
        <v>298.39999999999998</v>
      </c>
      <c r="K49" s="118">
        <v>301.2</v>
      </c>
      <c r="L49" s="119">
        <f>Model!K73*0.008</f>
        <v>302.32997809658883</v>
      </c>
      <c r="M49" s="119">
        <f>Model!L73*0.008</f>
        <v>313.75882497521059</v>
      </c>
      <c r="N49" s="119">
        <f>Model!M73*0.008</f>
        <v>329.78310062516118</v>
      </c>
      <c r="O49" s="119">
        <f>Model!N73*0.008</f>
        <v>346.66142095718891</v>
      </c>
      <c r="P49" s="119">
        <f>Model!O73*0.008</f>
        <v>364.43930393487278</v>
      </c>
      <c r="T49" t="s">
        <v>68</v>
      </c>
    </row>
    <row r="50" spans="1:34" x14ac:dyDescent="0.25">
      <c r="B50" t="s">
        <v>92</v>
      </c>
      <c r="G50" t="s">
        <v>35</v>
      </c>
      <c r="I50" s="118">
        <v>0</v>
      </c>
      <c r="J50" s="118">
        <v>91.3</v>
      </c>
      <c r="K50" s="118">
        <v>0</v>
      </c>
      <c r="L50" s="118">
        <v>0</v>
      </c>
      <c r="M50" s="118">
        <v>0</v>
      </c>
      <c r="N50" s="118">
        <v>0</v>
      </c>
      <c r="O50" s="118">
        <v>0</v>
      </c>
      <c r="P50" s="118">
        <v>0</v>
      </c>
      <c r="T50" t="s">
        <v>69</v>
      </c>
    </row>
    <row r="51" spans="1:34" x14ac:dyDescent="0.25">
      <c r="B51" t="s">
        <v>93</v>
      </c>
      <c r="G51" t="s">
        <v>35</v>
      </c>
      <c r="I51" s="118">
        <v>1.8</v>
      </c>
      <c r="J51" s="118">
        <v>0.2</v>
      </c>
      <c r="K51" s="118">
        <v>1.4</v>
      </c>
      <c r="L51" s="118">
        <v>1.1000000000000001</v>
      </c>
      <c r="M51" s="118">
        <v>1.1000000000000001</v>
      </c>
      <c r="N51" s="118">
        <v>1.1000000000000001</v>
      </c>
      <c r="O51" s="118">
        <v>1.1000000000000001</v>
      </c>
      <c r="P51" s="118">
        <v>1.1000000000000001</v>
      </c>
      <c r="R51" s="5"/>
      <c r="T51" t="s">
        <v>70</v>
      </c>
    </row>
    <row r="52" spans="1:34" x14ac:dyDescent="0.25">
      <c r="I52" s="118"/>
      <c r="J52" s="118"/>
      <c r="K52" s="118"/>
      <c r="L52" s="118"/>
      <c r="M52" s="118"/>
      <c r="N52" s="118"/>
      <c r="O52" s="118"/>
      <c r="P52" s="118"/>
    </row>
    <row r="53" spans="1:34" x14ac:dyDescent="0.25">
      <c r="A53" s="9"/>
      <c r="B53" s="48" t="s">
        <v>95</v>
      </c>
      <c r="C53" s="9"/>
      <c r="D53" s="9"/>
      <c r="E53" s="9"/>
      <c r="F53" s="9"/>
      <c r="G53" s="9"/>
      <c r="H53" s="9"/>
      <c r="I53" s="118"/>
      <c r="J53" s="118"/>
      <c r="K53" s="118"/>
      <c r="L53" s="118"/>
      <c r="M53" s="118"/>
      <c r="N53" s="118"/>
      <c r="O53" s="118"/>
      <c r="P53" s="118"/>
      <c r="Q53" s="9"/>
      <c r="T53" t="s">
        <v>73</v>
      </c>
    </row>
    <row r="54" spans="1:34" x14ac:dyDescent="0.25">
      <c r="A54" s="9"/>
      <c r="B54" s="9" t="s">
        <v>87</v>
      </c>
      <c r="C54" s="9"/>
      <c r="D54" s="9"/>
      <c r="E54" s="9"/>
      <c r="F54" s="9"/>
      <c r="G54" s="9" t="s">
        <v>35</v>
      </c>
      <c r="H54" s="9"/>
      <c r="I54" s="118">
        <v>-234.1</v>
      </c>
      <c r="J54" s="118">
        <v>-298.39999999999998</v>
      </c>
      <c r="K54" s="118">
        <v>-301.2</v>
      </c>
      <c r="L54" s="119">
        <f>-Model!K26*0.008</f>
        <v>-302.32997809658883</v>
      </c>
      <c r="M54" s="119">
        <f>-Model!L26*0.008</f>
        <v>-313.75882497521059</v>
      </c>
      <c r="N54" s="119">
        <f>-Model!M26*0.008</f>
        <v>-329.78310062516118</v>
      </c>
      <c r="O54" s="119">
        <f>-Model!N26*0.008</f>
        <v>-346.66142095718891</v>
      </c>
      <c r="P54" s="119">
        <f>-Model!O26*0.008</f>
        <v>-364.43930393487278</v>
      </c>
      <c r="Q54" s="9"/>
    </row>
    <row r="55" spans="1:34" x14ac:dyDescent="0.25">
      <c r="A55" s="9"/>
      <c r="B55" s="9" t="s">
        <v>96</v>
      </c>
      <c r="C55" s="9"/>
      <c r="D55" s="9"/>
      <c r="E55" s="9"/>
      <c r="F55" s="9"/>
      <c r="G55" s="9" t="s">
        <v>35</v>
      </c>
      <c r="H55" s="9"/>
      <c r="I55" s="118">
        <v>231.2</v>
      </c>
      <c r="J55" s="118">
        <v>222.8</v>
      </c>
      <c r="K55" s="118">
        <v>333.3</v>
      </c>
      <c r="L55" s="119">
        <f>-L54</f>
        <v>302.32997809658883</v>
      </c>
      <c r="M55" s="119">
        <f t="shared" ref="M55:P55" si="3">-M54</f>
        <v>313.75882497521059</v>
      </c>
      <c r="N55" s="119">
        <f t="shared" si="3"/>
        <v>329.78310062516118</v>
      </c>
      <c r="O55" s="119">
        <f t="shared" si="3"/>
        <v>346.66142095718891</v>
      </c>
      <c r="P55" s="119">
        <f t="shared" si="3"/>
        <v>364.43930393487278</v>
      </c>
      <c r="Q55" s="9"/>
      <c r="T55" t="s">
        <v>74</v>
      </c>
    </row>
    <row r="56" spans="1:34" x14ac:dyDescent="0.25">
      <c r="A56" s="9"/>
      <c r="B56" s="9" t="s">
        <v>92</v>
      </c>
      <c r="C56" s="9"/>
      <c r="D56" s="9"/>
      <c r="E56" s="9"/>
      <c r="F56" s="9"/>
      <c r="G56" s="9" t="s">
        <v>35</v>
      </c>
      <c r="H56" s="9"/>
      <c r="I56" s="118">
        <v>0</v>
      </c>
      <c r="J56" s="118">
        <v>-91.3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9"/>
    </row>
    <row r="57" spans="1:34" x14ac:dyDescent="0.25">
      <c r="A57" s="9"/>
      <c r="B57" s="9" t="s">
        <v>98</v>
      </c>
      <c r="C57" s="9"/>
      <c r="D57" s="9"/>
      <c r="E57" s="9"/>
      <c r="F57" s="9"/>
      <c r="G57" s="9" t="s">
        <v>35</v>
      </c>
      <c r="H57" s="9"/>
      <c r="I57" s="118" t="s">
        <v>100</v>
      </c>
      <c r="J57" s="118">
        <v>302.7</v>
      </c>
      <c r="K57" s="118">
        <v>308.3</v>
      </c>
      <c r="L57" s="119">
        <f>Model!K53*0.12</f>
        <v>323.99172000000004</v>
      </c>
      <c r="M57" s="119">
        <f>Model!L53*0.12</f>
        <v>346.67114040000007</v>
      </c>
      <c r="N57" s="119">
        <f>Model!M53*0.12</f>
        <v>370.93812022800006</v>
      </c>
      <c r="O57" s="119">
        <f>Model!N53*0.12</f>
        <v>396.90378864396007</v>
      </c>
      <c r="P57" s="119">
        <f>Model!O53*0.12</f>
        <v>424.68705384903734</v>
      </c>
      <c r="Q57" s="9"/>
      <c r="T57" t="s">
        <v>77</v>
      </c>
    </row>
    <row r="58" spans="1:34" x14ac:dyDescent="0.25">
      <c r="A58" s="9"/>
      <c r="B58" s="9" t="s">
        <v>101</v>
      </c>
      <c r="C58" s="9"/>
      <c r="D58" s="9"/>
      <c r="E58" s="9"/>
      <c r="F58" s="9"/>
      <c r="G58" s="9" t="s">
        <v>35</v>
      </c>
      <c r="H58" s="9"/>
      <c r="I58" s="118">
        <v>1497.7</v>
      </c>
      <c r="J58" s="118">
        <v>1365.9</v>
      </c>
      <c r="K58" s="118">
        <v>1314.9</v>
      </c>
      <c r="L58" s="118">
        <v>1325</v>
      </c>
      <c r="M58" s="118">
        <v>1325</v>
      </c>
      <c r="N58" s="118">
        <v>1325</v>
      </c>
      <c r="O58" s="118">
        <v>1325</v>
      </c>
      <c r="P58" s="118">
        <v>1325</v>
      </c>
      <c r="Q58" s="9"/>
      <c r="AH58" t="s">
        <v>21</v>
      </c>
    </row>
    <row r="59" spans="1:34" x14ac:dyDescent="0.25">
      <c r="A59" s="9"/>
      <c r="B59" s="9" t="s">
        <v>103</v>
      </c>
      <c r="C59" s="9"/>
      <c r="D59" s="9"/>
      <c r="E59" s="9"/>
      <c r="F59" s="9"/>
      <c r="G59" s="9" t="s">
        <v>35</v>
      </c>
      <c r="H59" s="9"/>
      <c r="I59" s="118">
        <v>91.4</v>
      </c>
      <c r="J59" s="118">
        <v>101.4</v>
      </c>
      <c r="K59" s="118">
        <v>121.5</v>
      </c>
      <c r="L59" s="118">
        <f>K59*1.153</f>
        <v>140.08950000000002</v>
      </c>
      <c r="M59" s="118">
        <f t="shared" ref="M59:P59" si="4">L59*1.094</f>
        <v>153.25791300000003</v>
      </c>
      <c r="N59" s="118">
        <f t="shared" si="4"/>
        <v>167.66415682200005</v>
      </c>
      <c r="O59" s="118">
        <f t="shared" si="4"/>
        <v>183.42458756326806</v>
      </c>
      <c r="P59" s="118">
        <f t="shared" si="4"/>
        <v>200.66649879421527</v>
      </c>
      <c r="Q59" s="9"/>
      <c r="T59" t="s">
        <v>78</v>
      </c>
      <c r="AF59" t="s">
        <v>82</v>
      </c>
    </row>
    <row r="60" spans="1:34" x14ac:dyDescent="0.25">
      <c r="A60" s="9"/>
      <c r="B60" s="9" t="s">
        <v>105</v>
      </c>
      <c r="C60" s="9"/>
      <c r="D60" s="9"/>
      <c r="E60" s="9"/>
      <c r="F60" s="9"/>
      <c r="G60" s="9" t="s">
        <v>35</v>
      </c>
      <c r="H60" s="9"/>
      <c r="I60" s="118">
        <v>-377.9</v>
      </c>
      <c r="J60" s="118">
        <v>-610.5</v>
      </c>
      <c r="K60" s="118">
        <v>-627.5</v>
      </c>
      <c r="L60" s="118">
        <f>AVERAGE(I60:K60)</f>
        <v>-538.63333333333333</v>
      </c>
      <c r="M60" s="118">
        <f>L60</f>
        <v>-538.63333333333333</v>
      </c>
      <c r="N60" s="118">
        <f t="shared" ref="N60:P60" si="5">M60</f>
        <v>-538.63333333333333</v>
      </c>
      <c r="O60" s="118">
        <f t="shared" si="5"/>
        <v>-538.63333333333333</v>
      </c>
      <c r="P60" s="118">
        <f t="shared" si="5"/>
        <v>-538.63333333333333</v>
      </c>
      <c r="Q60" s="9"/>
      <c r="T60" t="s">
        <v>79</v>
      </c>
    </row>
    <row r="61" spans="1:34" x14ac:dyDescent="0.25">
      <c r="A61" s="9"/>
      <c r="B61" s="9" t="s">
        <v>106</v>
      </c>
      <c r="C61" s="9"/>
      <c r="D61" s="9"/>
      <c r="E61" s="9"/>
      <c r="F61" s="9"/>
      <c r="G61" s="9" t="s">
        <v>35</v>
      </c>
      <c r="H61" s="9"/>
      <c r="I61" s="118">
        <v>72.599999999999994</v>
      </c>
      <c r="J61" s="118">
        <v>2.5</v>
      </c>
      <c r="K61" s="118">
        <v>10.3</v>
      </c>
      <c r="L61" s="118">
        <v>10.3</v>
      </c>
      <c r="M61" s="118">
        <v>10.3</v>
      </c>
      <c r="N61" s="118">
        <v>10.3</v>
      </c>
      <c r="O61" s="118">
        <v>10.3</v>
      </c>
      <c r="P61" s="118">
        <v>10.3</v>
      </c>
      <c r="Q61" s="9"/>
      <c r="T61" t="s">
        <v>83</v>
      </c>
    </row>
    <row r="62" spans="1:34" x14ac:dyDescent="0.25">
      <c r="A62" s="9"/>
      <c r="B62" s="9" t="s">
        <v>107</v>
      </c>
      <c r="C62" s="9"/>
      <c r="D62" s="9"/>
      <c r="E62" s="9"/>
      <c r="F62" s="9"/>
      <c r="G62" s="9" t="s">
        <v>35</v>
      </c>
      <c r="H62" s="9"/>
      <c r="I62" s="118">
        <v>67.3</v>
      </c>
      <c r="J62" s="118">
        <v>616.9</v>
      </c>
      <c r="K62" s="118">
        <v>768.2</v>
      </c>
      <c r="L62" s="118">
        <f>-(L60+L61)</f>
        <v>528.33333333333337</v>
      </c>
      <c r="M62" s="118">
        <f>L62</f>
        <v>528.33333333333337</v>
      </c>
      <c r="N62" s="118">
        <f t="shared" ref="N62:P62" si="6">M62</f>
        <v>528.33333333333337</v>
      </c>
      <c r="O62" s="118">
        <f t="shared" si="6"/>
        <v>528.33333333333337</v>
      </c>
      <c r="P62" s="118">
        <f t="shared" si="6"/>
        <v>528.33333333333337</v>
      </c>
      <c r="Q62" s="9"/>
    </row>
    <row r="63" spans="1:34" x14ac:dyDescent="0.25">
      <c r="A63" s="9"/>
      <c r="B63" s="9" t="s">
        <v>108</v>
      </c>
      <c r="C63" s="9"/>
      <c r="D63" s="9"/>
      <c r="E63" s="9"/>
      <c r="F63" s="9"/>
      <c r="G63" s="9" t="s">
        <v>35</v>
      </c>
      <c r="H63" s="9"/>
      <c r="I63" s="118">
        <v>0</v>
      </c>
      <c r="J63" s="118">
        <v>110</v>
      </c>
      <c r="K63" s="118">
        <v>0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9"/>
      <c r="T63" t="s">
        <v>85</v>
      </c>
    </row>
    <row r="64" spans="1:34" x14ac:dyDescent="0.25">
      <c r="A64" s="9"/>
      <c r="B64" s="9" t="s">
        <v>109</v>
      </c>
      <c r="C64" s="9"/>
      <c r="D64" s="9"/>
      <c r="E64" s="9"/>
      <c r="F64" s="9"/>
      <c r="G64" s="9" t="s">
        <v>35</v>
      </c>
      <c r="H64" s="9"/>
      <c r="I64" s="118">
        <v>59.3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9"/>
    </row>
    <row r="65" spans="1:20" x14ac:dyDescent="0.25">
      <c r="A65" s="9"/>
      <c r="B65" s="9" t="s">
        <v>110</v>
      </c>
      <c r="C65" s="9"/>
      <c r="D65" s="9"/>
      <c r="E65" s="9"/>
      <c r="F65" s="9"/>
      <c r="G65" s="9" t="s">
        <v>35</v>
      </c>
      <c r="H65" s="9"/>
      <c r="I65" s="118">
        <v>-126.3</v>
      </c>
      <c r="J65" s="118">
        <v>-56.1</v>
      </c>
      <c r="K65" s="118">
        <v>-72.7</v>
      </c>
      <c r="L65" s="118">
        <f>AVERAGE(I65:K65)</f>
        <v>-85.033333333333346</v>
      </c>
      <c r="M65" s="118">
        <f>L65</f>
        <v>-85.033333333333346</v>
      </c>
      <c r="N65" s="118">
        <f t="shared" ref="N65:P65" si="7">M65</f>
        <v>-85.033333333333346</v>
      </c>
      <c r="O65" s="118">
        <f t="shared" si="7"/>
        <v>-85.033333333333346</v>
      </c>
      <c r="P65" s="118">
        <f t="shared" si="7"/>
        <v>-85.033333333333346</v>
      </c>
      <c r="Q65" s="9"/>
      <c r="T65" t="s">
        <v>91</v>
      </c>
    </row>
    <row r="66" spans="1:20" x14ac:dyDescent="0.25">
      <c r="A66" s="9"/>
      <c r="B66" s="9" t="s">
        <v>111</v>
      </c>
      <c r="C66" s="9"/>
      <c r="D66" s="9"/>
      <c r="E66" s="9"/>
      <c r="F66" s="9"/>
      <c r="G66" s="9" t="s">
        <v>35</v>
      </c>
      <c r="H66" s="9"/>
      <c r="I66" s="118">
        <v>175</v>
      </c>
      <c r="J66" s="118">
        <v>-175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9"/>
    </row>
    <row r="67" spans="1:20" x14ac:dyDescent="0.25">
      <c r="A67" s="9"/>
      <c r="B67" s="9" t="s">
        <v>112</v>
      </c>
      <c r="C67" s="9"/>
      <c r="D67" s="9"/>
      <c r="E67" s="9"/>
      <c r="F67" s="9"/>
      <c r="G67" s="9" t="s">
        <v>35</v>
      </c>
      <c r="H67" s="9"/>
      <c r="I67" s="118">
        <v>36.6</v>
      </c>
      <c r="J67" s="118">
        <v>114.6</v>
      </c>
      <c r="K67" s="118">
        <v>123.8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9"/>
      <c r="T67" t="s">
        <v>97</v>
      </c>
    </row>
    <row r="68" spans="1:20" x14ac:dyDescent="0.25">
      <c r="A68" s="9"/>
      <c r="B68" s="9" t="s">
        <v>113</v>
      </c>
      <c r="C68" s="9"/>
      <c r="D68" s="9"/>
      <c r="E68" s="9"/>
      <c r="F68" s="9"/>
      <c r="G68" s="9" t="s">
        <v>35</v>
      </c>
      <c r="H68" s="9"/>
      <c r="I68" s="118">
        <v>-36.6</v>
      </c>
      <c r="J68" s="118">
        <v>-78.8</v>
      </c>
      <c r="K68" s="118">
        <v>-157.5</v>
      </c>
      <c r="L68" s="118">
        <v>0</v>
      </c>
      <c r="M68" s="118">
        <v>0</v>
      </c>
      <c r="N68" s="118">
        <v>0</v>
      </c>
      <c r="O68" s="118">
        <v>0</v>
      </c>
      <c r="P68" s="118">
        <v>0</v>
      </c>
      <c r="Q68" s="9"/>
    </row>
    <row r="69" spans="1:20" x14ac:dyDescent="0.25">
      <c r="A69" s="9"/>
      <c r="B69" s="9" t="s">
        <v>114</v>
      </c>
      <c r="C69" s="9"/>
      <c r="D69" s="9"/>
      <c r="E69" s="9"/>
      <c r="F69" s="9"/>
      <c r="G69" s="9" t="s">
        <v>35</v>
      </c>
      <c r="H69" s="9"/>
      <c r="I69" s="118">
        <v>101.6</v>
      </c>
      <c r="J69" s="118">
        <v>167.4</v>
      </c>
      <c r="K69" s="118">
        <v>108</v>
      </c>
      <c r="L69" s="118">
        <f>AVERAGE(I69:K69)</f>
        <v>125.66666666666667</v>
      </c>
      <c r="M69" s="118">
        <f>L69</f>
        <v>125.66666666666667</v>
      </c>
      <c r="N69" s="118">
        <f t="shared" ref="N69:P69" si="8">M69</f>
        <v>125.66666666666667</v>
      </c>
      <c r="O69" s="118">
        <f t="shared" si="8"/>
        <v>125.66666666666667</v>
      </c>
      <c r="P69" s="118">
        <f t="shared" si="8"/>
        <v>125.66666666666667</v>
      </c>
      <c r="Q69" s="9"/>
      <c r="T69" t="s">
        <v>99</v>
      </c>
    </row>
    <row r="70" spans="1:20" x14ac:dyDescent="0.25">
      <c r="A70" s="9"/>
      <c r="B70" s="9" t="s">
        <v>115</v>
      </c>
      <c r="C70" s="9"/>
      <c r="D70" s="9"/>
      <c r="E70" s="9"/>
      <c r="F70" s="9"/>
      <c r="G70" s="9" t="s">
        <v>35</v>
      </c>
      <c r="H70" s="9"/>
      <c r="I70" s="118">
        <v>-127</v>
      </c>
      <c r="J70" s="118">
        <v>-89.3</v>
      </c>
      <c r="K70" s="118">
        <v>-100.4</v>
      </c>
      <c r="L70" s="118">
        <f>AVERAGE(I70:K70)</f>
        <v>-105.56666666666668</v>
      </c>
      <c r="M70" s="118">
        <f>L70</f>
        <v>-105.56666666666668</v>
      </c>
      <c r="N70" s="118">
        <f t="shared" ref="N70:P70" si="9">M70</f>
        <v>-105.56666666666668</v>
      </c>
      <c r="O70" s="118">
        <f t="shared" si="9"/>
        <v>-105.56666666666668</v>
      </c>
      <c r="P70" s="118">
        <f t="shared" si="9"/>
        <v>-105.56666666666668</v>
      </c>
      <c r="Q70" s="9"/>
    </row>
    <row r="71" spans="1:20" x14ac:dyDescent="0.25">
      <c r="A71" s="9"/>
      <c r="B71" s="9" t="s">
        <v>110</v>
      </c>
      <c r="C71" s="9"/>
      <c r="D71" s="9"/>
      <c r="E71" s="9"/>
      <c r="F71" s="9"/>
      <c r="G71" s="49" t="s">
        <v>35</v>
      </c>
      <c r="H71" s="9"/>
      <c r="I71" s="118">
        <v>-9.1999999999999993</v>
      </c>
      <c r="J71" s="118">
        <v>-11.1</v>
      </c>
      <c r="K71" s="118">
        <v>-10.6</v>
      </c>
      <c r="L71" s="118">
        <f>AVERAGE(I71:K71)</f>
        <v>-10.299999999999999</v>
      </c>
      <c r="M71" s="118">
        <f>L71</f>
        <v>-10.299999999999999</v>
      </c>
      <c r="N71" s="118">
        <f t="shared" ref="N71:P72" si="10">M71</f>
        <v>-10.299999999999999</v>
      </c>
      <c r="O71" s="118">
        <f t="shared" si="10"/>
        <v>-10.299999999999999</v>
      </c>
      <c r="P71" s="118">
        <f t="shared" si="10"/>
        <v>-10.299999999999999</v>
      </c>
      <c r="Q71" s="9"/>
    </row>
    <row r="72" spans="1:20" x14ac:dyDescent="0.25">
      <c r="A72" s="9"/>
      <c r="B72" s="9" t="s">
        <v>116</v>
      </c>
      <c r="C72" s="9"/>
      <c r="D72" s="9"/>
      <c r="E72" s="9"/>
      <c r="F72" s="9"/>
      <c r="G72" s="9" t="s">
        <v>35</v>
      </c>
      <c r="H72" s="9"/>
      <c r="I72" s="118">
        <v>-250.3</v>
      </c>
      <c r="J72" s="118">
        <v>-14.2</v>
      </c>
      <c r="K72" s="118">
        <v>56.5</v>
      </c>
      <c r="L72" s="118">
        <f>AVERAGE(I72:K72)</f>
        <v>-69.333333333333329</v>
      </c>
      <c r="M72" s="118">
        <f>L72</f>
        <v>-69.333333333333329</v>
      </c>
      <c r="N72" s="118">
        <f t="shared" si="10"/>
        <v>-69.333333333333329</v>
      </c>
      <c r="O72" s="118">
        <f t="shared" si="10"/>
        <v>-69.333333333333329</v>
      </c>
      <c r="P72" s="118">
        <f t="shared" si="10"/>
        <v>-69.333333333333329</v>
      </c>
      <c r="Q72" s="9"/>
      <c r="T72" t="s">
        <v>102</v>
      </c>
    </row>
    <row r="73" spans="1:20" x14ac:dyDescent="0.25">
      <c r="A73" s="9"/>
      <c r="B73" s="9" t="s">
        <v>322</v>
      </c>
      <c r="C73" s="9"/>
      <c r="D73" s="9"/>
      <c r="E73" s="9"/>
      <c r="F73" s="9"/>
      <c r="G73" s="9" t="s">
        <v>35</v>
      </c>
      <c r="H73" s="9"/>
      <c r="I73" s="118">
        <v>878.1</v>
      </c>
      <c r="J73" s="118">
        <v>771.7</v>
      </c>
      <c r="K73" s="118">
        <v>842.8</v>
      </c>
      <c r="L73" s="118">
        <f>(K73/2194.7)</f>
        <v>0.38401603863853828</v>
      </c>
      <c r="M73" s="118"/>
      <c r="N73" s="118"/>
      <c r="O73" s="118"/>
      <c r="P73" s="118"/>
      <c r="Q73" s="9"/>
    </row>
    <row r="74" spans="1:20" x14ac:dyDescent="0.25">
      <c r="A74" s="9"/>
      <c r="B74" s="9" t="s">
        <v>117</v>
      </c>
      <c r="C74" s="9"/>
      <c r="D74" s="9"/>
      <c r="E74" s="9"/>
      <c r="F74" s="9"/>
      <c r="G74" s="9" t="s">
        <v>35</v>
      </c>
      <c r="H74" s="9"/>
      <c r="I74" s="118">
        <v>1638.9</v>
      </c>
      <c r="J74" s="118">
        <v>2189.1999999999998</v>
      </c>
      <c r="K74" s="118">
        <v>2791</v>
      </c>
      <c r="L74" s="118">
        <f>((K74/Model!J26)*Model!K26)</f>
        <v>2915.6011717219449</v>
      </c>
      <c r="M74" s="118">
        <f>((L74/Model!K26)*Model!L26)</f>
        <v>3025.8183574622708</v>
      </c>
      <c r="N74" s="118">
        <f>((M74/Model!L26)*Model!M26)</f>
        <v>3180.3528073872635</v>
      </c>
      <c r="O74" s="118">
        <f>((N74/Model!M26)*Model!N26)</f>
        <v>3343.1234689226421</v>
      </c>
      <c r="P74" s="118">
        <f>((O74/Model!N26)*Model!O26)</f>
        <v>3514.5693069000822</v>
      </c>
      <c r="Q74" s="9"/>
      <c r="T74" t="s">
        <v>104</v>
      </c>
    </row>
    <row r="75" spans="1:20" x14ac:dyDescent="0.25">
      <c r="A75" s="9"/>
      <c r="B75" s="9" t="s">
        <v>391</v>
      </c>
      <c r="C75" s="9"/>
      <c r="D75" s="9"/>
      <c r="E75" s="9"/>
      <c r="F75" s="9"/>
      <c r="G75" s="9" t="s">
        <v>35</v>
      </c>
      <c r="H75" s="9"/>
      <c r="I75" s="118">
        <v>-1625.6</v>
      </c>
      <c r="J75" s="118">
        <f>-1443.8</f>
        <v>-1443.8</v>
      </c>
      <c r="K75" s="118">
        <v>-1294.9000000000001</v>
      </c>
      <c r="L75" s="118">
        <f>-(1808.5-(1808.5/11942.3)*1707.6)</f>
        <v>-1549.9070488934292</v>
      </c>
      <c r="M75" s="118">
        <f>-(1692.1-(1692.1/11942.3)*1707.6)</f>
        <v>-1450.1507975850548</v>
      </c>
      <c r="N75" s="118">
        <f>-(1510.1-(1510.1/11942.3)*1707.6)</f>
        <v>-1294.174528357184</v>
      </c>
      <c r="O75" s="118">
        <f>-(1308.1-(1308.1/11942.3)*1707.6)</f>
        <v>-1121.0580097636134</v>
      </c>
      <c r="P75" s="118">
        <f>-(1125-(1125/11942.3)*1707.6)</f>
        <v>-964.13902682062917</v>
      </c>
      <c r="Q75" s="9"/>
    </row>
    <row r="76" spans="1:20" ht="7.5" customHeight="1" x14ac:dyDescent="0.25">
      <c r="A76" s="9"/>
      <c r="B76" s="9"/>
      <c r="C76" s="9"/>
      <c r="D76" s="9"/>
      <c r="E76" s="9"/>
      <c r="F76" s="9"/>
      <c r="G76" s="9"/>
      <c r="H76" s="9"/>
      <c r="I76" s="118"/>
      <c r="J76" s="118"/>
      <c r="K76" s="118"/>
      <c r="L76" s="118"/>
      <c r="M76" s="118"/>
      <c r="N76" s="118"/>
      <c r="O76" s="118"/>
      <c r="P76" s="118"/>
      <c r="Q76" s="9"/>
    </row>
    <row r="77" spans="1:20" x14ac:dyDescent="0.25">
      <c r="B77" s="5" t="s">
        <v>119</v>
      </c>
      <c r="I77" s="118"/>
      <c r="J77" s="118"/>
      <c r="K77" s="118"/>
      <c r="L77" s="118"/>
      <c r="M77" s="118"/>
      <c r="N77" s="118"/>
      <c r="O77" s="118"/>
      <c r="P77" s="118"/>
      <c r="T77" t="s">
        <v>118</v>
      </c>
    </row>
    <row r="78" spans="1:20" x14ac:dyDescent="0.25">
      <c r="B78" t="s">
        <v>120</v>
      </c>
      <c r="G78" t="s">
        <v>35</v>
      </c>
      <c r="I78" s="118">
        <v>364.5</v>
      </c>
      <c r="J78" s="118">
        <v>401.5</v>
      </c>
      <c r="K78" s="118">
        <v>257</v>
      </c>
      <c r="L78" s="118">
        <f>AVERAGE(I78:K78)</f>
        <v>341</v>
      </c>
      <c r="M78" s="118">
        <f>L78</f>
        <v>341</v>
      </c>
      <c r="N78" s="118">
        <f t="shared" ref="N78:P78" si="11">M78</f>
        <v>341</v>
      </c>
      <c r="O78" s="118">
        <f t="shared" si="11"/>
        <v>341</v>
      </c>
      <c r="P78" s="118">
        <f t="shared" si="11"/>
        <v>341</v>
      </c>
      <c r="T78" t="s">
        <v>173</v>
      </c>
    </row>
    <row r="79" spans="1:20" x14ac:dyDescent="0.25">
      <c r="B79" t="s">
        <v>121</v>
      </c>
      <c r="G79" t="s">
        <v>35</v>
      </c>
      <c r="I79" s="118">
        <v>483.7</v>
      </c>
      <c r="J79" s="118">
        <v>359.9</v>
      </c>
      <c r="K79" s="118">
        <v>313.10000000000002</v>
      </c>
      <c r="L79" s="118">
        <f>AVERAGE(I79:K79)</f>
        <v>385.56666666666661</v>
      </c>
      <c r="M79" s="118">
        <f>L79</f>
        <v>385.56666666666661</v>
      </c>
      <c r="N79" s="118">
        <f t="shared" ref="N79:P79" si="12">M79</f>
        <v>385.56666666666661</v>
      </c>
      <c r="O79" s="118">
        <f t="shared" si="12"/>
        <v>385.56666666666661</v>
      </c>
      <c r="P79" s="118">
        <f t="shared" si="12"/>
        <v>385.56666666666661</v>
      </c>
    </row>
    <row r="80" spans="1:20" x14ac:dyDescent="0.25">
      <c r="B80" t="s">
        <v>122</v>
      </c>
      <c r="G80" t="s">
        <v>35</v>
      </c>
      <c r="I80" s="118">
        <v>8015.6</v>
      </c>
      <c r="J80" s="118">
        <v>8412.6</v>
      </c>
      <c r="K80" s="118">
        <v>9286.2000000000007</v>
      </c>
      <c r="L80" s="118">
        <f>K80*(1+Model!$K$14)</f>
        <v>10009.693131042141</v>
      </c>
      <c r="M80" s="118">
        <f>L80*(1+Model!$K$14)</f>
        <v>10789.554023996059</v>
      </c>
      <c r="N80" s="118">
        <f>M80*(1+Model!$K$14)</f>
        <v>11630.174323297089</v>
      </c>
      <c r="O80" s="118">
        <f>N80*(1+Model!$K$14)</f>
        <v>12536.287828899824</v>
      </c>
      <c r="P80" s="118">
        <f>O80*(1+Model!$K$14)</f>
        <v>13512.997153809496</v>
      </c>
      <c r="T80" t="s">
        <v>123</v>
      </c>
    </row>
    <row r="81" spans="2:20" x14ac:dyDescent="0.25">
      <c r="B81" t="s">
        <v>385</v>
      </c>
      <c r="G81" t="s">
        <v>35</v>
      </c>
      <c r="I81" s="118">
        <v>155.9</v>
      </c>
      <c r="J81" s="118">
        <v>120.5</v>
      </c>
      <c r="K81" s="118">
        <v>100.9</v>
      </c>
      <c r="L81" s="118">
        <f t="shared" ref="L81:L87" si="13">K81</f>
        <v>100.9</v>
      </c>
      <c r="M81" s="118">
        <f t="shared" ref="M81:P81" si="14">L81</f>
        <v>100.9</v>
      </c>
      <c r="N81" s="118">
        <f t="shared" si="14"/>
        <v>100.9</v>
      </c>
      <c r="O81" s="118">
        <f t="shared" si="14"/>
        <v>100.9</v>
      </c>
      <c r="P81" s="118">
        <f t="shared" si="14"/>
        <v>100.9</v>
      </c>
    </row>
    <row r="82" spans="2:20" x14ac:dyDescent="0.25">
      <c r="B82" t="s">
        <v>387</v>
      </c>
      <c r="G82" t="s">
        <v>35</v>
      </c>
      <c r="I82" s="118">
        <v>554.20000000000005</v>
      </c>
      <c r="J82" s="118">
        <v>546.5</v>
      </c>
      <c r="K82" s="118">
        <v>617</v>
      </c>
      <c r="L82" s="118">
        <f t="shared" si="13"/>
        <v>617</v>
      </c>
      <c r="M82" s="118">
        <f t="shared" ref="M82:P82" si="15">L82</f>
        <v>617</v>
      </c>
      <c r="N82" s="118">
        <f t="shared" si="15"/>
        <v>617</v>
      </c>
      <c r="O82" s="118">
        <f t="shared" si="15"/>
        <v>617</v>
      </c>
      <c r="P82" s="118">
        <f t="shared" si="15"/>
        <v>617</v>
      </c>
    </row>
    <row r="83" spans="2:20" x14ac:dyDescent="0.25">
      <c r="B83" t="s">
        <v>124</v>
      </c>
      <c r="G83" t="s">
        <v>35</v>
      </c>
      <c r="I83" s="118">
        <v>3283.5</v>
      </c>
      <c r="J83" s="118">
        <v>3218.3</v>
      </c>
      <c r="K83" s="118">
        <v>3315.7</v>
      </c>
      <c r="L83" s="118">
        <f t="shared" si="13"/>
        <v>3315.7</v>
      </c>
      <c r="M83" s="118">
        <f t="shared" ref="M83:P83" si="16">L83</f>
        <v>3315.7</v>
      </c>
      <c r="N83" s="118">
        <f t="shared" si="16"/>
        <v>3315.7</v>
      </c>
      <c r="O83" s="118">
        <f t="shared" si="16"/>
        <v>3315.7</v>
      </c>
      <c r="P83" s="118">
        <f t="shared" si="16"/>
        <v>3315.7</v>
      </c>
    </row>
    <row r="84" spans="2:20" x14ac:dyDescent="0.25">
      <c r="B84" t="s">
        <v>125</v>
      </c>
      <c r="G84" t="s">
        <v>35</v>
      </c>
      <c r="I84" s="118">
        <v>311.2</v>
      </c>
      <c r="J84" s="118">
        <v>439.9</v>
      </c>
      <c r="K84" s="118">
        <v>463.9</v>
      </c>
      <c r="L84" s="118">
        <f t="shared" si="13"/>
        <v>463.9</v>
      </c>
      <c r="M84" s="118">
        <f t="shared" ref="M84:P87" si="17">L84</f>
        <v>463.9</v>
      </c>
      <c r="N84" s="118">
        <f t="shared" si="17"/>
        <v>463.9</v>
      </c>
      <c r="O84" s="118">
        <f t="shared" si="17"/>
        <v>463.9</v>
      </c>
      <c r="P84" s="118">
        <f t="shared" si="17"/>
        <v>463.9</v>
      </c>
      <c r="T84" t="s">
        <v>148</v>
      </c>
    </row>
    <row r="85" spans="2:20" x14ac:dyDescent="0.25">
      <c r="B85" t="s">
        <v>378</v>
      </c>
      <c r="G85" t="s">
        <v>35</v>
      </c>
      <c r="I85" s="118">
        <v>1641.9</v>
      </c>
      <c r="J85" s="118">
        <v>1700.2</v>
      </c>
      <c r="K85" s="118">
        <v>1781.2</v>
      </c>
      <c r="L85" s="118">
        <f t="shared" si="13"/>
        <v>1781.2</v>
      </c>
      <c r="M85" s="118">
        <f t="shared" si="17"/>
        <v>1781.2</v>
      </c>
      <c r="N85" s="118">
        <f t="shared" si="17"/>
        <v>1781.2</v>
      </c>
      <c r="O85" s="118">
        <f t="shared" si="17"/>
        <v>1781.2</v>
      </c>
      <c r="P85" s="118">
        <f t="shared" si="17"/>
        <v>1781.2</v>
      </c>
    </row>
    <row r="86" spans="2:20" x14ac:dyDescent="0.25">
      <c r="B86" t="s">
        <v>281</v>
      </c>
      <c r="G86" t="s">
        <v>35</v>
      </c>
      <c r="I86" s="118">
        <v>2137.1</v>
      </c>
      <c r="J86" s="118">
        <v>2145.1</v>
      </c>
      <c r="K86" s="118">
        <v>2194.6999999999998</v>
      </c>
      <c r="L86" s="118">
        <f t="shared" si="13"/>
        <v>2194.6999999999998</v>
      </c>
      <c r="M86" s="118">
        <f t="shared" si="17"/>
        <v>2194.6999999999998</v>
      </c>
      <c r="N86" s="118">
        <f t="shared" si="17"/>
        <v>2194.6999999999998</v>
      </c>
      <c r="O86" s="118">
        <f t="shared" si="17"/>
        <v>2194.6999999999998</v>
      </c>
      <c r="P86" s="118">
        <f t="shared" si="17"/>
        <v>2194.6999999999998</v>
      </c>
    </row>
    <row r="87" spans="2:20" x14ac:dyDescent="0.25">
      <c r="B87" t="s">
        <v>388</v>
      </c>
      <c r="G87" t="s">
        <v>35</v>
      </c>
      <c r="I87" s="118">
        <v>610.5</v>
      </c>
      <c r="J87" s="118">
        <v>513.79999999999995</v>
      </c>
      <c r="K87" s="118">
        <v>656.2</v>
      </c>
      <c r="L87" s="118">
        <f t="shared" si="13"/>
        <v>656.2</v>
      </c>
      <c r="M87" s="118">
        <f t="shared" si="17"/>
        <v>656.2</v>
      </c>
      <c r="N87" s="118">
        <f t="shared" si="17"/>
        <v>656.2</v>
      </c>
      <c r="O87" s="118">
        <f t="shared" si="17"/>
        <v>656.2</v>
      </c>
      <c r="P87" s="118">
        <f t="shared" si="17"/>
        <v>656.2</v>
      </c>
    </row>
    <row r="88" spans="2:20" x14ac:dyDescent="0.25">
      <c r="B88" t="s">
        <v>337</v>
      </c>
      <c r="G88" t="s">
        <v>35</v>
      </c>
      <c r="I88" s="118">
        <v>279.10000000000002</v>
      </c>
      <c r="J88" s="118">
        <v>247.4</v>
      </c>
      <c r="K88" s="118">
        <v>276</v>
      </c>
      <c r="L88" s="118">
        <f>AVERAGE(I88:K88)</f>
        <v>267.5</v>
      </c>
      <c r="M88" s="118">
        <f>L88</f>
        <v>267.5</v>
      </c>
      <c r="N88" s="118">
        <f t="shared" ref="N88:P88" si="18">M88</f>
        <v>267.5</v>
      </c>
      <c r="O88" s="118">
        <f t="shared" si="18"/>
        <v>267.5</v>
      </c>
      <c r="P88" s="118">
        <f t="shared" si="18"/>
        <v>267.5</v>
      </c>
      <c r="T88" t="s">
        <v>153</v>
      </c>
    </row>
    <row r="89" spans="2:20" x14ac:dyDescent="0.25">
      <c r="B89" t="s">
        <v>137</v>
      </c>
      <c r="G89" t="s">
        <v>35</v>
      </c>
      <c r="I89" s="118">
        <f>1000/1120</f>
        <v>0.8928571428571429</v>
      </c>
      <c r="J89" s="118">
        <f>1200/1339</f>
        <v>0.89619118745332338</v>
      </c>
      <c r="K89" s="118">
        <f>1200/1426</f>
        <v>0.84151472650771386</v>
      </c>
      <c r="L89" s="118">
        <f>K89</f>
        <v>0.84151472650771386</v>
      </c>
      <c r="M89" s="118">
        <f t="shared" ref="M89:P90" si="19">L89</f>
        <v>0.84151472650771386</v>
      </c>
      <c r="N89" s="118">
        <f t="shared" si="19"/>
        <v>0.84151472650771386</v>
      </c>
      <c r="O89" s="118">
        <f t="shared" si="19"/>
        <v>0.84151472650771386</v>
      </c>
      <c r="P89" s="118">
        <f t="shared" si="19"/>
        <v>0.84151472650771386</v>
      </c>
      <c r="Q89" t="s">
        <v>138</v>
      </c>
    </row>
    <row r="90" spans="2:20" x14ac:dyDescent="0.25">
      <c r="B90" t="s">
        <v>389</v>
      </c>
      <c r="G90" t="s">
        <v>35</v>
      </c>
      <c r="I90" s="118">
        <v>7.9</v>
      </c>
      <c r="J90" s="118">
        <v>7</v>
      </c>
      <c r="K90" s="118">
        <v>7.3</v>
      </c>
      <c r="L90" s="118">
        <f>K90</f>
        <v>7.3</v>
      </c>
      <c r="M90" s="118">
        <f t="shared" si="19"/>
        <v>7.3</v>
      </c>
      <c r="N90" s="118">
        <f t="shared" si="19"/>
        <v>7.3</v>
      </c>
      <c r="O90" s="118">
        <f t="shared" si="19"/>
        <v>7.3</v>
      </c>
      <c r="P90" s="118">
        <f t="shared" si="19"/>
        <v>7.3</v>
      </c>
    </row>
    <row r="91" spans="2:20" x14ac:dyDescent="0.25">
      <c r="B91" t="s">
        <v>397</v>
      </c>
      <c r="G91" t="s">
        <v>35</v>
      </c>
      <c r="I91" s="120">
        <v>7515.2</v>
      </c>
      <c r="J91" s="120">
        <v>7924.8</v>
      </c>
      <c r="K91" s="120">
        <v>8771.6</v>
      </c>
      <c r="L91" s="118">
        <f>((K91+K92)*(1+Model!$K$14))*K91/(K91+K92)</f>
        <v>9455.0003519468919</v>
      </c>
      <c r="M91" s="118">
        <f>((L91+L92)*(1+Model!$K$14))*L91/(L91+L92)</f>
        <v>10191.644814551033</v>
      </c>
      <c r="N91" s="118">
        <f>((M91+M92)*(1+Model!$K$14))*M91/(M91+M92)</f>
        <v>10985.681666799414</v>
      </c>
      <c r="O91" s="118">
        <f>((N91+N92)*(1+Model!$K$14))*N91/(N91+N92)</f>
        <v>11841.582382457587</v>
      </c>
      <c r="P91" s="118">
        <f>((O91+O92)*(1+Model!$K$14))*O91/(O91+O92)</f>
        <v>12764.166810358955</v>
      </c>
    </row>
    <row r="92" spans="2:20" x14ac:dyDescent="0.25">
      <c r="B92" t="s">
        <v>398</v>
      </c>
      <c r="G92" t="s">
        <v>35</v>
      </c>
      <c r="I92" s="121">
        <v>1245.7</v>
      </c>
      <c r="J92" s="121">
        <v>1275.3</v>
      </c>
      <c r="K92" s="118">
        <v>1463.1</v>
      </c>
      <c r="L92" s="118">
        <f>((K91+K92)*(1+Model!$K$14))*K92/(K91+K92)</f>
        <v>1577.0909543223013</v>
      </c>
      <c r="M92" s="118">
        <f>((L91+L92)*(1+Model!$K$14))*L92/(L91+L92)</f>
        <v>1699.9630088204683</v>
      </c>
      <c r="N92" s="118">
        <f>((M91+M92)*(1+Model!$K$14))*M92/(M91+M92)</f>
        <v>1832.4080950675163</v>
      </c>
      <c r="O92" s="118">
        <f>((N91+N92)*(1+Model!$K$14))*N92/(N91+N92)</f>
        <v>1975.1720534194103</v>
      </c>
      <c r="P92" s="118">
        <f>((O91+O92)*(1+Model!$K$14))*O92/(O91+O92)</f>
        <v>2129.0588330790492</v>
      </c>
    </row>
    <row r="93" spans="2:20" x14ac:dyDescent="0.25">
      <c r="T93" t="s">
        <v>342</v>
      </c>
    </row>
    <row r="94" spans="2:20" x14ac:dyDescent="0.25">
      <c r="B94" s="5" t="s">
        <v>147</v>
      </c>
      <c r="T94" t="s">
        <v>343</v>
      </c>
    </row>
    <row r="95" spans="2:20" x14ac:dyDescent="0.25">
      <c r="B95" t="s">
        <v>141</v>
      </c>
      <c r="G95" t="s">
        <v>35</v>
      </c>
      <c r="I95" s="118">
        <v>-496</v>
      </c>
      <c r="J95" s="118">
        <v>-555</v>
      </c>
      <c r="K95" s="118">
        <v>-235</v>
      </c>
      <c r="L95" s="118">
        <f>K95</f>
        <v>-235</v>
      </c>
      <c r="M95" s="118">
        <f t="shared" ref="M95:P95" si="20">L95</f>
        <v>-235</v>
      </c>
      <c r="N95" s="118">
        <f t="shared" si="20"/>
        <v>-235</v>
      </c>
      <c r="O95" s="118">
        <f t="shared" si="20"/>
        <v>-235</v>
      </c>
      <c r="P95" s="118">
        <f t="shared" si="20"/>
        <v>-235</v>
      </c>
      <c r="T95" t="s">
        <v>344</v>
      </c>
    </row>
    <row r="96" spans="2:20" x14ac:dyDescent="0.25">
      <c r="B96" t="s">
        <v>345</v>
      </c>
      <c r="I96" s="118"/>
      <c r="J96" s="118"/>
      <c r="K96" s="118"/>
      <c r="L96" s="118">
        <v>38</v>
      </c>
      <c r="M96" s="118">
        <v>31.6</v>
      </c>
      <c r="N96" s="118">
        <v>25.3</v>
      </c>
      <c r="O96" s="118">
        <v>25.3</v>
      </c>
      <c r="P96" s="118">
        <v>25.3</v>
      </c>
    </row>
    <row r="97" spans="2:20" x14ac:dyDescent="0.25">
      <c r="B97" t="s">
        <v>346</v>
      </c>
      <c r="I97" s="118"/>
      <c r="J97" s="118"/>
      <c r="K97" s="118"/>
      <c r="L97" s="118">
        <f ca="1">L96*Model!K90</f>
        <v>137096.1846107234</v>
      </c>
      <c r="M97" s="118">
        <f ca="1">M96*Model!L90</f>
        <v>110191.8558246793</v>
      </c>
      <c r="N97" s="118">
        <f ca="1">N96*Model!M90</f>
        <v>94598.368314792096</v>
      </c>
      <c r="O97" s="118">
        <f ca="1">O96*Model!N90</f>
        <v>101543.24241052067</v>
      </c>
      <c r="P97" s="118">
        <f ca="1">P96*Model!O90</f>
        <v>109085.2648602962</v>
      </c>
      <c r="T97" t="s">
        <v>386</v>
      </c>
    </row>
    <row r="98" spans="2:20" x14ac:dyDescent="0.25">
      <c r="B98" t="s">
        <v>347</v>
      </c>
      <c r="I98" s="118"/>
      <c r="J98" s="118"/>
      <c r="K98" s="118"/>
      <c r="L98" s="118">
        <f ca="1">(0.126*Model!K90)/0.874</f>
        <v>520.11680299142324</v>
      </c>
      <c r="M98" s="118">
        <f ca="1">(0.126*M97)/0.874</f>
        <v>15885.78241866086</v>
      </c>
      <c r="N98" s="118">
        <f ca="1">(0.126*N97)/0.874</f>
        <v>13637.751038516937</v>
      </c>
      <c r="O98" s="118">
        <f ca="1">(0.126*O97)/0.874</f>
        <v>14638.957143850806</v>
      </c>
      <c r="P98" s="118">
        <f ca="1">(0.126*P97)/0.874</f>
        <v>15726.250998166272</v>
      </c>
    </row>
    <row r="99" spans="2:20" x14ac:dyDescent="0.25">
      <c r="I99" s="118"/>
      <c r="J99" s="118"/>
      <c r="K99" s="118"/>
      <c r="L99" s="118"/>
      <c r="M99" s="118"/>
      <c r="N99" s="118"/>
      <c r="O99" s="118"/>
      <c r="P99" s="118"/>
    </row>
    <row r="100" spans="2:20" x14ac:dyDescent="0.25">
      <c r="B100" t="s">
        <v>367</v>
      </c>
      <c r="G100" t="s">
        <v>368</v>
      </c>
      <c r="I100" s="118">
        <v>4.2</v>
      </c>
      <c r="J100" s="118">
        <v>4.7</v>
      </c>
      <c r="K100" s="118">
        <v>3.7</v>
      </c>
      <c r="L100" s="118">
        <f>AVERAGE(I100:K100)</f>
        <v>4.2</v>
      </c>
      <c r="M100" s="118">
        <f>AVERAGE(I100:L100)</f>
        <v>4.2</v>
      </c>
      <c r="N100" s="118">
        <f>M100</f>
        <v>4.2</v>
      </c>
      <c r="O100" s="118">
        <f t="shared" ref="O100:P100" si="21">N100</f>
        <v>4.2</v>
      </c>
      <c r="P100" s="118">
        <f t="shared" si="21"/>
        <v>4.2</v>
      </c>
    </row>
    <row r="101" spans="2:20" x14ac:dyDescent="0.25">
      <c r="B101" t="s">
        <v>369</v>
      </c>
      <c r="G101" t="s">
        <v>368</v>
      </c>
      <c r="I101" s="118">
        <v>36.299999999999997</v>
      </c>
      <c r="J101" s="118">
        <v>10</v>
      </c>
      <c r="K101" s="118">
        <v>12.8</v>
      </c>
      <c r="L101" s="118">
        <f>29.8/5</f>
        <v>5.96</v>
      </c>
      <c r="M101" s="118">
        <f t="shared" ref="M101:P101" si="22">29.8/5</f>
        <v>5.96</v>
      </c>
      <c r="N101" s="118">
        <f t="shared" si="22"/>
        <v>5.96</v>
      </c>
      <c r="O101" s="118">
        <f t="shared" si="22"/>
        <v>5.96</v>
      </c>
      <c r="P101" s="118">
        <f t="shared" si="22"/>
        <v>5.96</v>
      </c>
    </row>
    <row r="102" spans="2:20" x14ac:dyDescent="0.25">
      <c r="B102" t="s">
        <v>372</v>
      </c>
      <c r="G102" t="s">
        <v>35</v>
      </c>
      <c r="I102" s="118">
        <v>-463.2</v>
      </c>
      <c r="J102" s="118">
        <v>-778.2</v>
      </c>
      <c r="K102" s="118">
        <f>-428.8</f>
        <v>-428.8</v>
      </c>
      <c r="L102" s="118">
        <f>K102</f>
        <v>-428.8</v>
      </c>
      <c r="M102" s="118">
        <f t="shared" ref="M102:P102" si="23">L102</f>
        <v>-428.8</v>
      </c>
      <c r="N102" s="118">
        <f t="shared" si="23"/>
        <v>-428.8</v>
      </c>
      <c r="O102" s="118">
        <f t="shared" si="23"/>
        <v>-428.8</v>
      </c>
      <c r="P102" s="118">
        <f t="shared" si="23"/>
        <v>-428.8</v>
      </c>
    </row>
    <row r="103" spans="2:20" x14ac:dyDescent="0.25">
      <c r="B103" t="s">
        <v>374</v>
      </c>
      <c r="I103" s="118"/>
      <c r="J103" s="118"/>
      <c r="K103" s="118">
        <f>323.7/1135.5</f>
        <v>0.28507265521796565</v>
      </c>
      <c r="L103" s="118"/>
      <c r="M103" s="118"/>
      <c r="N103" s="118"/>
      <c r="O103" s="118"/>
      <c r="P103" s="118"/>
    </row>
    <row r="105" spans="2:20" x14ac:dyDescent="0.25">
      <c r="B105" s="7" t="s">
        <v>194</v>
      </c>
    </row>
    <row r="106" spans="2:20" x14ac:dyDescent="0.25">
      <c r="B106" t="s">
        <v>466</v>
      </c>
    </row>
  </sheetData>
  <printOptions gridLines="1"/>
  <pageMargins left="0.1" right="0" top="0.5" bottom="0.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77AC-7DF2-4B61-A5E0-7190E2DCA650}">
  <dimension ref="A1:Q31"/>
  <sheetViews>
    <sheetView zoomScale="80" zoomScaleNormal="80" workbookViewId="0">
      <selection activeCell="R25" sqref="R25"/>
    </sheetView>
  </sheetViews>
  <sheetFormatPr defaultRowHeight="15" x14ac:dyDescent="0.25"/>
  <cols>
    <col min="2" max="2" width="2.140625" customWidth="1"/>
    <col min="3" max="3" width="14" customWidth="1"/>
    <col min="7" max="7" width="12.85546875" customWidth="1"/>
  </cols>
  <sheetData>
    <row r="1" spans="1:17" ht="28.5" x14ac:dyDescent="0.45">
      <c r="B1" s="4" t="str">
        <f>Cover!A7</f>
        <v>Starbucks CORP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8.5" x14ac:dyDescent="0.45">
      <c r="A2" s="3"/>
      <c r="B2" s="13" t="s">
        <v>126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4.5" customHeight="1" x14ac:dyDescent="0.25"/>
    <row r="6" spans="1:17" x14ac:dyDescent="0.25">
      <c r="B6" s="7" t="s">
        <v>133</v>
      </c>
      <c r="D6">
        <v>2</v>
      </c>
      <c r="G6" s="15">
        <f>Assumptions!H6</f>
        <v>2025</v>
      </c>
      <c r="H6" s="15">
        <f>G6+1</f>
        <v>2026</v>
      </c>
      <c r="I6" s="15">
        <f t="shared" ref="I6:K6" si="0">H6+1</f>
        <v>2027</v>
      </c>
      <c r="J6" s="15">
        <f t="shared" si="0"/>
        <v>2028</v>
      </c>
      <c r="K6" s="15">
        <f t="shared" si="0"/>
        <v>2029</v>
      </c>
    </row>
    <row r="10" spans="1:17" x14ac:dyDescent="0.25">
      <c r="B10" s="5" t="s">
        <v>126</v>
      </c>
    </row>
    <row r="12" spans="1:17" x14ac:dyDescent="0.25">
      <c r="B12" s="7" t="s">
        <v>128</v>
      </c>
      <c r="G12" s="8">
        <f>CHOOSE($D$6, G14,G15,G16)</f>
        <v>4.0968792660806885E-2</v>
      </c>
      <c r="H12" s="8">
        <f t="shared" ref="H12:K12" si="1">CHOOSE($D$6, H14,H15,H16)</f>
        <v>4.0968792660806885E-2</v>
      </c>
      <c r="I12" s="8">
        <f t="shared" si="1"/>
        <v>4.0968792660806885E-2</v>
      </c>
      <c r="J12" s="8">
        <f t="shared" si="1"/>
        <v>4.0968792660806885E-2</v>
      </c>
      <c r="K12" s="8">
        <f t="shared" si="1"/>
        <v>4.0968792660806885E-2</v>
      </c>
    </row>
    <row r="13" spans="1:17" ht="3.75" customHeight="1" x14ac:dyDescent="0.25"/>
    <row r="14" spans="1:17" x14ac:dyDescent="0.25">
      <c r="C14" t="s">
        <v>7</v>
      </c>
      <c r="G14" s="8">
        <f>G15-1%</f>
        <v>3.0968792660806883E-2</v>
      </c>
      <c r="H14" s="8">
        <f>G14</f>
        <v>3.0968792660806883E-2</v>
      </c>
      <c r="I14" s="8">
        <f t="shared" ref="I14:K14" si="2">H14</f>
        <v>3.0968792660806883E-2</v>
      </c>
      <c r="J14" s="8">
        <f t="shared" si="2"/>
        <v>3.0968792660806883E-2</v>
      </c>
      <c r="K14" s="8">
        <f t="shared" si="2"/>
        <v>3.0968792660806883E-2</v>
      </c>
    </row>
    <row r="15" spans="1:17" x14ac:dyDescent="0.25">
      <c r="C15" t="s">
        <v>6</v>
      </c>
      <c r="G15" s="8">
        <f>Assumptions!Z19</f>
        <v>4.0968792660806885E-2</v>
      </c>
      <c r="H15" s="8">
        <f>G15</f>
        <v>4.0968792660806885E-2</v>
      </c>
      <c r="I15" s="8">
        <f t="shared" ref="I15:K15" si="3">H15</f>
        <v>4.0968792660806885E-2</v>
      </c>
      <c r="J15" s="8">
        <f t="shared" si="3"/>
        <v>4.0968792660806885E-2</v>
      </c>
      <c r="K15" s="8">
        <f t="shared" si="3"/>
        <v>4.0968792660806885E-2</v>
      </c>
    </row>
    <row r="16" spans="1:17" x14ac:dyDescent="0.25">
      <c r="C16" t="s">
        <v>8</v>
      </c>
      <c r="G16" s="8">
        <f>G15 + 1%</f>
        <v>5.0968792660806887E-2</v>
      </c>
      <c r="H16" s="8">
        <f>G16</f>
        <v>5.0968792660806887E-2</v>
      </c>
      <c r="I16" s="8">
        <f t="shared" ref="I16:K16" si="4">H16</f>
        <v>5.0968792660806887E-2</v>
      </c>
      <c r="J16" s="8">
        <f t="shared" si="4"/>
        <v>5.0968792660806887E-2</v>
      </c>
      <c r="K16" s="8">
        <f t="shared" si="4"/>
        <v>5.0968792660806887E-2</v>
      </c>
    </row>
    <row r="18" spans="2:11" x14ac:dyDescent="0.25">
      <c r="B18" s="7" t="s">
        <v>129</v>
      </c>
      <c r="G18" s="8">
        <f>CHOOSE($D$6, G19,G20,G21)</f>
        <v>6.1684220502528753E-2</v>
      </c>
      <c r="H18" s="8">
        <f t="shared" ref="H18:K18" si="5">CHOOSE($D$6, H19,H20,H21)</f>
        <v>4.2120094222058431E-2</v>
      </c>
      <c r="I18" s="8">
        <f t="shared" si="5"/>
        <v>4.2120094222058431E-2</v>
      </c>
      <c r="J18" s="8">
        <f t="shared" si="5"/>
        <v>4.2120094222058431E-2</v>
      </c>
      <c r="K18" s="8">
        <f t="shared" si="5"/>
        <v>4.2120094222058431E-2</v>
      </c>
    </row>
    <row r="19" spans="2:11" x14ac:dyDescent="0.25">
      <c r="C19" t="s">
        <v>7</v>
      </c>
      <c r="G19" s="8">
        <f>G20 - 3%</f>
        <v>3.1684220502528754E-2</v>
      </c>
      <c r="H19" s="8">
        <f>G19</f>
        <v>3.1684220502528754E-2</v>
      </c>
      <c r="I19" s="8">
        <f t="shared" ref="I19:K19" si="6">H19</f>
        <v>3.1684220502528754E-2</v>
      </c>
      <c r="J19" s="8">
        <f t="shared" si="6"/>
        <v>3.1684220502528754E-2</v>
      </c>
      <c r="K19" s="8">
        <f t="shared" si="6"/>
        <v>3.1684220502528754E-2</v>
      </c>
    </row>
    <row r="20" spans="2:11" x14ac:dyDescent="0.25">
      <c r="C20" t="s">
        <v>6</v>
      </c>
      <c r="G20" s="8">
        <f>Assumptions!Z20</f>
        <v>6.1684220502528753E-2</v>
      </c>
      <c r="H20" s="8">
        <f>G20/G30*H30</f>
        <v>4.2120094222058431E-2</v>
      </c>
      <c r="I20" s="8">
        <f t="shared" ref="I20:K20" si="7">H20</f>
        <v>4.2120094222058431E-2</v>
      </c>
      <c r="J20" s="8">
        <f t="shared" si="7"/>
        <v>4.2120094222058431E-2</v>
      </c>
      <c r="K20" s="8">
        <f t="shared" si="7"/>
        <v>4.2120094222058431E-2</v>
      </c>
    </row>
    <row r="21" spans="2:11" x14ac:dyDescent="0.25">
      <c r="C21" t="s">
        <v>8</v>
      </c>
      <c r="G21" s="8">
        <f>G20+3%</f>
        <v>9.1684220502528752E-2</v>
      </c>
      <c r="H21" s="8">
        <v>6.1699999999999998E-2</v>
      </c>
      <c r="I21" s="8">
        <f t="shared" ref="I21:K21" si="8">H21</f>
        <v>6.1699999999999998E-2</v>
      </c>
      <c r="J21" s="8">
        <f t="shared" si="8"/>
        <v>6.1699999999999998E-2</v>
      </c>
      <c r="K21" s="8">
        <f t="shared" si="8"/>
        <v>6.1699999999999998E-2</v>
      </c>
    </row>
    <row r="23" spans="2:11" x14ac:dyDescent="0.25">
      <c r="B23" s="7" t="s">
        <v>132</v>
      </c>
      <c r="G23" s="8">
        <f>CHOOSE($D$6,G24,G25,G26)</f>
        <v>5.33E-2</v>
      </c>
      <c r="H23" s="8">
        <f t="shared" ref="H23" si="9">CHOOSE($D$6,H24,H25,H26)</f>
        <v>5.33E-2</v>
      </c>
      <c r="I23" s="8">
        <f t="shared" ref="I23" si="10">CHOOSE($D$6,I24,I25,I26)</f>
        <v>5.33E-2</v>
      </c>
      <c r="J23" s="8">
        <f t="shared" ref="J23" si="11">CHOOSE($D$6,J24,J25,J26)</f>
        <v>5.33E-2</v>
      </c>
      <c r="K23" s="8">
        <f t="shared" ref="K23" si="12">CHOOSE($D$6,K24,K25,K26)</f>
        <v>5.33E-2</v>
      </c>
    </row>
    <row r="24" spans="2:11" x14ac:dyDescent="0.25">
      <c r="C24" t="s">
        <v>7</v>
      </c>
      <c r="G24" s="8">
        <f>Assumptions!$D$18+Assumptions!$D$22</f>
        <v>0.08</v>
      </c>
      <c r="H24" s="8">
        <f>Assumptions!$D$18+Assumptions!$D$22</f>
        <v>0.08</v>
      </c>
      <c r="I24" s="8">
        <f>Assumptions!$D$18+Assumptions!$D$22</f>
        <v>0.08</v>
      </c>
      <c r="J24" s="8">
        <f>Assumptions!$D$18+Assumptions!$D$22</f>
        <v>0.08</v>
      </c>
      <c r="K24" s="8">
        <f>Assumptions!$D$18+Assumptions!$D$22</f>
        <v>0.08</v>
      </c>
    </row>
    <row r="25" spans="2:11" x14ac:dyDescent="0.25">
      <c r="C25" t="s">
        <v>6</v>
      </c>
      <c r="G25" s="8">
        <f>Assumptions!$D$21 + Assumptions!$D$17</f>
        <v>5.33E-2</v>
      </c>
      <c r="H25" s="8">
        <f>Assumptions!$D$21 + Assumptions!$D$17</f>
        <v>5.33E-2</v>
      </c>
      <c r="I25" s="8">
        <f>Assumptions!$D$21 + Assumptions!$D$17</f>
        <v>5.33E-2</v>
      </c>
      <c r="J25" s="8">
        <f>Assumptions!$D$21 + Assumptions!$D$17</f>
        <v>5.33E-2</v>
      </c>
      <c r="K25" s="8">
        <f>Assumptions!$D$21 + Assumptions!$D$17</f>
        <v>5.33E-2</v>
      </c>
    </row>
    <row r="26" spans="2:11" x14ac:dyDescent="0.25">
      <c r="C26" t="s">
        <v>8</v>
      </c>
      <c r="G26" s="8">
        <f>Assumptions!$D$19 + Assumptions!$D$23</f>
        <v>0</v>
      </c>
      <c r="H26" s="8">
        <f>Assumptions!$D$19 + Assumptions!$D$23</f>
        <v>0</v>
      </c>
      <c r="I26" s="8">
        <f>Assumptions!$D$19 + Assumptions!$D$23</f>
        <v>0</v>
      </c>
      <c r="J26" s="8">
        <f>Assumptions!$D$19 + Assumptions!$D$23</f>
        <v>0</v>
      </c>
      <c r="K26" s="8">
        <f>Assumptions!$D$19 + Assumptions!$D$23</f>
        <v>0</v>
      </c>
    </row>
    <row r="28" spans="2:11" x14ac:dyDescent="0.25">
      <c r="B28" s="7" t="s">
        <v>139</v>
      </c>
      <c r="G28" s="8">
        <f xml:space="preserve"> CHOOSE($D$6,G29,G30,G31)</f>
        <v>7.7910569559361154E-2</v>
      </c>
      <c r="H28" s="8">
        <f t="shared" ref="H28:K28" si="13" xml:space="preserve"> CHOOSE($D$6,H29,H30,H31)</f>
        <v>5.3199999999999997E-2</v>
      </c>
      <c r="I28" s="8">
        <f t="shared" si="13"/>
        <v>5.3199999999999997E-2</v>
      </c>
      <c r="J28" s="8">
        <f t="shared" si="13"/>
        <v>5.3199999999999997E-2</v>
      </c>
      <c r="K28" s="8">
        <f t="shared" si="13"/>
        <v>5.3199999999999997E-2</v>
      </c>
    </row>
    <row r="29" spans="2:11" x14ac:dyDescent="0.25">
      <c r="C29" t="s">
        <v>7</v>
      </c>
      <c r="G29" s="8">
        <f>Assumptions!$D$26</f>
        <v>0.08</v>
      </c>
      <c r="H29" s="8">
        <v>7.7899999999999997E-2</v>
      </c>
      <c r="I29" s="8">
        <f>H29</f>
        <v>7.7899999999999997E-2</v>
      </c>
      <c r="J29" s="8">
        <f t="shared" ref="J29:K29" si="14">I29</f>
        <v>7.7899999999999997E-2</v>
      </c>
      <c r="K29" s="8">
        <f t="shared" si="14"/>
        <v>7.7899999999999997E-2</v>
      </c>
    </row>
    <row r="30" spans="2:11" x14ac:dyDescent="0.25">
      <c r="C30" t="s">
        <v>6</v>
      </c>
      <c r="G30" s="8">
        <f>Assumptions!$D$25</f>
        <v>7.7910569559361154E-2</v>
      </c>
      <c r="H30" s="8">
        <v>5.3199999999999997E-2</v>
      </c>
      <c r="I30" s="8">
        <v>5.3199999999999997E-2</v>
      </c>
      <c r="J30" s="8">
        <v>5.3199999999999997E-2</v>
      </c>
      <c r="K30" s="8">
        <v>5.3199999999999997E-2</v>
      </c>
    </row>
    <row r="31" spans="2:11" x14ac:dyDescent="0.25">
      <c r="C31" t="s">
        <v>8</v>
      </c>
      <c r="G31" s="8">
        <v>5.3199999999999997E-2</v>
      </c>
      <c r="H31" s="8">
        <f>Assumptions!$D$27</f>
        <v>0.03</v>
      </c>
      <c r="I31" s="8">
        <f>Assumptions!$D$27</f>
        <v>0.03</v>
      </c>
      <c r="J31" s="8">
        <f>Assumptions!$D$27</f>
        <v>0.03</v>
      </c>
      <c r="K31" s="8">
        <f>Assumptions!$D$27</f>
        <v>0.03</v>
      </c>
    </row>
  </sheetData>
  <printOptions gridLines="1"/>
  <pageMargins left="0.2" right="0.25" top="0.5" bottom="0.5" header="0.3" footer="0.3"/>
  <pageSetup scale="7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2</xdr:col>
                    <xdr:colOff>923925</xdr:colOff>
                    <xdr:row>5</xdr:row>
                    <xdr:rowOff>19050</xdr:rowOff>
                  </from>
                  <to>
                    <xdr:col>4</xdr:col>
                    <xdr:colOff>19050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D2CE-0854-47EC-8386-3DD16C0647CB}">
  <dimension ref="A1:V411"/>
  <sheetViews>
    <sheetView topLeftCell="A59" zoomScale="90" zoomScaleNormal="90" workbookViewId="0">
      <selection activeCell="L90" sqref="L90"/>
    </sheetView>
  </sheetViews>
  <sheetFormatPr defaultRowHeight="15" x14ac:dyDescent="0.25"/>
  <cols>
    <col min="1" max="1" width="6" customWidth="1"/>
    <col min="2" max="2" width="1.85546875" customWidth="1"/>
    <col min="5" max="5" width="26.85546875" customWidth="1"/>
    <col min="7" max="7" width="11" customWidth="1"/>
    <col min="8" max="8" width="12.28515625" customWidth="1"/>
    <col min="9" max="9" width="10.85546875" customWidth="1"/>
    <col min="10" max="10" width="19.85546875" customWidth="1"/>
    <col min="11" max="11" width="14.5703125" customWidth="1"/>
    <col min="12" max="12" width="14.28515625" customWidth="1"/>
    <col min="13" max="13" width="14" customWidth="1"/>
    <col min="14" max="14" width="13.7109375" customWidth="1"/>
    <col min="15" max="15" width="16" customWidth="1"/>
    <col min="17" max="17" width="10.5703125" customWidth="1"/>
  </cols>
  <sheetData>
    <row r="1" spans="1:18" x14ac:dyDescent="0.25">
      <c r="O1" s="17" t="str">
        <f>UPPER("currently running: " &amp;CHOOSE(Scenarios!$D$6, Scenarios!$C$19, Scenarios!$C$20, Scenarios!$C$21)&amp;" scenario")</f>
        <v>CURRENTLY RUNNING: BASE CASE SCENARIO</v>
      </c>
    </row>
    <row r="2" spans="1:18" ht="28.5" x14ac:dyDescent="0.45">
      <c r="B2" s="4" t="str">
        <f>Cover!$A$7</f>
        <v>Starbucks CORP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8" ht="28.5" x14ac:dyDescent="0.45">
      <c r="A3" s="21"/>
      <c r="B3" s="13" t="s">
        <v>134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8" ht="3" customHeight="1" x14ac:dyDescent="0.25"/>
    <row r="6" spans="1:18" x14ac:dyDescent="0.25">
      <c r="K6" s="18" t="s">
        <v>135</v>
      </c>
      <c r="L6" s="18"/>
      <c r="M6" s="18"/>
      <c r="N6" s="18"/>
      <c r="O6" s="18"/>
    </row>
    <row r="7" spans="1:18" x14ac:dyDescent="0.25">
      <c r="H7">
        <f>I7-1</f>
        <v>2022</v>
      </c>
      <c r="I7">
        <f>J7-1</f>
        <v>2023</v>
      </c>
      <c r="J7">
        <f>K7-1</f>
        <v>2024</v>
      </c>
      <c r="K7">
        <f>Assumptions!$H$6</f>
        <v>2025</v>
      </c>
      <c r="L7">
        <f>K7+1</f>
        <v>2026</v>
      </c>
      <c r="M7">
        <f>L7+1</f>
        <v>2027</v>
      </c>
      <c r="N7">
        <f t="shared" ref="N7:O7" si="0">M7+1</f>
        <v>2028</v>
      </c>
      <c r="O7">
        <f t="shared" si="0"/>
        <v>2029</v>
      </c>
    </row>
    <row r="9" spans="1:18" x14ac:dyDescent="0.25">
      <c r="B9" s="5" t="s">
        <v>142</v>
      </c>
      <c r="K9" s="8"/>
      <c r="L9" s="8"/>
      <c r="M9" s="8"/>
      <c r="N9" s="8"/>
      <c r="O9" s="8"/>
    </row>
    <row r="10" spans="1:18" x14ac:dyDescent="0.25">
      <c r="C10" t="s">
        <v>156</v>
      </c>
      <c r="F10" t="s">
        <v>145</v>
      </c>
      <c r="K10" s="8">
        <f>Scenarios!$G$23</f>
        <v>5.33E-2</v>
      </c>
      <c r="L10" s="8">
        <f>Scenarios!$H$23</f>
        <v>5.33E-2</v>
      </c>
      <c r="M10" s="8">
        <f>Scenarios!$I$23</f>
        <v>5.33E-2</v>
      </c>
      <c r="N10" s="8">
        <f>Scenarios!$J$23</f>
        <v>5.33E-2</v>
      </c>
      <c r="O10" s="8">
        <f>Scenarios!$K$23</f>
        <v>5.33E-2</v>
      </c>
    </row>
    <row r="11" spans="1:18" x14ac:dyDescent="0.25">
      <c r="C11" t="s">
        <v>140</v>
      </c>
      <c r="F11" t="s">
        <v>35</v>
      </c>
      <c r="H11" s="9">
        <v>26072.1</v>
      </c>
      <c r="I11" s="9">
        <v>28817.3</v>
      </c>
      <c r="J11" s="9">
        <v>28800.9</v>
      </c>
      <c r="K11" s="9">
        <f>J11*(1+K10)</f>
        <v>30335.987969999998</v>
      </c>
      <c r="L11" s="9">
        <f t="shared" ref="L11:N11" si="1">K11*(1+L10)</f>
        <v>31952.896128800996</v>
      </c>
      <c r="M11" s="9">
        <f>L11*(1+M10)</f>
        <v>33655.985492466083</v>
      </c>
      <c r="N11" s="9">
        <f t="shared" si="1"/>
        <v>35449.84951921452</v>
      </c>
      <c r="O11" s="9">
        <f>N11*(1+O10)</f>
        <v>37339.326498588649</v>
      </c>
      <c r="R11" s="10"/>
    </row>
    <row r="12" spans="1:18" ht="3.75" customHeight="1" x14ac:dyDescent="0.25">
      <c r="H12" s="9"/>
      <c r="I12" s="9"/>
      <c r="J12" s="9"/>
      <c r="K12" s="9"/>
      <c r="L12" s="9"/>
      <c r="M12" s="9"/>
      <c r="N12" s="9"/>
      <c r="O12" s="9"/>
      <c r="R12" s="10"/>
    </row>
    <row r="13" spans="1:18" x14ac:dyDescent="0.25">
      <c r="C13" t="s">
        <v>25</v>
      </c>
      <c r="F13" t="s">
        <v>35</v>
      </c>
      <c r="H13" s="9">
        <f>Assumptions!I89</f>
        <v>0.8928571428571429</v>
      </c>
      <c r="I13" s="9">
        <f>Assumptions!J89</f>
        <v>0.89619118745332338</v>
      </c>
      <c r="J13" s="9">
        <f>Assumptions!K89</f>
        <v>0.84151472650771386</v>
      </c>
      <c r="K13" s="9">
        <f>Assumptions!L89</f>
        <v>0.84151472650771386</v>
      </c>
      <c r="L13" s="9">
        <f>Assumptions!M89</f>
        <v>0.84151472650771386</v>
      </c>
      <c r="M13" s="9">
        <f>Assumptions!N89</f>
        <v>0.84151472650771386</v>
      </c>
      <c r="N13" s="9">
        <f>Assumptions!O89</f>
        <v>0.84151472650771386</v>
      </c>
      <c r="O13" s="9">
        <f>Assumptions!P89</f>
        <v>0.84151472650771386</v>
      </c>
    </row>
    <row r="14" spans="1:18" x14ac:dyDescent="0.25">
      <c r="C14" t="s">
        <v>144</v>
      </c>
      <c r="F14" t="s">
        <v>145</v>
      </c>
      <c r="H14" s="8"/>
      <c r="K14" s="8">
        <f>Scenarios!G28</f>
        <v>7.7910569559361154E-2</v>
      </c>
      <c r="L14" s="8">
        <f>Scenarios!H28</f>
        <v>5.3199999999999997E-2</v>
      </c>
      <c r="M14" s="8">
        <f>Scenarios!I28</f>
        <v>5.3199999999999997E-2</v>
      </c>
      <c r="N14" s="8">
        <f>Scenarios!J28</f>
        <v>5.3199999999999997E-2</v>
      </c>
      <c r="O14" s="8">
        <f>Scenarios!K28</f>
        <v>5.3199999999999997E-2</v>
      </c>
    </row>
    <row r="15" spans="1:18" x14ac:dyDescent="0.25">
      <c r="C15" t="s">
        <v>379</v>
      </c>
      <c r="H15" s="9">
        <f>I15-H16</f>
        <v>17133</v>
      </c>
      <c r="I15" s="9">
        <f>J15-I16</f>
        <v>18253</v>
      </c>
      <c r="J15" s="9">
        <f>K15-J16</f>
        <v>19592</v>
      </c>
      <c r="K15" s="9">
        <v>21018</v>
      </c>
      <c r="L15" s="9">
        <f>K15+K16</f>
        <v>22655.524350998654</v>
      </c>
      <c r="M15" s="9">
        <f>L15+L16</f>
        <v>23860.798246471782</v>
      </c>
      <c r="N15" s="9">
        <f>M15+M16</f>
        <v>25130.192713184082</v>
      </c>
      <c r="O15" s="9">
        <f t="shared" ref="O15" si="2">N15+N16</f>
        <v>26467.118965525475</v>
      </c>
    </row>
    <row r="16" spans="1:18" x14ac:dyDescent="0.25">
      <c r="C16" t="s">
        <v>146</v>
      </c>
      <c r="H16" s="19">
        <v>1120</v>
      </c>
      <c r="I16" s="19">
        <v>1339</v>
      </c>
      <c r="J16" s="19">
        <v>1426</v>
      </c>
      <c r="K16" s="19">
        <f>K15*(K14)</f>
        <v>1637.5243509986528</v>
      </c>
      <c r="L16" s="19">
        <f t="shared" ref="L16:O16" si="3">L15*(L14)</f>
        <v>1205.2738954731283</v>
      </c>
      <c r="M16" s="19">
        <f t="shared" si="3"/>
        <v>1269.3944667122987</v>
      </c>
      <c r="N16" s="19">
        <f>N15*(N14)</f>
        <v>1336.9262523413931</v>
      </c>
      <c r="O16" s="19">
        <f t="shared" si="3"/>
        <v>1408.0507289659552</v>
      </c>
    </row>
    <row r="17" spans="2:15" x14ac:dyDescent="0.25">
      <c r="C17" t="s">
        <v>149</v>
      </c>
      <c r="H17" s="19">
        <f>H13*H16</f>
        <v>1000</v>
      </c>
      <c r="I17" s="19">
        <f t="shared" ref="I17:O17" si="4">I13*I16</f>
        <v>1200</v>
      </c>
      <c r="J17" s="19">
        <f t="shared" si="4"/>
        <v>1200</v>
      </c>
      <c r="K17" s="19">
        <f>K13*K16</f>
        <v>1378.0008563803531</v>
      </c>
      <c r="L17" s="19">
        <f t="shared" si="4"/>
        <v>1014.2557325159564</v>
      </c>
      <c r="M17" s="19">
        <f t="shared" si="4"/>
        <v>1068.2141374858054</v>
      </c>
      <c r="N17" s="19">
        <f t="shared" si="4"/>
        <v>1125.0431296000504</v>
      </c>
      <c r="O17" s="19">
        <f t="shared" si="4"/>
        <v>1184.8954240947728</v>
      </c>
    </row>
    <row r="18" spans="2:15" ht="3" customHeight="1" x14ac:dyDescent="0.25">
      <c r="H18" s="19"/>
      <c r="I18" s="19"/>
      <c r="J18" s="19"/>
      <c r="K18" s="19"/>
      <c r="L18" s="19"/>
      <c r="M18" s="19"/>
      <c r="N18" s="19"/>
      <c r="O18" s="19"/>
    </row>
    <row r="19" spans="2:15" x14ac:dyDescent="0.25">
      <c r="C19" t="s">
        <v>141</v>
      </c>
      <c r="F19" t="s">
        <v>35</v>
      </c>
      <c r="H19" s="20">
        <v>-496</v>
      </c>
      <c r="I19" s="20">
        <v>-555</v>
      </c>
      <c r="J19" s="20">
        <v>-235</v>
      </c>
      <c r="K19" s="20">
        <f>J19</f>
        <v>-235</v>
      </c>
      <c r="L19" s="20">
        <f t="shared" ref="L19:O19" si="5">K19</f>
        <v>-235</v>
      </c>
      <c r="M19" s="20">
        <f>L19</f>
        <v>-235</v>
      </c>
      <c r="N19" s="20">
        <f t="shared" si="5"/>
        <v>-235</v>
      </c>
      <c r="O19" s="20">
        <f t="shared" si="5"/>
        <v>-235</v>
      </c>
    </row>
    <row r="20" spans="2:15" x14ac:dyDescent="0.25">
      <c r="C20" t="s">
        <v>143</v>
      </c>
      <c r="F20" t="s">
        <v>35</v>
      </c>
      <c r="H20">
        <v>26576.1</v>
      </c>
      <c r="I20">
        <v>29462.3</v>
      </c>
      <c r="J20">
        <v>29765.9</v>
      </c>
      <c r="K20" s="9">
        <f>K11+K17+K19</f>
        <v>31478.988826380351</v>
      </c>
      <c r="L20" s="9">
        <f>L11+L17+L19</f>
        <v>32732.151861316954</v>
      </c>
      <c r="M20" s="9">
        <f>M11+M17+M19</f>
        <v>34489.199629951887</v>
      </c>
      <c r="N20" s="9">
        <f>N11+N17+N19</f>
        <v>36339.892648814573</v>
      </c>
      <c r="O20" s="9">
        <f>O11+O17+O19</f>
        <v>38289.22192268342</v>
      </c>
    </row>
    <row r="21" spans="2:15" ht="2.25" customHeight="1" x14ac:dyDescent="0.25">
      <c r="B21" s="5"/>
    </row>
    <row r="22" spans="2:15" x14ac:dyDescent="0.25">
      <c r="B22" s="5" t="s">
        <v>150</v>
      </c>
    </row>
    <row r="23" spans="2:15" x14ac:dyDescent="0.25">
      <c r="C23" t="s">
        <v>152</v>
      </c>
      <c r="F23" t="s">
        <v>35</v>
      </c>
      <c r="H23">
        <v>3655.5</v>
      </c>
      <c r="I23">
        <v>4512.7</v>
      </c>
      <c r="J23">
        <v>4505.1000000000004</v>
      </c>
      <c r="K23" s="9">
        <f>K$20*0.14</f>
        <v>4407.0584356932495</v>
      </c>
      <c r="L23" s="9">
        <f t="shared" ref="L23:O23" si="6">L$20*0.14</f>
        <v>4582.501260584374</v>
      </c>
      <c r="M23" s="9">
        <f t="shared" si="6"/>
        <v>4828.4879481932649</v>
      </c>
      <c r="N23" s="9">
        <f t="shared" si="6"/>
        <v>5087.5849708340411</v>
      </c>
      <c r="O23" s="9">
        <f t="shared" si="6"/>
        <v>5360.4910691756795</v>
      </c>
    </row>
    <row r="24" spans="2:15" x14ac:dyDescent="0.25">
      <c r="B24" s="5" t="s">
        <v>110</v>
      </c>
    </row>
    <row r="25" spans="2:15" x14ac:dyDescent="0.25">
      <c r="C25" t="s">
        <v>154</v>
      </c>
      <c r="F25" t="s">
        <v>35</v>
      </c>
      <c r="H25" s="3">
        <v>2018.7</v>
      </c>
      <c r="I25" s="3">
        <v>2000.6</v>
      </c>
      <c r="J25" s="3">
        <v>1905.2</v>
      </c>
      <c r="K25" s="3">
        <f>J25</f>
        <v>1905.2</v>
      </c>
      <c r="L25" s="3">
        <f t="shared" ref="L25:O25" si="7">K25</f>
        <v>1905.2</v>
      </c>
      <c r="M25" s="3">
        <f>L25</f>
        <v>1905.2</v>
      </c>
      <c r="N25" s="3">
        <f t="shared" si="7"/>
        <v>1905.2</v>
      </c>
      <c r="O25" s="3">
        <f t="shared" si="7"/>
        <v>1905.2</v>
      </c>
    </row>
    <row r="26" spans="2:15" x14ac:dyDescent="0.25">
      <c r="B26" s="5" t="s">
        <v>155</v>
      </c>
      <c r="F26" t="s">
        <v>35</v>
      </c>
      <c r="H26" s="9">
        <f>H$20+H$23+H$25</f>
        <v>32250.3</v>
      </c>
      <c r="I26" s="9">
        <f t="shared" ref="I26:O26" si="8">I$20+I$23+I$25</f>
        <v>35975.599999999999</v>
      </c>
      <c r="J26" s="9">
        <f t="shared" si="8"/>
        <v>36176.199999999997</v>
      </c>
      <c r="K26" s="9">
        <f t="shared" si="8"/>
        <v>37791.247262073601</v>
      </c>
      <c r="L26" s="9">
        <f t="shared" si="8"/>
        <v>39219.853121901324</v>
      </c>
      <c r="M26" s="9">
        <f t="shared" si="8"/>
        <v>41222.88757814515</v>
      </c>
      <c r="N26" s="9">
        <f t="shared" si="8"/>
        <v>43332.67761964861</v>
      </c>
      <c r="O26" s="9">
        <f t="shared" si="8"/>
        <v>45554.912991859099</v>
      </c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15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1" spans="2:15" x14ac:dyDescent="0.25">
      <c r="O31" s="17" t="str">
        <f>UPPER("currently running: " &amp;CHOOSE(Scenarios!$D$6, Scenarios!$C$19, Scenarios!$C$20, Scenarios!$C$21)&amp;" scenario")</f>
        <v>CURRENTLY RUNNING: BASE CASE SCENARIO</v>
      </c>
    </row>
    <row r="32" spans="2:15" ht="28.5" x14ac:dyDescent="0.45">
      <c r="B32" s="4" t="str">
        <f>Cover!$A$7</f>
        <v>Starbucks CORP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8.5" x14ac:dyDescent="0.45">
      <c r="A33" s="21"/>
      <c r="B33" s="13" t="s">
        <v>172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6" spans="1:15" x14ac:dyDescent="0.25">
      <c r="K36" s="18" t="s">
        <v>135</v>
      </c>
      <c r="L36" s="18"/>
      <c r="M36" s="18"/>
      <c r="N36" s="18"/>
      <c r="O36" s="18"/>
    </row>
    <row r="37" spans="1:15" x14ac:dyDescent="0.25">
      <c r="H37">
        <f>I37-1</f>
        <v>2022</v>
      </c>
      <c r="I37">
        <f>J37-1</f>
        <v>2023</v>
      </c>
      <c r="J37">
        <f>K37-1</f>
        <v>2024</v>
      </c>
      <c r="K37">
        <f>Assumptions!$H$6</f>
        <v>2025</v>
      </c>
      <c r="L37">
        <f>K37+1</f>
        <v>2026</v>
      </c>
      <c r="M37">
        <f>L37+1</f>
        <v>2027</v>
      </c>
      <c r="N37">
        <f t="shared" ref="N37:O37" si="9">M37+1</f>
        <v>2028</v>
      </c>
      <c r="O37">
        <f t="shared" si="9"/>
        <v>2029</v>
      </c>
    </row>
    <row r="39" spans="1:15" x14ac:dyDescent="0.25">
      <c r="B39" s="5" t="s">
        <v>158</v>
      </c>
      <c r="C39" s="5"/>
    </row>
    <row r="40" spans="1:15" x14ac:dyDescent="0.25">
      <c r="C40" t="s">
        <v>159</v>
      </c>
      <c r="F40" t="s">
        <v>145</v>
      </c>
      <c r="K40" s="8">
        <f>Scenarios!G12</f>
        <v>4.0968792660806885E-2</v>
      </c>
      <c r="L40" s="8">
        <f>Scenarios!H12</f>
        <v>4.0968792660806885E-2</v>
      </c>
      <c r="M40" s="8">
        <f>Scenarios!I12</f>
        <v>4.0968792660806885E-2</v>
      </c>
      <c r="N40" s="8">
        <f>Scenarios!J12</f>
        <v>4.0968792660806885E-2</v>
      </c>
      <c r="O40" s="8">
        <f>Scenarios!K12</f>
        <v>4.0968792660806885E-2</v>
      </c>
    </row>
    <row r="41" spans="1:15" x14ac:dyDescent="0.25">
      <c r="C41" t="s">
        <v>160</v>
      </c>
      <c r="F41" t="s">
        <v>35</v>
      </c>
      <c r="H41">
        <v>10317.4</v>
      </c>
      <c r="I41">
        <v>11409.1</v>
      </c>
      <c r="J41">
        <v>11180.6</v>
      </c>
      <c r="K41" s="9">
        <f>J41*(1+K40)</f>
        <v>11638.655683223418</v>
      </c>
      <c r="L41" s="9">
        <f t="shared" ref="L41:O41" si="10">K41*(1+L40)</f>
        <v>12115.47735475992</v>
      </c>
      <c r="M41" s="9">
        <f>L41*(1+M40)</f>
        <v>12611.83383449378</v>
      </c>
      <c r="N41" s="9">
        <f t="shared" si="10"/>
        <v>13128.525439931705</v>
      </c>
      <c r="O41" s="9">
        <f t="shared" si="10"/>
        <v>13666.385276622395</v>
      </c>
    </row>
    <row r="42" spans="1:15" ht="3.75" customHeight="1" x14ac:dyDescent="0.25">
      <c r="K42" s="9"/>
      <c r="L42" s="9"/>
      <c r="M42" s="9"/>
      <c r="N42" s="9"/>
      <c r="O42" s="9"/>
    </row>
    <row r="43" spans="1:15" x14ac:dyDescent="0.25">
      <c r="B43" s="5" t="s">
        <v>162</v>
      </c>
    </row>
    <row r="44" spans="1:15" x14ac:dyDescent="0.25">
      <c r="C44" t="s">
        <v>163</v>
      </c>
      <c r="F44" t="s">
        <v>145</v>
      </c>
      <c r="H44" s="8"/>
      <c r="K44" s="8">
        <f>Scenarios!G18</f>
        <v>6.1684220502528753E-2</v>
      </c>
      <c r="L44" s="8">
        <f>Scenarios!H18</f>
        <v>4.2120094222058431E-2</v>
      </c>
      <c r="M44" s="8">
        <f>Scenarios!I18</f>
        <v>4.2120094222058431E-2</v>
      </c>
      <c r="N44" s="8">
        <f>Scenarios!J18</f>
        <v>4.2120094222058431E-2</v>
      </c>
      <c r="O44" s="8">
        <f>Scenarios!K18</f>
        <v>4.2120094222058431E-2</v>
      </c>
    </row>
    <row r="45" spans="1:15" x14ac:dyDescent="0.25">
      <c r="C45" t="s">
        <v>164</v>
      </c>
      <c r="F45" t="s">
        <v>35</v>
      </c>
      <c r="H45">
        <v>13561.8</v>
      </c>
      <c r="I45">
        <v>14720.3</v>
      </c>
      <c r="J45">
        <v>15286.5</v>
      </c>
      <c r="K45" s="9">
        <f>J45*(1+K44)</f>
        <v>16229.435836711906</v>
      </c>
      <c r="L45" s="9">
        <f t="shared" ref="L45:O45" si="11">K45*(1+L44)</f>
        <v>16913.021203325065</v>
      </c>
      <c r="M45" s="9">
        <f>L45*(1+M44)</f>
        <v>17625.39924998879</v>
      </c>
      <c r="N45" s="9">
        <f t="shared" si="11"/>
        <v>18367.782727099719</v>
      </c>
      <c r="O45" s="9">
        <f t="shared" si="11"/>
        <v>19141.435466215458</v>
      </c>
    </row>
    <row r="46" spans="1:15" ht="3.75" customHeight="1" x14ac:dyDescent="0.25">
      <c r="K46" s="9"/>
      <c r="L46" s="9"/>
      <c r="M46" s="9"/>
      <c r="N46" s="9"/>
      <c r="O46" s="9"/>
    </row>
    <row r="47" spans="1:15" x14ac:dyDescent="0.25">
      <c r="B47" s="5" t="s">
        <v>166</v>
      </c>
    </row>
    <row r="48" spans="1:15" x14ac:dyDescent="0.25">
      <c r="C48" t="s">
        <v>167</v>
      </c>
      <c r="F48" t="s">
        <v>145</v>
      </c>
      <c r="K48" s="8">
        <f>Scenarios!G18</f>
        <v>6.1684220502528753E-2</v>
      </c>
      <c r="L48" s="8">
        <f>Scenarios!H18</f>
        <v>4.2120094222058431E-2</v>
      </c>
      <c r="M48" s="8">
        <f>Scenarios!I18</f>
        <v>4.2120094222058431E-2</v>
      </c>
      <c r="N48" s="8">
        <f>Scenarios!J18</f>
        <v>4.2120094222058431E-2</v>
      </c>
      <c r="O48" s="8">
        <f>Scenarios!K18</f>
        <v>4.2120094222058431E-2</v>
      </c>
    </row>
    <row r="49" spans="1:15" x14ac:dyDescent="0.25">
      <c r="C49" t="s">
        <v>169</v>
      </c>
      <c r="F49" t="s">
        <v>35</v>
      </c>
      <c r="H49">
        <v>461.5</v>
      </c>
      <c r="I49">
        <v>539.4</v>
      </c>
      <c r="J49">
        <v>565.6</v>
      </c>
      <c r="K49" s="9">
        <f>J49*(1+K48)</f>
        <v>600.48859511623027</v>
      </c>
      <c r="L49" s="9">
        <f t="shared" ref="L49:O49" si="12">K49*(1+L48)</f>
        <v>625.78123132179746</v>
      </c>
      <c r="M49" s="9">
        <f>L49*(1+M48)</f>
        <v>652.1391957474674</v>
      </c>
      <c r="N49" s="9">
        <f t="shared" si="12"/>
        <v>679.60736011824815</v>
      </c>
      <c r="O49" s="9">
        <f t="shared" si="12"/>
        <v>708.23248616043327</v>
      </c>
    </row>
    <row r="50" spans="1:15" ht="3" customHeight="1" x14ac:dyDescent="0.25">
      <c r="K50" s="9"/>
      <c r="L50" s="9"/>
      <c r="M50" s="9"/>
      <c r="N50" s="9"/>
      <c r="O50" s="9"/>
    </row>
    <row r="51" spans="1:15" x14ac:dyDescent="0.25">
      <c r="B51" s="5" t="s">
        <v>202</v>
      </c>
    </row>
    <row r="52" spans="1:15" x14ac:dyDescent="0.25">
      <c r="C52" t="s">
        <v>203</v>
      </c>
      <c r="F52" t="s">
        <v>145</v>
      </c>
      <c r="H52" s="8"/>
      <c r="I52" s="8"/>
      <c r="J52" s="8"/>
      <c r="K52" s="8">
        <v>7.0000000000000007E-2</v>
      </c>
      <c r="L52" s="8">
        <f>K52</f>
        <v>7.0000000000000007E-2</v>
      </c>
      <c r="M52" s="8">
        <f t="shared" ref="M52:O52" si="13">L52</f>
        <v>7.0000000000000007E-2</v>
      </c>
      <c r="N52" s="8">
        <f t="shared" si="13"/>
        <v>7.0000000000000007E-2</v>
      </c>
      <c r="O52" s="8">
        <f t="shared" si="13"/>
        <v>7.0000000000000007E-2</v>
      </c>
    </row>
    <row r="53" spans="1:15" x14ac:dyDescent="0.25">
      <c r="C53" t="s">
        <v>204</v>
      </c>
      <c r="F53" t="s">
        <v>35</v>
      </c>
      <c r="H53">
        <f>Assumptions!W$24</f>
        <v>2032</v>
      </c>
      <c r="I53">
        <f>Assumptions!X$24</f>
        <v>2441.3000000000002</v>
      </c>
      <c r="J53">
        <f>Assumptions!Y$24</f>
        <v>2523.3000000000002</v>
      </c>
      <c r="K53" s="9">
        <f>J53*(1+K52)</f>
        <v>2699.9310000000005</v>
      </c>
      <c r="L53" s="9">
        <f t="shared" ref="L53:O53" si="14">K53*(1+L52)</f>
        <v>2888.9261700000006</v>
      </c>
      <c r="M53" s="9">
        <f>L53*(1+M52)</f>
        <v>3091.1510019000007</v>
      </c>
      <c r="N53" s="9">
        <f t="shared" si="14"/>
        <v>3307.5315720330009</v>
      </c>
      <c r="O53" s="9">
        <f t="shared" si="14"/>
        <v>3539.0587820753112</v>
      </c>
    </row>
    <row r="54" spans="1:15" ht="4.5" customHeight="1" x14ac:dyDescent="0.25">
      <c r="K54" s="9"/>
      <c r="L54" s="9"/>
      <c r="M54" s="9"/>
      <c r="N54" s="9"/>
      <c r="O54" s="9"/>
    </row>
    <row r="55" spans="1:15" x14ac:dyDescent="0.25">
      <c r="B55" s="5" t="s">
        <v>170</v>
      </c>
      <c r="F55" t="s">
        <v>35</v>
      </c>
      <c r="H55" s="3">
        <v>46</v>
      </c>
      <c r="I55" s="3">
        <v>21.8</v>
      </c>
      <c r="J55" s="3">
        <v>0</v>
      </c>
      <c r="K55" s="3">
        <v>0</v>
      </c>
      <c r="L55" s="3">
        <v>0</v>
      </c>
      <c r="M55" s="3">
        <v>0</v>
      </c>
      <c r="N55" s="3"/>
      <c r="O55" s="3">
        <v>0</v>
      </c>
    </row>
    <row r="56" spans="1:15" x14ac:dyDescent="0.25">
      <c r="B56" s="5" t="s">
        <v>171</v>
      </c>
      <c r="F56" t="s">
        <v>35</v>
      </c>
      <c r="H56" s="9">
        <f t="shared" ref="H56:O56" si="15">H41+H45+H49+H55+H53</f>
        <v>26418.699999999997</v>
      </c>
      <c r="I56" s="9">
        <f t="shared" si="15"/>
        <v>29131.9</v>
      </c>
      <c r="J56" s="9">
        <f t="shared" si="15"/>
        <v>29555.999999999996</v>
      </c>
      <c r="K56" s="9">
        <f t="shared" si="15"/>
        <v>31168.511115051555</v>
      </c>
      <c r="L56" s="9">
        <f t="shared" si="15"/>
        <v>32543.205959406783</v>
      </c>
      <c r="M56" s="9">
        <f t="shared" si="15"/>
        <v>33980.523282130038</v>
      </c>
      <c r="N56" s="9">
        <f t="shared" si="15"/>
        <v>35483.447099182675</v>
      </c>
      <c r="O56" s="9">
        <f t="shared" si="15"/>
        <v>37055.112011073601</v>
      </c>
    </row>
    <row r="57" spans="1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61" spans="1:15" x14ac:dyDescent="0.25">
      <c r="O61" s="17" t="str">
        <f>UPPER("currently running: " &amp;CHOOSE(Scenarios!$D$6, Scenarios!$C$19, Scenarios!$C$20, Scenarios!$C$21)&amp;" scenario")</f>
        <v>CURRENTLY RUNNING: BASE CASE SCENARIO</v>
      </c>
    </row>
    <row r="62" spans="1:15" ht="28.5" x14ac:dyDescent="0.45">
      <c r="B62" s="4" t="str">
        <f>Cover!$A$7</f>
        <v>Starbucks CORP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28.5" x14ac:dyDescent="0.45">
      <c r="A63" s="21"/>
      <c r="B63" s="13" t="s">
        <v>94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6" spans="2:15" x14ac:dyDescent="0.25">
      <c r="K66" s="18" t="s">
        <v>135</v>
      </c>
      <c r="L66" s="18"/>
      <c r="M66" s="18"/>
      <c r="N66" s="18"/>
      <c r="O66" s="18"/>
    </row>
    <row r="67" spans="2:15" x14ac:dyDescent="0.25">
      <c r="H67">
        <f>I67-1</f>
        <v>2022</v>
      </c>
      <c r="I67">
        <f>J67-1</f>
        <v>2023</v>
      </c>
      <c r="J67">
        <f>K67-1</f>
        <v>2024</v>
      </c>
      <c r="K67">
        <f>Assumptions!$H$6</f>
        <v>2025</v>
      </c>
      <c r="L67">
        <f>K67+1</f>
        <v>2026</v>
      </c>
      <c r="M67">
        <f>L67+1</f>
        <v>2027</v>
      </c>
      <c r="N67">
        <f t="shared" ref="N67:O67" si="16">M67+1</f>
        <v>2028</v>
      </c>
      <c r="O67">
        <f t="shared" si="16"/>
        <v>2029</v>
      </c>
    </row>
    <row r="69" spans="2:15" x14ac:dyDescent="0.25">
      <c r="B69" s="5" t="s">
        <v>196</v>
      </c>
    </row>
    <row r="70" spans="2:15" x14ac:dyDescent="0.25">
      <c r="C70" t="s">
        <v>197</v>
      </c>
      <c r="H70" s="10">
        <f>H20</f>
        <v>26576.1</v>
      </c>
      <c r="I70" s="10">
        <f t="shared" ref="I70:O70" si="17">I20</f>
        <v>29462.3</v>
      </c>
      <c r="J70" s="10">
        <f t="shared" si="17"/>
        <v>29765.9</v>
      </c>
      <c r="K70" s="10">
        <f t="shared" si="17"/>
        <v>31478.988826380351</v>
      </c>
      <c r="L70" s="10">
        <f t="shared" si="17"/>
        <v>32732.151861316954</v>
      </c>
      <c r="M70" s="10">
        <f t="shared" si="17"/>
        <v>34489.199629951887</v>
      </c>
      <c r="N70" s="10">
        <f t="shared" si="17"/>
        <v>36339.892648814573</v>
      </c>
      <c r="O70" s="10">
        <f t="shared" si="17"/>
        <v>38289.22192268342</v>
      </c>
    </row>
    <row r="71" spans="2:15" x14ac:dyDescent="0.25">
      <c r="C71" t="s">
        <v>150</v>
      </c>
      <c r="H71" s="10">
        <f>H23</f>
        <v>3655.5</v>
      </c>
      <c r="I71" s="10">
        <f t="shared" ref="I71:O71" si="18">I23</f>
        <v>4512.7</v>
      </c>
      <c r="J71" s="10">
        <f t="shared" si="18"/>
        <v>4505.1000000000004</v>
      </c>
      <c r="K71" s="10">
        <f t="shared" si="18"/>
        <v>4407.0584356932495</v>
      </c>
      <c r="L71" s="10">
        <f t="shared" si="18"/>
        <v>4582.501260584374</v>
      </c>
      <c r="M71" s="10">
        <f t="shared" si="18"/>
        <v>4828.4879481932649</v>
      </c>
      <c r="N71" s="10">
        <f t="shared" si="18"/>
        <v>5087.5849708340411</v>
      </c>
      <c r="O71" s="10">
        <f t="shared" si="18"/>
        <v>5360.4910691756795</v>
      </c>
    </row>
    <row r="72" spans="2:15" x14ac:dyDescent="0.25">
      <c r="C72" t="s">
        <v>110</v>
      </c>
      <c r="H72" s="10">
        <f>H25</f>
        <v>2018.7</v>
      </c>
      <c r="I72" s="10">
        <f t="shared" ref="I72:O72" si="19">I25</f>
        <v>2000.6</v>
      </c>
      <c r="J72" s="10">
        <f t="shared" si="19"/>
        <v>1905.2</v>
      </c>
      <c r="K72" s="10">
        <f t="shared" si="19"/>
        <v>1905.2</v>
      </c>
      <c r="L72" s="10">
        <f t="shared" si="19"/>
        <v>1905.2</v>
      </c>
      <c r="M72" s="10">
        <f t="shared" si="19"/>
        <v>1905.2</v>
      </c>
      <c r="N72" s="10">
        <f t="shared" si="19"/>
        <v>1905.2</v>
      </c>
      <c r="O72" s="10">
        <f t="shared" si="19"/>
        <v>1905.2</v>
      </c>
    </row>
    <row r="73" spans="2:15" x14ac:dyDescent="0.25">
      <c r="B73" s="5" t="s">
        <v>198</v>
      </c>
      <c r="H73" s="10">
        <f>H26</f>
        <v>32250.3</v>
      </c>
      <c r="I73" s="10">
        <f t="shared" ref="I73:O73" si="20">I26</f>
        <v>35975.599999999999</v>
      </c>
      <c r="J73" s="10">
        <f t="shared" si="20"/>
        <v>36176.199999999997</v>
      </c>
      <c r="K73" s="10">
        <f t="shared" si="20"/>
        <v>37791.247262073601</v>
      </c>
      <c r="L73" s="10">
        <f t="shared" si="20"/>
        <v>39219.853121901324</v>
      </c>
      <c r="M73" s="10">
        <f t="shared" si="20"/>
        <v>41222.88757814515</v>
      </c>
      <c r="N73" s="10">
        <f t="shared" si="20"/>
        <v>43332.67761964861</v>
      </c>
      <c r="O73" s="10">
        <f t="shared" si="20"/>
        <v>45554.912991859099</v>
      </c>
    </row>
    <row r="74" spans="2:15" x14ac:dyDescent="0.25">
      <c r="B74" s="5" t="s">
        <v>157</v>
      </c>
      <c r="H74" s="10">
        <f>H41</f>
        <v>10317.4</v>
      </c>
      <c r="I74" s="10">
        <f t="shared" ref="I74:O74" si="21">I41</f>
        <v>11409.1</v>
      </c>
      <c r="J74" s="10">
        <f t="shared" si="21"/>
        <v>11180.6</v>
      </c>
      <c r="K74" s="10">
        <f t="shared" si="21"/>
        <v>11638.655683223418</v>
      </c>
      <c r="L74" s="10">
        <f t="shared" si="21"/>
        <v>12115.47735475992</v>
      </c>
      <c r="M74" s="10">
        <f t="shared" si="21"/>
        <v>12611.83383449378</v>
      </c>
      <c r="N74" s="10">
        <f t="shared" si="21"/>
        <v>13128.525439931705</v>
      </c>
      <c r="O74" s="10">
        <f t="shared" si="21"/>
        <v>13666.385276622395</v>
      </c>
    </row>
    <row r="75" spans="2:15" x14ac:dyDescent="0.25">
      <c r="B75" s="5" t="s">
        <v>161</v>
      </c>
      <c r="H75" s="10">
        <f>H45</f>
        <v>13561.8</v>
      </c>
      <c r="I75" s="10">
        <f t="shared" ref="I75:O75" si="22">I45</f>
        <v>14720.3</v>
      </c>
      <c r="J75" s="10">
        <f t="shared" si="22"/>
        <v>15286.5</v>
      </c>
      <c r="K75" s="10">
        <f t="shared" si="22"/>
        <v>16229.435836711906</v>
      </c>
      <c r="L75" s="10">
        <f t="shared" si="22"/>
        <v>16913.021203325065</v>
      </c>
      <c r="M75" s="10">
        <f t="shared" si="22"/>
        <v>17625.39924998879</v>
      </c>
      <c r="N75" s="10">
        <f t="shared" si="22"/>
        <v>18367.782727099719</v>
      </c>
      <c r="O75" s="10">
        <f t="shared" si="22"/>
        <v>19141.435466215458</v>
      </c>
    </row>
    <row r="76" spans="2:15" x14ac:dyDescent="0.25">
      <c r="B76" s="5" t="s">
        <v>199</v>
      </c>
      <c r="H76" s="10">
        <f>H49</f>
        <v>461.5</v>
      </c>
      <c r="I76" s="10">
        <f t="shared" ref="I76:O76" si="23">I49</f>
        <v>539.4</v>
      </c>
      <c r="J76" s="10">
        <f t="shared" si="23"/>
        <v>565.6</v>
      </c>
      <c r="K76" s="10">
        <f t="shared" si="23"/>
        <v>600.48859511623027</v>
      </c>
      <c r="L76" s="10">
        <f t="shared" si="23"/>
        <v>625.78123132179746</v>
      </c>
      <c r="M76" s="10">
        <f t="shared" si="23"/>
        <v>652.1391957474674</v>
      </c>
      <c r="N76" s="10">
        <f t="shared" si="23"/>
        <v>679.60736011824815</v>
      </c>
      <c r="O76" s="10">
        <f t="shared" si="23"/>
        <v>708.23248616043327</v>
      </c>
    </row>
    <row r="77" spans="2:15" x14ac:dyDescent="0.25">
      <c r="B77" s="5" t="s">
        <v>179</v>
      </c>
      <c r="H77" s="10">
        <v>1447.9</v>
      </c>
      <c r="I77" s="10">
        <v>1362.6</v>
      </c>
      <c r="J77" s="10">
        <f>J255</f>
        <v>1512.6</v>
      </c>
      <c r="K77" s="10">
        <f>K266+K267</f>
        <v>1736.2016213570653</v>
      </c>
      <c r="L77" s="10">
        <f t="shared" ref="L77:O77" si="24">L266+L267</f>
        <v>1962.9978926091696</v>
      </c>
      <c r="M77" s="10">
        <f t="shared" si="24"/>
        <v>2213.5848483701843</v>
      </c>
      <c r="N77" s="10">
        <f t="shared" si="24"/>
        <v>2476.7122146872102</v>
      </c>
      <c r="O77" s="10">
        <f t="shared" si="24"/>
        <v>2753.5643460140009</v>
      </c>
    </row>
    <row r="78" spans="2:15" x14ac:dyDescent="0.25">
      <c r="B78" s="5" t="s">
        <v>201</v>
      </c>
      <c r="H78" s="10">
        <f>H53</f>
        <v>2032</v>
      </c>
      <c r="I78" s="10">
        <f t="shared" ref="I78:O78" si="25">I53</f>
        <v>2441.3000000000002</v>
      </c>
      <c r="J78" s="10">
        <f t="shared" si="25"/>
        <v>2523.3000000000002</v>
      </c>
      <c r="K78" s="10">
        <f t="shared" si="25"/>
        <v>2699.9310000000005</v>
      </c>
      <c r="L78" s="10">
        <f t="shared" si="25"/>
        <v>2888.9261700000006</v>
      </c>
      <c r="M78" s="10">
        <f t="shared" si="25"/>
        <v>3091.1510019000007</v>
      </c>
      <c r="N78" s="10">
        <f t="shared" si="25"/>
        <v>3307.5315720330009</v>
      </c>
      <c r="O78" s="10">
        <f t="shared" si="25"/>
        <v>3539.0587820753112</v>
      </c>
    </row>
    <row r="79" spans="2:15" x14ac:dyDescent="0.25">
      <c r="B79" s="5" t="s">
        <v>205</v>
      </c>
      <c r="H79" s="10">
        <v>46</v>
      </c>
      <c r="I79" s="10">
        <v>21.8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</row>
    <row r="80" spans="2:15" x14ac:dyDescent="0.25">
      <c r="B80" s="5" t="s">
        <v>206</v>
      </c>
      <c r="H80" s="10">
        <f>SUM(H74:H79)</f>
        <v>27866.6</v>
      </c>
      <c r="I80" s="10">
        <f t="shared" ref="I80:O80" si="26">SUM(I74:I79)</f>
        <v>30494.5</v>
      </c>
      <c r="J80" s="10">
        <f t="shared" si="26"/>
        <v>31068.599999999995</v>
      </c>
      <c r="K80" s="10">
        <f t="shared" si="26"/>
        <v>32904.712736408619</v>
      </c>
      <c r="L80" s="10">
        <f t="shared" si="26"/>
        <v>34506.203852015948</v>
      </c>
      <c r="M80" s="10">
        <f t="shared" si="26"/>
        <v>36194.108130500215</v>
      </c>
      <c r="N80" s="10">
        <f t="shared" si="26"/>
        <v>37960.159313869888</v>
      </c>
      <c r="O80" s="10">
        <f t="shared" si="26"/>
        <v>39808.676357087599</v>
      </c>
    </row>
    <row r="81" spans="1:15" x14ac:dyDescent="0.25">
      <c r="B81" s="5" t="s">
        <v>207</v>
      </c>
      <c r="H81" s="10">
        <f>Assumptions!I49</f>
        <v>234.1</v>
      </c>
      <c r="I81" s="10">
        <f>Assumptions!J49</f>
        <v>298.39999999999998</v>
      </c>
      <c r="J81" s="10">
        <f>Assumptions!K49</f>
        <v>301.2</v>
      </c>
      <c r="K81" s="10">
        <f>Assumptions!L49</f>
        <v>302.32997809658883</v>
      </c>
      <c r="L81" s="10">
        <f>Assumptions!M49</f>
        <v>313.75882497521059</v>
      </c>
      <c r="M81" s="10">
        <f>Assumptions!N49</f>
        <v>329.78310062516118</v>
      </c>
      <c r="N81" s="10">
        <f>Assumptions!O49</f>
        <v>346.66142095718891</v>
      </c>
      <c r="O81" s="10">
        <f>Assumptions!P49</f>
        <v>364.43930393487278</v>
      </c>
    </row>
    <row r="82" spans="1:15" x14ac:dyDescent="0.25">
      <c r="B82" s="5" t="s">
        <v>208</v>
      </c>
      <c r="H82" s="10">
        <v>0</v>
      </c>
      <c r="I82" s="10">
        <v>91.3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</row>
    <row r="83" spans="1:15" x14ac:dyDescent="0.25">
      <c r="B83" s="5" t="s">
        <v>209</v>
      </c>
      <c r="H83" s="10">
        <f>H73-H80+H81+H82</f>
        <v>4617.8000000000011</v>
      </c>
      <c r="I83" s="10">
        <f t="shared" ref="I83:O83" si="27">I73-I80+I81+I82</f>
        <v>5870.7999999999984</v>
      </c>
      <c r="J83" s="10">
        <f t="shared" si="27"/>
        <v>5408.800000000002</v>
      </c>
      <c r="K83" s="10">
        <f t="shared" si="27"/>
        <v>5188.8645037615706</v>
      </c>
      <c r="L83" s="10">
        <f t="shared" si="27"/>
        <v>5027.408094860587</v>
      </c>
      <c r="M83" s="10">
        <f t="shared" si="27"/>
        <v>5358.5625482700952</v>
      </c>
      <c r="N83" s="10">
        <f t="shared" si="27"/>
        <v>5719.1797267359107</v>
      </c>
      <c r="O83" s="10">
        <f t="shared" si="27"/>
        <v>6110.6759387063721</v>
      </c>
    </row>
    <row r="84" spans="1:15" x14ac:dyDescent="0.25">
      <c r="B84" s="5" t="s">
        <v>210</v>
      </c>
      <c r="H84" s="10">
        <v>97</v>
      </c>
      <c r="I84" s="10">
        <v>81.2</v>
      </c>
      <c r="J84" s="10">
        <v>122.8</v>
      </c>
      <c r="K84" s="10">
        <f>0.00267*K73</f>
        <v>100.90263018973651</v>
      </c>
      <c r="L84" s="10">
        <f t="shared" ref="L84:O84" si="28">0.00267*L73</f>
        <v>104.71700783547654</v>
      </c>
      <c r="M84" s="10">
        <f t="shared" si="28"/>
        <v>110.06510983364755</v>
      </c>
      <c r="N84" s="10">
        <f t="shared" si="28"/>
        <v>115.69824924446179</v>
      </c>
      <c r="O84" s="10">
        <f t="shared" si="28"/>
        <v>121.6316176882638</v>
      </c>
    </row>
    <row r="85" spans="1:15" x14ac:dyDescent="0.25">
      <c r="B85" s="5" t="s">
        <v>211</v>
      </c>
      <c r="H85" s="10">
        <v>482.9</v>
      </c>
      <c r="I85" s="10">
        <v>550.1</v>
      </c>
      <c r="J85" s="10">
        <v>562</v>
      </c>
      <c r="K85" s="10">
        <f ca="1">K380</f>
        <v>522.40341947159493</v>
      </c>
      <c r="L85" s="10">
        <f t="shared" ref="L85:O85" ca="1" si="29">L380</f>
        <v>524.22015542421752</v>
      </c>
      <c r="M85" s="10">
        <f t="shared" ca="1" si="29"/>
        <v>527.85362732946282</v>
      </c>
      <c r="N85" s="10">
        <f t="shared" ca="1" si="29"/>
        <v>531.48709923470813</v>
      </c>
      <c r="O85" s="10">
        <f t="shared" ca="1" si="29"/>
        <v>535.12057113995331</v>
      </c>
    </row>
    <row r="86" spans="1:15" x14ac:dyDescent="0.25">
      <c r="B86" s="5" t="s">
        <v>212</v>
      </c>
      <c r="H86" s="10">
        <f>H83+H84-H85</f>
        <v>4231.9000000000015</v>
      </c>
      <c r="I86" s="10">
        <f t="shared" ref="I86:O86" si="30">I83+I84-I85</f>
        <v>5401.8999999999978</v>
      </c>
      <c r="J86" s="10">
        <f t="shared" si="30"/>
        <v>4969.6000000000022</v>
      </c>
      <c r="K86" s="10">
        <f t="shared" ca="1" si="30"/>
        <v>4767.3637144797121</v>
      </c>
      <c r="L86" s="10">
        <f t="shared" ca="1" si="30"/>
        <v>4607.9049472718461</v>
      </c>
      <c r="M86" s="10">
        <f ca="1">M83+M84-M85</f>
        <v>4940.7740307742797</v>
      </c>
      <c r="N86" s="10">
        <f t="shared" ca="1" si="30"/>
        <v>5303.3908767456651</v>
      </c>
      <c r="O86" s="10">
        <f t="shared" ca="1" si="30"/>
        <v>5697.1869852546824</v>
      </c>
    </row>
    <row r="87" spans="1:15" x14ac:dyDescent="0.25">
      <c r="B87" s="5" t="s">
        <v>213</v>
      </c>
      <c r="H87" s="10">
        <v>948.5</v>
      </c>
      <c r="I87" s="10">
        <v>1277.2</v>
      </c>
      <c r="J87" s="10">
        <v>1207.3</v>
      </c>
      <c r="K87" s="10">
        <f ca="1">K286</f>
        <v>1158.4693826185701</v>
      </c>
      <c r="L87" s="10">
        <f t="shared" ref="L87:O87" ca="1" si="31">L286</f>
        <v>1119.7209021870585</v>
      </c>
      <c r="M87" s="10">
        <f t="shared" ca="1" si="31"/>
        <v>1200.6080894781499</v>
      </c>
      <c r="N87" s="10">
        <f t="shared" ca="1" si="31"/>
        <v>1288.7239830491965</v>
      </c>
      <c r="O87" s="10">
        <f t="shared" ca="1" si="31"/>
        <v>1384.4164374168879</v>
      </c>
    </row>
    <row r="88" spans="1:15" x14ac:dyDescent="0.25">
      <c r="B88" s="5" t="s">
        <v>215</v>
      </c>
      <c r="H88" s="10">
        <f>H86-H87</f>
        <v>3283.4000000000015</v>
      </c>
      <c r="I88" s="10">
        <f t="shared" ref="I88:O88" si="32">I86-I87</f>
        <v>4124.699999999998</v>
      </c>
      <c r="J88" s="10">
        <f t="shared" si="32"/>
        <v>3762.300000000002</v>
      </c>
      <c r="K88" s="10">
        <f t="shared" ca="1" si="32"/>
        <v>3608.8943318611418</v>
      </c>
      <c r="L88" s="10">
        <f ca="1">L86-L87</f>
        <v>3488.1840450847876</v>
      </c>
      <c r="M88" s="10">
        <f t="shared" ca="1" si="32"/>
        <v>3740.1659412961299</v>
      </c>
      <c r="N88" s="10">
        <f t="shared" ca="1" si="32"/>
        <v>4014.6668936964688</v>
      </c>
      <c r="O88" s="10">
        <f t="shared" ca="1" si="32"/>
        <v>4312.7705478377948</v>
      </c>
    </row>
    <row r="89" spans="1:15" x14ac:dyDescent="0.25">
      <c r="B89" s="5" t="s">
        <v>216</v>
      </c>
      <c r="H89" s="10">
        <f>Assumptions!I51</f>
        <v>1.8</v>
      </c>
      <c r="I89" s="10">
        <f>Assumptions!J51</f>
        <v>0.2</v>
      </c>
      <c r="J89" s="10">
        <f>Assumptions!K51</f>
        <v>1.4</v>
      </c>
      <c r="K89" s="10">
        <f>Assumptions!L51</f>
        <v>1.1000000000000001</v>
      </c>
      <c r="L89" s="10">
        <f>Assumptions!M51</f>
        <v>1.1000000000000001</v>
      </c>
      <c r="M89" s="10">
        <f>Assumptions!N51</f>
        <v>1.1000000000000001</v>
      </c>
      <c r="N89" s="10">
        <f>Assumptions!O51</f>
        <v>1.1000000000000001</v>
      </c>
      <c r="O89" s="10">
        <f>Assumptions!P51</f>
        <v>1.1000000000000001</v>
      </c>
    </row>
    <row r="90" spans="1:15" x14ac:dyDescent="0.25">
      <c r="B90" s="5" t="s">
        <v>214</v>
      </c>
      <c r="H90" s="10">
        <f>H88-H89</f>
        <v>3281.6000000000013</v>
      </c>
      <c r="I90" s="10">
        <f t="shared" ref="I90:O90" si="33">I88-I89</f>
        <v>4124.4999999999982</v>
      </c>
      <c r="J90" s="10">
        <f t="shared" si="33"/>
        <v>3760.9000000000019</v>
      </c>
      <c r="K90" s="10">
        <f t="shared" ca="1" si="33"/>
        <v>3607.7943318611419</v>
      </c>
      <c r="L90" s="10">
        <f t="shared" ca="1" si="33"/>
        <v>3487.0840450847877</v>
      </c>
      <c r="M90" s="10">
        <f t="shared" ca="1" si="33"/>
        <v>3739.0659412961299</v>
      </c>
      <c r="N90" s="10">
        <f t="shared" ca="1" si="33"/>
        <v>4013.5668936964689</v>
      </c>
      <c r="O90" s="10">
        <f t="shared" ca="1" si="33"/>
        <v>4311.6705478377944</v>
      </c>
    </row>
    <row r="91" spans="1:15" x14ac:dyDescent="0.25">
      <c r="B91" s="5" t="s">
        <v>217</v>
      </c>
      <c r="H91" s="10">
        <f>H90/H94</f>
        <v>2.8454001560738762</v>
      </c>
      <c r="I91" s="10">
        <f t="shared" ref="I91:O91" si="34">I90/I94</f>
        <v>3.5965294733170547</v>
      </c>
      <c r="J91" s="10">
        <f t="shared" si="34"/>
        <v>3.3170753219262674</v>
      </c>
      <c r="K91" s="10">
        <f t="shared" ca="1" si="34"/>
        <v>3.1869848520027051</v>
      </c>
      <c r="L91" s="10">
        <f t="shared" ca="1" si="34"/>
        <v>3.0851506220447922</v>
      </c>
      <c r="M91" s="10">
        <f t="shared" ca="1" si="34"/>
        <v>3.3132473871053505</v>
      </c>
      <c r="N91" s="10">
        <f t="shared" ca="1" si="34"/>
        <v>3.562042399176816</v>
      </c>
      <c r="O91" s="10">
        <f t="shared" ca="1" si="34"/>
        <v>3.8325960425224839</v>
      </c>
    </row>
    <row r="92" spans="1:15" x14ac:dyDescent="0.25">
      <c r="B92" s="5" t="s">
        <v>218</v>
      </c>
      <c r="H92" s="10">
        <f>H90/H95</f>
        <v>2.8326283987915417</v>
      </c>
      <c r="I92" s="10">
        <f t="shared" ref="I92:O92" si="35">I90/I95</f>
        <v>3.5824719881872653</v>
      </c>
      <c r="J92" s="10">
        <f t="shared" si="35"/>
        <v>3.306867141475426</v>
      </c>
      <c r="K92" s="10">
        <f t="shared" ca="1" si="35"/>
        <v>3.1771618189241613</v>
      </c>
      <c r="L92" s="10">
        <f t="shared" ca="1" si="35"/>
        <v>3.0756267045500785</v>
      </c>
      <c r="M92" s="10">
        <f t="shared" ca="1" si="35"/>
        <v>3.3030034286462517</v>
      </c>
      <c r="N92" s="10">
        <f t="shared" ca="1" si="35"/>
        <v>3.5510120624426849</v>
      </c>
      <c r="O92" s="10">
        <f t="shared" ca="1" si="35"/>
        <v>3.8207093910835574</v>
      </c>
    </row>
    <row r="93" spans="1:15" x14ac:dyDescent="0.25">
      <c r="B93" s="5" t="s">
        <v>219</v>
      </c>
      <c r="H93" s="10"/>
      <c r="I93" s="10"/>
      <c r="J93" s="10"/>
      <c r="K93" s="10"/>
      <c r="L93" s="10"/>
      <c r="M93" s="10"/>
      <c r="N93" s="10"/>
      <c r="O93" s="10"/>
    </row>
    <row r="94" spans="1:15" x14ac:dyDescent="0.25">
      <c r="B94" s="5"/>
      <c r="C94" t="s">
        <v>220</v>
      </c>
      <c r="H94" s="10">
        <v>1153.3</v>
      </c>
      <c r="I94" s="10">
        <v>1146.8</v>
      </c>
      <c r="J94" s="10">
        <v>1133.8</v>
      </c>
      <c r="K94" s="10">
        <f>J94+Assumptions!L100-Assumptions!L101</f>
        <v>1132.04</v>
      </c>
      <c r="L94" s="10">
        <f>K94+Assumptions!M100-Assumptions!M101</f>
        <v>1130.28</v>
      </c>
      <c r="M94" s="10">
        <f>L94+Assumptions!N100-Assumptions!N101</f>
        <v>1128.52</v>
      </c>
      <c r="N94" s="10">
        <f>M94+Assumptions!O100-Assumptions!O101</f>
        <v>1126.76</v>
      </c>
      <c r="O94" s="10">
        <f>N94+Assumptions!P100-Assumptions!P101</f>
        <v>1125</v>
      </c>
    </row>
    <row r="95" spans="1:15" x14ac:dyDescent="0.25">
      <c r="B95" s="5"/>
      <c r="C95" t="s">
        <v>221</v>
      </c>
      <c r="H95" s="10">
        <v>1158.5</v>
      </c>
      <c r="I95" s="10">
        <v>1151.3</v>
      </c>
      <c r="J95" s="10">
        <v>1137.3</v>
      </c>
      <c r="K95" s="10">
        <f>J95+Assumptions!L100-Assumptions!L101</f>
        <v>1135.54</v>
      </c>
      <c r="L95" s="10">
        <f>K95+Assumptions!M100-Assumptions!M101</f>
        <v>1133.78</v>
      </c>
      <c r="M95" s="10">
        <f>L95+Assumptions!N100-Assumptions!N101</f>
        <v>1132.02</v>
      </c>
      <c r="N95" s="10">
        <f>M95+Assumptions!O100-Assumptions!O101</f>
        <v>1130.26</v>
      </c>
      <c r="O95" s="10">
        <f>N95+Assumptions!P100-Assumptions!P101</f>
        <v>1128.5</v>
      </c>
    </row>
    <row r="96" spans="1:15" x14ac:dyDescent="0.25">
      <c r="A96" s="21"/>
      <c r="B96" s="5"/>
    </row>
    <row r="97" spans="1:15" x14ac:dyDescent="0.25">
      <c r="A97" s="21"/>
      <c r="B97" s="39"/>
      <c r="C97" s="15" t="s">
        <v>400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5"/>
    </row>
    <row r="98" spans="1:15" x14ac:dyDescent="0.25">
      <c r="A98" s="21"/>
      <c r="B98" s="38"/>
      <c r="C98" s="21" t="s">
        <v>401</v>
      </c>
      <c r="D98" s="21"/>
      <c r="E98" s="21"/>
      <c r="F98" s="21"/>
      <c r="G98" s="21"/>
      <c r="H98" s="125"/>
      <c r="I98" s="126">
        <f>(I73-H73)/H73</f>
        <v>0.11551210376337583</v>
      </c>
      <c r="J98" s="126">
        <f t="shared" ref="J98:O98" si="36">(J73-I73)/I73</f>
        <v>5.5760015121359627E-3</v>
      </c>
      <c r="K98" s="126">
        <f t="shared" si="36"/>
        <v>4.4643916776046233E-2</v>
      </c>
      <c r="L98" s="126">
        <f t="shared" si="36"/>
        <v>3.7802559146054918E-2</v>
      </c>
      <c r="M98" s="126">
        <f t="shared" si="36"/>
        <v>5.1071952003952877E-2</v>
      </c>
      <c r="N98" s="126">
        <f t="shared" si="36"/>
        <v>5.1180064412129946E-2</v>
      </c>
      <c r="O98" s="127">
        <f t="shared" si="36"/>
        <v>5.1283130752179662E-2</v>
      </c>
    </row>
    <row r="99" spans="1:15" x14ac:dyDescent="0.25">
      <c r="A99" s="21"/>
      <c r="B99" s="38"/>
      <c r="C99" s="52" t="s">
        <v>402</v>
      </c>
      <c r="D99" s="21"/>
      <c r="E99" s="21"/>
      <c r="F99" s="21"/>
      <c r="G99" s="21"/>
      <c r="H99" s="126">
        <f>H90/H73</f>
        <v>0.10175409220999498</v>
      </c>
      <c r="I99" s="126">
        <f t="shared" ref="I99:O99" si="37">I90/I73</f>
        <v>0.11464714973482022</v>
      </c>
      <c r="J99" s="126">
        <f t="shared" si="37"/>
        <v>0.10396061498996584</v>
      </c>
      <c r="K99" s="126">
        <f t="shared" ca="1" si="37"/>
        <v>9.5466400112224889E-2</v>
      </c>
      <c r="L99" s="126">
        <f t="shared" ca="1" si="37"/>
        <v>8.8911195925349212E-2</v>
      </c>
      <c r="M99" s="126">
        <f t="shared" ca="1" si="37"/>
        <v>9.0703639676092088E-2</v>
      </c>
      <c r="N99" s="126">
        <f t="shared" ca="1" si="37"/>
        <v>9.2622176015187477E-2</v>
      </c>
      <c r="O99" s="127">
        <f t="shared" ca="1" si="37"/>
        <v>9.4647761671903807E-2</v>
      </c>
    </row>
    <row r="100" spans="1:15" x14ac:dyDescent="0.25">
      <c r="A100" s="21"/>
      <c r="B100" s="38"/>
      <c r="C100" s="52" t="s">
        <v>403</v>
      </c>
      <c r="D100" s="21"/>
      <c r="E100" s="21"/>
      <c r="F100" s="21"/>
      <c r="G100" s="21"/>
      <c r="H100" s="126">
        <f>(H87+H90+H77+H85)/H73</f>
        <v>0.19103388185536263</v>
      </c>
      <c r="I100" s="126">
        <f t="shared" ref="I100:O100" si="38">(I87+I90+I77+I85)/I73</f>
        <v>0.20331558056015739</v>
      </c>
      <c r="J100" s="126">
        <f t="shared" si="38"/>
        <v>0.19468048053692763</v>
      </c>
      <c r="K100" s="126">
        <f t="shared" ca="1" si="38"/>
        <v>0.18588613142594962</v>
      </c>
      <c r="L100" s="126">
        <f t="shared" ca="1" si="38"/>
        <v>0.18087836722019129</v>
      </c>
      <c r="M100" s="126">
        <f t="shared" ca="1" si="38"/>
        <v>0.18633125813695228</v>
      </c>
      <c r="N100" s="126">
        <f t="shared" ca="1" si="38"/>
        <v>0.1917834449006979</v>
      </c>
      <c r="O100" s="126">
        <f t="shared" ca="1" si="38"/>
        <v>0.19722948222981487</v>
      </c>
    </row>
    <row r="101" spans="1:15" x14ac:dyDescent="0.25">
      <c r="A101" s="21"/>
      <c r="B101" s="38"/>
      <c r="C101" s="52" t="s">
        <v>404</v>
      </c>
      <c r="D101" s="21"/>
      <c r="E101" s="21"/>
      <c r="F101" s="21"/>
      <c r="G101" s="21"/>
      <c r="H101" s="125" t="s">
        <v>323</v>
      </c>
      <c r="I101" s="125" t="s">
        <v>323</v>
      </c>
      <c r="J101" s="125" t="s">
        <v>323</v>
      </c>
      <c r="K101" s="128">
        <f ca="1">K83/K380</f>
        <v>9.9326771425233922</v>
      </c>
      <c r="L101" s="128">
        <f ca="1">L83/L380</f>
        <v>9.5902609673453512</v>
      </c>
      <c r="M101" s="128">
        <f ca="1">M83/M380</f>
        <v>10.151606943349691</v>
      </c>
      <c r="N101" s="128">
        <f ca="1">N83/N380</f>
        <v>10.760712226074718</v>
      </c>
      <c r="O101" s="129">
        <f ca="1">O83/O380</f>
        <v>11.419250666609507</v>
      </c>
    </row>
    <row r="102" spans="1:15" x14ac:dyDescent="0.25">
      <c r="B102" s="33"/>
      <c r="C102" s="3" t="s">
        <v>405</v>
      </c>
      <c r="D102" s="3"/>
      <c r="E102" s="3"/>
      <c r="F102" s="3"/>
      <c r="G102" s="3"/>
      <c r="H102" s="130">
        <f>H83/(H11+H17+H23)</f>
        <v>0.15028183131777298</v>
      </c>
      <c r="I102" s="130">
        <f t="shared" ref="I102:O102" si="39">I83/(I11+I17+I23)</f>
        <v>0.17002027222704891</v>
      </c>
      <c r="J102" s="130">
        <f t="shared" si="39"/>
        <v>0.15674955080275899</v>
      </c>
      <c r="K102" s="130">
        <f t="shared" si="39"/>
        <v>0.14365210582390223</v>
      </c>
      <c r="L102" s="130">
        <f t="shared" si="39"/>
        <v>0.13388693841031213</v>
      </c>
      <c r="M102" s="130">
        <f t="shared" si="39"/>
        <v>0.13547910082426284</v>
      </c>
      <c r="N102" s="130">
        <f t="shared" si="39"/>
        <v>0.13727411458695066</v>
      </c>
      <c r="O102" s="131">
        <f t="shared" si="39"/>
        <v>0.13924383964502496</v>
      </c>
    </row>
    <row r="104" spans="1:15" x14ac:dyDescent="0.25">
      <c r="O104" s="17" t="str">
        <f>UPPER("currently running: " &amp;CHOOSE(Scenarios!$D$6, Scenarios!$C$19, Scenarios!$C$20, Scenarios!$C$21)&amp;" scenario")</f>
        <v>CURRENTLY RUNNING: BASE CASE SCENARIO</v>
      </c>
    </row>
    <row r="105" spans="1:15" ht="28.5" x14ac:dyDescent="0.45">
      <c r="B105" s="4" t="str">
        <f>Cover!$A$7</f>
        <v>Starbucks CORP</v>
      </c>
      <c r="C105" s="2"/>
      <c r="D105" s="2"/>
      <c r="E105" s="2"/>
      <c r="F105" s="2"/>
      <c r="G105" s="2"/>
      <c r="H105" s="2"/>
      <c r="I105" s="2"/>
      <c r="J105" s="2"/>
      <c r="K105" s="2"/>
      <c r="L105" s="2">
        <v>0</v>
      </c>
      <c r="M105" s="2"/>
      <c r="N105" s="2"/>
      <c r="O105" s="2"/>
    </row>
    <row r="106" spans="1:15" ht="28.5" x14ac:dyDescent="0.45">
      <c r="B106" s="13" t="s">
        <v>95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9" spans="1:15" x14ac:dyDescent="0.25">
      <c r="K109" s="18" t="s">
        <v>135</v>
      </c>
      <c r="L109" s="18"/>
      <c r="M109" s="18"/>
      <c r="N109" s="18"/>
      <c r="O109" s="18"/>
    </row>
    <row r="110" spans="1:15" x14ac:dyDescent="0.25">
      <c r="H110">
        <f>I110-1</f>
        <v>2022</v>
      </c>
      <c r="I110">
        <f>J110-1</f>
        <v>2023</v>
      </c>
      <c r="J110">
        <f>K110-1</f>
        <v>2024</v>
      </c>
      <c r="K110">
        <f>Assumptions!$H$6</f>
        <v>2025</v>
      </c>
      <c r="L110">
        <f>K110+1</f>
        <v>2026</v>
      </c>
      <c r="M110">
        <f>L110+1</f>
        <v>2027</v>
      </c>
      <c r="N110">
        <f t="shared" ref="N110:O110" si="40">M110+1</f>
        <v>2028</v>
      </c>
      <c r="O110">
        <f t="shared" si="40"/>
        <v>2029</v>
      </c>
    </row>
    <row r="112" spans="1:15" x14ac:dyDescent="0.25">
      <c r="B112" s="5" t="s">
        <v>222</v>
      </c>
    </row>
    <row r="113" spans="3:16" x14ac:dyDescent="0.25">
      <c r="C113" t="s">
        <v>223</v>
      </c>
      <c r="H113" s="122">
        <f t="shared" ref="H113:O113" si="41">H88</f>
        <v>3283.4000000000015</v>
      </c>
      <c r="I113" s="122">
        <f t="shared" si="41"/>
        <v>4124.699999999998</v>
      </c>
      <c r="J113" s="122">
        <f t="shared" si="41"/>
        <v>3762.300000000002</v>
      </c>
      <c r="K113" s="122">
        <f t="shared" ca="1" si="41"/>
        <v>3608.8943318611418</v>
      </c>
      <c r="L113" s="122">
        <f t="shared" ca="1" si="41"/>
        <v>3488.1840450847876</v>
      </c>
      <c r="M113" s="122">
        <f t="shared" ca="1" si="41"/>
        <v>3740.1659412961299</v>
      </c>
      <c r="N113" s="122">
        <f t="shared" ca="1" si="41"/>
        <v>4014.6668936964688</v>
      </c>
      <c r="O113" s="122">
        <f t="shared" ca="1" si="41"/>
        <v>4312.7705478377948</v>
      </c>
    </row>
    <row r="114" spans="3:16" x14ac:dyDescent="0.25">
      <c r="C114" t="s">
        <v>224</v>
      </c>
      <c r="H114" s="122"/>
      <c r="I114" s="122"/>
      <c r="J114" s="122"/>
      <c r="K114" s="122"/>
      <c r="L114" s="122"/>
      <c r="M114" s="122"/>
      <c r="N114" s="122"/>
      <c r="O114" s="122"/>
    </row>
    <row r="115" spans="3:16" x14ac:dyDescent="0.25">
      <c r="C115" t="s">
        <v>225</v>
      </c>
      <c r="H115" s="122"/>
      <c r="I115" s="122"/>
      <c r="J115" s="122"/>
      <c r="K115" s="122"/>
      <c r="L115" s="122"/>
      <c r="M115" s="122"/>
      <c r="N115" s="122"/>
      <c r="O115" s="122"/>
    </row>
    <row r="116" spans="3:16" x14ac:dyDescent="0.25">
      <c r="D116" t="s">
        <v>231</v>
      </c>
      <c r="H116" s="122">
        <v>1529.4</v>
      </c>
      <c r="I116" s="122">
        <v>1450.3</v>
      </c>
      <c r="J116" s="122">
        <v>1592.4</v>
      </c>
      <c r="K116" s="122">
        <f>K266+K267</f>
        <v>1736.2016213570653</v>
      </c>
      <c r="L116" s="122">
        <f t="shared" ref="L116:O116" si="42">L266+L267</f>
        <v>1962.9978926091696</v>
      </c>
      <c r="M116" s="122">
        <f>M266+M267</f>
        <v>2213.5848483701843</v>
      </c>
      <c r="N116" s="122">
        <f t="shared" si="42"/>
        <v>2476.7122146872102</v>
      </c>
      <c r="O116" s="122">
        <f t="shared" si="42"/>
        <v>2753.5643460140009</v>
      </c>
    </row>
    <row r="117" spans="3:16" x14ac:dyDescent="0.25">
      <c r="D117" t="s">
        <v>226</v>
      </c>
      <c r="H117" s="122">
        <v>-268.7</v>
      </c>
      <c r="I117" s="122">
        <v>-301.8</v>
      </c>
      <c r="J117" s="122">
        <v>-306.39999999999998</v>
      </c>
      <c r="K117" s="122">
        <f>Assumptions!L54</f>
        <v>-302.32997809658883</v>
      </c>
      <c r="L117" s="122">
        <f>Assumptions!M54</f>
        <v>-313.75882497521059</v>
      </c>
      <c r="M117" s="122">
        <f>Assumptions!N54</f>
        <v>-329.78310062516118</v>
      </c>
      <c r="N117" s="122">
        <f>Assumptions!O54</f>
        <v>-346.66142095718891</v>
      </c>
      <c r="O117" s="122">
        <f>Assumptions!P54</f>
        <v>-364.43930393487278</v>
      </c>
    </row>
    <row r="118" spans="3:16" x14ac:dyDescent="0.25">
      <c r="D118" t="s">
        <v>232</v>
      </c>
      <c r="H118" s="122">
        <f>Assumptions!I55</f>
        <v>231.2</v>
      </c>
      <c r="I118" s="122">
        <f>Assumptions!J55</f>
        <v>222.8</v>
      </c>
      <c r="J118" s="122">
        <f>Assumptions!K55</f>
        <v>333.3</v>
      </c>
      <c r="K118" s="122">
        <f>Assumptions!L55</f>
        <v>302.32997809658883</v>
      </c>
      <c r="L118" s="122">
        <f>Assumptions!M55</f>
        <v>313.75882497521059</v>
      </c>
      <c r="M118" s="122">
        <f>Assumptions!N55</f>
        <v>329.78310062516118</v>
      </c>
      <c r="N118" s="122">
        <f>Assumptions!O55</f>
        <v>346.66142095718891</v>
      </c>
      <c r="O118" s="122">
        <f>Assumptions!P55</f>
        <v>364.43930393487278</v>
      </c>
    </row>
    <row r="119" spans="3:16" x14ac:dyDescent="0.25">
      <c r="D119" t="s">
        <v>227</v>
      </c>
      <c r="H119" s="122">
        <f>Assumptions!I56</f>
        <v>0</v>
      </c>
      <c r="I119" s="122">
        <f>Assumptions!J56</f>
        <v>-91.3</v>
      </c>
      <c r="J119" s="122">
        <f>Assumptions!K56</f>
        <v>0</v>
      </c>
      <c r="K119" s="122">
        <f>Assumptions!L56</f>
        <v>0</v>
      </c>
      <c r="L119" s="122">
        <f>Assumptions!M56</f>
        <v>0</v>
      </c>
      <c r="M119" s="122">
        <f>Assumptions!N56</f>
        <v>0</v>
      </c>
      <c r="N119" s="122">
        <f>Assumptions!O56</f>
        <v>0</v>
      </c>
      <c r="O119" s="122">
        <f>Assumptions!P56</f>
        <v>0</v>
      </c>
    </row>
    <row r="120" spans="3:16" x14ac:dyDescent="0.25">
      <c r="D120" t="s">
        <v>228</v>
      </c>
      <c r="H120" s="122" t="str">
        <f>Assumptions!I57</f>
        <v>271. 5</v>
      </c>
      <c r="I120" s="122">
        <f>Assumptions!J57</f>
        <v>302.7</v>
      </c>
      <c r="J120" s="122">
        <f>Assumptions!K57</f>
        <v>308.3</v>
      </c>
      <c r="K120" s="122">
        <f>Assumptions!L57</f>
        <v>323.99172000000004</v>
      </c>
      <c r="L120" s="122">
        <f>K120</f>
        <v>323.99172000000004</v>
      </c>
      <c r="M120" s="122">
        <f>L120</f>
        <v>323.99172000000004</v>
      </c>
      <c r="N120" s="122">
        <f t="shared" ref="N120:O120" si="43">M120</f>
        <v>323.99172000000004</v>
      </c>
      <c r="O120" s="122">
        <f t="shared" si="43"/>
        <v>323.99172000000004</v>
      </c>
    </row>
    <row r="121" spans="3:16" x14ac:dyDescent="0.25">
      <c r="D121" t="s">
        <v>229</v>
      </c>
      <c r="H121" s="122">
        <f>Assumptions!I58</f>
        <v>1497.7</v>
      </c>
      <c r="I121" s="122">
        <f>Assumptions!J58</f>
        <v>1365.9</v>
      </c>
      <c r="J121" s="122">
        <f>Assumptions!K58</f>
        <v>1314.9</v>
      </c>
      <c r="K121" s="122">
        <f>Assumptions!L58</f>
        <v>1325</v>
      </c>
      <c r="L121" s="122">
        <f>Assumptions!M58</f>
        <v>1325</v>
      </c>
      <c r="M121" s="122">
        <f>Assumptions!N58</f>
        <v>1325</v>
      </c>
      <c r="N121" s="122">
        <f>Assumptions!O58</f>
        <v>1325</v>
      </c>
      <c r="O121" s="122">
        <f>Assumptions!P58</f>
        <v>1325</v>
      </c>
    </row>
    <row r="122" spans="3:16" x14ac:dyDescent="0.25">
      <c r="D122" t="s">
        <v>230</v>
      </c>
      <c r="H122" s="122">
        <f>Assumptions!I59</f>
        <v>91.4</v>
      </c>
      <c r="I122" s="122">
        <f>Assumptions!J59</f>
        <v>101.4</v>
      </c>
      <c r="J122" s="122">
        <f>Assumptions!K59</f>
        <v>121.5</v>
      </c>
      <c r="K122" s="122">
        <f>Assumptions!L59</f>
        <v>140.08950000000002</v>
      </c>
      <c r="L122" s="122">
        <f>Assumptions!M59</f>
        <v>153.25791300000003</v>
      </c>
      <c r="M122" s="122">
        <f>Assumptions!N59</f>
        <v>167.66415682200005</v>
      </c>
      <c r="N122" s="122">
        <f>Assumptions!O59</f>
        <v>183.42458756326806</v>
      </c>
      <c r="O122" s="122">
        <f>Assumptions!P59</f>
        <v>200.66649879421527</v>
      </c>
    </row>
    <row r="123" spans="3:16" x14ac:dyDescent="0.25">
      <c r="D123" t="s">
        <v>110</v>
      </c>
      <c r="H123" s="122">
        <f>-67.8</f>
        <v>-67.8</v>
      </c>
      <c r="I123" s="122">
        <v>26.8</v>
      </c>
      <c r="J123" s="122">
        <v>31.9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0"/>
    </row>
    <row r="124" spans="3:16" x14ac:dyDescent="0.25">
      <c r="D124" t="s">
        <v>233</v>
      </c>
      <c r="H124" s="122"/>
      <c r="I124" s="122"/>
      <c r="J124" s="122"/>
      <c r="K124" s="122"/>
      <c r="L124" s="122"/>
      <c r="M124" s="122"/>
      <c r="N124" s="122"/>
      <c r="O124" s="122"/>
    </row>
    <row r="125" spans="3:16" x14ac:dyDescent="0.25">
      <c r="D125" t="s">
        <v>234</v>
      </c>
      <c r="H125" s="122"/>
      <c r="I125" s="122"/>
      <c r="J125" s="122"/>
      <c r="K125" s="122"/>
      <c r="L125" s="122"/>
      <c r="M125" s="122"/>
      <c r="N125" s="122"/>
      <c r="O125" s="122"/>
    </row>
    <row r="126" spans="3:16" x14ac:dyDescent="0.25">
      <c r="E126" t="s">
        <v>235</v>
      </c>
      <c r="H126" s="122">
        <v>-326.10000000000002</v>
      </c>
      <c r="I126" s="122">
        <v>-4.0999999999999996</v>
      </c>
      <c r="J126" s="122">
        <v>18.399999999999999</v>
      </c>
      <c r="K126" s="122">
        <f ca="1">-(K317-J317)</f>
        <v>-69.989884162101589</v>
      </c>
      <c r="L126" s="122">
        <f t="shared" ref="L126:O126" ca="1" si="44">-(L317-K317)</f>
        <v>-48.530543027144859</v>
      </c>
      <c r="M126" s="122">
        <f ca="1">-(M317-L317)</f>
        <v>-68.044204911295083</v>
      </c>
      <c r="N126" s="122">
        <f t="shared" ca="1" si="44"/>
        <v>-67.648797469811825</v>
      </c>
      <c r="O126" s="122">
        <f t="shared" ca="1" si="44"/>
        <v>-79.512537679886009</v>
      </c>
    </row>
    <row r="127" spans="3:16" x14ac:dyDescent="0.25">
      <c r="E127" t="s">
        <v>236</v>
      </c>
      <c r="H127" s="122">
        <v>-641</v>
      </c>
      <c r="I127" s="122">
        <v>366.4</v>
      </c>
      <c r="J127" s="122">
        <v>42.8</v>
      </c>
      <c r="K127" s="122">
        <f>-(K318-J318)</f>
        <v>-173.67000686261485</v>
      </c>
      <c r="L127" s="122">
        <f>-(L318-K318)</f>
        <v>-79.928885698607019</v>
      </c>
      <c r="M127" s="122">
        <f t="shared" ref="M127:O127" si="45">-(M318-L318)</f>
        <v>-83.203475644403397</v>
      </c>
      <c r="N127" s="122">
        <f t="shared" si="45"/>
        <v>-80.599340193861735</v>
      </c>
      <c r="O127" s="122">
        <f t="shared" si="45"/>
        <v>-96.173501127691452</v>
      </c>
    </row>
    <row r="128" spans="3:16" x14ac:dyDescent="0.25">
      <c r="E128" t="s">
        <v>237</v>
      </c>
      <c r="H128" s="122">
        <v>-149.6</v>
      </c>
      <c r="I128" s="122">
        <v>52.5</v>
      </c>
      <c r="J128" s="122">
        <v>-61.9</v>
      </c>
      <c r="K128" s="122">
        <f ca="1">K290</f>
        <v>-12.798829459046374</v>
      </c>
      <c r="L128" s="122">
        <f t="shared" ref="L128:O128" ca="1" si="46">L290</f>
        <v>-12.370734249728912</v>
      </c>
      <c r="M128" s="122">
        <f t="shared" ca="1" si="46"/>
        <v>-13.26438006470994</v>
      </c>
      <c r="N128" s="122">
        <f t="shared" ca="1" si="46"/>
        <v>-14.23788899931651</v>
      </c>
      <c r="O128" s="122">
        <f t="shared" ca="1" si="46"/>
        <v>-15.295104168181069</v>
      </c>
    </row>
    <row r="129" spans="2:18" x14ac:dyDescent="0.25">
      <c r="E129" t="s">
        <v>238</v>
      </c>
      <c r="H129" s="122">
        <v>345.5</v>
      </c>
      <c r="I129" s="122">
        <v>100.1</v>
      </c>
      <c r="J129" s="122">
        <v>28</v>
      </c>
      <c r="K129" s="122">
        <f>K319-J319</f>
        <v>-14.709521528212008</v>
      </c>
      <c r="L129" s="122">
        <f t="shared" ref="L129:O129" si="47">L319-K319</f>
        <v>64.76307735268847</v>
      </c>
      <c r="M129" s="122">
        <f>M319-L319</f>
        <v>67.416342440826384</v>
      </c>
      <c r="N129" s="122">
        <f t="shared" si="47"/>
        <v>65.306318960000908</v>
      </c>
      <c r="O129" s="122">
        <f t="shared" si="47"/>
        <v>77.925418806633843</v>
      </c>
    </row>
    <row r="130" spans="2:18" x14ac:dyDescent="0.25">
      <c r="E130" t="s">
        <v>239</v>
      </c>
      <c r="H130" s="122">
        <v>-75.8</v>
      </c>
      <c r="I130" s="122">
        <v>-110.8</v>
      </c>
      <c r="J130" s="122">
        <v>-72.2</v>
      </c>
      <c r="K130" s="122">
        <f>$J$130/$J$26*K26</f>
        <v>-75.423290791230528</v>
      </c>
      <c r="L130" s="122">
        <f>$J$130/$J$26*L26</f>
        <v>-78.27448420235612</v>
      </c>
      <c r="M130" s="122">
        <f>$J$130/$J$26*M26</f>
        <v>-82.272114902673025</v>
      </c>
      <c r="N130" s="122">
        <f>$J$130/$J$26*N26</f>
        <v>-86.482807042713986</v>
      </c>
      <c r="O130" s="122">
        <f>$J$130/$J$26*O26</f>
        <v>-90.917916144101014</v>
      </c>
    </row>
    <row r="131" spans="2:18" x14ac:dyDescent="0.25">
      <c r="E131" t="s">
        <v>240</v>
      </c>
      <c r="H131" s="122">
        <f>Assumptions!I75</f>
        <v>-1625.6</v>
      </c>
      <c r="I131" s="122">
        <f>Assumptions!J75</f>
        <v>-1443.8</v>
      </c>
      <c r="J131" s="122">
        <f>Assumptions!K75</f>
        <v>-1294.9000000000001</v>
      </c>
      <c r="K131" s="122">
        <f>Assumptions!L75</f>
        <v>-1549.9070488934292</v>
      </c>
      <c r="L131" s="122">
        <f>Assumptions!M75</f>
        <v>-1450.1507975850548</v>
      </c>
      <c r="M131" s="122">
        <f>Assumptions!N75</f>
        <v>-1294.174528357184</v>
      </c>
      <c r="N131" s="122">
        <f>Assumptions!O75</f>
        <v>-1121.0580097636134</v>
      </c>
      <c r="O131" s="122">
        <f>Assumptions!P75</f>
        <v>-964.13902682062917</v>
      </c>
    </row>
    <row r="132" spans="2:18" x14ac:dyDescent="0.25">
      <c r="E132" s="50" t="s">
        <v>392</v>
      </c>
      <c r="H132" s="122"/>
      <c r="I132" s="122"/>
      <c r="J132" s="122"/>
      <c r="K132" s="122">
        <f>(Assumptions!L75)*(K16/K15)</f>
        <v>-120.75414094335568</v>
      </c>
      <c r="L132" s="122">
        <f>K132+(Assumptions!M75)*(L16/L15)</f>
        <v>-197.90216337488059</v>
      </c>
      <c r="M132" s="122">
        <f>L132+(Assumptions!N75)*(M16/M15)</f>
        <v>-266.7522482834828</v>
      </c>
      <c r="N132" s="122">
        <f>M132+(Assumptions!O75)*(N16/N15)</f>
        <v>-326.39253440290702</v>
      </c>
      <c r="O132" s="122">
        <f>N132+(Assumptions!P75)*(O16/O15)</f>
        <v>-377.68473062976449</v>
      </c>
    </row>
    <row r="133" spans="2:18" x14ac:dyDescent="0.25">
      <c r="E133" s="51" t="s">
        <v>393</v>
      </c>
      <c r="H133" s="122"/>
      <c r="I133" s="122"/>
      <c r="J133" s="122"/>
      <c r="K133" s="122">
        <f>K131+K132</f>
        <v>-1670.6611898367848</v>
      </c>
      <c r="L133" s="122">
        <f>L131+L132</f>
        <v>-1648.0529609599353</v>
      </c>
      <c r="M133" s="122">
        <f t="shared" ref="M133:O133" si="48">M131+M132</f>
        <v>-1560.926776640667</v>
      </c>
      <c r="N133" s="122">
        <f t="shared" si="48"/>
        <v>-1447.4505441665206</v>
      </c>
      <c r="O133" s="122">
        <f t="shared" si="48"/>
        <v>-1341.8237574503937</v>
      </c>
    </row>
    <row r="134" spans="2:18" x14ac:dyDescent="0.25">
      <c r="E134" t="s">
        <v>241</v>
      </c>
      <c r="H134" s="122">
        <v>339.6</v>
      </c>
      <c r="I134" s="122">
        <v>-93.7</v>
      </c>
      <c r="J134" s="122">
        <v>291</v>
      </c>
      <c r="K134" s="122">
        <f>(I134/I26)*K26</f>
        <v>-98.428931510698817</v>
      </c>
      <c r="L134" s="122">
        <f>-(K134/K26)*L26</f>
        <v>102.149797015815</v>
      </c>
      <c r="M134" s="122">
        <f>-(L134/L26)*M26</f>
        <v>-107.36678654622024</v>
      </c>
      <c r="N134" s="122">
        <f>-(M134/M26)*N26</f>
        <v>112.86182559737919</v>
      </c>
      <c r="O134" s="122">
        <f>-(N134/N26)*O26</f>
        <v>-118.64973335641929</v>
      </c>
    </row>
    <row r="135" spans="2:18" x14ac:dyDescent="0.25">
      <c r="B135" s="5" t="s">
        <v>242</v>
      </c>
      <c r="H135" s="122">
        <v>4397.3</v>
      </c>
      <c r="I135" s="122">
        <v>6008.7</v>
      </c>
      <c r="J135" s="122">
        <v>6095.6</v>
      </c>
      <c r="K135" s="122">
        <f ca="1">SUM(K113:K134)-K131-K132</f>
        <v>5018.4955190675182</v>
      </c>
      <c r="L135" s="122">
        <f t="shared" ref="L135:O135" ca="1" si="49">SUM(L113:L134)-L131-L132</f>
        <v>5553.1868369246904</v>
      </c>
      <c r="M135" s="122">
        <f t="shared" ca="1" si="49"/>
        <v>5922.7452702191713</v>
      </c>
      <c r="N135" s="122">
        <f t="shared" ca="1" si="49"/>
        <v>6805.5441826321021</v>
      </c>
      <c r="O135" s="122">
        <f t="shared" ca="1" si="49"/>
        <v>7251.5459815259728</v>
      </c>
    </row>
    <row r="136" spans="2:18" ht="3" customHeight="1" x14ac:dyDescent="0.25">
      <c r="H136" s="122"/>
      <c r="I136" s="122"/>
      <c r="J136" s="122"/>
      <c r="K136" s="122"/>
      <c r="L136" s="122"/>
      <c r="M136" s="122"/>
      <c r="N136" s="122"/>
      <c r="O136" s="122"/>
    </row>
    <row r="137" spans="2:18" x14ac:dyDescent="0.25">
      <c r="B137" s="5" t="s">
        <v>243</v>
      </c>
      <c r="H137" s="122"/>
      <c r="I137" s="122"/>
      <c r="J137" s="122"/>
      <c r="K137" s="122"/>
      <c r="L137" s="122"/>
      <c r="M137" s="122"/>
      <c r="N137" s="122"/>
      <c r="O137" s="122"/>
      <c r="R137" t="s">
        <v>383</v>
      </c>
    </row>
    <row r="138" spans="2:18" x14ac:dyDescent="0.25">
      <c r="C138" t="s">
        <v>244</v>
      </c>
      <c r="H138" s="122">
        <v>-377.9</v>
      </c>
      <c r="I138" s="122">
        <v>-610.5</v>
      </c>
      <c r="J138" s="122">
        <v>-627.5</v>
      </c>
      <c r="K138" s="122">
        <f>Assumptions!L60</f>
        <v>-538.63333333333333</v>
      </c>
      <c r="L138" s="122">
        <f>Assumptions!M60</f>
        <v>-538.63333333333333</v>
      </c>
      <c r="M138" s="122">
        <f>Assumptions!N60</f>
        <v>-538.63333333333333</v>
      </c>
      <c r="N138" s="122">
        <f>Assumptions!O60</f>
        <v>-538.63333333333333</v>
      </c>
      <c r="O138" s="122">
        <f>Assumptions!P60</f>
        <v>-538.63333333333333</v>
      </c>
      <c r="R138" t="s">
        <v>384</v>
      </c>
    </row>
    <row r="139" spans="2:18" x14ac:dyDescent="0.25">
      <c r="C139" t="s">
        <v>245</v>
      </c>
      <c r="H139" s="122">
        <v>72.599999999999994</v>
      </c>
      <c r="I139" s="122">
        <v>2.5</v>
      </c>
      <c r="J139" s="122">
        <v>10.3</v>
      </c>
      <c r="K139" s="122">
        <f>J139</f>
        <v>10.3</v>
      </c>
      <c r="L139" s="122">
        <f t="shared" ref="L139:O139" si="50">K139</f>
        <v>10.3</v>
      </c>
      <c r="M139" s="122">
        <f>L139</f>
        <v>10.3</v>
      </c>
      <c r="N139" s="122">
        <f t="shared" si="50"/>
        <v>10.3</v>
      </c>
      <c r="O139" s="122">
        <f t="shared" si="50"/>
        <v>10.3</v>
      </c>
    </row>
    <row r="140" spans="2:18" x14ac:dyDescent="0.25">
      <c r="C140" t="s">
        <v>246</v>
      </c>
      <c r="H140" s="122">
        <f>Assumptions!I62</f>
        <v>67.3</v>
      </c>
      <c r="I140" s="122">
        <f>Assumptions!J62</f>
        <v>616.9</v>
      </c>
      <c r="J140" s="122">
        <f>Assumptions!K62</f>
        <v>768.2</v>
      </c>
      <c r="K140" s="122">
        <f>Assumptions!L62</f>
        <v>528.33333333333337</v>
      </c>
      <c r="L140" s="122">
        <f>Assumptions!M62</f>
        <v>528.33333333333337</v>
      </c>
      <c r="M140" s="122">
        <f>Assumptions!N62</f>
        <v>528.33333333333337</v>
      </c>
      <c r="N140" s="122">
        <f>Assumptions!O62</f>
        <v>528.33333333333337</v>
      </c>
      <c r="O140" s="122">
        <f>Assumptions!P62</f>
        <v>528.33333333333337</v>
      </c>
    </row>
    <row r="141" spans="2:18" x14ac:dyDescent="0.25">
      <c r="C141" t="s">
        <v>247</v>
      </c>
      <c r="H141" s="122">
        <v>-1841.3</v>
      </c>
      <c r="I141" s="122">
        <v>-2333.6</v>
      </c>
      <c r="J141" s="122">
        <v>-2777.5</v>
      </c>
      <c r="K141" s="122">
        <f>-K252</f>
        <v>-2915.6011717219449</v>
      </c>
      <c r="L141" s="122">
        <f t="shared" ref="L141:O141" si="51">-L252</f>
        <v>-3025.8183574622708</v>
      </c>
      <c r="M141" s="122">
        <f t="shared" si="51"/>
        <v>-3180.3528073872635</v>
      </c>
      <c r="N141" s="122">
        <f t="shared" si="51"/>
        <v>-3343.1234689226421</v>
      </c>
      <c r="O141" s="122">
        <f t="shared" si="51"/>
        <v>-3514.5693069000822</v>
      </c>
    </row>
    <row r="142" spans="2:18" x14ac:dyDescent="0.25">
      <c r="C142" t="s">
        <v>248</v>
      </c>
      <c r="H142" s="122">
        <v>0</v>
      </c>
      <c r="I142" s="122">
        <v>110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</row>
    <row r="143" spans="2:18" x14ac:dyDescent="0.25">
      <c r="C143" t="s">
        <v>249</v>
      </c>
      <c r="H143" s="122">
        <v>59.3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</row>
    <row r="144" spans="2:18" x14ac:dyDescent="0.25">
      <c r="C144" t="s">
        <v>110</v>
      </c>
      <c r="H144" s="122">
        <v>-126.3</v>
      </c>
      <c r="I144" s="122">
        <v>-56.1</v>
      </c>
      <c r="J144" s="122">
        <v>-72.7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</row>
    <row r="145" spans="2:15" x14ac:dyDescent="0.25">
      <c r="B145" s="5" t="s">
        <v>250</v>
      </c>
      <c r="H145" s="122">
        <f>SUM(H138:H144)</f>
        <v>-2146.2999999999997</v>
      </c>
      <c r="I145" s="122">
        <f t="shared" ref="I145:J145" si="52">SUM(I138:I144)</f>
        <v>-2270.7999999999997</v>
      </c>
      <c r="J145" s="122">
        <f t="shared" si="52"/>
        <v>-2699.2</v>
      </c>
      <c r="K145" s="122">
        <f>SUM(K138:K144)</f>
        <v>-2915.6011717219449</v>
      </c>
      <c r="L145" s="122">
        <f t="shared" ref="L145" si="53">SUM(L138:L144)</f>
        <v>-3025.8183574622708</v>
      </c>
      <c r="M145" s="122">
        <f>SUM(M138:M144)</f>
        <v>-3180.3528073872635</v>
      </c>
      <c r="N145" s="122">
        <f t="shared" ref="N145" si="54">SUM(N138:N144)</f>
        <v>-3343.1234689226421</v>
      </c>
      <c r="O145" s="122">
        <f t="shared" ref="O145" si="55">SUM(O138:O144)</f>
        <v>-3514.5693069000822</v>
      </c>
    </row>
    <row r="146" spans="2:15" ht="3.75" customHeight="1" x14ac:dyDescent="0.25">
      <c r="H146" s="122"/>
      <c r="I146" s="122"/>
      <c r="J146" s="122"/>
      <c r="K146" s="122"/>
      <c r="L146" s="122"/>
      <c r="M146" s="122"/>
      <c r="N146" s="122"/>
      <c r="O146" s="122"/>
    </row>
    <row r="147" spans="2:15" x14ac:dyDescent="0.25">
      <c r="B147" s="5" t="s">
        <v>251</v>
      </c>
      <c r="H147" s="122"/>
      <c r="I147" s="122"/>
      <c r="J147" s="122"/>
      <c r="K147" s="122"/>
      <c r="L147" s="122"/>
      <c r="M147" s="122"/>
      <c r="N147" s="122"/>
      <c r="O147" s="122"/>
    </row>
    <row r="148" spans="2:15" x14ac:dyDescent="0.25">
      <c r="C148" t="s">
        <v>381</v>
      </c>
      <c r="H148" s="122">
        <f>Assumptions!I66</f>
        <v>175</v>
      </c>
      <c r="I148" s="122">
        <f>Assumptions!J66</f>
        <v>-175</v>
      </c>
      <c r="J148" s="122">
        <f>Assumptions!K66</f>
        <v>0</v>
      </c>
      <c r="K148" s="122">
        <f>Assumptions!L66</f>
        <v>0</v>
      </c>
      <c r="L148" s="122">
        <f>Assumptions!M66</f>
        <v>0</v>
      </c>
      <c r="M148" s="122">
        <f>Assumptions!N66</f>
        <v>0</v>
      </c>
      <c r="N148" s="122">
        <f>Assumptions!O66</f>
        <v>0</v>
      </c>
      <c r="O148" s="122">
        <f>Assumptions!P66</f>
        <v>0</v>
      </c>
    </row>
    <row r="149" spans="2:15" x14ac:dyDescent="0.25">
      <c r="C149" t="s">
        <v>252</v>
      </c>
      <c r="H149" s="122">
        <f>Assumptions!I67</f>
        <v>36.6</v>
      </c>
      <c r="I149" s="122">
        <f>Assumptions!J67</f>
        <v>114.6</v>
      </c>
      <c r="J149" s="122">
        <f>Assumptions!K67</f>
        <v>123.8</v>
      </c>
      <c r="K149" s="122">
        <f ca="1">Assumptions!L67+K375</f>
        <v>0</v>
      </c>
      <c r="L149" s="122">
        <f ca="1">Assumptions!M67+L375</f>
        <v>0</v>
      </c>
      <c r="M149" s="122">
        <f ca="1">Assumptions!N67+M375</f>
        <v>0</v>
      </c>
      <c r="N149" s="122">
        <f ca="1">Assumptions!O67+N375</f>
        <v>0</v>
      </c>
      <c r="O149" s="122">
        <f ca="1">Assumptions!P67+O375</f>
        <v>0</v>
      </c>
    </row>
    <row r="150" spans="2:15" x14ac:dyDescent="0.25">
      <c r="C150" t="s">
        <v>253</v>
      </c>
      <c r="H150" s="122">
        <f>Assumptions!I68</f>
        <v>-36.6</v>
      </c>
      <c r="I150" s="122">
        <f>Assumptions!J68</f>
        <v>-78.8</v>
      </c>
      <c r="J150" s="122">
        <f>Assumptions!K68</f>
        <v>-157.5</v>
      </c>
      <c r="K150" s="122">
        <f>Assumptions!L68</f>
        <v>0</v>
      </c>
      <c r="L150" s="122">
        <f>Assumptions!M68</f>
        <v>0</v>
      </c>
      <c r="M150" s="122">
        <f>Assumptions!N68</f>
        <v>0</v>
      </c>
      <c r="N150" s="122">
        <f>Assumptions!O68</f>
        <v>0</v>
      </c>
      <c r="O150" s="122">
        <f>Assumptions!P68</f>
        <v>0</v>
      </c>
    </row>
    <row r="151" spans="2:15" x14ac:dyDescent="0.25">
      <c r="C151" t="s">
        <v>254</v>
      </c>
      <c r="H151" s="122">
        <v>1498.1</v>
      </c>
      <c r="I151" s="122">
        <v>1497.8</v>
      </c>
      <c r="J151" s="122">
        <v>1995.3</v>
      </c>
      <c r="K151" s="122">
        <f>K351</f>
        <v>1300</v>
      </c>
      <c r="L151" s="122">
        <f t="shared" ref="L151:O151" si="56">L351</f>
        <v>1600</v>
      </c>
      <c r="M151" s="122">
        <f t="shared" si="56"/>
        <v>1600</v>
      </c>
      <c r="N151" s="122">
        <f t="shared" si="56"/>
        <v>700</v>
      </c>
      <c r="O151" s="122">
        <f t="shared" si="56"/>
        <v>1900</v>
      </c>
    </row>
    <row r="152" spans="2:15" x14ac:dyDescent="0.25">
      <c r="C152" t="s">
        <v>255</v>
      </c>
      <c r="H152" s="122">
        <v>-1000</v>
      </c>
      <c r="I152" s="122">
        <v>-1000</v>
      </c>
      <c r="J152" s="122">
        <v>-1825.1</v>
      </c>
      <c r="K152" s="122">
        <f>K352</f>
        <v>-1250</v>
      </c>
      <c r="L152" s="122">
        <f t="shared" ref="L152:O152" si="57">L352</f>
        <v>-1500</v>
      </c>
      <c r="M152" s="122">
        <f t="shared" si="57"/>
        <v>-1500</v>
      </c>
      <c r="N152" s="122">
        <f t="shared" si="57"/>
        <v>-600</v>
      </c>
      <c r="O152" s="122">
        <f t="shared" si="57"/>
        <v>-1750</v>
      </c>
    </row>
    <row r="153" spans="2:15" x14ac:dyDescent="0.25">
      <c r="C153" t="s">
        <v>114</v>
      </c>
      <c r="H153" s="122">
        <f>Assumptions!I69</f>
        <v>101.6</v>
      </c>
      <c r="I153" s="122">
        <f>Assumptions!J69</f>
        <v>167.4</v>
      </c>
      <c r="J153" s="122">
        <f>Assumptions!K69</f>
        <v>108</v>
      </c>
      <c r="K153" s="122">
        <f>MAX(K392-K120, 0)</f>
        <v>72.572279999999978</v>
      </c>
      <c r="L153" s="122">
        <f>MAX(L392-L120, 0)</f>
        <v>72.572279999999978</v>
      </c>
      <c r="M153" s="122">
        <f>MAX(M392-M120, 0)</f>
        <v>72.572279999999978</v>
      </c>
      <c r="N153" s="122">
        <f>MAX(N392-N120, 0)</f>
        <v>72.572279999999978</v>
      </c>
      <c r="O153" s="122">
        <f>MAX(O392-O120, 0)</f>
        <v>72.572279999999978</v>
      </c>
    </row>
    <row r="154" spans="2:15" x14ac:dyDescent="0.25">
      <c r="C154" t="s">
        <v>256</v>
      </c>
      <c r="H154" s="122">
        <v>-2263.3000000000002</v>
      </c>
      <c r="I154" s="122">
        <v>-2431.8000000000002</v>
      </c>
      <c r="J154" s="122">
        <v>-2585</v>
      </c>
      <c r="K154" s="122">
        <f ca="1">-K397</f>
        <v>-2485.8849174149254</v>
      </c>
      <c r="L154" s="122">
        <f t="shared" ref="L154:O154" ca="1" si="58">-L397</f>
        <v>-2402.7370461611222</v>
      </c>
      <c r="M154" s="122">
        <f t="shared" ca="1" si="58"/>
        <v>-2576.3076574486936</v>
      </c>
      <c r="N154" s="122">
        <f t="shared" ca="1" si="58"/>
        <v>-2765.3898844797427</v>
      </c>
      <c r="O154" s="122">
        <f t="shared" ca="1" si="58"/>
        <v>-2970.7301658822271</v>
      </c>
    </row>
    <row r="155" spans="2:15" x14ac:dyDescent="0.25">
      <c r="C155" t="s">
        <v>257</v>
      </c>
      <c r="H155" s="122">
        <v>-4013</v>
      </c>
      <c r="I155" s="122">
        <v>-984.4</v>
      </c>
      <c r="J155" s="122">
        <v>-1266.7</v>
      </c>
      <c r="K155" s="122">
        <f>K393</f>
        <v>-562.7432</v>
      </c>
      <c r="L155" s="122">
        <f t="shared" ref="L155:O155" si="59">L393</f>
        <v>-562.7432</v>
      </c>
      <c r="M155" s="122">
        <f t="shared" si="59"/>
        <v>-562.7432</v>
      </c>
      <c r="N155" s="122">
        <f t="shared" si="59"/>
        <v>-562.7432</v>
      </c>
      <c r="O155" s="122">
        <f t="shared" si="59"/>
        <v>-562.7432</v>
      </c>
    </row>
    <row r="156" spans="2:15" x14ac:dyDescent="0.25">
      <c r="C156" t="s">
        <v>382</v>
      </c>
      <c r="H156" s="122">
        <f>Assumptions!I70</f>
        <v>-127</v>
      </c>
      <c r="I156" s="122">
        <f>Assumptions!J70</f>
        <v>-89.3</v>
      </c>
      <c r="J156" s="122">
        <f>Assumptions!K70</f>
        <v>-100.4</v>
      </c>
      <c r="K156" s="122">
        <f>Assumptions!L70</f>
        <v>-105.56666666666668</v>
      </c>
      <c r="L156" s="122">
        <f>Assumptions!M70</f>
        <v>-105.56666666666668</v>
      </c>
      <c r="M156" s="122">
        <f>Assumptions!N70</f>
        <v>-105.56666666666668</v>
      </c>
      <c r="N156" s="122">
        <f>Assumptions!O70</f>
        <v>-105.56666666666668</v>
      </c>
      <c r="O156" s="122">
        <f>Assumptions!P70</f>
        <v>-105.56666666666668</v>
      </c>
    </row>
    <row r="157" spans="2:15" x14ac:dyDescent="0.25">
      <c r="C157" t="s">
        <v>110</v>
      </c>
      <c r="H157" s="122">
        <f>Assumptions!I71</f>
        <v>-9.1999999999999993</v>
      </c>
      <c r="I157" s="122">
        <f>Assumptions!J71</f>
        <v>-11.1</v>
      </c>
      <c r="J157" s="122">
        <f>Assumptions!K71</f>
        <v>-10.6</v>
      </c>
      <c r="K157" s="122">
        <v>0</v>
      </c>
      <c r="L157" s="122">
        <f>K157</f>
        <v>0</v>
      </c>
      <c r="M157" s="122">
        <f>L157</f>
        <v>0</v>
      </c>
      <c r="N157" s="122">
        <f t="shared" ref="N157:O157" si="60">M157</f>
        <v>0</v>
      </c>
      <c r="O157" s="122">
        <f t="shared" si="60"/>
        <v>0</v>
      </c>
    </row>
    <row r="158" spans="2:15" x14ac:dyDescent="0.25">
      <c r="B158" s="5" t="s">
        <v>258</v>
      </c>
      <c r="H158" s="122">
        <f>SUM(H148:H157)</f>
        <v>-5637.8</v>
      </c>
      <c r="I158" s="122">
        <f t="shared" ref="I158:O158" si="61">SUM(I148:I157)</f>
        <v>-2990.6000000000004</v>
      </c>
      <c r="J158" s="122">
        <f t="shared" si="61"/>
        <v>-3718.2</v>
      </c>
      <c r="K158" s="122">
        <f t="shared" ca="1" si="61"/>
        <v>-3031.6225040815921</v>
      </c>
      <c r="L158" s="122">
        <f t="shared" ca="1" si="61"/>
        <v>-2898.4746328277888</v>
      </c>
      <c r="M158" s="122">
        <f ca="1">SUM(M148:M157)</f>
        <v>-3072.0452441153602</v>
      </c>
      <c r="N158" s="122">
        <f t="shared" ca="1" si="61"/>
        <v>-3261.1274711464093</v>
      </c>
      <c r="O158" s="122">
        <f t="shared" ca="1" si="61"/>
        <v>-3416.4677525488937</v>
      </c>
    </row>
    <row r="159" spans="2:15" ht="3.75" customHeight="1" x14ac:dyDescent="0.25">
      <c r="H159" s="122"/>
      <c r="I159" s="122"/>
      <c r="J159" s="122"/>
      <c r="K159" s="122"/>
      <c r="L159" s="122"/>
      <c r="M159" s="122"/>
      <c r="N159" s="122"/>
      <c r="O159" s="122"/>
    </row>
    <row r="160" spans="2:15" x14ac:dyDescent="0.25">
      <c r="B160" s="5" t="s">
        <v>259</v>
      </c>
      <c r="H160" s="122">
        <f>Assumptions!I72</f>
        <v>-250.3</v>
      </c>
      <c r="I160" s="122">
        <f>Assumptions!J72</f>
        <v>-14.2</v>
      </c>
      <c r="J160" s="122">
        <f>Assumptions!K72</f>
        <v>56.5</v>
      </c>
      <c r="K160" s="122">
        <f>Assumptions!L72</f>
        <v>-69.333333333333329</v>
      </c>
      <c r="L160" s="122">
        <f>Assumptions!M72</f>
        <v>-69.333333333333329</v>
      </c>
      <c r="M160" s="122">
        <f>Assumptions!N72</f>
        <v>-69.333333333333329</v>
      </c>
      <c r="N160" s="122">
        <f>Assumptions!O72</f>
        <v>-69.333333333333329</v>
      </c>
      <c r="O160" s="122">
        <f>Assumptions!P72</f>
        <v>-69.333333333333329</v>
      </c>
    </row>
    <row r="161" spans="2:22" x14ac:dyDescent="0.25">
      <c r="B161" t="s">
        <v>260</v>
      </c>
      <c r="H161" s="122">
        <v>-3637.3</v>
      </c>
      <c r="I161" s="122">
        <v>733.1</v>
      </c>
      <c r="J161" s="122">
        <v>-265.3</v>
      </c>
      <c r="K161" s="122">
        <f ca="1">K135+K145+K158+K160</f>
        <v>-998.06149006935209</v>
      </c>
      <c r="L161" s="122">
        <f t="shared" ref="L161:O161" ca="1" si="62">L135+L145+L158+L160</f>
        <v>-440.43948669870252</v>
      </c>
      <c r="M161" s="122">
        <f ca="1">M135+M145+M158+M160</f>
        <v>-398.98611461678576</v>
      </c>
      <c r="N161" s="122">
        <f t="shared" ca="1" si="62"/>
        <v>131.95990922971731</v>
      </c>
      <c r="O161" s="122">
        <f t="shared" ca="1" si="62"/>
        <v>251.17558874366358</v>
      </c>
    </row>
    <row r="162" spans="2:22" x14ac:dyDescent="0.25">
      <c r="B162" s="5" t="s">
        <v>261</v>
      </c>
      <c r="H162" s="122"/>
      <c r="I162" s="122"/>
      <c r="J162" s="122"/>
      <c r="K162" s="122"/>
      <c r="L162" s="122"/>
      <c r="M162" s="122"/>
      <c r="N162" s="122"/>
      <c r="O162" s="122"/>
    </row>
    <row r="163" spans="2:22" x14ac:dyDescent="0.25">
      <c r="B163" s="5" t="s">
        <v>262</v>
      </c>
      <c r="H163" s="122">
        <v>6455.7</v>
      </c>
      <c r="I163" s="122">
        <v>2818.4</v>
      </c>
      <c r="J163" s="122">
        <v>3551.5</v>
      </c>
      <c r="K163" s="122">
        <f>J164</f>
        <v>3286.2</v>
      </c>
      <c r="L163" s="122">
        <f t="shared" ref="L163:O163" ca="1" si="63">K164</f>
        <v>2288.1385119682977</v>
      </c>
      <c r="M163" s="122">
        <f ca="1">L164</f>
        <v>1847.6990331275767</v>
      </c>
      <c r="N163" s="122">
        <f t="shared" ca="1" si="63"/>
        <v>1448.7129486252429</v>
      </c>
      <c r="O163" s="122">
        <f t="shared" ca="1" si="63"/>
        <v>1580.6729729571955</v>
      </c>
      <c r="Q163" t="s">
        <v>326</v>
      </c>
    </row>
    <row r="164" spans="2:22" x14ac:dyDescent="0.25">
      <c r="B164" s="5" t="s">
        <v>263</v>
      </c>
      <c r="H164" s="122">
        <v>2818.4</v>
      </c>
      <c r="I164" s="122">
        <v>3551.5</v>
      </c>
      <c r="J164" s="122">
        <v>3286.2</v>
      </c>
      <c r="K164" s="122">
        <f ca="1">K163+K161</f>
        <v>2288.1385099306476</v>
      </c>
      <c r="L164" s="122">
        <f t="shared" ref="L164:O164" ca="1" si="64">L163+L161</f>
        <v>1847.6990252695953</v>
      </c>
      <c r="M164" s="122">
        <f t="shared" ca="1" si="64"/>
        <v>1448.712918510791</v>
      </c>
      <c r="N164" s="122">
        <f t="shared" ca="1" si="64"/>
        <v>1580.6728578549603</v>
      </c>
      <c r="O164" s="122">
        <f t="shared" ca="1" si="64"/>
        <v>1831.8485617008591</v>
      </c>
    </row>
    <row r="165" spans="2:22" x14ac:dyDescent="0.25">
      <c r="H165" s="122"/>
      <c r="I165" s="122"/>
      <c r="J165" s="122"/>
      <c r="K165" s="122"/>
      <c r="L165" s="122"/>
      <c r="M165" s="122"/>
      <c r="N165" s="122"/>
      <c r="O165" s="122"/>
    </row>
    <row r="166" spans="2:22" x14ac:dyDescent="0.25">
      <c r="B166" s="50" t="s">
        <v>399</v>
      </c>
      <c r="H166" s="122"/>
      <c r="I166" s="122"/>
      <c r="J166" s="122"/>
      <c r="K166" s="122">
        <f>(K196-J196)-(K216-J216)-(K209-J209)+K121+K133</f>
        <v>-419.55936506383796</v>
      </c>
      <c r="L166" s="122">
        <f>(L196-K196)-(L216-K216)-(L209-K209)+L121+L133+K166</f>
        <v>-822.26795017216273</v>
      </c>
      <c r="M166" s="122">
        <f t="shared" ref="M166:O166" si="65">(M196-L196)-(M216-L216)-(M209-L209)+M121+M133+L166</f>
        <v>-1144.056366007228</v>
      </c>
      <c r="N166" s="122">
        <f t="shared" si="65"/>
        <v>-1359.0580785810821</v>
      </c>
      <c r="O166" s="122">
        <f t="shared" si="65"/>
        <v>-1475.6437186828095</v>
      </c>
    </row>
    <row r="168" spans="2:22" x14ac:dyDescent="0.25">
      <c r="B168" s="55"/>
      <c r="C168" s="15" t="s">
        <v>406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5"/>
    </row>
    <row r="169" spans="2:22" x14ac:dyDescent="0.25">
      <c r="B169" s="54"/>
      <c r="C169" s="21" t="s">
        <v>407</v>
      </c>
      <c r="D169" s="21"/>
      <c r="E169" s="21"/>
      <c r="F169" s="21"/>
      <c r="G169" s="21"/>
      <c r="H169" s="56">
        <f>H135+H145</f>
        <v>2251.0000000000005</v>
      </c>
      <c r="I169" s="56">
        <f t="shared" ref="I169:O169" si="66">I135+I145</f>
        <v>3737.9</v>
      </c>
      <c r="J169" s="56">
        <f>J135+J145</f>
        <v>3396.4000000000005</v>
      </c>
      <c r="K169" s="56">
        <f ca="1">K135+K145</f>
        <v>2102.8943473455734</v>
      </c>
      <c r="L169" s="56">
        <f t="shared" ca="1" si="66"/>
        <v>2527.3684794624196</v>
      </c>
      <c r="M169" s="56">
        <f t="shared" ca="1" si="66"/>
        <v>2742.3924628319078</v>
      </c>
      <c r="N169" s="56">
        <f t="shared" ca="1" si="66"/>
        <v>3462.42071370946</v>
      </c>
      <c r="O169" s="57">
        <f t="shared" ca="1" si="66"/>
        <v>3736.9766746258906</v>
      </c>
      <c r="P169" s="10"/>
      <c r="Q169" s="10"/>
      <c r="R169" s="10"/>
      <c r="S169" s="10"/>
      <c r="T169" s="10"/>
      <c r="U169" s="10"/>
      <c r="V169" s="10"/>
    </row>
    <row r="170" spans="2:22" x14ac:dyDescent="0.25">
      <c r="B170" s="54"/>
      <c r="C170" s="21" t="s">
        <v>408</v>
      </c>
      <c r="D170" s="21"/>
      <c r="E170" s="21"/>
      <c r="F170" s="21"/>
      <c r="G170" s="21"/>
      <c r="H170" s="56">
        <f>H169+H85*(1-0.243)</f>
        <v>2616.5553000000004</v>
      </c>
      <c r="I170" s="56">
        <f t="shared" ref="I170:O170" si="67">I169+I85*(1-0.243)</f>
        <v>4154.3257000000003</v>
      </c>
      <c r="J170" s="56">
        <f>J169+J85*(1-0.243)</f>
        <v>3821.8340000000007</v>
      </c>
      <c r="K170" s="56">
        <f t="shared" ca="1" si="67"/>
        <v>2498.3537358855706</v>
      </c>
      <c r="L170" s="56">
        <f t="shared" ca="1" si="67"/>
        <v>2924.2031371185521</v>
      </c>
      <c r="M170" s="56">
        <f t="shared" ca="1" si="67"/>
        <v>3141.977658720311</v>
      </c>
      <c r="N170" s="56">
        <f t="shared" ca="1" si="67"/>
        <v>3864.7564478301338</v>
      </c>
      <c r="O170" s="57">
        <f t="shared" ca="1" si="67"/>
        <v>4142.0629469788355</v>
      </c>
      <c r="P170" s="10"/>
      <c r="Q170" s="10"/>
      <c r="R170" s="10"/>
      <c r="S170" s="10"/>
      <c r="T170" s="10"/>
      <c r="U170" s="10"/>
      <c r="V170" s="10"/>
    </row>
    <row r="171" spans="2:22" x14ac:dyDescent="0.25">
      <c r="B171" s="54"/>
      <c r="C171" s="21" t="s">
        <v>409</v>
      </c>
      <c r="D171" s="21"/>
      <c r="E171" s="21"/>
      <c r="F171" s="21"/>
      <c r="G171" s="21"/>
      <c r="H171" s="56">
        <f>H135/H90</f>
        <v>1.3399865919063867</v>
      </c>
      <c r="I171" s="56">
        <f t="shared" ref="I171:O171" si="68">I135/I90</f>
        <v>1.4568311310461881</v>
      </c>
      <c r="J171" s="56">
        <f t="shared" si="68"/>
        <v>1.6207822595655288</v>
      </c>
      <c r="K171" s="56">
        <f t="shared" ca="1" si="68"/>
        <v>1.391014857678609</v>
      </c>
      <c r="L171" s="56">
        <f t="shared" ca="1" si="68"/>
        <v>1.5925015758516556</v>
      </c>
      <c r="M171" s="56">
        <f t="shared" ca="1" si="68"/>
        <v>1.5840173356680838</v>
      </c>
      <c r="N171" s="56">
        <f t="shared" ca="1" si="68"/>
        <v>1.6956349209777939</v>
      </c>
      <c r="O171" s="57">
        <f t="shared" ca="1" si="68"/>
        <v>1.6818413886382064</v>
      </c>
    </row>
    <row r="172" spans="2:22" x14ac:dyDescent="0.25">
      <c r="B172" s="54"/>
      <c r="C172" s="52" t="s">
        <v>410</v>
      </c>
      <c r="D172" s="21"/>
      <c r="E172" s="21"/>
      <c r="F172" s="21"/>
      <c r="G172" s="21"/>
      <c r="H172" s="56">
        <f>H135/H26</f>
        <v>0.13634911923299939</v>
      </c>
      <c r="I172" s="56">
        <f t="shared" ref="I172:O172" si="69">I135/I26</f>
        <v>0.16702153681939982</v>
      </c>
      <c r="J172" s="56">
        <f t="shared" si="69"/>
        <v>0.16849752046925881</v>
      </c>
      <c r="K172" s="56">
        <f t="shared" ca="1" si="69"/>
        <v>0.13279518096519563</v>
      </c>
      <c r="L172" s="56">
        <f t="shared" ca="1" si="69"/>
        <v>0.14159121962197393</v>
      </c>
      <c r="M172" s="56">
        <f t="shared" ca="1" si="69"/>
        <v>0.14367613765512127</v>
      </c>
      <c r="N172" s="56">
        <f t="shared" ca="1" si="69"/>
        <v>0.15705339610830374</v>
      </c>
      <c r="O172" s="57">
        <f t="shared" ca="1" si="69"/>
        <v>0.15918252292177271</v>
      </c>
    </row>
    <row r="173" spans="2:22" x14ac:dyDescent="0.25">
      <c r="B173" s="33"/>
      <c r="C173" s="3" t="s">
        <v>411</v>
      </c>
      <c r="D173" s="3"/>
      <c r="E173" s="3"/>
      <c r="F173" s="3"/>
      <c r="G173" s="3"/>
      <c r="H173" s="20">
        <f>H154/-H170</f>
        <v>0.86499222852274504</v>
      </c>
      <c r="I173" s="20">
        <f t="shared" ref="I173:O173" si="70">I154/-I170</f>
        <v>0.58536575502493704</v>
      </c>
      <c r="J173" s="20">
        <f t="shared" si="70"/>
        <v>0.67637683897312117</v>
      </c>
      <c r="K173" s="20">
        <f t="shared" ca="1" si="70"/>
        <v>0.99500918613263334</v>
      </c>
      <c r="L173" s="20">
        <f t="shared" ca="1" si="70"/>
        <v>0.82167241244694389</v>
      </c>
      <c r="M173" s="20">
        <f t="shared" ca="1" si="70"/>
        <v>0.81996370989410283</v>
      </c>
      <c r="N173" s="20">
        <f t="shared" ca="1" si="70"/>
        <v>0.71554053193503819</v>
      </c>
      <c r="O173" s="124">
        <f t="shared" ca="1" si="70"/>
        <v>0.71721028963334255</v>
      </c>
    </row>
    <row r="176" spans="2:22" x14ac:dyDescent="0.25">
      <c r="O176" s="17" t="str">
        <f>UPPER("currently running: " &amp;CHOOSE(Scenarios!$D$6, Scenarios!$C$19, Scenarios!$C$20, Scenarios!$C$21)&amp;" scenario")</f>
        <v>CURRENTLY RUNNING: BASE CASE SCENARIO</v>
      </c>
    </row>
    <row r="177" spans="2:15" ht="28.5" x14ac:dyDescent="0.45">
      <c r="B177" s="4" t="str">
        <f>Cover!$A$7</f>
        <v>Starbucks CORP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2:15" ht="28.5" x14ac:dyDescent="0.45">
      <c r="B178" s="13" t="s">
        <v>264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81" spans="2:15" x14ac:dyDescent="0.25">
      <c r="K181" s="18" t="s">
        <v>135</v>
      </c>
      <c r="L181" s="18"/>
      <c r="M181" s="18"/>
      <c r="N181" s="18"/>
      <c r="O181" s="18"/>
    </row>
    <row r="182" spans="2:15" x14ac:dyDescent="0.25">
      <c r="H182">
        <f>I182-1</f>
        <v>2022</v>
      </c>
      <c r="I182">
        <f>J182-1</f>
        <v>2023</v>
      </c>
      <c r="J182">
        <f>K182-1</f>
        <v>2024</v>
      </c>
      <c r="K182">
        <f>Assumptions!$H$6</f>
        <v>2025</v>
      </c>
      <c r="L182">
        <f>K182+1</f>
        <v>2026</v>
      </c>
      <c r="M182">
        <f>L182+1</f>
        <v>2027</v>
      </c>
      <c r="N182">
        <f t="shared" ref="N182:O182" si="71">M182+1</f>
        <v>2028</v>
      </c>
      <c r="O182">
        <f t="shared" si="71"/>
        <v>2029</v>
      </c>
    </row>
    <row r="184" spans="2:15" x14ac:dyDescent="0.25">
      <c r="B184" s="5" t="s">
        <v>277</v>
      </c>
    </row>
    <row r="185" spans="2:15" x14ac:dyDescent="0.25">
      <c r="B185" s="5" t="s">
        <v>265</v>
      </c>
      <c r="C185" s="5"/>
    </row>
    <row r="186" spans="2:15" x14ac:dyDescent="0.25">
      <c r="C186" t="s">
        <v>266</v>
      </c>
      <c r="H186" s="123">
        <f>H164</f>
        <v>2818.4</v>
      </c>
      <c r="I186" s="123">
        <f t="shared" ref="I186:K186" si="72">I164</f>
        <v>3551.5</v>
      </c>
      <c r="J186" s="123">
        <f t="shared" si="72"/>
        <v>3286.2</v>
      </c>
      <c r="K186" s="123">
        <f t="shared" ca="1" si="72"/>
        <v>2288.1385099306476</v>
      </c>
      <c r="L186" s="123">
        <f t="shared" ref="L186:O186" ca="1" si="73">L164</f>
        <v>1847.6990252695953</v>
      </c>
      <c r="M186" s="123">
        <f t="shared" ca="1" si="73"/>
        <v>1448.712918510791</v>
      </c>
      <c r="N186" s="123">
        <f t="shared" ca="1" si="73"/>
        <v>1580.6728578549603</v>
      </c>
      <c r="O186" s="123">
        <f t="shared" ca="1" si="73"/>
        <v>1831.8485617008591</v>
      </c>
    </row>
    <row r="187" spans="2:15" x14ac:dyDescent="0.25">
      <c r="C187" t="s">
        <v>267</v>
      </c>
      <c r="H187" s="123">
        <v>364.5</v>
      </c>
      <c r="I187" s="123">
        <v>401.5</v>
      </c>
      <c r="J187" s="123">
        <v>257</v>
      </c>
      <c r="K187" s="123">
        <f>J187-(K138+K139+K140)/2</f>
        <v>257</v>
      </c>
      <c r="L187" s="123">
        <f t="shared" ref="L187:O187" si="74">K187-(L138+L139+L140)/2</f>
        <v>257</v>
      </c>
      <c r="M187" s="123">
        <f t="shared" si="74"/>
        <v>257</v>
      </c>
      <c r="N187" s="123">
        <f t="shared" si="74"/>
        <v>257</v>
      </c>
      <c r="O187" s="123">
        <f t="shared" si="74"/>
        <v>257</v>
      </c>
    </row>
    <row r="188" spans="2:15" x14ac:dyDescent="0.25">
      <c r="C188" t="s">
        <v>268</v>
      </c>
      <c r="H188" s="123">
        <f>H317</f>
        <v>1175.5</v>
      </c>
      <c r="I188" s="123">
        <f>I317</f>
        <v>1184.0999999999999</v>
      </c>
      <c r="J188" s="123">
        <v>1213.8</v>
      </c>
      <c r="K188" s="123">
        <f t="shared" ref="K188" ca="1" si="75">K317</f>
        <v>1283.7898841621015</v>
      </c>
      <c r="L188" s="123">
        <f t="shared" ref="L188:O188" ca="1" si="76">L317</f>
        <v>1332.3204271892464</v>
      </c>
      <c r="M188" s="123">
        <f t="shared" ca="1" si="76"/>
        <v>1400.3646321005415</v>
      </c>
      <c r="N188" s="123">
        <f t="shared" ca="1" si="76"/>
        <v>1468.0134295703533</v>
      </c>
      <c r="O188" s="123">
        <f t="shared" ca="1" si="76"/>
        <v>1547.5259672502393</v>
      </c>
    </row>
    <row r="189" spans="2:15" x14ac:dyDescent="0.25">
      <c r="C189" t="s">
        <v>317</v>
      </c>
      <c r="H189" s="123">
        <f>H318</f>
        <v>2176.6</v>
      </c>
      <c r="I189" s="123">
        <f>I318</f>
        <v>1806.4</v>
      </c>
      <c r="J189" s="123">
        <f>J318</f>
        <v>1777.3</v>
      </c>
      <c r="K189" s="123">
        <f t="shared" ref="K189" si="77">K318</f>
        <v>1950.9700068626148</v>
      </c>
      <c r="L189" s="123">
        <f t="shared" ref="L189:O189" si="78">L318</f>
        <v>2030.8988925612218</v>
      </c>
      <c r="M189" s="123">
        <f t="shared" si="78"/>
        <v>2114.1023682056252</v>
      </c>
      <c r="N189" s="123">
        <f t="shared" si="78"/>
        <v>2194.701708399487</v>
      </c>
      <c r="O189" s="123">
        <f t="shared" si="78"/>
        <v>2290.8752095271784</v>
      </c>
    </row>
    <row r="190" spans="2:15" x14ac:dyDescent="0.25">
      <c r="C190" t="s">
        <v>269</v>
      </c>
      <c r="H190" s="123">
        <f>Assumptions!I79</f>
        <v>483.7</v>
      </c>
      <c r="I190" s="123">
        <f>Assumptions!J79</f>
        <v>359.9</v>
      </c>
      <c r="J190" s="123">
        <f>Assumptions!K79</f>
        <v>313.10000000000002</v>
      </c>
      <c r="K190" s="123">
        <f>J190-K134</f>
        <v>411.52893151069884</v>
      </c>
      <c r="L190" s="123">
        <f t="shared" ref="L190:O190" si="79">K190-L134</f>
        <v>309.37913449488383</v>
      </c>
      <c r="M190" s="123">
        <f t="shared" si="79"/>
        <v>416.74592104110405</v>
      </c>
      <c r="N190" s="123">
        <f t="shared" si="79"/>
        <v>303.88409544372485</v>
      </c>
      <c r="O190" s="123">
        <f t="shared" si="79"/>
        <v>422.53382880014414</v>
      </c>
    </row>
    <row r="191" spans="2:15" x14ac:dyDescent="0.25">
      <c r="B191" s="5" t="s">
        <v>270</v>
      </c>
      <c r="H191" s="123">
        <f>SUM(H186:H190)</f>
        <v>7018.7</v>
      </c>
      <c r="I191" s="123">
        <f>SUM(I186:I190)</f>
        <v>7303.4</v>
      </c>
      <c r="J191" s="123">
        <v>6847.4</v>
      </c>
      <c r="K191" s="123">
        <f ca="1">SUM(K186:K190)</f>
        <v>6191.4273324660626</v>
      </c>
      <c r="L191" s="123">
        <f t="shared" ref="L191:O191" ca="1" si="80">SUM(L186:L190)</f>
        <v>5777.2974795149476</v>
      </c>
      <c r="M191" s="123">
        <f t="shared" ca="1" si="80"/>
        <v>5636.9258398580614</v>
      </c>
      <c r="N191" s="123">
        <f t="shared" ca="1" si="80"/>
        <v>5804.2720912685254</v>
      </c>
      <c r="O191" s="123">
        <f t="shared" ca="1" si="80"/>
        <v>6349.7835672784204</v>
      </c>
    </row>
    <row r="192" spans="2:15" ht="3.75" customHeight="1" x14ac:dyDescent="0.25">
      <c r="H192" s="123"/>
      <c r="I192" s="123"/>
      <c r="J192" s="123"/>
      <c r="K192" s="123"/>
      <c r="L192" s="123"/>
      <c r="M192" s="123"/>
      <c r="N192" s="123"/>
      <c r="O192" s="123"/>
    </row>
    <row r="193" spans="2:19" x14ac:dyDescent="0.25">
      <c r="B193" t="s">
        <v>271</v>
      </c>
      <c r="H193" s="123">
        <v>279.10000000000002</v>
      </c>
      <c r="I193" s="123">
        <v>247.4</v>
      </c>
      <c r="J193" s="123">
        <v>276</v>
      </c>
      <c r="K193" s="123">
        <f>J193-(K138+K139+K140)/2</f>
        <v>276</v>
      </c>
      <c r="L193" s="123">
        <f t="shared" ref="L193:O193" si="81">K193-(L138+L139+L140)/2</f>
        <v>276</v>
      </c>
      <c r="M193" s="123">
        <f t="shared" si="81"/>
        <v>276</v>
      </c>
      <c r="N193" s="123">
        <f t="shared" si="81"/>
        <v>276</v>
      </c>
      <c r="O193" s="123">
        <f t="shared" si="81"/>
        <v>276</v>
      </c>
    </row>
    <row r="194" spans="2:19" x14ac:dyDescent="0.25">
      <c r="B194" t="s">
        <v>125</v>
      </c>
      <c r="H194" s="123">
        <v>311.2</v>
      </c>
      <c r="I194" s="123">
        <v>439.9</v>
      </c>
      <c r="J194" s="123">
        <v>463.9</v>
      </c>
      <c r="K194" s="123">
        <f>Assumptions!L84</f>
        <v>463.9</v>
      </c>
      <c r="L194" s="123">
        <f>Assumptions!M84</f>
        <v>463.9</v>
      </c>
      <c r="M194" s="123">
        <f>Assumptions!N84</f>
        <v>463.9</v>
      </c>
      <c r="N194" s="123">
        <f>Assumptions!O84</f>
        <v>463.9</v>
      </c>
      <c r="O194" s="123">
        <f>Assumptions!P84</f>
        <v>463.9</v>
      </c>
    </row>
    <row r="195" spans="2:19" x14ac:dyDescent="0.25">
      <c r="B195" t="s">
        <v>272</v>
      </c>
      <c r="H195" s="123">
        <v>6560.5</v>
      </c>
      <c r="I195" s="123">
        <v>7387.1</v>
      </c>
      <c r="J195" s="123">
        <v>8665.5</v>
      </c>
      <c r="K195" s="123">
        <f>K270-SUM($K$122:K122)</f>
        <v>9704.810050364882</v>
      </c>
      <c r="L195" s="123">
        <f>L270-SUM($K$122:L122)</f>
        <v>10614.372602217984</v>
      </c>
      <c r="M195" s="123">
        <f>M270-SUM($K$122:M122)</f>
        <v>11413.476404413064</v>
      </c>
      <c r="N195" s="123">
        <f>N270-SUM($K$122:N122)</f>
        <v>12096.463071085227</v>
      </c>
      <c r="O195" s="123">
        <f>O270-SUM($K$122:O122)</f>
        <v>12656.801533177093</v>
      </c>
    </row>
    <row r="196" spans="2:19" x14ac:dyDescent="0.25">
      <c r="B196" t="s">
        <v>273</v>
      </c>
      <c r="H196" s="123">
        <f>Assumptions!I80</f>
        <v>8015.6</v>
      </c>
      <c r="I196" s="123">
        <f>Assumptions!J80</f>
        <v>8412.6</v>
      </c>
      <c r="J196" s="123">
        <f>Assumptions!K80</f>
        <v>9286.2000000000007</v>
      </c>
      <c r="K196" s="123">
        <f>Assumptions!L80</f>
        <v>10009.693131042141</v>
      </c>
      <c r="L196" s="123">
        <f>Assumptions!M80</f>
        <v>10789.554023996059</v>
      </c>
      <c r="M196" s="123">
        <f>Assumptions!N80</f>
        <v>11630.174323297089</v>
      </c>
      <c r="N196" s="123">
        <f>Assumptions!O80</f>
        <v>12536.287828899824</v>
      </c>
      <c r="O196" s="123">
        <f>Assumptions!P80</f>
        <v>13512.997153809496</v>
      </c>
    </row>
    <row r="197" spans="2:19" x14ac:dyDescent="0.25">
      <c r="B197" s="50" t="s">
        <v>399</v>
      </c>
      <c r="H197" s="123"/>
      <c r="I197" s="123"/>
      <c r="J197" s="123"/>
      <c r="K197" s="123">
        <f>-K166</f>
        <v>419.55936506383796</v>
      </c>
      <c r="L197" s="123">
        <f t="shared" ref="L197:O197" si="82">-L166</f>
        <v>822.26795017216273</v>
      </c>
      <c r="M197" s="123">
        <f t="shared" si="82"/>
        <v>1144.056366007228</v>
      </c>
      <c r="N197" s="123">
        <f t="shared" si="82"/>
        <v>1359.0580785810821</v>
      </c>
      <c r="O197" s="123">
        <f t="shared" si="82"/>
        <v>1475.6437186828095</v>
      </c>
    </row>
    <row r="198" spans="2:19" x14ac:dyDescent="0.25">
      <c r="B198" t="s">
        <v>274</v>
      </c>
      <c r="H198" s="123">
        <v>1799.7</v>
      </c>
      <c r="I198" s="123">
        <v>1769.8</v>
      </c>
      <c r="J198" s="123">
        <v>1766.7</v>
      </c>
      <c r="K198" s="123">
        <f ca="1">J198-K290</f>
        <v>1779.4988294590464</v>
      </c>
      <c r="L198" s="123">
        <f t="shared" ref="L198:O198" ca="1" si="83">K198-L290</f>
        <v>1791.8695637087753</v>
      </c>
      <c r="M198" s="123">
        <f t="shared" ca="1" si="83"/>
        <v>1805.1339437734853</v>
      </c>
      <c r="N198" s="123">
        <f t="shared" ca="1" si="83"/>
        <v>1819.3718327728018</v>
      </c>
      <c r="O198" s="123">
        <f t="shared" ca="1" si="83"/>
        <v>1834.6669369409829</v>
      </c>
      <c r="S198" s="10"/>
    </row>
    <row r="199" spans="2:19" x14ac:dyDescent="0.25">
      <c r="B199" t="s">
        <v>275</v>
      </c>
      <c r="H199" s="123">
        <f>Assumptions!I82</f>
        <v>554.20000000000005</v>
      </c>
      <c r="I199" s="123">
        <f>Assumptions!J82</f>
        <v>546.5</v>
      </c>
      <c r="J199" s="123">
        <f>Assumptions!K82</f>
        <v>617</v>
      </c>
      <c r="K199" s="123">
        <f>Assumptions!L82</f>
        <v>617</v>
      </c>
      <c r="L199" s="123">
        <f>Assumptions!M82</f>
        <v>617</v>
      </c>
      <c r="M199" s="123">
        <f>Assumptions!N82</f>
        <v>617</v>
      </c>
      <c r="N199" s="123">
        <f>Assumptions!O82</f>
        <v>617</v>
      </c>
      <c r="O199" s="123">
        <f>Assumptions!P82</f>
        <v>617</v>
      </c>
    </row>
    <row r="200" spans="2:19" x14ac:dyDescent="0.25">
      <c r="B200" t="s">
        <v>276</v>
      </c>
      <c r="H200" s="123">
        <f>Assumptions!I81</f>
        <v>155.9</v>
      </c>
      <c r="I200" s="123">
        <f>Assumptions!J81</f>
        <v>120.5</v>
      </c>
      <c r="J200" s="123">
        <f>Assumptions!K81</f>
        <v>100.9</v>
      </c>
      <c r="K200" s="123">
        <f>Assumptions!L81</f>
        <v>100.9</v>
      </c>
      <c r="L200" s="123">
        <f>Assumptions!M81</f>
        <v>100.9</v>
      </c>
      <c r="M200" s="123">
        <f>Assumptions!N81</f>
        <v>100.9</v>
      </c>
      <c r="N200" s="123">
        <f>Assumptions!O81</f>
        <v>100.9</v>
      </c>
      <c r="O200" s="123">
        <f>Assumptions!P81</f>
        <v>100.9</v>
      </c>
      <c r="Q200" t="s">
        <v>396</v>
      </c>
    </row>
    <row r="201" spans="2:19" x14ac:dyDescent="0.25">
      <c r="B201" t="s">
        <v>124</v>
      </c>
      <c r="H201" s="123">
        <v>3283.5</v>
      </c>
      <c r="I201" s="123">
        <v>3218.3</v>
      </c>
      <c r="J201" s="123">
        <v>3315.7</v>
      </c>
      <c r="K201" s="123">
        <f>Assumptions!L83</f>
        <v>3315.7</v>
      </c>
      <c r="L201" s="123">
        <f>Assumptions!M83</f>
        <v>3315.7</v>
      </c>
      <c r="M201" s="123">
        <f>Assumptions!N83</f>
        <v>3315.7</v>
      </c>
      <c r="N201" s="123">
        <f>Assumptions!O83</f>
        <v>3315.7</v>
      </c>
      <c r="O201" s="123">
        <f>Assumptions!P83</f>
        <v>3315.7</v>
      </c>
    </row>
    <row r="202" spans="2:19" x14ac:dyDescent="0.25">
      <c r="B202" s="5" t="s">
        <v>300</v>
      </c>
      <c r="H202" s="123">
        <f t="shared" ref="H202:O202" si="84">SUM(H191:H201)</f>
        <v>27978.400000000001</v>
      </c>
      <c r="I202" s="123">
        <f t="shared" si="84"/>
        <v>29445.5</v>
      </c>
      <c r="J202" s="123">
        <f t="shared" si="84"/>
        <v>31339.300000000003</v>
      </c>
      <c r="K202" s="123">
        <f t="shared" ca="1" si="84"/>
        <v>32878.488708395969</v>
      </c>
      <c r="L202" s="123">
        <f t="shared" ca="1" si="84"/>
        <v>34568.861619609925</v>
      </c>
      <c r="M202" s="123">
        <f t="shared" ca="1" si="84"/>
        <v>36403.266877348928</v>
      </c>
      <c r="N202" s="123">
        <f t="shared" ca="1" si="84"/>
        <v>38388.952902607452</v>
      </c>
      <c r="O202" s="123">
        <f t="shared" ca="1" si="84"/>
        <v>40603.392909888797</v>
      </c>
    </row>
    <row r="203" spans="2:19" ht="4.5" customHeight="1" x14ac:dyDescent="0.25">
      <c r="H203" s="123"/>
      <c r="I203" s="123"/>
      <c r="J203" s="123"/>
      <c r="K203" s="123"/>
      <c r="L203" s="123"/>
      <c r="M203" s="123"/>
      <c r="N203" s="123"/>
      <c r="O203" s="123"/>
    </row>
    <row r="204" spans="2:19" x14ac:dyDescent="0.25">
      <c r="B204" s="5" t="s">
        <v>278</v>
      </c>
      <c r="H204" s="123"/>
      <c r="I204" s="123"/>
      <c r="J204" s="123"/>
      <c r="K204" s="123"/>
      <c r="L204" s="123"/>
      <c r="M204" s="123"/>
      <c r="N204" s="123"/>
      <c r="O204" s="123"/>
    </row>
    <row r="205" spans="2:19" x14ac:dyDescent="0.25">
      <c r="B205" s="5" t="s">
        <v>279</v>
      </c>
      <c r="H205" s="123"/>
      <c r="I205" s="123"/>
      <c r="J205" s="123"/>
      <c r="K205" s="123"/>
      <c r="L205" s="123"/>
      <c r="M205" s="123"/>
      <c r="N205" s="123"/>
      <c r="O205" s="123"/>
    </row>
    <row r="206" spans="2:19" x14ac:dyDescent="0.25">
      <c r="C206" t="s">
        <v>280</v>
      </c>
      <c r="H206" s="123">
        <f>H319</f>
        <v>1441.4</v>
      </c>
      <c r="I206" s="123">
        <f>I319</f>
        <v>1544.3</v>
      </c>
      <c r="J206" s="123">
        <f>J319</f>
        <v>1595.5</v>
      </c>
      <c r="K206" s="123">
        <f t="shared" ref="K206" si="85">K319</f>
        <v>1580.790478471788</v>
      </c>
      <c r="L206" s="123">
        <f t="shared" ref="L206:O206" si="86">L319</f>
        <v>1645.5535558244765</v>
      </c>
      <c r="M206" s="123">
        <f t="shared" si="86"/>
        <v>1712.9698982653028</v>
      </c>
      <c r="N206" s="123">
        <f t="shared" si="86"/>
        <v>1778.2762172253038</v>
      </c>
      <c r="O206" s="123">
        <f t="shared" si="86"/>
        <v>1856.2016360319376</v>
      </c>
    </row>
    <row r="207" spans="2:19" x14ac:dyDescent="0.25">
      <c r="C207" t="s">
        <v>282</v>
      </c>
      <c r="H207" s="123">
        <v>761.7</v>
      </c>
      <c r="I207" s="123">
        <v>828.3</v>
      </c>
      <c r="J207" s="123">
        <v>786.6</v>
      </c>
      <c r="K207" s="123">
        <f>J207</f>
        <v>786.6</v>
      </c>
      <c r="L207" s="123">
        <f t="shared" ref="L207:O207" si="87">K207</f>
        <v>786.6</v>
      </c>
      <c r="M207" s="123">
        <f t="shared" si="87"/>
        <v>786.6</v>
      </c>
      <c r="N207" s="123">
        <f t="shared" si="87"/>
        <v>786.6</v>
      </c>
      <c r="O207" s="123">
        <f t="shared" si="87"/>
        <v>786.6</v>
      </c>
    </row>
    <row r="208" spans="2:19" x14ac:dyDescent="0.25">
      <c r="C208" t="s">
        <v>281</v>
      </c>
      <c r="H208" s="123">
        <f>Assumptions!I86</f>
        <v>2137.1</v>
      </c>
      <c r="I208" s="123">
        <f>Assumptions!J86</f>
        <v>2145.1</v>
      </c>
      <c r="J208" s="123">
        <f>Assumptions!K86</f>
        <v>2194.6999999999998</v>
      </c>
      <c r="K208" s="123">
        <f>Assumptions!L86</f>
        <v>2194.6999999999998</v>
      </c>
      <c r="L208" s="123">
        <f>Assumptions!M86</f>
        <v>2194.6999999999998</v>
      </c>
      <c r="M208" s="123">
        <f>Assumptions!N86</f>
        <v>2194.6999999999998</v>
      </c>
      <c r="N208" s="123">
        <f>Assumptions!O86</f>
        <v>2194.6999999999998</v>
      </c>
      <c r="O208" s="123">
        <f>Assumptions!P86</f>
        <v>2194.6999999999998</v>
      </c>
    </row>
    <row r="209" spans="2:17" x14ac:dyDescent="0.25">
      <c r="C209" t="s">
        <v>283</v>
      </c>
      <c r="H209" s="121">
        <f>Assumptions!I92</f>
        <v>1245.7</v>
      </c>
      <c r="I209" s="121">
        <f>Assumptions!J92</f>
        <v>1275.3</v>
      </c>
      <c r="J209" s="121">
        <f>Assumptions!K92</f>
        <v>1463.1</v>
      </c>
      <c r="K209" s="121">
        <f>Assumptions!L92</f>
        <v>1577.0909543223013</v>
      </c>
      <c r="L209" s="121">
        <f>Assumptions!M92</f>
        <v>1699.9630088204683</v>
      </c>
      <c r="M209" s="121">
        <f>Assumptions!N92</f>
        <v>1832.4080950675163</v>
      </c>
      <c r="N209" s="121">
        <f>Assumptions!O92</f>
        <v>1975.1720534194103</v>
      </c>
      <c r="O209" s="121">
        <f>Assumptions!P92</f>
        <v>2129.0588330790492</v>
      </c>
    </row>
    <row r="210" spans="2:17" x14ac:dyDescent="0.25">
      <c r="C210" t="s">
        <v>378</v>
      </c>
      <c r="H210" s="123">
        <f>Assumptions!I85</f>
        <v>1641.9</v>
      </c>
      <c r="I210" s="123">
        <f>Assumptions!J85</f>
        <v>1700.2</v>
      </c>
      <c r="J210" s="123">
        <f>Assumptions!K85</f>
        <v>1781.2</v>
      </c>
      <c r="K210" s="123">
        <f>Assumptions!L85</f>
        <v>1781.2</v>
      </c>
      <c r="L210" s="123">
        <f>Assumptions!M85</f>
        <v>1781.2</v>
      </c>
      <c r="M210" s="123">
        <f>Assumptions!N85</f>
        <v>1781.2</v>
      </c>
      <c r="N210" s="123">
        <f>Assumptions!O85</f>
        <v>1781.2</v>
      </c>
      <c r="O210" s="123">
        <f>Assumptions!P85</f>
        <v>1781.2</v>
      </c>
    </row>
    <row r="211" spans="2:17" x14ac:dyDescent="0.25">
      <c r="C211" t="s">
        <v>284</v>
      </c>
      <c r="H211" s="123">
        <v>175</v>
      </c>
      <c r="I211" s="123">
        <v>33.5</v>
      </c>
      <c r="J211" s="123">
        <v>0</v>
      </c>
      <c r="K211" s="123">
        <f ca="1">K361+K376</f>
        <v>0</v>
      </c>
      <c r="L211" s="123">
        <f t="shared" ref="L211:O211" ca="1" si="88">L361+L376</f>
        <v>0</v>
      </c>
      <c r="M211" s="123">
        <f t="shared" ca="1" si="88"/>
        <v>0</v>
      </c>
      <c r="N211" s="123">
        <f t="shared" ca="1" si="88"/>
        <v>0</v>
      </c>
      <c r="O211" s="123">
        <f t="shared" ca="1" si="88"/>
        <v>0</v>
      </c>
    </row>
    <row r="212" spans="2:17" x14ac:dyDescent="0.25">
      <c r="C212" t="s">
        <v>285</v>
      </c>
      <c r="H212" s="123">
        <v>1749</v>
      </c>
      <c r="I212" s="123">
        <v>1818.6</v>
      </c>
      <c r="J212" s="123">
        <v>1248.9000000000001</v>
      </c>
      <c r="K212" s="123">
        <f>J212</f>
        <v>1248.9000000000001</v>
      </c>
      <c r="L212" s="123">
        <f t="shared" ref="L212:O212" si="89">K212</f>
        <v>1248.9000000000001</v>
      </c>
      <c r="M212" s="123">
        <f t="shared" si="89"/>
        <v>1248.9000000000001</v>
      </c>
      <c r="N212" s="123">
        <f t="shared" si="89"/>
        <v>1248.9000000000001</v>
      </c>
      <c r="O212" s="123">
        <f t="shared" si="89"/>
        <v>1248.9000000000001</v>
      </c>
    </row>
    <row r="213" spans="2:17" x14ac:dyDescent="0.25">
      <c r="B213" s="5" t="s">
        <v>286</v>
      </c>
      <c r="H213" s="123">
        <f>SUM(H206:H212)</f>
        <v>9151.8000000000011</v>
      </c>
      <c r="I213" s="123">
        <f>SUM(I206:I212)</f>
        <v>9345.2999999999993</v>
      </c>
      <c r="J213" s="123">
        <f>SUM(J206:J212)</f>
        <v>9070</v>
      </c>
      <c r="K213" s="123">
        <f ca="1">SUM(K206:K212)</f>
        <v>9169.2814327940887</v>
      </c>
      <c r="L213" s="123">
        <f t="shared" ref="L213:O213" ca="1" si="90">SUM(L206:L212)</f>
        <v>9356.9165646449455</v>
      </c>
      <c r="M213" s="123">
        <f t="shared" ca="1" si="90"/>
        <v>9556.7779933328184</v>
      </c>
      <c r="N213" s="123">
        <f t="shared" ca="1" si="90"/>
        <v>9764.8482706447139</v>
      </c>
      <c r="O213" s="123">
        <f t="shared" ca="1" si="90"/>
        <v>9996.660469110986</v>
      </c>
    </row>
    <row r="214" spans="2:17" ht="3.75" customHeight="1" x14ac:dyDescent="0.25">
      <c r="H214" s="123"/>
      <c r="I214" s="123"/>
      <c r="J214" s="123"/>
      <c r="K214" s="123"/>
      <c r="L214" s="123"/>
      <c r="M214" s="123"/>
      <c r="N214" s="123"/>
      <c r="O214" s="123"/>
    </row>
    <row r="215" spans="2:17" x14ac:dyDescent="0.25">
      <c r="B215" t="s">
        <v>287</v>
      </c>
      <c r="H215" s="123">
        <v>13119.9</v>
      </c>
      <c r="I215" s="123">
        <v>13547.6</v>
      </c>
      <c r="J215" s="123">
        <v>14319.5</v>
      </c>
      <c r="K215" s="123">
        <f>K353</f>
        <v>14369.5</v>
      </c>
      <c r="L215" s="123">
        <f t="shared" ref="L215:O215" si="91">L353</f>
        <v>14469.5</v>
      </c>
      <c r="M215" s="123">
        <f t="shared" si="91"/>
        <v>14569.5</v>
      </c>
      <c r="N215" s="123">
        <f t="shared" si="91"/>
        <v>14669.5</v>
      </c>
      <c r="O215" s="123">
        <f t="shared" si="91"/>
        <v>14819.5</v>
      </c>
      <c r="P215" t="s">
        <v>394</v>
      </c>
    </row>
    <row r="216" spans="2:17" x14ac:dyDescent="0.25">
      <c r="B216" t="s">
        <v>288</v>
      </c>
      <c r="H216" s="121">
        <f>Assumptions!I91</f>
        <v>7515.2</v>
      </c>
      <c r="I216" s="121">
        <f>Assumptions!J91</f>
        <v>7924.8</v>
      </c>
      <c r="J216" s="121">
        <f>Assumptions!K91</f>
        <v>8771.6</v>
      </c>
      <c r="K216" s="121">
        <f>Assumptions!L91</f>
        <v>9455.0003519468919</v>
      </c>
      <c r="L216" s="121">
        <f>Assumptions!M91</f>
        <v>10191.644814551033</v>
      </c>
      <c r="M216" s="121">
        <f>Assumptions!N91</f>
        <v>10985.681666799414</v>
      </c>
      <c r="N216" s="121">
        <f>Assumptions!O91</f>
        <v>11841.582382457587</v>
      </c>
      <c r="O216" s="121">
        <f>Assumptions!P91</f>
        <v>12764.166810358955</v>
      </c>
      <c r="Q216" s="9"/>
    </row>
    <row r="217" spans="2:17" x14ac:dyDescent="0.25">
      <c r="B217" t="s">
        <v>289</v>
      </c>
      <c r="H217" s="123">
        <v>6279.7</v>
      </c>
      <c r="I217" s="123">
        <v>6101.8</v>
      </c>
      <c r="J217" s="123">
        <v>5963.6</v>
      </c>
      <c r="K217" s="123">
        <f>J217+K130</f>
        <v>5888.1767092087703</v>
      </c>
      <c r="L217" s="123">
        <f>K217+L130</f>
        <v>5809.9022250064145</v>
      </c>
      <c r="M217" s="123">
        <f>L217+M130</f>
        <v>5727.6301101037416</v>
      </c>
      <c r="N217" s="123">
        <f>M217+N130</f>
        <v>5641.1473030610277</v>
      </c>
      <c r="O217" s="123">
        <f>N217+O130</f>
        <v>5550.2293869169271</v>
      </c>
    </row>
    <row r="218" spans="2:17" x14ac:dyDescent="0.25">
      <c r="B218" t="s">
        <v>290</v>
      </c>
      <c r="H218" s="123">
        <f>Assumptions!I87</f>
        <v>610.5</v>
      </c>
      <c r="I218" s="123">
        <f>Assumptions!J87</f>
        <v>513.79999999999995</v>
      </c>
      <c r="J218" s="123">
        <f>Assumptions!K87</f>
        <v>656.2</v>
      </c>
      <c r="K218" s="123">
        <f>Assumptions!L87</f>
        <v>656.2</v>
      </c>
      <c r="L218" s="123">
        <f>Assumptions!M87</f>
        <v>656.2</v>
      </c>
      <c r="M218" s="123">
        <f>Assumptions!N87</f>
        <v>656.2</v>
      </c>
      <c r="N218" s="123">
        <f>Assumptions!O87</f>
        <v>656.2</v>
      </c>
      <c r="O218" s="123">
        <f>Assumptions!P87</f>
        <v>656.2</v>
      </c>
    </row>
    <row r="219" spans="2:17" x14ac:dyDescent="0.25">
      <c r="B219" s="5" t="s">
        <v>291</v>
      </c>
      <c r="H219" s="123">
        <f>SUM(H213:H218)</f>
        <v>36677.1</v>
      </c>
      <c r="I219" s="123">
        <f>SUM(I213:I218)</f>
        <v>37433.300000000003</v>
      </c>
      <c r="J219" s="123">
        <f>SUM(J213:J218)</f>
        <v>38780.899999999994</v>
      </c>
      <c r="K219" s="123">
        <f t="shared" ref="K219:N219" ca="1" si="92">SUM(K213:K218)</f>
        <v>39538.158493949741</v>
      </c>
      <c r="L219" s="123">
        <f t="shared" ca="1" si="92"/>
        <v>40484.163604202389</v>
      </c>
      <c r="M219" s="123">
        <f t="shared" ca="1" si="92"/>
        <v>41495.78977023597</v>
      </c>
      <c r="N219" s="123">
        <f t="shared" ca="1" si="92"/>
        <v>42573.277956163329</v>
      </c>
      <c r="O219" s="123">
        <f ca="1">SUM(O213:O218)</f>
        <v>43786.756666386871</v>
      </c>
    </row>
    <row r="220" spans="2:17" ht="3.75" customHeight="1" x14ac:dyDescent="0.25">
      <c r="H220" s="123"/>
      <c r="I220" s="123"/>
      <c r="J220" s="123"/>
      <c r="K220" s="123"/>
      <c r="L220" s="123"/>
      <c r="M220" s="123"/>
      <c r="N220" s="123"/>
      <c r="O220" s="123"/>
    </row>
    <row r="221" spans="2:17" x14ac:dyDescent="0.25">
      <c r="B221" s="5" t="s">
        <v>292</v>
      </c>
      <c r="H221" s="123"/>
      <c r="I221" s="123"/>
      <c r="J221" s="123"/>
      <c r="K221" s="123"/>
      <c r="L221" s="123"/>
      <c r="M221" s="123"/>
      <c r="N221" s="123"/>
      <c r="O221" s="123"/>
    </row>
    <row r="222" spans="2:17" x14ac:dyDescent="0.25">
      <c r="B222" t="s">
        <v>293</v>
      </c>
      <c r="H222" s="123">
        <v>1.1000000000000001</v>
      </c>
      <c r="I222" s="123">
        <v>1.1000000000000001</v>
      </c>
      <c r="J222" s="123">
        <v>1.1000000000000001</v>
      </c>
      <c r="K222" s="123">
        <f>J222</f>
        <v>1.1000000000000001</v>
      </c>
      <c r="L222" s="123">
        <f t="shared" ref="L222:O222" si="93">K222</f>
        <v>1.1000000000000001</v>
      </c>
      <c r="M222" s="123">
        <f>L222</f>
        <v>1.1000000000000001</v>
      </c>
      <c r="N222" s="123">
        <f t="shared" si="93"/>
        <v>1.1000000000000001</v>
      </c>
      <c r="O222" s="123">
        <f t="shared" si="93"/>
        <v>1.1000000000000001</v>
      </c>
      <c r="Q222" s="10"/>
    </row>
    <row r="223" spans="2:17" x14ac:dyDescent="0.25">
      <c r="B223" s="36" t="s">
        <v>294</v>
      </c>
      <c r="H223" s="123">
        <v>205.3</v>
      </c>
      <c r="I223" s="123">
        <v>38.1</v>
      </c>
      <c r="J223" s="123">
        <v>322.60000000000002</v>
      </c>
      <c r="K223" s="123">
        <f>K411</f>
        <v>611.89830030823418</v>
      </c>
      <c r="L223" s="123">
        <f t="shared" ref="L223:O223" si="94">L411</f>
        <v>901.19660061646846</v>
      </c>
      <c r="M223" s="123">
        <f t="shared" si="94"/>
        <v>1190.494900924703</v>
      </c>
      <c r="N223" s="123">
        <f t="shared" si="94"/>
        <v>1479.7932012329375</v>
      </c>
      <c r="O223" s="123">
        <f t="shared" si="94"/>
        <v>1769.091501541172</v>
      </c>
    </row>
    <row r="224" spans="2:17" x14ac:dyDescent="0.25">
      <c r="B224" s="36" t="s">
        <v>295</v>
      </c>
      <c r="H224" s="123">
        <v>-8449.7999999999993</v>
      </c>
      <c r="I224" s="123">
        <v>-7255.8</v>
      </c>
      <c r="J224" s="123">
        <v>-7343.8</v>
      </c>
      <c r="K224" s="123">
        <f ca="1">K404</f>
        <v>-6781.8347525286845</v>
      </c>
      <c r="L224" s="123">
        <f t="shared" ref="L224:O224" ca="1" si="95">L404</f>
        <v>-6257.4319205799193</v>
      </c>
      <c r="M224" s="123">
        <f t="shared" ca="1" si="95"/>
        <v>-5654.6178037073832</v>
      </c>
      <c r="N224" s="123">
        <f t="shared" ca="1" si="95"/>
        <v>-4966.3849614655583</v>
      </c>
      <c r="O224" s="123">
        <f t="shared" ca="1" si="95"/>
        <v>-4185.3887464848913</v>
      </c>
    </row>
    <row r="225" spans="2:17" x14ac:dyDescent="0.25">
      <c r="B225" s="36" t="s">
        <v>296</v>
      </c>
      <c r="H225" s="123">
        <f>Assumptions!I102</f>
        <v>-463.2</v>
      </c>
      <c r="I225" s="123">
        <f>Assumptions!J102</f>
        <v>-778.2</v>
      </c>
      <c r="J225" s="123">
        <f>Assumptions!K102</f>
        <v>-428.8</v>
      </c>
      <c r="K225" s="123">
        <f>Assumptions!L102+K160</f>
        <v>-498.13333333333333</v>
      </c>
      <c r="L225" s="123">
        <f>K225+L160</f>
        <v>-567.4666666666667</v>
      </c>
      <c r="M225" s="123">
        <f>L225+M160</f>
        <v>-636.80000000000007</v>
      </c>
      <c r="N225" s="123">
        <f>M225+N160</f>
        <v>-706.13333333333344</v>
      </c>
      <c r="O225" s="123">
        <f>N225+O160</f>
        <v>-775.46666666666681</v>
      </c>
    </row>
    <row r="226" spans="2:17" x14ac:dyDescent="0.25">
      <c r="B226" s="5" t="s">
        <v>297</v>
      </c>
      <c r="H226" s="123">
        <f>SUM(H222:H225)</f>
        <v>-8706.6</v>
      </c>
      <c r="I226" s="123">
        <v>-7994.8</v>
      </c>
      <c r="J226" s="123">
        <f>SUM(J222:J225)</f>
        <v>-7448.9000000000005</v>
      </c>
      <c r="K226" s="123">
        <f ca="1">SUM(K222:K225)</f>
        <v>-6666.9697855537834</v>
      </c>
      <c r="L226" s="123">
        <f ca="1">SUM(L222:L225)</f>
        <v>-5922.6019866301176</v>
      </c>
      <c r="M226" s="123">
        <f t="shared" ref="M226:N226" ca="1" si="96">SUM(M222:M225)</f>
        <v>-5099.822902782681</v>
      </c>
      <c r="N226" s="123">
        <f t="shared" ca="1" si="96"/>
        <v>-4191.6250935659546</v>
      </c>
      <c r="O226" s="123">
        <f ca="1">SUM(O222:O225)</f>
        <v>-3190.6639116103861</v>
      </c>
    </row>
    <row r="227" spans="2:17" x14ac:dyDescent="0.25">
      <c r="B227" s="36" t="s">
        <v>298</v>
      </c>
      <c r="H227" s="123">
        <f>Assumptions!I90</f>
        <v>7.9</v>
      </c>
      <c r="I227" s="123">
        <f>Assumptions!J90</f>
        <v>7</v>
      </c>
      <c r="J227" s="123">
        <f>Assumptions!K90</f>
        <v>7.3</v>
      </c>
      <c r="K227" s="123">
        <f>Assumptions!L90</f>
        <v>7.3</v>
      </c>
      <c r="L227" s="123">
        <f>Assumptions!M90</f>
        <v>7.3</v>
      </c>
      <c r="M227" s="123">
        <f>Assumptions!N90</f>
        <v>7.3</v>
      </c>
      <c r="N227" s="123">
        <f>Assumptions!O90</f>
        <v>7.3</v>
      </c>
      <c r="O227" s="123">
        <f>Assumptions!P90</f>
        <v>7.3</v>
      </c>
    </row>
    <row r="228" spans="2:17" x14ac:dyDescent="0.25">
      <c r="B228" s="5" t="s">
        <v>299</v>
      </c>
      <c r="H228" s="123">
        <f>H226+H227</f>
        <v>-8698.7000000000007</v>
      </c>
      <c r="I228" s="123">
        <f>I226+I227</f>
        <v>-7987.8</v>
      </c>
      <c r="J228" s="123">
        <f>J226+J227</f>
        <v>-7441.6</v>
      </c>
      <c r="K228" s="123">
        <f ca="1">K226+K227</f>
        <v>-6659.6697855537832</v>
      </c>
      <c r="L228" s="123">
        <f t="shared" ref="L228:O228" ca="1" si="97">L226+L227</f>
        <v>-5915.3019866301174</v>
      </c>
      <c r="M228" s="123">
        <f t="shared" ca="1" si="97"/>
        <v>-5092.5229027826808</v>
      </c>
      <c r="N228" s="123">
        <f t="shared" ca="1" si="97"/>
        <v>-4184.3250935659544</v>
      </c>
      <c r="O228" s="123">
        <f t="shared" ca="1" si="97"/>
        <v>-3183.3639116103859</v>
      </c>
    </row>
    <row r="229" spans="2:17" x14ac:dyDescent="0.25">
      <c r="B229" s="5" t="s">
        <v>301</v>
      </c>
      <c r="H229" s="123">
        <f>SUM(H228+H219)</f>
        <v>27978.399999999998</v>
      </c>
      <c r="I229" s="123">
        <f>SUM(I228+I219)</f>
        <v>29445.500000000004</v>
      </c>
      <c r="J229" s="123">
        <f>J219+J228</f>
        <v>31339.299999999996</v>
      </c>
      <c r="K229" s="123">
        <f ca="1">K219+K228</f>
        <v>32878.488708395955</v>
      </c>
      <c r="L229" s="123">
        <f t="shared" ref="L229:O229" ca="1" si="98">L219+L228</f>
        <v>34568.861617572271</v>
      </c>
      <c r="M229" s="123">
        <f t="shared" ca="1" si="98"/>
        <v>36403.266867453291</v>
      </c>
      <c r="N229" s="123">
        <f ca="1">N219+N228</f>
        <v>38388.952862597376</v>
      </c>
      <c r="O229" s="123">
        <f t="shared" ca="1" si="98"/>
        <v>40603.392754776483</v>
      </c>
    </row>
    <row r="230" spans="2:17" x14ac:dyDescent="0.25">
      <c r="H230" s="123"/>
      <c r="I230" s="123"/>
      <c r="J230" s="123"/>
      <c r="K230" s="123"/>
      <c r="L230" s="123"/>
      <c r="M230" s="123"/>
      <c r="N230" s="123"/>
      <c r="O230" s="123"/>
    </row>
    <row r="231" spans="2:17" x14ac:dyDescent="0.25">
      <c r="B231" s="50" t="s">
        <v>390</v>
      </c>
      <c r="H231" s="123">
        <f t="shared" ref="H231:O231" si="99">ROUND(H202-H229,3)</f>
        <v>0</v>
      </c>
      <c r="I231" s="123">
        <f t="shared" si="99"/>
        <v>0</v>
      </c>
      <c r="J231" s="123">
        <f t="shared" si="99"/>
        <v>0</v>
      </c>
      <c r="K231" s="123">
        <f t="shared" ca="1" si="99"/>
        <v>0</v>
      </c>
      <c r="L231" s="123">
        <f t="shared" ca="1" si="99"/>
        <v>0</v>
      </c>
      <c r="M231" s="123">
        <f ca="1">ROUND(M202-M229,3)</f>
        <v>0</v>
      </c>
      <c r="N231" s="123">
        <f ca="1">ROUND(N202-N229,3)</f>
        <v>0</v>
      </c>
      <c r="O231" s="123">
        <f t="shared" ca="1" si="99"/>
        <v>0</v>
      </c>
      <c r="Q231" s="9"/>
    </row>
    <row r="232" spans="2:17" x14ac:dyDescent="0.25">
      <c r="B232" s="50"/>
      <c r="H232" s="123"/>
      <c r="I232" s="123"/>
      <c r="J232" s="123"/>
      <c r="K232" s="123"/>
      <c r="L232" s="123"/>
      <c r="M232" s="123"/>
      <c r="N232" s="123"/>
      <c r="O232" s="123"/>
      <c r="Q232" s="9"/>
    </row>
    <row r="233" spans="2:17" x14ac:dyDescent="0.25">
      <c r="B233" s="58"/>
      <c r="C233" s="15" t="s">
        <v>412</v>
      </c>
      <c r="D233" s="23"/>
      <c r="E233" s="23"/>
      <c r="F233" s="23"/>
      <c r="G233" s="23"/>
      <c r="H233" s="132"/>
      <c r="I233" s="132"/>
      <c r="J233" s="132"/>
      <c r="K233" s="132"/>
      <c r="L233" s="132"/>
      <c r="M233" s="132"/>
      <c r="N233" s="132"/>
      <c r="O233" s="133"/>
      <c r="Q233" s="9"/>
    </row>
    <row r="234" spans="2:17" x14ac:dyDescent="0.25">
      <c r="B234" s="59"/>
      <c r="C234" s="21" t="s">
        <v>413</v>
      </c>
      <c r="D234" s="21"/>
      <c r="E234" s="21"/>
      <c r="F234" s="21"/>
      <c r="G234" s="21"/>
      <c r="H234" s="134">
        <f>(H191-H190-H189)/H213</f>
        <v>0.47623418343932333</v>
      </c>
      <c r="I234" s="134">
        <f t="shared" ref="I234:O234" si="100">(I191-I190-I189)/I213</f>
        <v>0.54969877906541265</v>
      </c>
      <c r="J234" s="134">
        <f t="shared" si="100"/>
        <v>0.52447629547960295</v>
      </c>
      <c r="K234" s="134">
        <f t="shared" ca="1" si="100"/>
        <v>0.41758216520637298</v>
      </c>
      <c r="L234" s="134">
        <f t="shared" ca="1" si="100"/>
        <v>0.36732393932479845</v>
      </c>
      <c r="M234" s="134">
        <f t="shared" ca="1" si="100"/>
        <v>0.32501304862143421</v>
      </c>
      <c r="N234" s="134">
        <f t="shared" ca="1" si="100"/>
        <v>0.33852920145855575</v>
      </c>
      <c r="O234" s="135">
        <f t="shared" ca="1" si="100"/>
        <v>0.36375893131383752</v>
      </c>
      <c r="Q234" s="9"/>
    </row>
    <row r="235" spans="2:17" x14ac:dyDescent="0.25">
      <c r="B235" s="59"/>
      <c r="C235" s="21" t="s">
        <v>414</v>
      </c>
      <c r="D235" s="21"/>
      <c r="E235" s="21"/>
      <c r="F235" s="21"/>
      <c r="G235" s="21"/>
      <c r="H235" s="134">
        <f>(H212+H211+H206+H207)/H202</f>
        <v>0.14751022217138937</v>
      </c>
      <c r="I235" s="134">
        <f t="shared" ref="I235:O235" si="101">(I212+I211+I206+I207)/I202</f>
        <v>0.14347523390670899</v>
      </c>
      <c r="J235" s="134">
        <f t="shared" si="101"/>
        <v>0.11586091584687595</v>
      </c>
      <c r="K235" s="134">
        <f t="shared" ca="1" si="101"/>
        <v>0.10998955914747745</v>
      </c>
      <c r="L235" s="134">
        <f t="shared" ca="1" si="101"/>
        <v>0.10648466230476969</v>
      </c>
      <c r="M235" s="134">
        <f t="shared" ca="1" si="101"/>
        <v>0.10297070070372448</v>
      </c>
      <c r="N235" s="134">
        <f t="shared" ca="1" si="101"/>
        <v>9.9345669232000972E-2</v>
      </c>
      <c r="O235" s="135">
        <f t="shared" ca="1" si="101"/>
        <v>9.5846710265538648E-2</v>
      </c>
      <c r="Q235" s="9"/>
    </row>
    <row r="236" spans="2:17" x14ac:dyDescent="0.25">
      <c r="B236" s="59"/>
      <c r="C236" s="52" t="s">
        <v>404</v>
      </c>
      <c r="D236" s="21"/>
      <c r="E236" s="21"/>
      <c r="F236" s="21"/>
      <c r="G236" s="21"/>
      <c r="H236" s="134">
        <f>(H90+H85+H87)/H85</f>
        <v>9.7597846344999013</v>
      </c>
      <c r="I236" s="134">
        <f t="shared" ref="I236:O236" si="102">(I90+I85+I87)/I85</f>
        <v>10.819487365933464</v>
      </c>
      <c r="J236" s="134">
        <f t="shared" si="102"/>
        <v>9.8402135231316752</v>
      </c>
      <c r="K236" s="134">
        <f t="shared" ca="1" si="102"/>
        <v>10.123722274445932</v>
      </c>
      <c r="L236" s="134">
        <f t="shared" ca="1" si="102"/>
        <v>9.7879203033386908</v>
      </c>
      <c r="M236" s="134">
        <f t="shared" ca="1" si="102"/>
        <v>10.358037484302734</v>
      </c>
      <c r="N236" s="134">
        <f t="shared" ca="1" si="102"/>
        <v>10.976330346268931</v>
      </c>
      <c r="O236" s="135">
        <f t="shared" ca="1" si="102"/>
        <v>11.644492647928779</v>
      </c>
      <c r="Q236" s="9"/>
    </row>
    <row r="237" spans="2:17" x14ac:dyDescent="0.25">
      <c r="B237" s="59"/>
      <c r="C237" s="52" t="s">
        <v>415</v>
      </c>
      <c r="D237" s="21"/>
      <c r="E237" s="21"/>
      <c r="F237" s="21"/>
      <c r="G237" s="21"/>
      <c r="H237" s="134" t="s">
        <v>323</v>
      </c>
      <c r="I237" s="134">
        <f>I73/AVERAGE(H202,I202)</f>
        <v>1.2529835138330903</v>
      </c>
      <c r="J237" s="134">
        <f t="shared" ref="J237:O237" si="103">J73/AVERAGE(I202,J202)</f>
        <v>1.1903041549861149</v>
      </c>
      <c r="K237" s="134">
        <f t="shared" ca="1" si="103"/>
        <v>1.176971304125042</v>
      </c>
      <c r="L237" s="134">
        <f t="shared" ca="1" si="103"/>
        <v>1.1629768384130643</v>
      </c>
      <c r="M237" s="134">
        <f t="shared" ca="1" si="103"/>
        <v>1.161664119455331</v>
      </c>
      <c r="N237" s="134">
        <f t="shared" ca="1" si="103"/>
        <v>1.1587482694626845</v>
      </c>
      <c r="O237" s="135">
        <f t="shared" ca="1" si="103"/>
        <v>1.1534006877069476</v>
      </c>
      <c r="Q237" s="9"/>
    </row>
    <row r="238" spans="2:17" x14ac:dyDescent="0.25">
      <c r="B238" s="33"/>
      <c r="C238" s="3" t="s">
        <v>416</v>
      </c>
      <c r="D238" s="3"/>
      <c r="E238" s="3"/>
      <c r="F238" s="3"/>
      <c r="G238" s="3"/>
      <c r="H238" s="22" t="s">
        <v>323</v>
      </c>
      <c r="I238" s="27">
        <f>I90/AVERAGE(I202,H202)</f>
        <v>0.14365098852568348</v>
      </c>
      <c r="J238" s="27">
        <f t="shared" ref="J238:O238" si="104">J90/AVERAGE(J202,I202)</f>
        <v>0.12374475197746811</v>
      </c>
      <c r="K238" s="27">
        <f t="shared" ca="1" si="104"/>
        <v>0.11236121344020839</v>
      </c>
      <c r="L238" s="27">
        <f t="shared" ca="1" si="104"/>
        <v>0.10340166153678715</v>
      </c>
      <c r="M238" s="27">
        <f t="shared" ca="1" si="104"/>
        <v>0.10536716371572113</v>
      </c>
      <c r="N238" s="27">
        <f t="shared" ca="1" si="104"/>
        <v>0.10732578617146665</v>
      </c>
      <c r="O238" s="53">
        <f t="shared" ca="1" si="104"/>
        <v>0.10916679340229712</v>
      </c>
    </row>
    <row r="239" spans="2:17" x14ac:dyDescent="0.25">
      <c r="J239" s="9"/>
      <c r="K239" s="10"/>
      <c r="L239" s="10"/>
      <c r="M239" s="10"/>
      <c r="N239" s="10"/>
      <c r="O239" s="10"/>
    </row>
    <row r="240" spans="2:17" x14ac:dyDescent="0.25">
      <c r="J240" s="9"/>
      <c r="K240" s="10"/>
      <c r="L240" s="10"/>
      <c r="M240" s="10"/>
    </row>
    <row r="241" spans="2:15" x14ac:dyDescent="0.25">
      <c r="O241" s="17" t="str">
        <f>UPPER("currently running: " &amp;CHOOSE(Scenarios!$D$6, Scenarios!$C$19, Scenarios!$C$20, Scenarios!$C$21)&amp;" scenario")</f>
        <v>CURRENTLY RUNNING: BASE CASE SCENARIO</v>
      </c>
    </row>
    <row r="242" spans="2:15" ht="28.5" x14ac:dyDescent="0.45">
      <c r="B242" s="4" t="str">
        <f>Cover!$A$7</f>
        <v>Starbucks CORP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2:15" ht="28.5" x14ac:dyDescent="0.45">
      <c r="B243" s="13" t="s">
        <v>174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5" spans="2:15" x14ac:dyDescent="0.25">
      <c r="D245" s="31"/>
      <c r="E245" s="28" t="s">
        <v>183</v>
      </c>
      <c r="F245" s="31" t="s">
        <v>185</v>
      </c>
      <c r="G245" s="31" t="s">
        <v>186</v>
      </c>
      <c r="H245" s="31" t="s">
        <v>184</v>
      </c>
      <c r="I245" s="34" t="s">
        <v>188</v>
      </c>
      <c r="J245" s="21"/>
    </row>
    <row r="246" spans="2:15" x14ac:dyDescent="0.25">
      <c r="D246" s="24"/>
      <c r="E246" s="22" t="s">
        <v>182</v>
      </c>
      <c r="F246" s="33">
        <v>35</v>
      </c>
      <c r="G246" s="33">
        <v>8.5</v>
      </c>
      <c r="H246" s="33">
        <v>10</v>
      </c>
      <c r="I246" s="35">
        <v>5</v>
      </c>
      <c r="J246" s="21"/>
    </row>
    <row r="248" spans="2:15" x14ac:dyDescent="0.25">
      <c r="K248" s="18" t="s">
        <v>135</v>
      </c>
      <c r="L248" s="18"/>
      <c r="M248" s="18"/>
      <c r="N248" s="18"/>
      <c r="O248" s="18"/>
    </row>
    <row r="249" spans="2:15" x14ac:dyDescent="0.25">
      <c r="H249">
        <f>I249-1</f>
        <v>2022</v>
      </c>
      <c r="I249">
        <f>J249-1</f>
        <v>2023</v>
      </c>
      <c r="J249">
        <f>K249-1</f>
        <v>2024</v>
      </c>
      <c r="K249">
        <f>Assumptions!$H$6</f>
        <v>2025</v>
      </c>
      <c r="L249">
        <f>K249+1</f>
        <v>2026</v>
      </c>
      <c r="M249">
        <f>L249+1</f>
        <v>2027</v>
      </c>
      <c r="N249">
        <f t="shared" ref="N249:O249" si="105">M249+1</f>
        <v>2028</v>
      </c>
      <c r="O249">
        <f t="shared" si="105"/>
        <v>2029</v>
      </c>
    </row>
    <row r="251" spans="2:15" x14ac:dyDescent="0.25">
      <c r="B251" s="5" t="s">
        <v>192</v>
      </c>
      <c r="F251" t="s">
        <v>35</v>
      </c>
      <c r="H251" s="47"/>
      <c r="I251" s="47"/>
      <c r="J251" s="47"/>
      <c r="K251" s="47">
        <f>J270</f>
        <v>8665.5000000000036</v>
      </c>
      <c r="L251" s="47">
        <f t="shared" ref="L251:O251" si="106">K270</f>
        <v>9844.8995503648821</v>
      </c>
      <c r="M251" s="47">
        <f>L270</f>
        <v>10907.720015217983</v>
      </c>
      <c r="N251" s="47">
        <f t="shared" si="106"/>
        <v>11874.487974235064</v>
      </c>
      <c r="O251" s="47">
        <f t="shared" si="106"/>
        <v>12740.899228470495</v>
      </c>
    </row>
    <row r="252" spans="2:15" x14ac:dyDescent="0.25">
      <c r="B252" s="5" t="s">
        <v>177</v>
      </c>
      <c r="F252" t="s">
        <v>35</v>
      </c>
      <c r="H252" s="47">
        <v>1638.9</v>
      </c>
      <c r="I252" s="47">
        <v>2189.1999999999998</v>
      </c>
      <c r="J252" s="47">
        <v>2791</v>
      </c>
      <c r="K252" s="47">
        <f>D260</f>
        <v>2915.6011717219449</v>
      </c>
      <c r="L252" s="47">
        <f>D261</f>
        <v>3025.8183574622708</v>
      </c>
      <c r="M252" s="47">
        <f>D262</f>
        <v>3180.3528073872635</v>
      </c>
      <c r="N252" s="47">
        <f>D263</f>
        <v>3343.1234689226421</v>
      </c>
      <c r="O252" s="47">
        <f>D264</f>
        <v>3514.5693069000822</v>
      </c>
    </row>
    <row r="253" spans="2:15" x14ac:dyDescent="0.25">
      <c r="H253" s="47"/>
      <c r="I253" s="47"/>
      <c r="J253" s="47"/>
      <c r="K253" s="47"/>
      <c r="L253" s="47"/>
      <c r="M253" s="47"/>
      <c r="N253" s="47"/>
      <c r="O253" s="47"/>
    </row>
    <row r="254" spans="2:15" x14ac:dyDescent="0.25">
      <c r="B254" s="5" t="s">
        <v>178</v>
      </c>
      <c r="H254" s="47"/>
      <c r="I254" s="47"/>
      <c r="J254" s="47"/>
      <c r="K254" s="47"/>
      <c r="L254" s="47"/>
      <c r="M254" s="47"/>
      <c r="N254" s="47"/>
      <c r="O254" s="47"/>
    </row>
    <row r="255" spans="2:15" x14ac:dyDescent="0.25">
      <c r="C255" t="s">
        <v>179</v>
      </c>
      <c r="F255" t="s">
        <v>35</v>
      </c>
      <c r="H255" s="47"/>
      <c r="I255" s="47"/>
      <c r="J255" s="47">
        <v>1512.6</v>
      </c>
      <c r="K255" s="47">
        <f>J255</f>
        <v>1512.6</v>
      </c>
      <c r="L255" s="47">
        <f t="shared" ref="L255:O255" si="107">K255</f>
        <v>1512.6</v>
      </c>
      <c r="M255" s="47">
        <f>L255</f>
        <v>1512.6</v>
      </c>
      <c r="N255" s="47">
        <f t="shared" si="107"/>
        <v>1512.6</v>
      </c>
      <c r="O255" s="47">
        <f t="shared" si="107"/>
        <v>1512.6</v>
      </c>
    </row>
    <row r="256" spans="2:15" x14ac:dyDescent="0.25">
      <c r="C256" t="s">
        <v>180</v>
      </c>
      <c r="F256" t="s">
        <v>35</v>
      </c>
      <c r="H256" s="47"/>
      <c r="I256" s="47"/>
      <c r="J256" s="47">
        <v>20.399999999999999</v>
      </c>
      <c r="K256" s="47">
        <f>J256</f>
        <v>20.399999999999999</v>
      </c>
      <c r="L256" s="47">
        <f t="shared" ref="L256:O256" si="108">K256</f>
        <v>20.399999999999999</v>
      </c>
      <c r="M256" s="47">
        <f>L256</f>
        <v>20.399999999999999</v>
      </c>
      <c r="N256" s="47">
        <f t="shared" si="108"/>
        <v>20.399999999999999</v>
      </c>
      <c r="O256" s="47">
        <f t="shared" si="108"/>
        <v>20.399999999999999</v>
      </c>
    </row>
    <row r="257" spans="2:15" x14ac:dyDescent="0.25">
      <c r="B257" s="5" t="s">
        <v>181</v>
      </c>
      <c r="F257" t="s">
        <v>35</v>
      </c>
      <c r="H257" s="47"/>
      <c r="I257" s="47"/>
      <c r="J257" s="47">
        <f>J255-J256</f>
        <v>1492.1999999999998</v>
      </c>
      <c r="K257" s="47">
        <f>J257</f>
        <v>1492.1999999999998</v>
      </c>
      <c r="L257" s="47">
        <f t="shared" ref="L257:O257" si="109">K257</f>
        <v>1492.1999999999998</v>
      </c>
      <c r="M257" s="47">
        <f>L257</f>
        <v>1492.1999999999998</v>
      </c>
      <c r="N257" s="47">
        <f t="shared" si="109"/>
        <v>1492.1999999999998</v>
      </c>
      <c r="O257" s="47">
        <f t="shared" si="109"/>
        <v>1492.1999999999998</v>
      </c>
    </row>
    <row r="258" spans="2:15" x14ac:dyDescent="0.25">
      <c r="H258" s="47"/>
      <c r="I258" s="47"/>
      <c r="J258" s="47"/>
      <c r="K258" s="47"/>
      <c r="L258" s="47"/>
      <c r="M258" s="47"/>
      <c r="N258" s="47"/>
      <c r="O258" s="47"/>
    </row>
    <row r="259" spans="2:15" x14ac:dyDescent="0.25">
      <c r="B259" s="5" t="s">
        <v>189</v>
      </c>
      <c r="H259" s="47"/>
      <c r="I259" s="47"/>
      <c r="J259" s="47"/>
      <c r="K259" s="47"/>
      <c r="L259" s="47"/>
      <c r="M259" s="47"/>
      <c r="N259" s="47"/>
      <c r="O259" s="47"/>
    </row>
    <row r="260" spans="2:15" x14ac:dyDescent="0.25">
      <c r="C260">
        <v>2025</v>
      </c>
      <c r="D260">
        <f>Assumptions!$L$74</f>
        <v>2915.6011717219449</v>
      </c>
      <c r="F260" t="s">
        <v>35</v>
      </c>
      <c r="H260" s="47"/>
      <c r="I260" s="47"/>
      <c r="J260" s="47"/>
      <c r="K260" s="47">
        <f>((Assumptions!$AA$33*Model!$D260)/Model!$F$246+((Assumptions!$AA$35+Assumptions!$AA$36+Assumptions!$AA$38)*Model!$D260)/Model!$G$246+(Assumptions!$AA$34*Model!$D260)/Model!$H$246)+(Assumptions!$AA$37*Model!$D260)/Model!$I$246</f>
        <v>230.0016213570654</v>
      </c>
      <c r="L260" s="47">
        <f>K260</f>
        <v>230.0016213570654</v>
      </c>
      <c r="M260" s="47">
        <f>L260</f>
        <v>230.0016213570654</v>
      </c>
      <c r="N260" s="47">
        <f t="shared" ref="N260:O260" si="110">M260</f>
        <v>230.0016213570654</v>
      </c>
      <c r="O260" s="47">
        <f t="shared" si="110"/>
        <v>230.0016213570654</v>
      </c>
    </row>
    <row r="261" spans="2:15" x14ac:dyDescent="0.25">
      <c r="C261">
        <v>2026</v>
      </c>
      <c r="D261">
        <f>Assumptions!$M$74</f>
        <v>3025.8183574622708</v>
      </c>
      <c r="F261" t="s">
        <v>35</v>
      </c>
      <c r="H261" s="47"/>
      <c r="I261" s="47"/>
      <c r="J261" s="47"/>
      <c r="K261" s="47"/>
      <c r="L261" s="47">
        <f>((Assumptions!$AA$33*Model!$D261)/Model!$F$246+((Assumptions!$AA$35+Assumptions!$AA$36+Assumptions!$AA$38)*Model!$D261)/Model!$G$246+(Assumptions!$AA$34*Model!$D261)/Model!$H$246)+(Assumptions!$AA$37*Model!$D261)/Model!$I$246</f>
        <v>238.6962712521044</v>
      </c>
      <c r="M261" s="47">
        <f>L261</f>
        <v>238.6962712521044</v>
      </c>
      <c r="N261" s="47">
        <f t="shared" ref="N261:O261" si="111">M261</f>
        <v>238.6962712521044</v>
      </c>
      <c r="O261" s="47">
        <f t="shared" si="111"/>
        <v>238.6962712521044</v>
      </c>
    </row>
    <row r="262" spans="2:15" x14ac:dyDescent="0.25">
      <c r="C262">
        <v>2027</v>
      </c>
      <c r="D262">
        <f>Assumptions!$N$74</f>
        <v>3180.3528073872635</v>
      </c>
      <c r="F262" t="s">
        <v>35</v>
      </c>
      <c r="H262" s="47"/>
      <c r="I262" s="47"/>
      <c r="J262" s="47"/>
      <c r="K262" s="47"/>
      <c r="L262" s="47"/>
      <c r="M262" s="47">
        <f>((Assumptions!$AA$33*Model!$D262)/Model!$F$246+((Assumptions!$AA$35+Assumptions!$AA$36+Assumptions!$AA$38)*Model!$D262)/Model!$G$246+(Assumptions!$AA$34*Model!$D262)/Model!$H$246)+(Assumptions!$AA$37*Model!$D262)/Model!$I$246</f>
        <v>250.88695576101441</v>
      </c>
      <c r="N262" s="47">
        <f>((Assumptions!$AA$33*Model!$D262)/Model!$F$246+((Assumptions!$AA$35+Assumptions!$AA$36+Assumptions!$AA$38)*Model!$D262)/Model!$G$246+(Assumptions!$AA$34*Model!$D262)/Model!$H$246)+(Assumptions!$AA$37*Model!$D262)/Model!$I$246</f>
        <v>250.88695576101441</v>
      </c>
      <c r="O262" s="47">
        <f>((Assumptions!$AA$33*Model!$D262)/Model!$F$246+((Assumptions!$AA$35+Assumptions!$AA$36+Assumptions!$AA$38)*Model!$D262)/Model!$G$246+(Assumptions!$AA$34*Model!$D262)/Model!$H$246)+(Assumptions!$AA$37*Model!$D262)/Model!$I$246</f>
        <v>250.88695576101441</v>
      </c>
    </row>
    <row r="263" spans="2:15" x14ac:dyDescent="0.25">
      <c r="C263">
        <v>2028</v>
      </c>
      <c r="D263">
        <f>Assumptions!$O$74</f>
        <v>3343.1234689226421</v>
      </c>
      <c r="F263" t="s">
        <v>35</v>
      </c>
      <c r="H263" s="47"/>
      <c r="I263" s="47"/>
      <c r="J263" s="47"/>
      <c r="K263" s="47"/>
      <c r="L263" s="47"/>
      <c r="M263" s="47"/>
      <c r="N263" s="47">
        <f>((Assumptions!$AA$33*Model!$D263)/Model!$F$246+((Assumptions!$AA$35+Assumptions!$AA$36+Assumptions!$AA$38)*Model!$D263)/Model!$G$246+(Assumptions!$AA$34*Model!$D263)/Model!$H$246)+(Assumptions!$AA$37*Model!$D263)/Model!$I$246</f>
        <v>263.72736631702634</v>
      </c>
      <c r="O263" s="47">
        <f>((Assumptions!$AA$33*Model!$D263)/Model!$F$246+((Assumptions!$AA$35+Assumptions!$AA$36+Assumptions!$AA$38)*Model!$D263)/Model!$G$246+(Assumptions!$AA$34*Model!$D263)/Model!$H$246)+(Assumptions!$AA$37*Model!$D263)/Model!$I$246</f>
        <v>263.72736631702634</v>
      </c>
    </row>
    <row r="264" spans="2:15" x14ac:dyDescent="0.25">
      <c r="C264">
        <v>2029</v>
      </c>
      <c r="D264">
        <f>Assumptions!$P$74</f>
        <v>3514.5693069000822</v>
      </c>
      <c r="F264" t="s">
        <v>35</v>
      </c>
      <c r="H264" s="47"/>
      <c r="I264" s="47"/>
      <c r="J264" s="47"/>
      <c r="K264" s="47"/>
      <c r="L264" s="47"/>
      <c r="M264" s="47"/>
      <c r="N264" s="47"/>
      <c r="O264" s="47">
        <f>((Assumptions!$AA$33*Model!$D264)/Model!$F$246+((Assumptions!$AA$35+Assumptions!$AA$36+Assumptions!$AA$38)*Model!$D264)/Model!$G$246+(Assumptions!$AA$34*Model!$D264)/Model!$H$246)+(Assumptions!$AA$37*Model!$D264)/Model!$I$246</f>
        <v>277.25213132679039</v>
      </c>
    </row>
    <row r="265" spans="2:15" x14ac:dyDescent="0.25">
      <c r="H265" s="47"/>
      <c r="I265" s="47"/>
      <c r="J265" s="47"/>
      <c r="K265" s="47"/>
      <c r="L265" s="47"/>
      <c r="M265" s="47"/>
      <c r="N265" s="47"/>
      <c r="O265" s="47"/>
    </row>
    <row r="266" spans="2:15" x14ac:dyDescent="0.25">
      <c r="B266" s="5" t="s">
        <v>190</v>
      </c>
      <c r="F266" t="s">
        <v>35</v>
      </c>
      <c r="H266" s="47"/>
      <c r="I266" s="47"/>
      <c r="J266" s="47"/>
      <c r="K266" s="47">
        <f>SUM(K257:K264)</f>
        <v>1722.2016213570653</v>
      </c>
      <c r="L266" s="47">
        <f>SUM(L257:L264)</f>
        <v>1960.8978926091697</v>
      </c>
      <c r="M266" s="47">
        <f t="shared" ref="M266:O266" si="112">SUM(M257:M264)</f>
        <v>2211.7848483701841</v>
      </c>
      <c r="N266" s="47">
        <f t="shared" si="112"/>
        <v>2475.5122146872104</v>
      </c>
      <c r="O266" s="47">
        <f t="shared" si="112"/>
        <v>2752.7643460140007</v>
      </c>
    </row>
    <row r="267" spans="2:15" x14ac:dyDescent="0.25">
      <c r="B267" s="5" t="s">
        <v>193</v>
      </c>
      <c r="F267" t="s">
        <v>35</v>
      </c>
      <c r="H267" s="47"/>
      <c r="I267" s="47"/>
      <c r="J267" s="47"/>
      <c r="K267" s="47">
        <v>14</v>
      </c>
      <c r="L267" s="47">
        <v>2.1</v>
      </c>
      <c r="M267" s="47">
        <v>1.8</v>
      </c>
      <c r="N267" s="47">
        <v>1.2</v>
      </c>
      <c r="O267" s="47">
        <v>0.8</v>
      </c>
    </row>
    <row r="268" spans="2:15" x14ac:dyDescent="0.25">
      <c r="H268" s="47"/>
      <c r="I268" s="47"/>
      <c r="J268" s="47"/>
      <c r="K268" s="47"/>
      <c r="L268" s="47"/>
      <c r="M268" s="47"/>
      <c r="N268" s="47"/>
      <c r="O268" s="47"/>
    </row>
    <row r="269" spans="2:15" x14ac:dyDescent="0.25">
      <c r="H269" s="47"/>
      <c r="I269" s="47"/>
      <c r="J269" s="47"/>
      <c r="K269" s="47"/>
      <c r="L269" s="47"/>
      <c r="M269" s="47"/>
      <c r="N269" s="47"/>
      <c r="O269" s="47"/>
    </row>
    <row r="270" spans="2:15" x14ac:dyDescent="0.25">
      <c r="B270" s="5" t="s">
        <v>191</v>
      </c>
      <c r="F270" t="s">
        <v>35</v>
      </c>
      <c r="H270" s="47"/>
      <c r="I270" s="47"/>
      <c r="J270" s="47">
        <f>Assumptions!$Y$42</f>
        <v>8665.5000000000036</v>
      </c>
      <c r="K270" s="47">
        <f>K251 + K252-K266-K267</f>
        <v>9844.8995503648821</v>
      </c>
      <c r="L270" s="47">
        <f>L251 + L252-L266-L267</f>
        <v>10907.720015217983</v>
      </c>
      <c r="M270" s="47">
        <f t="shared" ref="M270:O270" si="113">M251 + M252-M266-M267</f>
        <v>11874.487974235064</v>
      </c>
      <c r="N270" s="47">
        <f t="shared" si="113"/>
        <v>12740.899228470495</v>
      </c>
      <c r="O270" s="47">
        <f t="shared" si="113"/>
        <v>13501.904189356577</v>
      </c>
    </row>
    <row r="274" spans="2:15" x14ac:dyDescent="0.25">
      <c r="O274" s="17" t="str">
        <f>UPPER("currently running: " &amp;CHOOSE(Scenarios!$D$6, Scenarios!$C$19, Scenarios!$C$20, Scenarios!$C$21)&amp;" scenario")</f>
        <v>CURRENTLY RUNNING: BASE CASE SCENARIO</v>
      </c>
    </row>
    <row r="275" spans="2:15" ht="28.5" x14ac:dyDescent="0.45">
      <c r="B275" s="4" t="str">
        <f>Cover!$A$7</f>
        <v>Starbucks CORP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2:15" ht="28.5" x14ac:dyDescent="0.45">
      <c r="B276" s="13" t="s">
        <v>194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9" spans="2:15" x14ac:dyDescent="0.25">
      <c r="B279" s="29" t="s">
        <v>464</v>
      </c>
      <c r="C279" s="28"/>
      <c r="D279" s="43"/>
      <c r="E279" s="32"/>
      <c r="F279" s="43">
        <v>0.21</v>
      </c>
      <c r="K279" s="18" t="s">
        <v>135</v>
      </c>
      <c r="L279" s="18"/>
      <c r="M279" s="18"/>
      <c r="N279" s="18"/>
      <c r="O279" s="18"/>
    </row>
    <row r="280" spans="2:15" x14ac:dyDescent="0.25">
      <c r="B280" s="37" t="s">
        <v>465</v>
      </c>
      <c r="C280" s="3"/>
      <c r="D280" s="27"/>
      <c r="E280" s="26"/>
      <c r="F280" s="30">
        <f>Assumptions!$N$25</f>
        <v>0.24299999999999999</v>
      </c>
      <c r="H280">
        <f>I280-1</f>
        <v>2022</v>
      </c>
      <c r="I280">
        <f>J280-1</f>
        <v>2023</v>
      </c>
      <c r="J280">
        <f>K280-1</f>
        <v>2024</v>
      </c>
      <c r="K280">
        <f>Assumptions!$H$6</f>
        <v>2025</v>
      </c>
      <c r="L280">
        <f>K280+1</f>
        <v>2026</v>
      </c>
      <c r="M280">
        <f>L280+1</f>
        <v>2027</v>
      </c>
      <c r="N280">
        <f t="shared" ref="N280:O280" si="114">M280+1</f>
        <v>2028</v>
      </c>
      <c r="O280">
        <f t="shared" si="114"/>
        <v>2029</v>
      </c>
    </row>
    <row r="282" spans="2:15" x14ac:dyDescent="0.25">
      <c r="B282" s="5" t="s">
        <v>302</v>
      </c>
      <c r="J282" s="10">
        <v>4969.5</v>
      </c>
      <c r="K282" s="10">
        <f ca="1">K86</f>
        <v>4767.3637144797121</v>
      </c>
      <c r="L282" s="10">
        <f ca="1">L86</f>
        <v>4607.9049472718461</v>
      </c>
      <c r="M282" s="10">
        <f ca="1">M86</f>
        <v>4940.7740307742797</v>
      </c>
      <c r="N282" s="10">
        <f ca="1">N86</f>
        <v>5303.3908767456651</v>
      </c>
      <c r="O282" s="10">
        <f ca="1">O86</f>
        <v>5697.1869852546824</v>
      </c>
    </row>
    <row r="283" spans="2:15" x14ac:dyDescent="0.25">
      <c r="B283" s="5" t="s">
        <v>305</v>
      </c>
      <c r="J283" s="10">
        <f>J282-J284</f>
        <v>-844.45238095238165</v>
      </c>
      <c r="K283" s="10">
        <f ca="1">($J$283/$J$282)*K282</f>
        <v>-810.10396208036684</v>
      </c>
      <c r="L283" s="10">
        <f ca="1">($J$283/$J$282)*L282</f>
        <v>-783.00760718904689</v>
      </c>
      <c r="M283" s="10">
        <f ca="1">($J$283/$J$282)*M282</f>
        <v>-839.57106228695761</v>
      </c>
      <c r="N283" s="10">
        <f t="shared" ref="L283:O283" ca="1" si="115">($J$283/$J$282)*N282</f>
        <v>-901.18946634249232</v>
      </c>
      <c r="O283" s="10">
        <f t="shared" ca="1" si="115"/>
        <v>-968.10606991231259</v>
      </c>
    </row>
    <row r="284" spans="2:15" x14ac:dyDescent="0.25">
      <c r="B284" s="5" t="s">
        <v>306</v>
      </c>
      <c r="J284" s="10">
        <f>1220.93/$F$279</f>
        <v>5813.9523809523816</v>
      </c>
      <c r="K284" s="10">
        <f ca="1">K282-K283</f>
        <v>5577.4676765600789</v>
      </c>
      <c r="L284" s="10">
        <f ca="1">L282-L283</f>
        <v>5390.9125544608933</v>
      </c>
      <c r="M284" s="10">
        <f t="shared" ref="L284:O284" ca="1" si="116">M282-M283</f>
        <v>5780.3450930612371</v>
      </c>
      <c r="N284" s="10">
        <f t="shared" ca="1" si="116"/>
        <v>6204.580343088157</v>
      </c>
      <c r="O284" s="10">
        <f t="shared" ca="1" si="116"/>
        <v>6665.2930551669951</v>
      </c>
    </row>
    <row r="285" spans="2:15" x14ac:dyDescent="0.25">
      <c r="J285" s="10"/>
      <c r="K285" s="10"/>
      <c r="L285" s="10"/>
      <c r="M285" s="10"/>
      <c r="N285" s="10"/>
      <c r="O285" s="10"/>
    </row>
    <row r="286" spans="2:15" x14ac:dyDescent="0.25">
      <c r="B286" s="5" t="s">
        <v>307</v>
      </c>
      <c r="J286" s="10">
        <f>J282*F280</f>
        <v>1207.5885000000001</v>
      </c>
      <c r="K286" s="10">
        <f ca="1">MAX(K282*$F$280,0)</f>
        <v>1158.4693826185701</v>
      </c>
      <c r="L286" s="10">
        <f t="shared" ref="L286:O286" ca="1" si="117">MAX(L282*$F$280,0)</f>
        <v>1119.7209021870585</v>
      </c>
      <c r="M286" s="10">
        <f t="shared" ca="1" si="117"/>
        <v>1200.6080894781499</v>
      </c>
      <c r="N286" s="10">
        <f t="shared" ca="1" si="117"/>
        <v>1288.7239830491965</v>
      </c>
      <c r="O286" s="10">
        <f t="shared" ca="1" si="117"/>
        <v>1384.4164374168879</v>
      </c>
    </row>
    <row r="287" spans="2:15" x14ac:dyDescent="0.25">
      <c r="J287" s="10"/>
      <c r="K287" s="10"/>
      <c r="L287" s="10"/>
      <c r="M287" s="10"/>
      <c r="N287" s="10"/>
      <c r="O287" s="10"/>
    </row>
    <row r="288" spans="2:15" x14ac:dyDescent="0.25">
      <c r="B288" s="39" t="s">
        <v>308</v>
      </c>
      <c r="C288" s="23"/>
      <c r="D288" s="23"/>
      <c r="E288" s="23"/>
      <c r="F288" s="23"/>
      <c r="G288" s="23"/>
      <c r="H288" s="23"/>
      <c r="I288" s="23"/>
      <c r="J288" s="136"/>
      <c r="K288" s="136"/>
      <c r="L288" s="136"/>
      <c r="M288" s="136"/>
      <c r="N288" s="136"/>
      <c r="O288" s="137"/>
    </row>
    <row r="289" spans="2:15" x14ac:dyDescent="0.25">
      <c r="B289" s="38" t="s">
        <v>309</v>
      </c>
      <c r="C289" s="21"/>
      <c r="D289" s="21"/>
      <c r="E289" s="21"/>
      <c r="F289" s="21"/>
      <c r="G289" s="21"/>
      <c r="H289" s="21"/>
      <c r="I289" s="21"/>
      <c r="J289" s="56">
        <f>J284*$F$279</f>
        <v>1220.93</v>
      </c>
      <c r="K289" s="56">
        <f ca="1">MAX(K284*$F$279,0)</f>
        <v>1171.2682120776165</v>
      </c>
      <c r="L289" s="56">
        <f t="shared" ref="L289:O289" ca="1" si="118">MAX(L284*$F$279,0)</f>
        <v>1132.0916364367874</v>
      </c>
      <c r="M289" s="56">
        <f t="shared" ca="1" si="118"/>
        <v>1213.8724695428598</v>
      </c>
      <c r="N289" s="56">
        <f t="shared" ca="1" si="118"/>
        <v>1302.961872048513</v>
      </c>
      <c r="O289" s="56">
        <f t="shared" ca="1" si="118"/>
        <v>1399.711541585069</v>
      </c>
    </row>
    <row r="290" spans="2:15" x14ac:dyDescent="0.25">
      <c r="B290" s="38" t="s">
        <v>310</v>
      </c>
      <c r="C290" s="21"/>
      <c r="D290" s="21"/>
      <c r="E290" s="21"/>
      <c r="F290" s="21"/>
      <c r="G290" s="21"/>
      <c r="H290" s="21"/>
      <c r="I290" s="21"/>
      <c r="J290" s="56">
        <f>J289-J291</f>
        <v>13.341499999999996</v>
      </c>
      <c r="K290" s="56">
        <f ca="1">IF(K284 &lt; 0,K284*-$F$279, K286-K289)</f>
        <v>-12.798829459046374</v>
      </c>
      <c r="L290" s="56">
        <f t="shared" ref="L290:O290" ca="1" si="119">IF(L284 &lt; 0,L284*-$F$279, L286-L289)</f>
        <v>-12.370734249728912</v>
      </c>
      <c r="M290" s="56">
        <f t="shared" ca="1" si="119"/>
        <v>-13.26438006470994</v>
      </c>
      <c r="N290" s="56">
        <f t="shared" ca="1" si="119"/>
        <v>-14.23788899931651</v>
      </c>
      <c r="O290" s="56">
        <f t="shared" ca="1" si="119"/>
        <v>-15.295104168181069</v>
      </c>
    </row>
    <row r="291" spans="2:15" x14ac:dyDescent="0.25">
      <c r="B291" s="37" t="s">
        <v>311</v>
      </c>
      <c r="C291" s="3"/>
      <c r="D291" s="3"/>
      <c r="E291" s="3"/>
      <c r="F291" s="3"/>
      <c r="G291" s="3"/>
      <c r="H291" s="3"/>
      <c r="I291" s="3"/>
      <c r="J291" s="20">
        <f>J286</f>
        <v>1207.5885000000001</v>
      </c>
      <c r="K291" s="20">
        <f ca="1">K286</f>
        <v>1158.4693826185701</v>
      </c>
      <c r="L291" s="20">
        <f t="shared" ref="L291:O291" ca="1" si="120">L286</f>
        <v>1119.7209021870585</v>
      </c>
      <c r="M291" s="20">
        <f t="shared" ca="1" si="120"/>
        <v>1200.6080894781499</v>
      </c>
      <c r="N291" s="20">
        <f t="shared" ca="1" si="120"/>
        <v>1288.7239830491965</v>
      </c>
      <c r="O291" s="124">
        <f t="shared" ca="1" si="120"/>
        <v>1384.4164374168879</v>
      </c>
    </row>
    <row r="295" spans="2:15" x14ac:dyDescent="0.25">
      <c r="O295" s="17" t="str">
        <f>UPPER("currently running: " &amp;CHOOSE(Scenarios!$D$6, Scenarios!$C$19, Scenarios!$C$20, Scenarios!$C$21)&amp;" scenario")</f>
        <v>CURRENTLY RUNNING: BASE CASE SCENARIO</v>
      </c>
    </row>
    <row r="296" spans="2:15" ht="28.5" x14ac:dyDescent="0.45">
      <c r="B296" s="4" t="str">
        <f>Cover!$A$7</f>
        <v>Starbucks CORP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2:15" ht="28.5" x14ac:dyDescent="0.45">
      <c r="B297" s="13" t="s">
        <v>324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300" spans="2:15" x14ac:dyDescent="0.25">
      <c r="K300" s="18" t="s">
        <v>135</v>
      </c>
      <c r="L300" s="18"/>
      <c r="M300" s="18"/>
      <c r="N300" s="18"/>
      <c r="O300" s="18"/>
    </row>
    <row r="301" spans="2:15" x14ac:dyDescent="0.25">
      <c r="H301">
        <f>I301-1</f>
        <v>2022</v>
      </c>
      <c r="I301">
        <f>J301-1</f>
        <v>2023</v>
      </c>
      <c r="J301">
        <f>K301-1</f>
        <v>2024</v>
      </c>
      <c r="K301">
        <f>Assumptions!$H$6</f>
        <v>2025</v>
      </c>
      <c r="L301">
        <f>K301+1</f>
        <v>2026</v>
      </c>
      <c r="M301">
        <f>L301+1</f>
        <v>2027</v>
      </c>
      <c r="N301">
        <f t="shared" ref="N301:O301" si="121">M301+1</f>
        <v>2028</v>
      </c>
      <c r="O301">
        <f t="shared" si="121"/>
        <v>2029</v>
      </c>
    </row>
    <row r="303" spans="2:15" x14ac:dyDescent="0.25">
      <c r="B303" s="5" t="s">
        <v>312</v>
      </c>
      <c r="H303" s="138">
        <v>365</v>
      </c>
      <c r="I303" s="138">
        <f>DATE(I301, 12,31) - DATE(H301, 12, 31)</f>
        <v>365</v>
      </c>
      <c r="J303" s="138">
        <f t="shared" ref="J303:O303" si="122">DATE(J301, 12,31) - DATE(I301, 12, 31)</f>
        <v>366</v>
      </c>
      <c r="K303" s="138">
        <f>DATE(K301, 12,31) - DATE(J301, 12, 31)</f>
        <v>365</v>
      </c>
      <c r="L303" s="138">
        <f t="shared" si="122"/>
        <v>365</v>
      </c>
      <c r="M303" s="138">
        <f>DATE(M301, 12,31) - DATE(L301, 12, 31)</f>
        <v>365</v>
      </c>
      <c r="N303" s="138">
        <f t="shared" si="122"/>
        <v>366</v>
      </c>
      <c r="O303" s="138">
        <f t="shared" si="122"/>
        <v>365</v>
      </c>
    </row>
    <row r="304" spans="2:15" x14ac:dyDescent="0.25">
      <c r="H304" s="138"/>
      <c r="I304" s="138"/>
      <c r="J304" s="138"/>
      <c r="K304" s="138"/>
      <c r="L304" s="138"/>
      <c r="M304" s="138"/>
      <c r="N304" s="138"/>
      <c r="O304" s="138"/>
    </row>
    <row r="305" spans="2:15" x14ac:dyDescent="0.25">
      <c r="B305" s="5" t="s">
        <v>313</v>
      </c>
      <c r="H305" s="138"/>
      <c r="I305" s="138"/>
      <c r="J305" s="138"/>
      <c r="K305" s="138"/>
      <c r="L305" s="138"/>
      <c r="M305" s="138"/>
      <c r="N305" s="138"/>
      <c r="O305" s="138"/>
    </row>
    <row r="306" spans="2:15" x14ac:dyDescent="0.25">
      <c r="C306" t="s">
        <v>314</v>
      </c>
      <c r="F306" t="s">
        <v>35</v>
      </c>
      <c r="H306" s="138">
        <f t="shared" ref="H306:O307" si="123">H73</f>
        <v>32250.3</v>
      </c>
      <c r="I306" s="138">
        <f t="shared" si="123"/>
        <v>35975.599999999999</v>
      </c>
      <c r="J306" s="138">
        <f t="shared" si="123"/>
        <v>36176.199999999997</v>
      </c>
      <c r="K306" s="138">
        <f t="shared" si="123"/>
        <v>37791.247262073601</v>
      </c>
      <c r="L306" s="138">
        <f t="shared" si="123"/>
        <v>39219.853121901324</v>
      </c>
      <c r="M306" s="138">
        <f t="shared" si="123"/>
        <v>41222.88757814515</v>
      </c>
      <c r="N306" s="138">
        <f t="shared" si="123"/>
        <v>43332.67761964861</v>
      </c>
      <c r="O306" s="138">
        <f t="shared" si="123"/>
        <v>45554.912991859099</v>
      </c>
    </row>
    <row r="307" spans="2:15" x14ac:dyDescent="0.25">
      <c r="C307" t="s">
        <v>315</v>
      </c>
      <c r="F307" t="s">
        <v>35</v>
      </c>
      <c r="H307" s="138">
        <f t="shared" si="123"/>
        <v>10317.4</v>
      </c>
      <c r="I307" s="138">
        <f t="shared" si="123"/>
        <v>11409.1</v>
      </c>
      <c r="J307" s="138">
        <f t="shared" si="123"/>
        <v>11180.6</v>
      </c>
      <c r="K307" s="138">
        <f t="shared" si="123"/>
        <v>11638.655683223418</v>
      </c>
      <c r="L307" s="138">
        <f t="shared" si="123"/>
        <v>12115.47735475992</v>
      </c>
      <c r="M307" s="138">
        <f t="shared" si="123"/>
        <v>12611.83383449378</v>
      </c>
      <c r="N307" s="138">
        <f t="shared" si="123"/>
        <v>13128.525439931705</v>
      </c>
      <c r="O307" s="138">
        <f t="shared" si="123"/>
        <v>13666.385276622395</v>
      </c>
    </row>
    <row r="308" spans="2:15" x14ac:dyDescent="0.25">
      <c r="H308" s="138"/>
      <c r="I308" s="138"/>
      <c r="J308" s="138"/>
      <c r="K308" s="138"/>
      <c r="L308" s="138"/>
      <c r="M308" s="138"/>
      <c r="N308" s="138"/>
      <c r="O308" s="138"/>
    </row>
    <row r="309" spans="2:15" x14ac:dyDescent="0.25">
      <c r="B309" s="5" t="s">
        <v>316</v>
      </c>
      <c r="H309" s="138"/>
      <c r="I309" s="138"/>
      <c r="J309" s="138"/>
      <c r="K309" s="138"/>
      <c r="L309" s="138"/>
      <c r="M309" s="138"/>
      <c r="N309" s="138"/>
      <c r="O309" s="138"/>
    </row>
    <row r="310" spans="2:15" x14ac:dyDescent="0.25">
      <c r="C310" s="40" t="s">
        <v>235</v>
      </c>
      <c r="F310" t="s">
        <v>319</v>
      </c>
      <c r="H310" s="138"/>
      <c r="I310" s="138">
        <f>AVERAGE(J317,I317)/I306*I303</f>
        <v>12.164265502173693</v>
      </c>
      <c r="J310" s="138">
        <f ca="1">AVERAGE(K317,J317)/J306*J303</f>
        <v>12.634244304312356</v>
      </c>
      <c r="K310" s="138">
        <f ca="1">AVERAGE(I310,J310)</f>
        <v>12.399254903243024</v>
      </c>
      <c r="L310" s="138">
        <f ca="1">K310</f>
        <v>12.399254903243024</v>
      </c>
      <c r="M310" s="138">
        <f ca="1">L310</f>
        <v>12.399254903243024</v>
      </c>
      <c r="N310" s="138">
        <f t="shared" ref="N310:O310" ca="1" si="124">M310</f>
        <v>12.399254903243024</v>
      </c>
      <c r="O310" s="138">
        <f t="shared" ca="1" si="124"/>
        <v>12.399254903243024</v>
      </c>
    </row>
    <row r="311" spans="2:15" x14ac:dyDescent="0.25">
      <c r="C311" s="41" t="s">
        <v>317</v>
      </c>
      <c r="F311" t="s">
        <v>319</v>
      </c>
      <c r="H311" s="138"/>
      <c r="I311" s="138">
        <f>AVERAGE(I318,H318)/I307*I303</f>
        <v>63.712080707505415</v>
      </c>
      <c r="J311" s="138">
        <f>AVERAGE(J318,I318)/J307*J303</f>
        <v>58.656699998211181</v>
      </c>
      <c r="K311" s="138">
        <f>AVERAGE(I311,J311)</f>
        <v>61.184390352858301</v>
      </c>
      <c r="L311" s="138">
        <f>K311</f>
        <v>61.184390352858301</v>
      </c>
      <c r="M311" s="138">
        <f>L311</f>
        <v>61.184390352858301</v>
      </c>
      <c r="N311" s="138">
        <f t="shared" ref="N311:O311" si="125">M311</f>
        <v>61.184390352858301</v>
      </c>
      <c r="O311" s="138">
        <f t="shared" si="125"/>
        <v>61.184390352858301</v>
      </c>
    </row>
    <row r="312" spans="2:15" x14ac:dyDescent="0.25">
      <c r="C312" s="41" t="s">
        <v>318</v>
      </c>
      <c r="F312" t="s">
        <v>319</v>
      </c>
      <c r="H312" s="138"/>
      <c r="I312" s="138" t="s">
        <v>323</v>
      </c>
      <c r="J312" s="138" t="s">
        <v>323</v>
      </c>
      <c r="K312" s="138" t="s">
        <v>323</v>
      </c>
      <c r="L312" s="138" t="s">
        <v>323</v>
      </c>
      <c r="M312" s="138" t="s">
        <v>323</v>
      </c>
      <c r="N312" s="138" t="s">
        <v>323</v>
      </c>
      <c r="O312" s="138" t="s">
        <v>323</v>
      </c>
    </row>
    <row r="313" spans="2:15" x14ac:dyDescent="0.25">
      <c r="C313" s="41" t="s">
        <v>238</v>
      </c>
      <c r="F313" t="s">
        <v>319</v>
      </c>
      <c r="H313" s="138"/>
      <c r="I313" s="138">
        <f>AVERAGE(H319,I319)/I307*I303</f>
        <v>47.759266725683872</v>
      </c>
      <c r="J313" s="138">
        <f>AVERAGE(I319,J319)/J307*J303</f>
        <v>51.391106022932583</v>
      </c>
      <c r="K313" s="138">
        <f>AVERAGE(I313,J313)</f>
        <v>49.575186374308231</v>
      </c>
      <c r="L313" s="138">
        <f>K313</f>
        <v>49.575186374308231</v>
      </c>
      <c r="M313" s="138">
        <f>L313</f>
        <v>49.575186374308231</v>
      </c>
      <c r="N313" s="138">
        <f t="shared" ref="N313:O313" si="126">M313</f>
        <v>49.575186374308231</v>
      </c>
      <c r="O313" s="138">
        <f t="shared" si="126"/>
        <v>49.575186374308231</v>
      </c>
    </row>
    <row r="314" spans="2:15" x14ac:dyDescent="0.25">
      <c r="C314" s="40" t="s">
        <v>321</v>
      </c>
      <c r="F314" t="s">
        <v>319</v>
      </c>
      <c r="H314" s="138"/>
      <c r="I314" s="138" t="s">
        <v>323</v>
      </c>
      <c r="J314" s="138" t="s">
        <v>323</v>
      </c>
      <c r="K314" s="138" t="s">
        <v>323</v>
      </c>
      <c r="L314" s="138" t="s">
        <v>323</v>
      </c>
      <c r="M314" s="138" t="s">
        <v>323</v>
      </c>
      <c r="N314" s="138" t="s">
        <v>323</v>
      </c>
      <c r="O314" s="138" t="s">
        <v>323</v>
      </c>
    </row>
    <row r="315" spans="2:15" x14ac:dyDescent="0.25">
      <c r="H315" s="138"/>
      <c r="I315" s="138"/>
      <c r="J315" s="138"/>
      <c r="K315" s="138"/>
      <c r="L315" s="138"/>
      <c r="M315" s="138"/>
      <c r="N315" s="138"/>
      <c r="O315" s="138"/>
    </row>
    <row r="316" spans="2:15" x14ac:dyDescent="0.25">
      <c r="B316" s="5" t="s">
        <v>320</v>
      </c>
      <c r="H316" s="138"/>
      <c r="I316" s="138"/>
      <c r="J316" s="138"/>
      <c r="K316" s="138"/>
      <c r="L316" s="138"/>
      <c r="M316" s="138"/>
      <c r="N316" s="138"/>
      <c r="O316" s="138"/>
    </row>
    <row r="317" spans="2:15" x14ac:dyDescent="0.25">
      <c r="C317" s="40" t="s">
        <v>235</v>
      </c>
      <c r="F317" t="s">
        <v>35</v>
      </c>
      <c r="H317" s="138">
        <v>1175.5</v>
      </c>
      <c r="I317" s="138">
        <v>1184.0999999999999</v>
      </c>
      <c r="J317" s="138">
        <v>1213.8</v>
      </c>
      <c r="K317" s="138">
        <f ca="1">K310*(K306/K303)</f>
        <v>1283.7898846957139</v>
      </c>
      <c r="L317" s="138">
        <f t="shared" ref="L317:O317" ca="1" si="127">L310*(L306/L303)</f>
        <v>1332.3204277430309</v>
      </c>
      <c r="M317" s="138">
        <f t="shared" ca="1" si="127"/>
        <v>1400.3646326826088</v>
      </c>
      <c r="N317" s="138">
        <f t="shared" ca="1" si="127"/>
        <v>1468.013430180539</v>
      </c>
      <c r="O317" s="138">
        <f t="shared" ca="1" si="127"/>
        <v>1547.5259678934747</v>
      </c>
    </row>
    <row r="318" spans="2:15" x14ac:dyDescent="0.25">
      <c r="C318" s="41" t="s">
        <v>317</v>
      </c>
      <c r="F318" t="s">
        <v>35</v>
      </c>
      <c r="H318" s="138">
        <v>2176.6</v>
      </c>
      <c r="I318" s="138">
        <v>1806.4</v>
      </c>
      <c r="J318" s="138">
        <v>1777.3</v>
      </c>
      <c r="K318" s="138">
        <f>K311*K307/K303</f>
        <v>1950.9700068626148</v>
      </c>
      <c r="L318" s="138">
        <f t="shared" ref="L318:O318" si="128">L311*L307/L303</f>
        <v>2030.8988925612218</v>
      </c>
      <c r="M318" s="138">
        <f t="shared" si="128"/>
        <v>2114.1023682056252</v>
      </c>
      <c r="N318" s="138">
        <f t="shared" si="128"/>
        <v>2194.701708399487</v>
      </c>
      <c r="O318" s="138">
        <f t="shared" si="128"/>
        <v>2290.8752095271784</v>
      </c>
    </row>
    <row r="319" spans="2:15" x14ac:dyDescent="0.25">
      <c r="C319" s="40" t="s">
        <v>238</v>
      </c>
      <c r="F319" t="s">
        <v>35</v>
      </c>
      <c r="H319" s="138">
        <v>1441.4</v>
      </c>
      <c r="I319" s="138">
        <v>1544.3</v>
      </c>
      <c r="J319" s="138">
        <v>1595.5</v>
      </c>
      <c r="K319" s="138">
        <f>K313*K307/K303</f>
        <v>1580.790478471788</v>
      </c>
      <c r="L319" s="138">
        <f t="shared" ref="L319:O319" si="129">L313*L307/L303</f>
        <v>1645.5535558244765</v>
      </c>
      <c r="M319" s="138">
        <f t="shared" si="129"/>
        <v>1712.9698982653028</v>
      </c>
      <c r="N319" s="138">
        <f t="shared" si="129"/>
        <v>1778.2762172253038</v>
      </c>
      <c r="O319" s="138">
        <f t="shared" si="129"/>
        <v>1856.2016360319376</v>
      </c>
    </row>
    <row r="323" spans="2:15" x14ac:dyDescent="0.25">
      <c r="O323" s="17" t="str">
        <f>UPPER("currently running: " &amp;CHOOSE(Scenarios!$D$6, Scenarios!$C$19, Scenarios!$C$20, Scenarios!$C$21)&amp;" scenario")</f>
        <v>CURRENTLY RUNNING: BASE CASE SCENARIO</v>
      </c>
    </row>
    <row r="324" spans="2:15" ht="28.5" x14ac:dyDescent="0.45">
      <c r="B324" s="4" t="str">
        <f>Cover!$A$7</f>
        <v>Starbucks CORP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2:15" ht="28.5" x14ac:dyDescent="0.45">
      <c r="B325" s="13" t="s">
        <v>325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8" spans="2:15" x14ac:dyDescent="0.25">
      <c r="K328" s="18" t="s">
        <v>135</v>
      </c>
      <c r="L328" s="18"/>
      <c r="M328" s="18"/>
      <c r="N328" s="18"/>
      <c r="O328" s="18"/>
    </row>
    <row r="329" spans="2:15" x14ac:dyDescent="0.25">
      <c r="H329">
        <f>I329-1</f>
        <v>2022</v>
      </c>
      <c r="I329">
        <f>J329-1</f>
        <v>2023</v>
      </c>
      <c r="J329">
        <f>K329-1</f>
        <v>2024</v>
      </c>
      <c r="K329">
        <f>Assumptions!$H$6</f>
        <v>2025</v>
      </c>
      <c r="L329">
        <f>K329+1</f>
        <v>2026</v>
      </c>
      <c r="M329">
        <f>L329+1</f>
        <v>2027</v>
      </c>
      <c r="N329">
        <f t="shared" ref="N329:O329" si="130">M329+1</f>
        <v>2028</v>
      </c>
      <c r="O329">
        <f t="shared" si="130"/>
        <v>2029</v>
      </c>
    </row>
    <row r="331" spans="2:15" x14ac:dyDescent="0.25">
      <c r="B331" s="5" t="s">
        <v>327</v>
      </c>
    </row>
    <row r="332" spans="2:15" x14ac:dyDescent="0.25">
      <c r="B332" s="5" t="s">
        <v>328</v>
      </c>
    </row>
    <row r="333" spans="2:15" x14ac:dyDescent="0.25">
      <c r="C333" t="s">
        <v>329</v>
      </c>
      <c r="J333" s="118"/>
      <c r="K333" s="118">
        <f>J335</f>
        <v>3286.2</v>
      </c>
      <c r="L333" s="118">
        <f t="shared" ref="L333:O333" ca="1" si="131">K335</f>
        <v>2288.1385119682977</v>
      </c>
      <c r="M333" s="118">
        <f ca="1">L335</f>
        <v>1847.6990331275767</v>
      </c>
      <c r="N333" s="118">
        <f t="shared" ca="1" si="131"/>
        <v>1448.7129486252429</v>
      </c>
      <c r="O333" s="118">
        <f t="shared" ca="1" si="131"/>
        <v>1580.6729729571955</v>
      </c>
    </row>
    <row r="334" spans="2:15" x14ac:dyDescent="0.25">
      <c r="C334" t="s">
        <v>330</v>
      </c>
      <c r="J334" s="118"/>
      <c r="K334" s="118">
        <f ca="1">K161</f>
        <v>-998.06149006935209</v>
      </c>
      <c r="L334" s="118">
        <f ca="1">L161</f>
        <v>-440.43948669870252</v>
      </c>
      <c r="M334" s="118">
        <f ca="1">M161</f>
        <v>-398.98611461678576</v>
      </c>
      <c r="N334" s="118">
        <f ca="1">N161</f>
        <v>131.95990922971731</v>
      </c>
      <c r="O334" s="118">
        <f ca="1">O161</f>
        <v>251.17558874366358</v>
      </c>
    </row>
    <row r="335" spans="2:15" x14ac:dyDescent="0.25">
      <c r="C335" t="s">
        <v>331</v>
      </c>
      <c r="J335" s="118">
        <f>J186</f>
        <v>3286.2</v>
      </c>
      <c r="K335" s="118">
        <f ca="1">K333+K334</f>
        <v>2288.1385099306476</v>
      </c>
      <c r="L335" s="118">
        <f t="shared" ref="L335:O335" ca="1" si="132">L333+L334</f>
        <v>1847.6990252695953</v>
      </c>
      <c r="M335" s="118">
        <f t="shared" ca="1" si="132"/>
        <v>1448.712918510791</v>
      </c>
      <c r="N335" s="118">
        <f t="shared" ca="1" si="132"/>
        <v>1580.6728578549603</v>
      </c>
      <c r="O335" s="118">
        <f t="shared" ca="1" si="132"/>
        <v>1831.8485617008591</v>
      </c>
    </row>
    <row r="336" spans="2:15" x14ac:dyDescent="0.25">
      <c r="C336" t="s">
        <v>332</v>
      </c>
      <c r="H336" s="8"/>
      <c r="I336" s="8"/>
      <c r="J336" s="8"/>
      <c r="K336" s="8">
        <f>Assumptions!$N$17</f>
        <v>5.0000000000000001E-3</v>
      </c>
      <c r="L336" s="8">
        <f>Assumptions!$N$17</f>
        <v>5.0000000000000001E-3</v>
      </c>
      <c r="M336" s="8">
        <f>Assumptions!$N$17</f>
        <v>5.0000000000000001E-3</v>
      </c>
      <c r="N336" s="8">
        <f>Assumptions!$N$17</f>
        <v>5.0000000000000001E-3</v>
      </c>
      <c r="O336" s="8">
        <f>Assumptions!$N$17</f>
        <v>5.0000000000000001E-3</v>
      </c>
    </row>
    <row r="337" spans="2:15" x14ac:dyDescent="0.25">
      <c r="B337" s="42" t="s">
        <v>333</v>
      </c>
      <c r="K337" s="9">
        <f>K336*K333</f>
        <v>16.431000000000001</v>
      </c>
      <c r="L337" s="9">
        <f ca="1">L336*L333</f>
        <v>11.440692559841489</v>
      </c>
      <c r="M337" s="9">
        <f ca="1">M336*M333</f>
        <v>9.2384951656378842</v>
      </c>
      <c r="N337" s="9">
        <f ca="1">N336*N333</f>
        <v>7.2435647431262149</v>
      </c>
      <c r="O337" s="9">
        <f ca="1">O336*O333</f>
        <v>7.9033648647859778</v>
      </c>
    </row>
    <row r="339" spans="2:15" x14ac:dyDescent="0.25">
      <c r="B339" s="5" t="s">
        <v>334</v>
      </c>
    </row>
    <row r="340" spans="2:15" x14ac:dyDescent="0.25">
      <c r="C340" t="s">
        <v>335</v>
      </c>
      <c r="K340">
        <f>Assumptions!L78</f>
        <v>341</v>
      </c>
      <c r="L340">
        <f>Assumptions!M78</f>
        <v>341</v>
      </c>
      <c r="M340">
        <f>Assumptions!N78</f>
        <v>341</v>
      </c>
      <c r="N340">
        <f>Assumptions!O78</f>
        <v>341</v>
      </c>
      <c r="O340">
        <f>Assumptions!P78</f>
        <v>341</v>
      </c>
    </row>
    <row r="341" spans="2:15" x14ac:dyDescent="0.25">
      <c r="C341" t="s">
        <v>332</v>
      </c>
      <c r="K341" s="8">
        <f>Assumptions!$N$18</f>
        <v>0.05</v>
      </c>
      <c r="L341" s="8">
        <f>Assumptions!$N$18</f>
        <v>0.05</v>
      </c>
      <c r="M341" s="8">
        <f>Assumptions!$N$18</f>
        <v>0.05</v>
      </c>
      <c r="N341" s="8">
        <f>Assumptions!$N$18</f>
        <v>0.05</v>
      </c>
      <c r="O341" s="8">
        <f>Assumptions!$N$18</f>
        <v>0.05</v>
      </c>
    </row>
    <row r="342" spans="2:15" x14ac:dyDescent="0.25">
      <c r="B342" s="7" t="s">
        <v>333</v>
      </c>
      <c r="K342">
        <f>K340*K341</f>
        <v>17.05</v>
      </c>
      <c r="L342">
        <f t="shared" ref="L342:O342" si="133">L340*L341</f>
        <v>17.05</v>
      </c>
      <c r="M342">
        <f t="shared" si="133"/>
        <v>17.05</v>
      </c>
      <c r="N342">
        <f t="shared" si="133"/>
        <v>17.05</v>
      </c>
      <c r="O342">
        <f t="shared" si="133"/>
        <v>17.05</v>
      </c>
    </row>
    <row r="344" spans="2:15" x14ac:dyDescent="0.25">
      <c r="B344" s="5" t="s">
        <v>336</v>
      </c>
    </row>
    <row r="345" spans="2:15" x14ac:dyDescent="0.25">
      <c r="C345" t="s">
        <v>335</v>
      </c>
      <c r="K345">
        <f>Assumptions!L88</f>
        <v>267.5</v>
      </c>
      <c r="L345">
        <f>Assumptions!M88</f>
        <v>267.5</v>
      </c>
      <c r="M345">
        <f>Assumptions!N88</f>
        <v>267.5</v>
      </c>
      <c r="N345">
        <f>Assumptions!O88</f>
        <v>267.5</v>
      </c>
      <c r="O345">
        <f>Assumptions!P88</f>
        <v>267.5</v>
      </c>
    </row>
    <row r="346" spans="2:15" x14ac:dyDescent="0.25">
      <c r="C346" t="s">
        <v>332</v>
      </c>
      <c r="K346" s="8">
        <f>Assumptions!$N$19</f>
        <v>0.125</v>
      </c>
      <c r="L346" s="8">
        <f>Assumptions!$N$19</f>
        <v>0.125</v>
      </c>
      <c r="M346" s="8">
        <f>Assumptions!$N$19</f>
        <v>0.125</v>
      </c>
      <c r="N346" s="8">
        <f>Assumptions!$N$19</f>
        <v>0.125</v>
      </c>
      <c r="O346" s="8">
        <f>Assumptions!$N$19</f>
        <v>0.125</v>
      </c>
    </row>
    <row r="347" spans="2:15" x14ac:dyDescent="0.25">
      <c r="B347" s="7" t="s">
        <v>333</v>
      </c>
      <c r="K347" s="47">
        <f>K345*K346</f>
        <v>33.4375</v>
      </c>
      <c r="L347" s="47">
        <f t="shared" ref="L347:O347" si="134">L345*L346</f>
        <v>33.4375</v>
      </c>
      <c r="M347" s="47">
        <f t="shared" si="134"/>
        <v>33.4375</v>
      </c>
      <c r="N347" s="47">
        <f t="shared" si="134"/>
        <v>33.4375</v>
      </c>
      <c r="O347" s="47">
        <f t="shared" si="134"/>
        <v>33.4375</v>
      </c>
    </row>
    <row r="349" spans="2:15" x14ac:dyDescent="0.25">
      <c r="B349" s="5" t="s">
        <v>338</v>
      </c>
    </row>
    <row r="350" spans="2:15" x14ac:dyDescent="0.25">
      <c r="C350" t="s">
        <v>329</v>
      </c>
      <c r="K350">
        <f>J353</f>
        <v>14319.5</v>
      </c>
      <c r="L350">
        <f t="shared" ref="L350:O350" si="135">K353</f>
        <v>14369.5</v>
      </c>
      <c r="M350">
        <f>L353</f>
        <v>14469.5</v>
      </c>
      <c r="N350">
        <f t="shared" si="135"/>
        <v>14569.5</v>
      </c>
      <c r="O350">
        <f t="shared" si="135"/>
        <v>14669.5</v>
      </c>
    </row>
    <row r="351" spans="2:15" x14ac:dyDescent="0.25">
      <c r="C351" t="s">
        <v>341</v>
      </c>
      <c r="K351">
        <v>1300</v>
      </c>
      <c r="L351">
        <v>1600</v>
      </c>
      <c r="M351">
        <v>1600</v>
      </c>
      <c r="N351">
        <v>700</v>
      </c>
      <c r="O351">
        <v>1900</v>
      </c>
    </row>
    <row r="352" spans="2:15" x14ac:dyDescent="0.25">
      <c r="C352" t="s">
        <v>340</v>
      </c>
      <c r="K352">
        <v>-1250</v>
      </c>
      <c r="L352">
        <v>-1500</v>
      </c>
      <c r="M352">
        <v>-1500</v>
      </c>
      <c r="N352">
        <v>-600</v>
      </c>
      <c r="O352">
        <v>-1750</v>
      </c>
    </row>
    <row r="353" spans="2:15" x14ac:dyDescent="0.25">
      <c r="C353" t="s">
        <v>331</v>
      </c>
      <c r="J353" s="9">
        <f>J215</f>
        <v>14319.5</v>
      </c>
      <c r="K353">
        <f>K350+K351+K352</f>
        <v>14369.5</v>
      </c>
      <c r="L353">
        <f t="shared" ref="L353:O353" si="136">L350+L351+L352</f>
        <v>14469.5</v>
      </c>
      <c r="M353">
        <f t="shared" si="136"/>
        <v>14569.5</v>
      </c>
      <c r="N353">
        <f t="shared" si="136"/>
        <v>14669.5</v>
      </c>
      <c r="O353">
        <f t="shared" si="136"/>
        <v>14819.5</v>
      </c>
    </row>
    <row r="354" spans="2:15" x14ac:dyDescent="0.25">
      <c r="C354" t="s">
        <v>332</v>
      </c>
      <c r="K354" s="8">
        <f>Assumptions!$N$22</f>
        <v>3.6334719052452592E-2</v>
      </c>
      <c r="L354" s="8">
        <f>Assumptions!$N$22</f>
        <v>3.6334719052452592E-2</v>
      </c>
      <c r="M354" s="8">
        <f>Assumptions!$N$22</f>
        <v>3.6334719052452592E-2</v>
      </c>
      <c r="N354" s="8">
        <f>Assumptions!$N$22</f>
        <v>3.6334719052452592E-2</v>
      </c>
      <c r="O354" s="8">
        <f>Assumptions!$N$22</f>
        <v>3.6334719052452592E-2</v>
      </c>
    </row>
    <row r="355" spans="2:15" x14ac:dyDescent="0.25">
      <c r="B355" s="42" t="s">
        <v>339</v>
      </c>
      <c r="C355" s="42"/>
      <c r="K355" s="139">
        <f>K350*K354</f>
        <v>520.29500947159488</v>
      </c>
      <c r="L355" s="139">
        <f t="shared" ref="L355:O355" si="137">L350*L354</f>
        <v>522.11174542421747</v>
      </c>
      <c r="M355" s="139">
        <f t="shared" si="137"/>
        <v>525.74521732946278</v>
      </c>
      <c r="N355" s="139">
        <f t="shared" si="137"/>
        <v>529.37868923470808</v>
      </c>
      <c r="O355" s="139">
        <f t="shared" si="137"/>
        <v>533.01216113995326</v>
      </c>
    </row>
    <row r="357" spans="2:15" x14ac:dyDescent="0.25">
      <c r="B357" s="5" t="s">
        <v>348</v>
      </c>
    </row>
    <row r="358" spans="2:15" x14ac:dyDescent="0.25">
      <c r="C358" t="s">
        <v>329</v>
      </c>
      <c r="K358">
        <f>J361</f>
        <v>0</v>
      </c>
      <c r="L358">
        <f t="shared" ref="L358:O358" si="138">K361</f>
        <v>0</v>
      </c>
      <c r="M358">
        <f>L361</f>
        <v>0</v>
      </c>
      <c r="N358">
        <f t="shared" si="138"/>
        <v>0</v>
      </c>
      <c r="O358">
        <f t="shared" si="138"/>
        <v>0</v>
      </c>
    </row>
    <row r="359" spans="2:15" x14ac:dyDescent="0.25">
      <c r="C359" t="s">
        <v>341</v>
      </c>
      <c r="K359">
        <v>91.67</v>
      </c>
      <c r="L359">
        <v>91.67</v>
      </c>
      <c r="M359">
        <v>91.67</v>
      </c>
      <c r="N359">
        <v>91.67</v>
      </c>
      <c r="O359">
        <v>91.67</v>
      </c>
    </row>
    <row r="360" spans="2:15" x14ac:dyDescent="0.25">
      <c r="C360" t="s">
        <v>340</v>
      </c>
      <c r="K360">
        <v>-91.67</v>
      </c>
      <c r="L360">
        <v>-91.67</v>
      </c>
      <c r="M360">
        <v>-91.67</v>
      </c>
      <c r="N360">
        <v>-91.67</v>
      </c>
      <c r="O360">
        <v>-91.67</v>
      </c>
    </row>
    <row r="361" spans="2:15" x14ac:dyDescent="0.25">
      <c r="C361" t="s">
        <v>331</v>
      </c>
      <c r="J361">
        <v>0</v>
      </c>
      <c r="K361">
        <f>K358+K359+K360</f>
        <v>0</v>
      </c>
      <c r="L361">
        <f t="shared" ref="L361:O361" si="139">L358+L359+L360</f>
        <v>0</v>
      </c>
      <c r="M361">
        <f t="shared" si="139"/>
        <v>0</v>
      </c>
      <c r="N361">
        <f t="shared" si="139"/>
        <v>0</v>
      </c>
      <c r="O361">
        <f t="shared" si="139"/>
        <v>0</v>
      </c>
    </row>
    <row r="362" spans="2:15" x14ac:dyDescent="0.25">
      <c r="C362" t="s">
        <v>332</v>
      </c>
      <c r="J362" s="8">
        <f>Assumptions!$N$21</f>
        <v>4.5999999999999999E-2</v>
      </c>
      <c r="K362" s="8">
        <f>Assumptions!$N$21</f>
        <v>4.5999999999999999E-2</v>
      </c>
      <c r="L362" s="8">
        <f>Assumptions!$N$21</f>
        <v>4.5999999999999999E-2</v>
      </c>
      <c r="M362" s="8">
        <f>Assumptions!$N$21</f>
        <v>4.5999999999999999E-2</v>
      </c>
      <c r="N362" s="8">
        <f>Assumptions!$N$21</f>
        <v>4.5999999999999999E-2</v>
      </c>
      <c r="O362" s="8">
        <f>Assumptions!$N$21</f>
        <v>4.5999999999999999E-2</v>
      </c>
    </row>
    <row r="363" spans="2:15" x14ac:dyDescent="0.25">
      <c r="B363" s="42" t="s">
        <v>339</v>
      </c>
      <c r="C363" s="42"/>
      <c r="K363" s="10">
        <f>((K358+K359)/2)*K362</f>
        <v>2.1084100000000001</v>
      </c>
      <c r="L363" s="10">
        <f t="shared" ref="L363:O363" si="140">((L358+L359)/2)*L362</f>
        <v>2.1084100000000001</v>
      </c>
      <c r="M363" s="10">
        <f t="shared" si="140"/>
        <v>2.1084100000000001</v>
      </c>
      <c r="N363" s="10">
        <f t="shared" si="140"/>
        <v>2.1084100000000001</v>
      </c>
      <c r="O363" s="10">
        <f t="shared" si="140"/>
        <v>2.1084100000000001</v>
      </c>
    </row>
    <row r="365" spans="2:15" x14ac:dyDescent="0.25">
      <c r="B365" s="5" t="s">
        <v>349</v>
      </c>
    </row>
    <row r="366" spans="2:15" x14ac:dyDescent="0.25">
      <c r="C366" t="s">
        <v>350</v>
      </c>
      <c r="K366" s="10">
        <f ca="1">K135</f>
        <v>5018.4955190675182</v>
      </c>
      <c r="L366" s="10">
        <f ca="1">L135</f>
        <v>5553.1868369246904</v>
      </c>
      <c r="M366" s="10">
        <f ca="1">M135</f>
        <v>5922.7452702191713</v>
      </c>
      <c r="N366" s="10">
        <f ca="1">N135</f>
        <v>6805.5441826321021</v>
      </c>
      <c r="O366" s="10">
        <f ca="1">O135</f>
        <v>7251.5459815259728</v>
      </c>
    </row>
    <row r="367" spans="2:15" x14ac:dyDescent="0.25">
      <c r="C367" t="s">
        <v>351</v>
      </c>
      <c r="K367" s="10">
        <f>K145</f>
        <v>-2915.6011717219449</v>
      </c>
      <c r="L367" s="10">
        <f>L145</f>
        <v>-3025.8183574622708</v>
      </c>
      <c r="M367" s="10">
        <f>M145</f>
        <v>-3180.3528073872635</v>
      </c>
      <c r="N367" s="10">
        <f>N145</f>
        <v>-3343.1234689226421</v>
      </c>
      <c r="O367" s="10">
        <f>O145</f>
        <v>-3514.5693069000822</v>
      </c>
    </row>
    <row r="368" spans="2:15" x14ac:dyDescent="0.25">
      <c r="C368" t="s">
        <v>358</v>
      </c>
      <c r="K368" s="10">
        <f>K359+K351</f>
        <v>1391.67</v>
      </c>
      <c r="L368" s="10">
        <f t="shared" ref="L368:O368" si="141">L359+L351</f>
        <v>1691.67</v>
      </c>
      <c r="M368" s="10">
        <f t="shared" si="141"/>
        <v>1691.67</v>
      </c>
      <c r="N368" s="10">
        <f t="shared" si="141"/>
        <v>791.67</v>
      </c>
      <c r="O368" s="10">
        <f t="shared" si="141"/>
        <v>1991.67</v>
      </c>
    </row>
    <row r="369" spans="2:15" x14ac:dyDescent="0.25">
      <c r="C369" t="s">
        <v>352</v>
      </c>
      <c r="K369" s="10">
        <f>(K360+K352)</f>
        <v>-1341.67</v>
      </c>
      <c r="L369" s="10">
        <f t="shared" ref="L369:O369" si="142">(L360+L352)</f>
        <v>-1591.67</v>
      </c>
      <c r="M369" s="10">
        <f t="shared" si="142"/>
        <v>-1591.67</v>
      </c>
      <c r="N369" s="10">
        <f t="shared" si="142"/>
        <v>-691.67</v>
      </c>
      <c r="O369" s="10">
        <f t="shared" si="142"/>
        <v>-1841.67</v>
      </c>
    </row>
    <row r="370" spans="2:15" x14ac:dyDescent="0.25">
      <c r="C370" t="s">
        <v>353</v>
      </c>
      <c r="K370" s="10">
        <f>K392+K393</f>
        <v>-166.17919999999998</v>
      </c>
      <c r="L370" s="10">
        <f t="shared" ref="L370:O370" si="143">L392+L393</f>
        <v>-166.17919999999998</v>
      </c>
      <c r="M370" s="10">
        <f t="shared" si="143"/>
        <v>-166.17919999999998</v>
      </c>
      <c r="N370" s="10">
        <f t="shared" si="143"/>
        <v>-166.17919999999998</v>
      </c>
      <c r="O370" s="10">
        <f t="shared" si="143"/>
        <v>-166.17919999999998</v>
      </c>
    </row>
    <row r="371" spans="2:15" x14ac:dyDescent="0.25">
      <c r="C371" t="s">
        <v>354</v>
      </c>
      <c r="K371" s="10">
        <f ca="1">-K397</f>
        <v>-2485.8849174149254</v>
      </c>
      <c r="L371" s="10">
        <f t="shared" ref="L371:O371" ca="1" si="144">-L397</f>
        <v>-2402.7370461611222</v>
      </c>
      <c r="M371" s="10">
        <f t="shared" ca="1" si="144"/>
        <v>-2576.3076574486936</v>
      </c>
      <c r="N371" s="10">
        <f t="shared" ca="1" si="144"/>
        <v>-2765.3898844797427</v>
      </c>
      <c r="O371" s="10">
        <f t="shared" ca="1" si="144"/>
        <v>-2970.7301658822271</v>
      </c>
    </row>
    <row r="372" spans="2:15" x14ac:dyDescent="0.25">
      <c r="C372" s="42" t="s">
        <v>355</v>
      </c>
      <c r="K372" s="10">
        <f ca="1">SUM(K366:K371)</f>
        <v>-499.16977006935213</v>
      </c>
      <c r="L372" s="10">
        <f t="shared" ref="L372:N372" ca="1" si="145">SUM(L366:L371)</f>
        <v>58.452233301297383</v>
      </c>
      <c r="M372" s="10">
        <f t="shared" ca="1" si="145"/>
        <v>99.905605383213697</v>
      </c>
      <c r="N372" s="10">
        <f t="shared" ca="1" si="145"/>
        <v>630.85162922971722</v>
      </c>
      <c r="O372" s="10">
        <f ca="1">SUM(O366:O371)</f>
        <v>750.06730874366303</v>
      </c>
    </row>
    <row r="374" spans="2:15" x14ac:dyDescent="0.25">
      <c r="C374" t="s">
        <v>356</v>
      </c>
      <c r="J374" s="10"/>
      <c r="K374" s="10">
        <f>J376</f>
        <v>0</v>
      </c>
      <c r="L374" s="10">
        <f t="shared" ref="L374:O374" ca="1" si="146">K376</f>
        <v>0</v>
      </c>
      <c r="M374" s="10">
        <f ca="1">L376</f>
        <v>0</v>
      </c>
      <c r="N374" s="10">
        <f t="shared" ca="1" si="146"/>
        <v>0</v>
      </c>
      <c r="O374" s="10">
        <f t="shared" ca="1" si="146"/>
        <v>0</v>
      </c>
    </row>
    <row r="375" spans="2:15" x14ac:dyDescent="0.25">
      <c r="C375" t="s">
        <v>359</v>
      </c>
      <c r="J375" s="10"/>
      <c r="K375" s="10">
        <f ca="1">-MIN((K333+K372),K374)</f>
        <v>0</v>
      </c>
      <c r="L375" s="10">
        <f t="shared" ref="L375:N375" ca="1" si="147">-MIN((L333+L372),L374)</f>
        <v>0</v>
      </c>
      <c r="M375" s="10">
        <f t="shared" ca="1" si="147"/>
        <v>0</v>
      </c>
      <c r="N375" s="10">
        <f t="shared" ca="1" si="147"/>
        <v>0</v>
      </c>
      <c r="O375" s="10">
        <f ca="1">-MIN((O333+O372),O374)</f>
        <v>0</v>
      </c>
    </row>
    <row r="376" spans="2:15" x14ac:dyDescent="0.25">
      <c r="C376" t="s">
        <v>357</v>
      </c>
      <c r="J376" s="10">
        <v>0</v>
      </c>
      <c r="K376" s="10">
        <f ca="1">SUM(K374:K375)</f>
        <v>0</v>
      </c>
      <c r="L376" s="10">
        <f ca="1">SUM(L374:L375)</f>
        <v>0</v>
      </c>
      <c r="M376" s="10">
        <f ca="1">SUM(M374:M375)</f>
        <v>0</v>
      </c>
      <c r="N376" s="10">
        <f ca="1">SUM(N374:N375)</f>
        <v>0</v>
      </c>
      <c r="O376" s="10">
        <f ca="1">SUM(O374:O375)</f>
        <v>0</v>
      </c>
    </row>
    <row r="377" spans="2:15" x14ac:dyDescent="0.25">
      <c r="C377" t="s">
        <v>332</v>
      </c>
      <c r="J377" s="8"/>
      <c r="K377" s="8">
        <f>Assumptions!$N$20</f>
        <v>8.5000000000000006E-2</v>
      </c>
      <c r="L377" s="8">
        <f>Assumptions!$N$20</f>
        <v>8.5000000000000006E-2</v>
      </c>
      <c r="M377" s="8">
        <f>Assumptions!$N$20</f>
        <v>8.5000000000000006E-2</v>
      </c>
      <c r="N377" s="8">
        <f>Assumptions!$N$20</f>
        <v>8.5000000000000006E-2</v>
      </c>
      <c r="O377" s="8">
        <f>Assumptions!$N$20</f>
        <v>8.5000000000000006E-2</v>
      </c>
    </row>
    <row r="378" spans="2:15" x14ac:dyDescent="0.25">
      <c r="B378" s="42" t="s">
        <v>339</v>
      </c>
      <c r="C378" s="42"/>
      <c r="K378" s="9">
        <f ca="1">K376*K377</f>
        <v>0</v>
      </c>
      <c r="L378" s="9">
        <f t="shared" ref="L378:O378" ca="1" si="148">L376*L377</f>
        <v>0</v>
      </c>
      <c r="M378" s="9">
        <f t="shared" ca="1" si="148"/>
        <v>0</v>
      </c>
      <c r="N378" s="9">
        <f t="shared" ca="1" si="148"/>
        <v>0</v>
      </c>
      <c r="O378" s="9">
        <f t="shared" ca="1" si="148"/>
        <v>0</v>
      </c>
    </row>
    <row r="380" spans="2:15" x14ac:dyDescent="0.25">
      <c r="B380" s="5" t="s">
        <v>380</v>
      </c>
      <c r="K380" s="9">
        <f ca="1">K378+K363+K355</f>
        <v>522.40341947159493</v>
      </c>
      <c r="L380" s="9">
        <f ca="1">L378+L363+L355</f>
        <v>524.22015542421752</v>
      </c>
      <c r="M380" s="9">
        <f ca="1">M378+M363+M355</f>
        <v>527.85362732946282</v>
      </c>
      <c r="N380" s="9">
        <f t="shared" ref="N380:O380" ca="1" si="149">N378+N363+N355</f>
        <v>531.48709923470813</v>
      </c>
      <c r="O380" s="9">
        <f t="shared" ca="1" si="149"/>
        <v>535.12057113995331</v>
      </c>
    </row>
    <row r="382" spans="2:15" x14ac:dyDescent="0.25">
      <c r="O382" s="17" t="str">
        <f>UPPER("currently running: " &amp;CHOOSE(Scenarios!$D$6, Scenarios!$C$19, Scenarios!$C$20, Scenarios!$C$21)&amp;" scenario")</f>
        <v>CURRENTLY RUNNING: BASE CASE SCENARIO</v>
      </c>
    </row>
    <row r="383" spans="2:15" ht="28.5" x14ac:dyDescent="0.45">
      <c r="B383" s="4" t="str">
        <f>Cover!$A$7</f>
        <v>Starbucks CORP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2:15" ht="28.5" x14ac:dyDescent="0.45">
      <c r="B384" s="13" t="s">
        <v>360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7" spans="2:15" x14ac:dyDescent="0.25">
      <c r="K387" s="18" t="s">
        <v>135</v>
      </c>
      <c r="L387" s="18"/>
      <c r="M387" s="18"/>
      <c r="N387" s="18"/>
      <c r="O387" s="18"/>
    </row>
    <row r="388" spans="2:15" x14ac:dyDescent="0.25">
      <c r="H388">
        <f>I388-1</f>
        <v>2022</v>
      </c>
      <c r="I388">
        <f>J388-1</f>
        <v>2023</v>
      </c>
      <c r="J388">
        <f>K388-1</f>
        <v>2024</v>
      </c>
      <c r="K388">
        <f>Assumptions!$H$6</f>
        <v>2025</v>
      </c>
      <c r="L388">
        <f>K388+1</f>
        <v>2026</v>
      </c>
      <c r="M388">
        <f>L388+1</f>
        <v>2027</v>
      </c>
      <c r="N388">
        <f t="shared" ref="N388:O388" si="150">M388+1</f>
        <v>2028</v>
      </c>
      <c r="O388">
        <f t="shared" si="150"/>
        <v>2029</v>
      </c>
    </row>
    <row r="390" spans="2:15" x14ac:dyDescent="0.25">
      <c r="B390" s="44" t="s">
        <v>361</v>
      </c>
      <c r="K390" s="19"/>
      <c r="L390" s="19"/>
      <c r="M390" s="19"/>
      <c r="N390" s="19"/>
      <c r="O390" s="19"/>
    </row>
    <row r="391" spans="2:15" x14ac:dyDescent="0.25">
      <c r="C391" t="s">
        <v>329</v>
      </c>
      <c r="J391" s="10"/>
      <c r="K391" s="10">
        <f>J394</f>
        <v>107025.07</v>
      </c>
      <c r="L391" s="10">
        <f t="shared" ref="L391:O391" si="151">K394</f>
        <v>106858.89080000001</v>
      </c>
      <c r="M391" s="10">
        <f>L394</f>
        <v>106692.71160000001</v>
      </c>
      <c r="N391" s="10">
        <f t="shared" si="151"/>
        <v>106526.53240000001</v>
      </c>
      <c r="O391" s="10">
        <f t="shared" si="151"/>
        <v>106360.35320000001</v>
      </c>
    </row>
    <row r="392" spans="2:15" x14ac:dyDescent="0.25">
      <c r="C392" t="s">
        <v>365</v>
      </c>
      <c r="J392" s="10"/>
      <c r="K392" s="10">
        <f>Assumptions!L100*Assumptions!$N$6</f>
        <v>396.56400000000002</v>
      </c>
      <c r="L392" s="10">
        <f>Assumptions!M100*Assumptions!$N$6</f>
        <v>396.56400000000002</v>
      </c>
      <c r="M392" s="10">
        <f>Assumptions!N100*Assumptions!$N$6</f>
        <v>396.56400000000002</v>
      </c>
      <c r="N392" s="10">
        <f>Assumptions!O100*Assumptions!$N$6</f>
        <v>396.56400000000002</v>
      </c>
      <c r="O392" s="10">
        <f>Assumptions!P100*Assumptions!$N$6</f>
        <v>396.56400000000002</v>
      </c>
    </row>
    <row r="393" spans="2:15" x14ac:dyDescent="0.25">
      <c r="C393" t="s">
        <v>373</v>
      </c>
      <c r="J393" s="10"/>
      <c r="K393" s="10">
        <f>-Assumptions!L101*Assumptions!$N$6</f>
        <v>-562.7432</v>
      </c>
      <c r="L393" s="10">
        <f>-Assumptions!M101*Assumptions!$N$6</f>
        <v>-562.7432</v>
      </c>
      <c r="M393" s="10">
        <f>-Assumptions!N101*Assumptions!$N$6</f>
        <v>-562.7432</v>
      </c>
      <c r="N393" s="10">
        <f>-Assumptions!O101*Assumptions!$N$6</f>
        <v>-562.7432</v>
      </c>
      <c r="O393" s="10">
        <f>-Assumptions!P101*Assumptions!$N$6</f>
        <v>-562.7432</v>
      </c>
    </row>
    <row r="394" spans="2:15" x14ac:dyDescent="0.25">
      <c r="C394" t="s">
        <v>331</v>
      </c>
      <c r="J394" s="10">
        <f>Assumptions!N7*Assumptions!N6</f>
        <v>107025.07</v>
      </c>
      <c r="K394" s="10">
        <f>SUM(K391:K393)</f>
        <v>106858.89080000001</v>
      </c>
      <c r="L394" s="10">
        <f t="shared" ref="L394:O394" si="152">SUM(L390:L393)</f>
        <v>106692.71160000001</v>
      </c>
      <c r="M394" s="10">
        <f t="shared" si="152"/>
        <v>106526.53240000001</v>
      </c>
      <c r="N394" s="10">
        <f t="shared" si="152"/>
        <v>106360.35320000001</v>
      </c>
      <c r="O394" s="10">
        <f t="shared" si="152"/>
        <v>106194.17400000001</v>
      </c>
    </row>
    <row r="395" spans="2:15" x14ac:dyDescent="0.25">
      <c r="C395" t="s">
        <v>362</v>
      </c>
      <c r="K395" s="8">
        <f>Assumptions!$N$10</f>
        <v>0.68882175226586095</v>
      </c>
      <c r="L395" s="8">
        <f>Assumptions!$N$10</f>
        <v>0.68882175226586095</v>
      </c>
      <c r="M395" s="8">
        <f>Assumptions!$N$10</f>
        <v>0.68882175226586095</v>
      </c>
      <c r="N395" s="8">
        <f>Assumptions!$N$10</f>
        <v>0.68882175226586095</v>
      </c>
      <c r="O395" s="8">
        <f>Assumptions!$N$10</f>
        <v>0.68882175226586095</v>
      </c>
    </row>
    <row r="396" spans="2:15" x14ac:dyDescent="0.25">
      <c r="C396" t="s">
        <v>363</v>
      </c>
      <c r="K396" s="10">
        <f ca="1">K113</f>
        <v>3608.8943318611418</v>
      </c>
      <c r="L396" s="10">
        <f ca="1">L113</f>
        <v>3488.1840450847876</v>
      </c>
      <c r="M396" s="10">
        <f ca="1">M113</f>
        <v>3740.1659412961299</v>
      </c>
      <c r="N396" s="10">
        <f ca="1">N113</f>
        <v>4014.6668936964688</v>
      </c>
      <c r="O396" s="10">
        <f ca="1">O113</f>
        <v>4312.7705478377948</v>
      </c>
    </row>
    <row r="397" spans="2:15" x14ac:dyDescent="0.25">
      <c r="B397" s="42"/>
      <c r="C397" s="42" t="s">
        <v>364</v>
      </c>
      <c r="K397" s="10">
        <f ca="1">K395*K396</f>
        <v>2485.8849174149254</v>
      </c>
      <c r="L397" s="10">
        <f t="shared" ref="L397:O397" ca="1" si="153">L395*L396</f>
        <v>2402.7370461611222</v>
      </c>
      <c r="M397" s="10">
        <f t="shared" ca="1" si="153"/>
        <v>2576.3076574486936</v>
      </c>
      <c r="N397" s="10">
        <f t="shared" ca="1" si="153"/>
        <v>2765.3898844797427</v>
      </c>
      <c r="O397" s="10">
        <f t="shared" ca="1" si="153"/>
        <v>2970.7301658822271</v>
      </c>
    </row>
    <row r="399" spans="2:15" x14ac:dyDescent="0.25">
      <c r="B399" s="44" t="s">
        <v>371</v>
      </c>
    </row>
    <row r="400" spans="2:15" x14ac:dyDescent="0.25">
      <c r="C400" t="s">
        <v>329</v>
      </c>
      <c r="J400" s="10"/>
      <c r="K400" s="10">
        <f>J404</f>
        <v>-7343.8</v>
      </c>
      <c r="L400" s="10">
        <f t="shared" ref="L400:O400" ca="1" si="154">K404</f>
        <v>-6781.8347525286845</v>
      </c>
      <c r="M400" s="10">
        <f ca="1">L404</f>
        <v>-6257.4319205799193</v>
      </c>
      <c r="N400" s="10">
        <f t="shared" ca="1" si="154"/>
        <v>-5654.6178037073832</v>
      </c>
      <c r="O400" s="10">
        <f t="shared" ca="1" si="154"/>
        <v>-4966.3849614655583</v>
      </c>
    </row>
    <row r="401" spans="2:17" x14ac:dyDescent="0.25">
      <c r="C401" t="s">
        <v>363</v>
      </c>
      <c r="J401" s="10"/>
      <c r="K401" s="10">
        <f ca="1">K113</f>
        <v>3608.8943318611418</v>
      </c>
      <c r="L401" s="10">
        <f ca="1">L113</f>
        <v>3488.1840450847876</v>
      </c>
      <c r="M401" s="10">
        <f ca="1">M113</f>
        <v>3740.1659412961299</v>
      </c>
      <c r="N401" s="10">
        <f ca="1">N113</f>
        <v>4014.6668936964688</v>
      </c>
      <c r="O401" s="10">
        <f ca="1">O113</f>
        <v>4312.7705478377948</v>
      </c>
    </row>
    <row r="402" spans="2:17" x14ac:dyDescent="0.25">
      <c r="C402" t="s">
        <v>364</v>
      </c>
      <c r="J402" s="10"/>
      <c r="K402" s="10">
        <f ca="1">-K397</f>
        <v>-2485.8849174149254</v>
      </c>
      <c r="L402" s="10">
        <f t="shared" ref="L402:O402" ca="1" si="155">-L397</f>
        <v>-2402.7370461611222</v>
      </c>
      <c r="M402" s="10">
        <f t="shared" ca="1" si="155"/>
        <v>-2576.3076574486936</v>
      </c>
      <c r="N402" s="10">
        <f t="shared" ca="1" si="155"/>
        <v>-2765.3898844797427</v>
      </c>
      <c r="O402" s="10">
        <f t="shared" ca="1" si="155"/>
        <v>-2970.7301658822271</v>
      </c>
    </row>
    <row r="403" spans="2:17" x14ac:dyDescent="0.25">
      <c r="C403" t="s">
        <v>373</v>
      </c>
      <c r="J403" s="10"/>
      <c r="K403" s="10">
        <f>-Assumptions!L101*(Assumptions!$N$6-Assumptions!$K$103)</f>
        <v>-561.04416697490092</v>
      </c>
      <c r="L403" s="10">
        <f>-Assumptions!M101*(Assumptions!$N$6-Assumptions!$K$103)</f>
        <v>-561.04416697490092</v>
      </c>
      <c r="M403" s="10">
        <f>-Assumptions!N101*(Assumptions!$N$6-Assumptions!$K$103)</f>
        <v>-561.04416697490092</v>
      </c>
      <c r="N403" s="10">
        <f>-Assumptions!O101*(Assumptions!$N$6-Assumptions!$K$103)</f>
        <v>-561.04416697490092</v>
      </c>
      <c r="O403" s="10">
        <f>-Assumptions!P101*(Assumptions!$N$6-Assumptions!$K$103)</f>
        <v>-561.04416697490092</v>
      </c>
    </row>
    <row r="404" spans="2:17" x14ac:dyDescent="0.25">
      <c r="C404" s="42" t="s">
        <v>331</v>
      </c>
      <c r="D404" s="42"/>
      <c r="J404" s="10">
        <v>-7343.8</v>
      </c>
      <c r="K404" s="10">
        <f ca="1">SUM(K400:K403)</f>
        <v>-6781.8347525286845</v>
      </c>
      <c r="L404" s="10">
        <f t="shared" ref="L404:O404" ca="1" si="156">SUM(L400:L403)</f>
        <v>-6257.4319205799193</v>
      </c>
      <c r="M404" s="10">
        <f t="shared" ca="1" si="156"/>
        <v>-5654.6178037073832</v>
      </c>
      <c r="N404" s="10">
        <f t="shared" ca="1" si="156"/>
        <v>-4966.3849614655583</v>
      </c>
      <c r="O404" s="10">
        <f t="shared" ca="1" si="156"/>
        <v>-4185.3887464848913</v>
      </c>
    </row>
    <row r="406" spans="2:17" x14ac:dyDescent="0.25">
      <c r="B406" s="44" t="s">
        <v>375</v>
      </c>
    </row>
    <row r="407" spans="2:17" x14ac:dyDescent="0.25">
      <c r="C407" t="s">
        <v>329</v>
      </c>
      <c r="J407" s="10"/>
      <c r="K407" s="10">
        <f>J411</f>
        <v>322.60000000000002</v>
      </c>
      <c r="L407" s="10">
        <f t="shared" ref="L407:O407" si="157">K411</f>
        <v>611.89830030823418</v>
      </c>
      <c r="M407" s="10">
        <f>L411</f>
        <v>901.19660061646846</v>
      </c>
      <c r="N407" s="10">
        <f t="shared" si="157"/>
        <v>1190.494900924703</v>
      </c>
      <c r="O407" s="10">
        <f t="shared" si="157"/>
        <v>1479.7932012329375</v>
      </c>
    </row>
    <row r="408" spans="2:17" x14ac:dyDescent="0.25">
      <c r="C408" t="s">
        <v>376</v>
      </c>
      <c r="J408" s="10"/>
      <c r="K408" s="10">
        <f>K392</f>
        <v>396.56400000000002</v>
      </c>
      <c r="L408" s="10">
        <f t="shared" ref="L408:O408" si="158">L392</f>
        <v>396.56400000000002</v>
      </c>
      <c r="M408" s="10">
        <f t="shared" si="158"/>
        <v>396.56400000000002</v>
      </c>
      <c r="N408" s="10">
        <f t="shared" si="158"/>
        <v>396.56400000000002</v>
      </c>
      <c r="O408" s="10">
        <f t="shared" si="158"/>
        <v>396.56400000000002</v>
      </c>
      <c r="Q408" t="s">
        <v>377</v>
      </c>
    </row>
    <row r="409" spans="2:17" x14ac:dyDescent="0.25">
      <c r="C409" t="s">
        <v>373</v>
      </c>
      <c r="J409" s="10"/>
      <c r="K409" s="10">
        <f>-Assumptions!L101*Assumptions!$K$103</f>
        <v>-1.6990330250990753</v>
      </c>
      <c r="L409" s="10">
        <f>-Assumptions!M101*Assumptions!$K$103</f>
        <v>-1.6990330250990753</v>
      </c>
      <c r="M409" s="10">
        <f>-Assumptions!N101*Assumptions!$K$103</f>
        <v>-1.6990330250990753</v>
      </c>
      <c r="N409" s="10">
        <f>-Assumptions!O101*Assumptions!$K$103</f>
        <v>-1.6990330250990753</v>
      </c>
      <c r="O409" s="10">
        <f>-Assumptions!P101*Assumptions!$K$103</f>
        <v>-1.6990330250990753</v>
      </c>
    </row>
    <row r="410" spans="2:17" x14ac:dyDescent="0.25">
      <c r="C410" t="s">
        <v>395</v>
      </c>
      <c r="J410" s="10"/>
      <c r="K410" s="10">
        <f>K156</f>
        <v>-105.56666666666668</v>
      </c>
      <c r="L410" s="10">
        <f>L156</f>
        <v>-105.56666666666668</v>
      </c>
      <c r="M410" s="10">
        <f>M156</f>
        <v>-105.56666666666668</v>
      </c>
      <c r="N410" s="10">
        <f>N156</f>
        <v>-105.56666666666668</v>
      </c>
      <c r="O410" s="10">
        <f>O156</f>
        <v>-105.56666666666668</v>
      </c>
    </row>
    <row r="411" spans="2:17" x14ac:dyDescent="0.25">
      <c r="C411" s="42" t="s">
        <v>331</v>
      </c>
      <c r="D411" s="42"/>
      <c r="J411" s="10">
        <v>322.60000000000002</v>
      </c>
      <c r="K411" s="10">
        <f>SUM(K407:K410)</f>
        <v>611.89830030823418</v>
      </c>
      <c r="L411" s="10">
        <f t="shared" ref="L411:O411" si="159">SUM(L407:L410)</f>
        <v>901.19660061646846</v>
      </c>
      <c r="M411" s="10">
        <f t="shared" si="159"/>
        <v>1190.494900924703</v>
      </c>
      <c r="N411" s="10">
        <f t="shared" si="159"/>
        <v>1479.7932012329375</v>
      </c>
      <c r="O411" s="10">
        <f t="shared" si="159"/>
        <v>1769.091501541172</v>
      </c>
    </row>
  </sheetData>
  <printOptions gridLines="1"/>
  <pageMargins left="0.2" right="0.25" top="0.5" bottom="0.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7207-2EE4-4D50-9046-91CEC9E139EE}">
  <dimension ref="B2:O37"/>
  <sheetViews>
    <sheetView zoomScale="80" zoomScaleNormal="80" workbookViewId="0">
      <selection activeCell="S40" sqref="S40"/>
    </sheetView>
  </sheetViews>
  <sheetFormatPr defaultRowHeight="15" x14ac:dyDescent="0.25"/>
  <cols>
    <col min="1" max="1" width="3.28515625" customWidth="1"/>
    <col min="2" max="2" width="2.42578125" customWidth="1"/>
    <col min="3" max="3" width="20.28515625" customWidth="1"/>
    <col min="4" max="4" width="20.42578125" bestFit="1" customWidth="1"/>
    <col min="5" max="5" width="2.42578125" customWidth="1"/>
    <col min="6" max="6" width="28.140625" customWidth="1"/>
    <col min="8" max="8" width="1.85546875" customWidth="1"/>
    <col min="9" max="9" width="18.140625" customWidth="1"/>
    <col min="15" max="15" width="11.5703125" customWidth="1"/>
  </cols>
  <sheetData>
    <row r="2" spans="2:15" x14ac:dyDescent="0.25">
      <c r="B2" s="148" t="s">
        <v>429</v>
      </c>
      <c r="C2" s="23"/>
      <c r="D2" s="25"/>
      <c r="E2" s="15" t="s">
        <v>446</v>
      </c>
      <c r="F2" s="23"/>
      <c r="G2" s="23"/>
      <c r="H2" s="148" t="s">
        <v>450</v>
      </c>
      <c r="I2" s="23"/>
      <c r="J2" s="23"/>
      <c r="K2" s="23"/>
      <c r="L2" s="23"/>
      <c r="M2" s="23"/>
      <c r="N2" s="23"/>
      <c r="O2" s="25"/>
    </row>
    <row r="3" spans="2:15" x14ac:dyDescent="0.25">
      <c r="B3" s="54"/>
      <c r="C3" s="125" t="s">
        <v>430</v>
      </c>
      <c r="D3" s="149">
        <f>Model!J215+Model!J212+10234.7</f>
        <v>25803.1</v>
      </c>
      <c r="E3" s="21"/>
      <c r="F3" s="125" t="s">
        <v>443</v>
      </c>
      <c r="G3" s="146">
        <f>O4</f>
        <v>4142.0600000000004</v>
      </c>
      <c r="H3" s="54"/>
      <c r="I3" s="125" t="s">
        <v>449</v>
      </c>
      <c r="J3" s="21"/>
      <c r="K3" s="21">
        <v>2025</v>
      </c>
      <c r="L3" s="21">
        <v>2026</v>
      </c>
      <c r="M3" s="21">
        <v>2027</v>
      </c>
      <c r="N3" s="21">
        <v>2028</v>
      </c>
      <c r="O3" s="151">
        <v>2029</v>
      </c>
    </row>
    <row r="4" spans="2:15" x14ac:dyDescent="0.25">
      <c r="B4" s="54"/>
      <c r="C4" s="125" t="s">
        <v>431</v>
      </c>
      <c r="D4" s="150">
        <f>(((Model!J215+Model!J212)/(Model!J215+Model!J212+10234.7))*Assumptions!N22)+((10234.7/(10234.7+Model!J212+Model!J215)*0.034))</f>
        <v>3.5408661753673125E-2</v>
      </c>
      <c r="E4" s="21"/>
      <c r="F4" s="125" t="s">
        <v>444</v>
      </c>
      <c r="G4" s="147">
        <v>0.03</v>
      </c>
      <c r="H4" s="54"/>
      <c r="I4" s="125" t="s">
        <v>451</v>
      </c>
      <c r="J4" s="21"/>
      <c r="K4" s="21">
        <f>Summary!J27</f>
        <v>2498.35</v>
      </c>
      <c r="L4" s="21">
        <f>Summary!K27</f>
        <v>2924.2</v>
      </c>
      <c r="M4" s="21">
        <f>Summary!L27</f>
        <v>3141.98</v>
      </c>
      <c r="N4" s="21">
        <f>Summary!M27</f>
        <v>3864.76</v>
      </c>
      <c r="O4" s="151">
        <f>Summary!N27</f>
        <v>4142.0600000000004</v>
      </c>
    </row>
    <row r="5" spans="2:15" x14ac:dyDescent="0.25">
      <c r="B5" s="54"/>
      <c r="C5" s="125" t="s">
        <v>432</v>
      </c>
      <c r="D5" s="150">
        <f>D3/D15</f>
        <v>0.19681533083504507</v>
      </c>
      <c r="E5" s="21"/>
      <c r="F5" s="125" t="s">
        <v>441</v>
      </c>
      <c r="G5" s="147">
        <f>D17</f>
        <v>6.0495257570208683E-2</v>
      </c>
      <c r="H5" s="54"/>
      <c r="I5" s="125" t="s">
        <v>452</v>
      </c>
      <c r="J5" s="21"/>
      <c r="K5" s="21">
        <f>K4/(1+$G$5)^(K3-2024)</f>
        <v>2355.8332601356306</v>
      </c>
      <c r="L5" s="21">
        <f t="shared" ref="L5:O5" si="0">L4/(1+$G$5)^(L3-2024)</f>
        <v>2600.0973658704684</v>
      </c>
      <c r="M5" s="21">
        <f t="shared" si="0"/>
        <v>2634.3727419145166</v>
      </c>
      <c r="N5" s="21">
        <f>N4/(1+$G$5)^(N3-2024)</f>
        <v>3055.5374194134661</v>
      </c>
      <c r="O5" s="151">
        <f t="shared" si="0"/>
        <v>3087.9675786516218</v>
      </c>
    </row>
    <row r="6" spans="2:15" x14ac:dyDescent="0.25">
      <c r="B6" s="54"/>
      <c r="C6" s="125" t="s">
        <v>195</v>
      </c>
      <c r="D6" s="150">
        <f>Assumptions!N25</f>
        <v>0.24299999999999999</v>
      </c>
      <c r="E6" s="21"/>
      <c r="F6" s="125"/>
      <c r="G6" s="21"/>
      <c r="H6" s="54"/>
      <c r="I6" s="125" t="s">
        <v>453</v>
      </c>
      <c r="J6" s="21"/>
      <c r="K6" s="21"/>
      <c r="L6" s="21"/>
      <c r="M6" s="21"/>
      <c r="N6" s="21"/>
      <c r="O6" s="151">
        <f>G7/(1+G5)^5</f>
        <v>104298.40111002563</v>
      </c>
    </row>
    <row r="7" spans="2:15" x14ac:dyDescent="0.25">
      <c r="B7" s="54"/>
      <c r="C7" s="21"/>
      <c r="D7" s="151"/>
      <c r="E7" s="21"/>
      <c r="F7" s="125" t="s">
        <v>445</v>
      </c>
      <c r="G7" s="21">
        <f>(G3*(1+G4))/(G5-G4)</f>
        <v>139901.15643974231</v>
      </c>
      <c r="H7" s="54"/>
      <c r="I7" s="152" t="s">
        <v>454</v>
      </c>
      <c r="J7" s="21"/>
      <c r="K7" s="21"/>
      <c r="L7" s="21"/>
      <c r="M7" s="21"/>
      <c r="N7" s="21"/>
      <c r="O7" s="151">
        <f>SUM(K5:O5,O6)</f>
        <v>118032.20947601134</v>
      </c>
    </row>
    <row r="8" spans="2:15" x14ac:dyDescent="0.25">
      <c r="B8" s="54"/>
      <c r="C8" s="125" t="s">
        <v>434</v>
      </c>
      <c r="D8" s="151">
        <v>105300</v>
      </c>
      <c r="E8" s="21"/>
      <c r="F8" s="125"/>
      <c r="G8" s="21"/>
      <c r="H8" s="54"/>
      <c r="I8" s="125" t="s">
        <v>455</v>
      </c>
      <c r="J8" s="21"/>
      <c r="K8" s="21"/>
      <c r="L8" s="21"/>
      <c r="M8" s="21"/>
      <c r="N8" s="21"/>
      <c r="O8" s="149">
        <f>Model!J186</f>
        <v>3286.2</v>
      </c>
    </row>
    <row r="9" spans="2:15" x14ac:dyDescent="0.25">
      <c r="B9" s="54"/>
      <c r="C9" s="125" t="s">
        <v>435</v>
      </c>
      <c r="D9" s="150">
        <f>D11+D12*D13</f>
        <v>6.8751000000000007E-2</v>
      </c>
      <c r="E9" s="21"/>
      <c r="F9" s="125"/>
      <c r="G9" s="21"/>
      <c r="H9" s="54"/>
      <c r="I9" s="125" t="s">
        <v>456</v>
      </c>
      <c r="J9" s="21"/>
      <c r="K9" s="21"/>
      <c r="L9" s="21"/>
      <c r="M9" s="21"/>
      <c r="N9" s="21"/>
      <c r="O9" s="149">
        <f>D3</f>
        <v>25803.1</v>
      </c>
    </row>
    <row r="10" spans="2:15" x14ac:dyDescent="0.25">
      <c r="B10" s="54"/>
      <c r="C10" s="125" t="s">
        <v>436</v>
      </c>
      <c r="D10" s="150">
        <f>D8/D15</f>
        <v>0.8031846691649549</v>
      </c>
      <c r="E10" s="145" t="s">
        <v>447</v>
      </c>
      <c r="F10" s="21"/>
      <c r="G10" s="21"/>
      <c r="H10" s="54"/>
      <c r="I10" s="153" t="s">
        <v>433</v>
      </c>
      <c r="J10" s="21"/>
      <c r="K10" s="21"/>
      <c r="L10" s="21"/>
      <c r="M10" s="21"/>
      <c r="N10" s="21"/>
      <c r="O10" s="149">
        <f>O7+O8-O9</f>
        <v>95515.309476011345</v>
      </c>
    </row>
    <row r="11" spans="2:15" x14ac:dyDescent="0.25">
      <c r="B11" s="54"/>
      <c r="C11" s="125" t="s">
        <v>437</v>
      </c>
      <c r="D11" s="150">
        <v>4.41E-2</v>
      </c>
      <c r="E11" s="21"/>
      <c r="F11" s="125" t="s">
        <v>443</v>
      </c>
      <c r="G11" s="21">
        <f>O16</f>
        <v>5172.7299999999996</v>
      </c>
      <c r="H11" s="54"/>
      <c r="I11" s="125" t="s">
        <v>457</v>
      </c>
      <c r="J11" s="21"/>
      <c r="K11" s="21"/>
      <c r="L11" s="21"/>
      <c r="M11" s="21"/>
      <c r="N11" s="21"/>
      <c r="O11" s="151">
        <f>Model!J94</f>
        <v>1133.8</v>
      </c>
    </row>
    <row r="12" spans="2:15" x14ac:dyDescent="0.25">
      <c r="B12" s="54"/>
      <c r="C12" s="125" t="s">
        <v>438</v>
      </c>
      <c r="D12" s="151">
        <v>0.99</v>
      </c>
      <c r="E12" s="21"/>
      <c r="F12" s="125" t="s">
        <v>444</v>
      </c>
      <c r="G12" s="147">
        <f>G4</f>
        <v>0.03</v>
      </c>
      <c r="H12" s="54"/>
      <c r="I12" s="125" t="s">
        <v>458</v>
      </c>
      <c r="J12" s="21"/>
      <c r="K12" s="21"/>
      <c r="L12" s="21"/>
      <c r="M12" s="21"/>
      <c r="N12" s="21"/>
      <c r="O12" s="151">
        <f>O10/O11</f>
        <v>84.24352573294351</v>
      </c>
    </row>
    <row r="13" spans="2:15" x14ac:dyDescent="0.25">
      <c r="B13" s="54"/>
      <c r="C13" s="125" t="s">
        <v>439</v>
      </c>
      <c r="D13" s="150">
        <v>2.4899999999999999E-2</v>
      </c>
      <c r="E13" s="21"/>
      <c r="F13" s="125" t="s">
        <v>441</v>
      </c>
      <c r="G13" s="147">
        <f>D17</f>
        <v>6.0495257570208683E-2</v>
      </c>
      <c r="H13" s="33"/>
      <c r="I13" s="22" t="s">
        <v>462</v>
      </c>
      <c r="J13" s="3"/>
      <c r="K13" s="3"/>
      <c r="L13" s="3"/>
      <c r="M13" s="3"/>
      <c r="N13" s="3"/>
      <c r="O13" s="155">
        <f>O12/Assumptions!N6-1</f>
        <v>-0.10777879969345994</v>
      </c>
    </row>
    <row r="14" spans="2:15" x14ac:dyDescent="0.25">
      <c r="B14" s="54"/>
      <c r="C14" s="21"/>
      <c r="D14" s="151"/>
      <c r="E14" s="21"/>
      <c r="F14" s="125"/>
      <c r="G14" s="21"/>
      <c r="H14" s="156" t="s">
        <v>463</v>
      </c>
      <c r="I14" s="21"/>
      <c r="J14" s="21"/>
      <c r="K14" s="21"/>
      <c r="L14" s="21"/>
      <c r="M14" s="21"/>
      <c r="N14" s="21"/>
      <c r="O14" s="151"/>
    </row>
    <row r="15" spans="2:15" x14ac:dyDescent="0.25">
      <c r="B15" s="54"/>
      <c r="C15" s="125" t="s">
        <v>440</v>
      </c>
      <c r="D15" s="149">
        <f>D3+D8</f>
        <v>131103.1</v>
      </c>
      <c r="E15" s="21"/>
      <c r="F15" s="125" t="s">
        <v>445</v>
      </c>
      <c r="G15" s="21">
        <f>(G11*(1+G12))/(G13-G12)</f>
        <v>174712.80207204822</v>
      </c>
      <c r="H15" s="54"/>
      <c r="I15" s="125" t="s">
        <v>449</v>
      </c>
      <c r="J15" s="21"/>
      <c r="K15" s="21">
        <v>2025</v>
      </c>
      <c r="L15" s="21">
        <v>2026</v>
      </c>
      <c r="M15" s="21">
        <v>2027</v>
      </c>
      <c r="N15" s="21">
        <v>2028</v>
      </c>
      <c r="O15" s="151">
        <v>2029</v>
      </c>
    </row>
    <row r="16" spans="2:15" x14ac:dyDescent="0.25">
      <c r="B16" s="54"/>
      <c r="C16" s="21"/>
      <c r="D16" s="151"/>
      <c r="E16" s="21"/>
      <c r="F16" s="125"/>
      <c r="G16" s="21"/>
      <c r="H16" s="54"/>
      <c r="I16" s="125" t="s">
        <v>451</v>
      </c>
      <c r="J16" s="21"/>
      <c r="K16" s="21">
        <f>Summary!G52</f>
        <v>2616.5553</v>
      </c>
      <c r="L16" s="21">
        <f>Summary!H52</f>
        <v>4154.33</v>
      </c>
      <c r="M16" s="21">
        <f>Summary!I52</f>
        <v>3821.83</v>
      </c>
      <c r="N16" s="21">
        <f>Summary!J52</f>
        <v>3525.78</v>
      </c>
      <c r="O16" s="151">
        <f>Summary!K52</f>
        <v>5172.7299999999996</v>
      </c>
    </row>
    <row r="17" spans="2:15" x14ac:dyDescent="0.25">
      <c r="B17" s="54"/>
      <c r="C17" s="125" t="s">
        <v>441</v>
      </c>
      <c r="D17" s="150">
        <f>(D9*D10)+(D4*D5*(1-D6))</f>
        <v>6.0495257570208683E-2</v>
      </c>
      <c r="E17" s="21"/>
      <c r="F17" s="21"/>
      <c r="G17" s="21"/>
      <c r="H17" s="54"/>
      <c r="I17" s="125" t="s">
        <v>452</v>
      </c>
      <c r="J17" s="21"/>
      <c r="K17" s="21">
        <f>K16/(1+$G$5)^($K$3-2024)</f>
        <v>2467.2956161963548</v>
      </c>
      <c r="L17" s="21">
        <f t="shared" ref="L17:O17" si="1">L16/(1+$G$5)^($K$3-2024)</f>
        <v>3917.3489653488318</v>
      </c>
      <c r="M17" s="21">
        <f t="shared" si="1"/>
        <v>3603.8162101323501</v>
      </c>
      <c r="N17" s="21">
        <f t="shared" si="1"/>
        <v>3324.6541885328334</v>
      </c>
      <c r="O17" s="151">
        <f t="shared" si="1"/>
        <v>4877.6550041833125</v>
      </c>
    </row>
    <row r="18" spans="2:15" x14ac:dyDescent="0.25">
      <c r="B18" s="54"/>
      <c r="C18" s="21"/>
      <c r="D18" s="151"/>
      <c r="E18" s="145" t="s">
        <v>448</v>
      </c>
      <c r="F18" s="21"/>
      <c r="G18" s="21"/>
      <c r="H18" s="54"/>
      <c r="I18" s="125" t="s">
        <v>453</v>
      </c>
      <c r="J18" s="21"/>
      <c r="K18" s="21"/>
      <c r="L18" s="21"/>
      <c r="M18" s="21"/>
      <c r="N18" s="21"/>
      <c r="O18" s="151">
        <f>G15/(1+$G$5)^5</f>
        <v>130251.00273145795</v>
      </c>
    </row>
    <row r="19" spans="2:15" x14ac:dyDescent="0.25">
      <c r="B19" s="54"/>
      <c r="C19" s="21"/>
      <c r="D19" s="151"/>
      <c r="E19" s="21"/>
      <c r="F19" s="125" t="s">
        <v>443</v>
      </c>
      <c r="G19" s="21">
        <f>O28</f>
        <v>-4870.93</v>
      </c>
      <c r="H19" s="54"/>
      <c r="I19" s="152" t="s">
        <v>454</v>
      </c>
      <c r="J19" s="21"/>
      <c r="K19" s="21"/>
      <c r="L19" s="21"/>
      <c r="M19" s="21"/>
      <c r="N19" s="21"/>
      <c r="O19" s="151">
        <f>SUM(K17:O17,O18)</f>
        <v>148441.77271585164</v>
      </c>
    </row>
    <row r="20" spans="2:15" x14ac:dyDescent="0.25">
      <c r="B20" s="54"/>
      <c r="C20" s="21"/>
      <c r="D20" s="151"/>
      <c r="E20" s="21"/>
      <c r="F20" s="125" t="s">
        <v>444</v>
      </c>
      <c r="G20" s="147">
        <f>G12</f>
        <v>0.03</v>
      </c>
      <c r="H20" s="54"/>
      <c r="I20" s="125" t="s">
        <v>455</v>
      </c>
      <c r="J20" s="21"/>
      <c r="K20" s="21"/>
      <c r="L20" s="21"/>
      <c r="M20" s="21"/>
      <c r="N20" s="21"/>
      <c r="O20" s="149">
        <f>O8</f>
        <v>3286.2</v>
      </c>
    </row>
    <row r="21" spans="2:15" x14ac:dyDescent="0.25">
      <c r="B21" s="54"/>
      <c r="C21" s="21"/>
      <c r="D21" s="151"/>
      <c r="E21" s="21"/>
      <c r="F21" s="125" t="s">
        <v>441</v>
      </c>
      <c r="G21" s="147">
        <f>G13</f>
        <v>6.0495257570208683E-2</v>
      </c>
      <c r="H21" s="54"/>
      <c r="I21" s="125" t="s">
        <v>456</v>
      </c>
      <c r="J21" s="21"/>
      <c r="K21" s="21"/>
      <c r="L21" s="21"/>
      <c r="M21" s="21"/>
      <c r="N21" s="21"/>
      <c r="O21" s="149">
        <f>O9</f>
        <v>25803.1</v>
      </c>
    </row>
    <row r="22" spans="2:15" x14ac:dyDescent="0.25">
      <c r="B22" s="54"/>
      <c r="C22" s="21"/>
      <c r="D22" s="151"/>
      <c r="E22" s="21"/>
      <c r="F22" s="125"/>
      <c r="G22" s="21"/>
      <c r="H22" s="54"/>
      <c r="I22" s="153" t="s">
        <v>433</v>
      </c>
      <c r="J22" s="21"/>
      <c r="K22" s="21"/>
      <c r="L22" s="21"/>
      <c r="M22" s="21"/>
      <c r="N22" s="21"/>
      <c r="O22" s="149">
        <f>O19+O20-O21</f>
        <v>125924.87271585164</v>
      </c>
    </row>
    <row r="23" spans="2:15" x14ac:dyDescent="0.25">
      <c r="B23" s="33"/>
      <c r="C23" s="3"/>
      <c r="D23" s="26"/>
      <c r="E23" s="3"/>
      <c r="F23" s="22" t="s">
        <v>445</v>
      </c>
      <c r="G23" s="3">
        <f>(G19*(1+G20))/(G21-G20)</f>
        <v>-164519.28266056839</v>
      </c>
      <c r="H23" s="54"/>
      <c r="I23" s="125" t="s">
        <v>457</v>
      </c>
      <c r="J23" s="21"/>
      <c r="K23" s="21"/>
      <c r="L23" s="21"/>
      <c r="M23" s="21"/>
      <c r="N23" s="21"/>
      <c r="O23" s="151">
        <f>O11</f>
        <v>1133.8</v>
      </c>
    </row>
    <row r="24" spans="2:15" x14ac:dyDescent="0.25">
      <c r="H24" s="54"/>
      <c r="I24" s="125" t="s">
        <v>458</v>
      </c>
      <c r="J24" s="21"/>
      <c r="K24" s="21"/>
      <c r="L24" s="21"/>
      <c r="M24" s="21"/>
      <c r="N24" s="21"/>
      <c r="O24" s="151">
        <f>O22/O23</f>
        <v>111.06444938776825</v>
      </c>
    </row>
    <row r="25" spans="2:15" x14ac:dyDescent="0.25">
      <c r="B25" s="7"/>
      <c r="H25" s="54"/>
      <c r="I25" s="125" t="s">
        <v>462</v>
      </c>
      <c r="J25" s="21"/>
      <c r="K25" s="21"/>
      <c r="L25" s="21"/>
      <c r="M25" s="21"/>
      <c r="N25" s="21"/>
      <c r="O25" s="154">
        <f>O24/Assumptions!$N$6-1</f>
        <v>0.17628097212209548</v>
      </c>
    </row>
    <row r="26" spans="2:15" x14ac:dyDescent="0.25">
      <c r="H26" s="148" t="s">
        <v>463</v>
      </c>
      <c r="I26" s="23"/>
      <c r="J26" s="23"/>
      <c r="K26" s="23"/>
      <c r="L26" s="23"/>
      <c r="M26" s="23"/>
      <c r="N26" s="23"/>
      <c r="O26" s="25"/>
    </row>
    <row r="27" spans="2:15" x14ac:dyDescent="0.25">
      <c r="H27" s="54"/>
      <c r="I27" s="125" t="s">
        <v>449</v>
      </c>
      <c r="J27" s="21"/>
      <c r="K27" s="21">
        <v>2025</v>
      </c>
      <c r="L27" s="21">
        <v>2026</v>
      </c>
      <c r="M27" s="21">
        <v>2027</v>
      </c>
      <c r="N27" s="21">
        <v>2028</v>
      </c>
      <c r="O27" s="151">
        <v>2029</v>
      </c>
    </row>
    <row r="28" spans="2:15" x14ac:dyDescent="0.25">
      <c r="H28" s="54"/>
      <c r="I28" s="125" t="s">
        <v>451</v>
      </c>
      <c r="J28" s="21"/>
      <c r="K28" s="21">
        <f>Summary!J77</f>
        <v>657.82100000000003</v>
      </c>
      <c r="L28" s="21">
        <f>Summary!K77</f>
        <v>-580.49199999999996</v>
      </c>
      <c r="M28" s="21">
        <f>Summary!L77</f>
        <v>-2064.8000000000002</v>
      </c>
      <c r="N28" s="21">
        <f>Summary!M77</f>
        <v>-3227.03</v>
      </c>
      <c r="O28" s="151">
        <f>Summary!N77</f>
        <v>-4870.93</v>
      </c>
    </row>
    <row r="29" spans="2:15" x14ac:dyDescent="0.25">
      <c r="H29" s="54"/>
      <c r="I29" s="125" t="s">
        <v>452</v>
      </c>
      <c r="J29" s="21"/>
      <c r="K29" s="21">
        <f>K28/(1+$G$5)^($K$3-2024)</f>
        <v>620.29603178725188</v>
      </c>
      <c r="L29" s="21">
        <f t="shared" ref="L29" si="2">L28/(1+$G$5)^($K$3-2024)</f>
        <v>-547.37821395827336</v>
      </c>
      <c r="M29" s="21">
        <f t="shared" ref="M29" si="3">M28/(1+$G$5)^($K$3-2024)</f>
        <v>-1947.0148360029821</v>
      </c>
      <c r="N29" s="21">
        <f t="shared" ref="N29" si="4">N28/(1+$G$5)^($K$3-2024)</f>
        <v>-3042.9461866653928</v>
      </c>
      <c r="O29" s="151">
        <f t="shared" ref="O29" si="5">O28/(1+$G$5)^($K$3-2024)</f>
        <v>-4593.0709875687744</v>
      </c>
    </row>
    <row r="30" spans="2:15" x14ac:dyDescent="0.25">
      <c r="H30" s="54"/>
      <c r="I30" s="125" t="s">
        <v>453</v>
      </c>
      <c r="J30" s="21"/>
      <c r="K30" s="21"/>
      <c r="L30" s="21"/>
      <c r="M30" s="21"/>
      <c r="N30" s="21"/>
      <c r="O30" s="151">
        <f>G23/(1+$G$5)^5</f>
        <v>-122651.58180201569</v>
      </c>
    </row>
    <row r="31" spans="2:15" x14ac:dyDescent="0.25">
      <c r="H31" s="54"/>
      <c r="I31" s="152" t="s">
        <v>454</v>
      </c>
      <c r="J31" s="21"/>
      <c r="K31" s="21"/>
      <c r="L31" s="21"/>
      <c r="M31" s="21"/>
      <c r="N31" s="21"/>
      <c r="O31" s="151">
        <f>SUM(K29:O29,O30)</f>
        <v>-132161.69599442385</v>
      </c>
    </row>
    <row r="32" spans="2:15" x14ac:dyDescent="0.25">
      <c r="H32" s="54"/>
      <c r="I32" s="125" t="s">
        <v>455</v>
      </c>
      <c r="J32" s="21"/>
      <c r="K32" s="21"/>
      <c r="L32" s="21"/>
      <c r="M32" s="21"/>
      <c r="N32" s="21"/>
      <c r="O32" s="149">
        <f>O20</f>
        <v>3286.2</v>
      </c>
    </row>
    <row r="33" spans="8:15" x14ac:dyDescent="0.25">
      <c r="H33" s="54"/>
      <c r="I33" s="125" t="s">
        <v>456</v>
      </c>
      <c r="J33" s="21"/>
      <c r="K33" s="21"/>
      <c r="L33" s="21"/>
      <c r="M33" s="21"/>
      <c r="N33" s="21"/>
      <c r="O33" s="149">
        <f>O21</f>
        <v>25803.1</v>
      </c>
    </row>
    <row r="34" spans="8:15" x14ac:dyDescent="0.25">
      <c r="H34" s="54"/>
      <c r="I34" s="153" t="s">
        <v>433</v>
      </c>
      <c r="J34" s="21"/>
      <c r="K34" s="21"/>
      <c r="L34" s="21"/>
      <c r="M34" s="21"/>
      <c r="N34" s="21"/>
      <c r="O34" s="149">
        <f>O31+O32-O33</f>
        <v>-154678.59599442384</v>
      </c>
    </row>
    <row r="35" spans="8:15" x14ac:dyDescent="0.25">
      <c r="H35" s="54"/>
      <c r="I35" s="125" t="s">
        <v>457</v>
      </c>
      <c r="J35" s="21"/>
      <c r="K35" s="21"/>
      <c r="L35" s="21"/>
      <c r="M35" s="21"/>
      <c r="N35" s="21"/>
      <c r="O35" s="151">
        <f>O23</f>
        <v>1133.8</v>
      </c>
    </row>
    <row r="36" spans="8:15" x14ac:dyDescent="0.25">
      <c r="H36" s="54"/>
      <c r="I36" s="125" t="s">
        <v>458</v>
      </c>
      <c r="J36" s="21"/>
      <c r="K36" s="21"/>
      <c r="L36" s="21"/>
      <c r="M36" s="21"/>
      <c r="N36" s="21"/>
      <c r="O36" s="151">
        <f>O34/O35</f>
        <v>-136.42493913778785</v>
      </c>
    </row>
    <row r="37" spans="8:15" x14ac:dyDescent="0.25">
      <c r="H37" s="33"/>
      <c r="I37" s="22" t="s">
        <v>462</v>
      </c>
      <c r="J37" s="3"/>
      <c r="K37" s="3"/>
      <c r="L37" s="3"/>
      <c r="M37" s="3"/>
      <c r="N37" s="3"/>
      <c r="O37" s="155">
        <f>O36/Assumptions!$N$6-1</f>
        <v>-2.4448733227895345</v>
      </c>
    </row>
  </sheetData>
  <printOptions gridLines="1"/>
  <pageMargins left="0.2" right="0.25" top="0.5" bottom="0.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Summary</vt:lpstr>
      <vt:lpstr>Assumptions</vt:lpstr>
      <vt:lpstr>Scenarios</vt:lpstr>
      <vt:lpstr>Model</vt:lpstr>
      <vt:lpstr>DCF</vt:lpstr>
      <vt:lpstr>Assumptions!Print_Area</vt:lpstr>
      <vt:lpstr>DCF!Print_Area</vt:lpstr>
      <vt:lpstr>Model!Print_Area</vt:lpstr>
      <vt:lpstr>Scenarios!Print_Area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Bryam Alvarado</dc:creator>
  <cp:lastModifiedBy>Bryam Alvarado</cp:lastModifiedBy>
  <cp:lastPrinted>2025-07-22T07:23:05Z</cp:lastPrinted>
  <dcterms:created xsi:type="dcterms:W3CDTF">2025-06-21T22:23:39Z</dcterms:created>
  <dcterms:modified xsi:type="dcterms:W3CDTF">2025-07-28T03:56:48Z</dcterms:modified>
</cp:coreProperties>
</file>