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yan Liu\Desktop\"/>
    </mc:Choice>
  </mc:AlternateContent>
  <bookViews>
    <workbookView xWindow="0" yWindow="0" windowWidth="20490" windowHeight="6855" tabRatio="719" activeTab="1"/>
  </bookViews>
  <sheets>
    <sheet name="Changes made to SOA Calculator" sheetId="93" r:id="rId1"/>
    <sheet name="Results" sheetId="91" r:id="rId2"/>
    <sheet name="Total Summary" sheetId="60" r:id="rId3"/>
    <sheet name="Total Costs" sheetId="43" r:id="rId4"/>
    <sheet name="Income Statement" sheetId="92" r:id="rId5"/>
    <sheet name="Scenario" sheetId="22" r:id="rId6"/>
    <sheet name="Mic Assumptions" sheetId="86" r:id="rId7"/>
    <sheet name="Pandemic Assumptions" sheetId="68" r:id="rId8"/>
    <sheet name="Pandemic Calculations" sheetId="89" r:id="rId9"/>
    <sheet name="Morbidity Distribution" sheetId="4" r:id="rId10"/>
    <sheet name="Case Distribution" sheetId="59" r:id="rId11"/>
    <sheet name="Capacity" sheetId="38" r:id="rId12"/>
    <sheet name="Weekly Distributions" sheetId="57" r:id="rId13"/>
    <sheet name="Dist by Provider H1N1" sheetId="90" r:id="rId14"/>
    <sheet name="Provider Costs" sheetId="61" r:id="rId15"/>
    <sheet name="Prod1 Dist" sheetId="74" r:id="rId16"/>
    <sheet name="Prod1 Costs" sheetId="73" r:id="rId17"/>
    <sheet name="Prod1 Sum" sheetId="72" r:id="rId18"/>
    <sheet name="Prod2 Dist" sheetId="82" r:id="rId19"/>
    <sheet name="Prod2 Costs" sheetId="81" r:id="rId20"/>
    <sheet name="Prod2 Sum" sheetId="80" r:id="rId21"/>
  </sheets>
  <definedNames>
    <definedName name="_PR1">Scenario!$D$16</definedName>
    <definedName name="_PR2">Scenario!$E$16</definedName>
    <definedName name="_PR3">Scenario!$F$16</definedName>
    <definedName name="ACFCharge">Capacity!#REF!</definedName>
    <definedName name="ACFCosts">#REF!</definedName>
    <definedName name="ACFDemand">'Weekly Distributions'!#REF!</definedName>
    <definedName name="ACFNurse">Capacity!#REF!</definedName>
    <definedName name="ACFPct">'Total Summary'!#REF!</definedName>
    <definedName name="ACFPhys">Capacity!#REF!</definedName>
    <definedName name="ACFStay">Capacity!#REF!</definedName>
    <definedName name="CareFactor">Capacity!$D$48</definedName>
    <definedName name="Curve">Scenario!$D$6</definedName>
    <definedName name="DthHospPct">Capacity!$D$42</definedName>
    <definedName name="DthPct">'Total Summary'!$E$47</definedName>
    <definedName name="duration">'Weekly Distributions'!$G$1</definedName>
    <definedName name="HospAdmitHigh">'Pandemic Calculations'!$S$32</definedName>
    <definedName name="HospAdmitLow">'Pandemic Calculations'!$P$32</definedName>
    <definedName name="HospAdmits">'Pandemic Calculations'!$H$32</definedName>
    <definedName name="HospBeds">Capacity!$D$9</definedName>
    <definedName name="HospCap">Capacity!$D$21</definedName>
    <definedName name="HospChgAdj">Capacity!$D$38</definedName>
    <definedName name="HospPct">'Total Summary'!$E$48</definedName>
    <definedName name="HospUse">Capacity!$D$15</definedName>
    <definedName name="ICUBeds">Capacity!$D$10</definedName>
    <definedName name="ICUCap">Capacity!$D$22</definedName>
    <definedName name="ICUPct">Capacity!$D$40</definedName>
    <definedName name="ICUStay">Capacity!$D$36</definedName>
    <definedName name="ICUStepdown">'Weekly Distributions'!$D$57</definedName>
    <definedName name="ICUUse">Capacity!$D$16</definedName>
    <definedName name="inflation">Scenario!$E$23</definedName>
    <definedName name="InfRate">Scenario!$E$20</definedName>
    <definedName name="InsPop">Scenario!$E$32</definedName>
    <definedName name="LOB_1">Scenario!$E$27</definedName>
    <definedName name="LOB_2">Scenario!$E$28</definedName>
    <definedName name="LOB1Pop">Scenario!$E$29</definedName>
    <definedName name="LOB2Pop">Scenario!$E$30</definedName>
    <definedName name="MorbCurve">'Morbidity Distribution'!$C$8</definedName>
    <definedName name="Morbidity">'Morbidity Distribution'!$C$6</definedName>
    <definedName name="Mortality">Scenario!$K$22</definedName>
    <definedName name="MortCurve">Scenario!$K$24</definedName>
    <definedName name="MortRatio">Scenario!$K$27</definedName>
    <definedName name="NonICUBeds">Capacity!$D$11</definedName>
    <definedName name="NonICUCap">Capacity!$D$23</definedName>
    <definedName name="NonICUStay">Capacity!$D$35</definedName>
    <definedName name="NonICUUse">Capacity!$D$17</definedName>
    <definedName name="NurseHosp">Capacity!$D$30</definedName>
    <definedName name="NursePerBed">Capacity!$D$31</definedName>
    <definedName name="Nurses">Capacity!$D$47</definedName>
    <definedName name="OutPct">'Total Summary'!$E$49</definedName>
    <definedName name="OutPt">'Pandemic Calculations'!$J$32</definedName>
    <definedName name="OutPtHigh">'Pandemic Calculations'!$Q$32</definedName>
    <definedName name="OutPtLow">'Pandemic Calculations'!$Q$32</definedName>
    <definedName name="PhysHosp">Capacity!$D$28</definedName>
    <definedName name="Physicians">Capacity!$D$46</definedName>
    <definedName name="PhysPerBed">Capacity!$D$29</definedName>
    <definedName name="Pop0to69">Scenario!$E$34</definedName>
    <definedName name="Population">'Pandemic Calculations'!$B$32</definedName>
    <definedName name="_xlnm.Print_Area" localSheetId="11">Capacity!$A$1:$J$50</definedName>
    <definedName name="_xlnm.Print_Area" localSheetId="10">'Case Distribution'!$B$1:$M$28</definedName>
    <definedName name="_xlnm.Print_Area" localSheetId="13">'Dist by Provider H1N1'!$A$1:$N$61</definedName>
    <definedName name="_xlnm.Print_Area" localSheetId="9">'Morbidity Distribution'!$A$1:$M$53</definedName>
    <definedName name="_xlnm.Print_Area" localSheetId="16">'Prod1 Costs'!$A$1:$K$35</definedName>
    <definedName name="_xlnm.Print_Area" localSheetId="15">'Prod1 Dist'!$A$1:$M$66</definedName>
    <definedName name="_xlnm.Print_Area" localSheetId="17">'Prod1 Sum'!$A$1:$J$39</definedName>
    <definedName name="_xlnm.Print_Area" localSheetId="19">'Prod2 Costs'!$A$1:$M$59</definedName>
    <definedName name="_xlnm.Print_Area" localSheetId="20">'Prod2 Sum'!$A$1:$J$40</definedName>
    <definedName name="_xlnm.Print_Area" localSheetId="14">'Provider Costs'!$A$1:$N$52</definedName>
    <definedName name="_xlnm.Print_Area" localSheetId="3">'Total Costs'!$A$1:$L$54</definedName>
    <definedName name="_xlnm.Print_Area" localSheetId="2">'Total Summary'!$A$1:$I$34</definedName>
    <definedName name="_xlnm.Print_Area" localSheetId="12">'Weekly Distributions'!$D$1:$R$55</definedName>
    <definedName name="_xlnm.Print_Titles" localSheetId="10">'Case Distribution'!$A:$A</definedName>
    <definedName name="_xlnm.Print_Titles" localSheetId="12">'Weekly Distributions'!$A:$C</definedName>
    <definedName name="RiskAdj">'Morbidity Distribution'!$C$11</definedName>
    <definedName name="scenario">Scenario!$D$8</definedName>
    <definedName name="SelfPct">'Total Summary'!$E$50</definedName>
    <definedName name="Severity">Scenario!$D$4</definedName>
    <definedName name="Severity_Listing">Scenario!$D$10:$F$10</definedName>
    <definedName name="StdFactor">'Case Distribution'!$E$24</definedName>
    <definedName name="Tableee">'Pandemic Calculations'!$C$6</definedName>
    <definedName name="TaxRate">Scenario!$E$25</definedName>
    <definedName name="TotPI">Scenario!$E$33</definedName>
    <definedName name="UtilAdj">'Morbidity Distribution'!$C$14</definedName>
    <definedName name="VentCap">Capacity!$D$24</definedName>
    <definedName name="VentPCT">Capacity!$D$41</definedName>
    <definedName name="Vents">Capacity!$D$12</definedName>
    <definedName name="VentStay">Capacity!$D$37</definedName>
    <definedName name="VentUse">Capacity!$D$18</definedName>
    <definedName name="WaveDur">'Morbidity Distribution'!$C$16</definedName>
    <definedName name="Weibull_Alpha">'Case Distribution'!$E$25</definedName>
    <definedName name="Weibull_Beta">'Case Distribution'!$E$26</definedName>
    <definedName name="XSDths">'Pandemic Calculations'!$D$32</definedName>
  </definedNames>
  <calcPr calcId="152511"/>
</workbook>
</file>

<file path=xl/calcChain.xml><?xml version="1.0" encoding="utf-8"?>
<calcChain xmlns="http://schemas.openxmlformats.org/spreadsheetml/2006/main">
  <c r="B56" i="68" l="1"/>
  <c r="C56" i="68"/>
  <c r="D56" i="68"/>
  <c r="E56" i="68"/>
  <c r="F56" i="68"/>
  <c r="G56" i="68"/>
  <c r="C12" i="91"/>
  <c r="D12" i="91"/>
  <c r="C13" i="91"/>
  <c r="D13" i="91"/>
  <c r="C14" i="91"/>
  <c r="D14" i="91"/>
  <c r="B13" i="91"/>
  <c r="B14" i="91"/>
  <c r="B12" i="91"/>
  <c r="F6" i="86" l="1"/>
  <c r="F7" i="86"/>
  <c r="F8" i="86"/>
  <c r="F9" i="86"/>
  <c r="F10" i="86"/>
  <c r="F5" i="86"/>
  <c r="B20" i="91"/>
  <c r="C20" i="91"/>
  <c r="D20" i="91"/>
  <c r="B21" i="91"/>
  <c r="C21" i="91"/>
  <c r="D21" i="91"/>
  <c r="C19" i="91"/>
  <c r="D19" i="91"/>
  <c r="B19" i="91"/>
  <c r="C54" i="89" l="1"/>
  <c r="C55" i="89"/>
  <c r="C56" i="89"/>
  <c r="C57" i="89"/>
  <c r="C53" i="89"/>
  <c r="C44" i="89"/>
  <c r="C45" i="89"/>
  <c r="C46" i="89"/>
  <c r="C47" i="89"/>
  <c r="C48" i="89"/>
  <c r="C49" i="89"/>
  <c r="C50" i="89"/>
  <c r="C51" i="89"/>
  <c r="C43" i="89"/>
  <c r="C39" i="89"/>
  <c r="C40" i="89"/>
  <c r="C41" i="89"/>
  <c r="C38" i="89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34" i="43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36" i="82"/>
  <c r="C37" i="74"/>
  <c r="C38" i="74"/>
  <c r="C39" i="74"/>
  <c r="C40" i="74"/>
  <c r="C41" i="74"/>
  <c r="C42" i="74"/>
  <c r="C43" i="74"/>
  <c r="C44" i="74"/>
  <c r="C45" i="74"/>
  <c r="C46" i="74"/>
  <c r="C47" i="74"/>
  <c r="C48" i="74"/>
  <c r="C49" i="74"/>
  <c r="C50" i="74"/>
  <c r="C51" i="74"/>
  <c r="C52" i="74"/>
  <c r="C53" i="74"/>
  <c r="C36" i="74"/>
  <c r="M21" i="22" l="1"/>
  <c r="N21" i="22"/>
  <c r="L21" i="22"/>
  <c r="K22" i="22" s="1"/>
  <c r="K27" i="22"/>
  <c r="K24" i="22" l="1"/>
  <c r="H10" i="90"/>
  <c r="A55" i="90"/>
  <c r="A56" i="90" s="1"/>
  <c r="A57" i="90" s="1"/>
  <c r="A58" i="90" s="1"/>
  <c r="A59" i="90" s="1"/>
  <c r="A60" i="90" s="1"/>
  <c r="A61" i="90" s="1"/>
  <c r="D54" i="90" s="1"/>
  <c r="D55" i="90" s="1"/>
  <c r="D56" i="90" s="1"/>
  <c r="D57" i="90" s="1"/>
  <c r="D58" i="90" s="1"/>
  <c r="D60" i="90" s="1"/>
  <c r="H54" i="90" s="1"/>
  <c r="H55" i="90" s="1"/>
  <c r="H56" i="90" s="1"/>
  <c r="H57" i="90" s="1"/>
  <c r="H58" i="90" s="1"/>
  <c r="H59" i="90" s="1"/>
  <c r="K51" i="90"/>
  <c r="F51" i="90"/>
  <c r="B51" i="90"/>
  <c r="K50" i="90"/>
  <c r="F25" i="90" s="1"/>
  <c r="F50" i="90"/>
  <c r="I50" i="90" s="1"/>
  <c r="H50" i="90" s="1"/>
  <c r="E50" i="90"/>
  <c r="B50" i="90"/>
  <c r="K49" i="90"/>
  <c r="I49" i="90"/>
  <c r="H49" i="90" s="1"/>
  <c r="E49" i="90"/>
  <c r="B49" i="90"/>
  <c r="K48" i="90"/>
  <c r="F48" i="90"/>
  <c r="B48" i="90"/>
  <c r="K47" i="90"/>
  <c r="F47" i="90"/>
  <c r="I47" i="90" s="1"/>
  <c r="H47" i="90" s="1"/>
  <c r="B47" i="90"/>
  <c r="K46" i="90"/>
  <c r="I46" i="90"/>
  <c r="H46" i="90" s="1"/>
  <c r="E46" i="90"/>
  <c r="B46" i="90"/>
  <c r="K45" i="90"/>
  <c r="I45" i="90"/>
  <c r="H45" i="90" s="1"/>
  <c r="F20" i="90" s="1"/>
  <c r="E45" i="90"/>
  <c r="B45" i="90"/>
  <c r="K44" i="90"/>
  <c r="I44" i="90"/>
  <c r="E44" i="90"/>
  <c r="B44" i="90"/>
  <c r="K43" i="90"/>
  <c r="I43" i="90"/>
  <c r="H43" i="90" s="1"/>
  <c r="E43" i="90"/>
  <c r="B43" i="90"/>
  <c r="K42" i="90"/>
  <c r="I42" i="90"/>
  <c r="H42" i="90" s="1"/>
  <c r="E42" i="90"/>
  <c r="B42" i="90"/>
  <c r="K41" i="90"/>
  <c r="I41" i="90"/>
  <c r="H41" i="90"/>
  <c r="F16" i="90" s="1"/>
  <c r="E41" i="90"/>
  <c r="B41" i="90"/>
  <c r="K40" i="90"/>
  <c r="I40" i="90"/>
  <c r="E40" i="90"/>
  <c r="B40" i="90"/>
  <c r="K39" i="90"/>
  <c r="I39" i="90"/>
  <c r="H39" i="90" s="1"/>
  <c r="F14" i="90" s="1"/>
  <c r="E39" i="90"/>
  <c r="B39" i="90"/>
  <c r="K38" i="90"/>
  <c r="I38" i="90"/>
  <c r="H38" i="90" s="1"/>
  <c r="E38" i="90"/>
  <c r="B38" i="90"/>
  <c r="L37" i="90"/>
  <c r="K37" i="90" s="1"/>
  <c r="I37" i="90"/>
  <c r="H37" i="90" s="1"/>
  <c r="E37" i="90"/>
  <c r="B37" i="90"/>
  <c r="L36" i="90"/>
  <c r="K36" i="90" s="1"/>
  <c r="I36" i="90"/>
  <c r="G11" i="90" s="1"/>
  <c r="E36" i="90"/>
  <c r="B36" i="90"/>
  <c r="K35" i="90"/>
  <c r="F10" i="90" s="1"/>
  <c r="I35" i="90"/>
  <c r="H35" i="90" s="1"/>
  <c r="E35" i="90"/>
  <c r="B35" i="90"/>
  <c r="K34" i="90"/>
  <c r="I34" i="90"/>
  <c r="G9" i="90" s="1"/>
  <c r="H34" i="90"/>
  <c r="F9" i="90" s="1"/>
  <c r="E34" i="90"/>
  <c r="B34" i="90"/>
  <c r="A31" i="90"/>
  <c r="B30" i="90"/>
  <c r="H26" i="90"/>
  <c r="C26" i="90"/>
  <c r="A51" i="90" s="1"/>
  <c r="H25" i="90"/>
  <c r="G25" i="90"/>
  <c r="C25" i="90"/>
  <c r="A50" i="90" s="1"/>
  <c r="H24" i="90"/>
  <c r="G24" i="90"/>
  <c r="C24" i="90"/>
  <c r="A49" i="90" s="1"/>
  <c r="H23" i="90"/>
  <c r="C23" i="90"/>
  <c r="A48" i="90" s="1"/>
  <c r="H22" i="90"/>
  <c r="G22" i="90"/>
  <c r="F22" i="90"/>
  <c r="C22" i="90"/>
  <c r="A47" i="90" s="1"/>
  <c r="H21" i="90"/>
  <c r="G21" i="90"/>
  <c r="F21" i="90"/>
  <c r="C21" i="90"/>
  <c r="A46" i="90" s="1"/>
  <c r="H20" i="90"/>
  <c r="G20" i="90"/>
  <c r="C20" i="90"/>
  <c r="A45" i="90" s="1"/>
  <c r="H19" i="90"/>
  <c r="C19" i="90"/>
  <c r="A44" i="90" s="1"/>
  <c r="H18" i="90"/>
  <c r="G18" i="90"/>
  <c r="C18" i="90"/>
  <c r="A43" i="90" s="1"/>
  <c r="H17" i="90"/>
  <c r="G17" i="90"/>
  <c r="F17" i="90"/>
  <c r="C17" i="90"/>
  <c r="A42" i="90" s="1"/>
  <c r="H16" i="90"/>
  <c r="G16" i="90"/>
  <c r="C16" i="90"/>
  <c r="A41" i="90" s="1"/>
  <c r="H15" i="90"/>
  <c r="C15" i="90"/>
  <c r="A40" i="90" s="1"/>
  <c r="H14" i="90"/>
  <c r="G14" i="90"/>
  <c r="C14" i="90"/>
  <c r="A39" i="90" s="1"/>
  <c r="H13" i="90"/>
  <c r="G13" i="90"/>
  <c r="C13" i="90"/>
  <c r="A38" i="90" s="1"/>
  <c r="H12" i="90"/>
  <c r="G12" i="90"/>
  <c r="C12" i="90"/>
  <c r="A37" i="90" s="1"/>
  <c r="H11" i="90"/>
  <c r="F11" i="90"/>
  <c r="C11" i="90"/>
  <c r="A36" i="90" s="1"/>
  <c r="C10" i="90"/>
  <c r="A35" i="90" s="1"/>
  <c r="H9" i="90"/>
  <c r="C9" i="90"/>
  <c r="A34" i="90" s="1"/>
  <c r="E7" i="90"/>
  <c r="F7" i="90" s="1"/>
  <c r="G7" i="90" s="1"/>
  <c r="H7" i="90" s="1"/>
  <c r="I7" i="90" s="1"/>
  <c r="J7" i="90" s="1"/>
  <c r="K7" i="90" s="1"/>
  <c r="B32" i="90" s="1"/>
  <c r="C32" i="90" s="1"/>
  <c r="D32" i="90" s="1"/>
  <c r="E32" i="90" s="1"/>
  <c r="F32" i="90" s="1"/>
  <c r="G32" i="90" s="1"/>
  <c r="H32" i="90" s="1"/>
  <c r="I32" i="90" s="1"/>
  <c r="J32" i="90" s="1"/>
  <c r="K32" i="90" s="1"/>
  <c r="L32" i="90" s="1"/>
  <c r="M32" i="90" s="1"/>
  <c r="K6" i="90"/>
  <c r="J31" i="90" s="1"/>
  <c r="J6" i="90"/>
  <c r="I31" i="90" s="1"/>
  <c r="I6" i="90"/>
  <c r="H31" i="90" s="1"/>
  <c r="H6" i="90"/>
  <c r="G31" i="90" s="1"/>
  <c r="G6" i="90"/>
  <c r="L31" i="90" s="1"/>
  <c r="F6" i="90"/>
  <c r="F12" i="90" l="1"/>
  <c r="H36" i="90"/>
  <c r="F13" i="90"/>
  <c r="F18" i="90"/>
  <c r="E47" i="90"/>
  <c r="F24" i="90"/>
  <c r="G10" i="90"/>
  <c r="K31" i="90"/>
  <c r="B31" i="90"/>
  <c r="D31" i="90"/>
  <c r="H40" i="90"/>
  <c r="F15" i="90" s="1"/>
  <c r="G15" i="90"/>
  <c r="H44" i="90"/>
  <c r="F19" i="90" s="1"/>
  <c r="G19" i="90"/>
  <c r="E51" i="90"/>
  <c r="I51" i="90"/>
  <c r="E31" i="90"/>
  <c r="M31" i="90"/>
  <c r="C31" i="90"/>
  <c r="F31" i="90"/>
  <c r="E48" i="90"/>
  <c r="I48" i="90"/>
  <c r="E11" i="38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16" i="89"/>
  <c r="M15" i="89"/>
  <c r="M14" i="89"/>
  <c r="U31" i="89"/>
  <c r="U30" i="89"/>
  <c r="U29" i="89"/>
  <c r="U28" i="89"/>
  <c r="U27" i="89"/>
  <c r="U26" i="89"/>
  <c r="U25" i="89"/>
  <c r="U24" i="89"/>
  <c r="U23" i="89"/>
  <c r="U22" i="89"/>
  <c r="U21" i="89"/>
  <c r="U20" i="89"/>
  <c r="U19" i="89"/>
  <c r="U18" i="89"/>
  <c r="U17" i="89"/>
  <c r="U16" i="89"/>
  <c r="U15" i="89"/>
  <c r="U14" i="89"/>
  <c r="G23" i="90" l="1"/>
  <c r="H48" i="90"/>
  <c r="F23" i="90" s="1"/>
  <c r="G26" i="90"/>
  <c r="H51" i="90"/>
  <c r="F26" i="90" s="1"/>
  <c r="U32" i="89"/>
  <c r="V19" i="89" s="1"/>
  <c r="V31" i="89" l="1"/>
  <c r="V14" i="89"/>
  <c r="V29" i="89"/>
  <c r="V22" i="89"/>
  <c r="V23" i="89"/>
  <c r="V30" i="89"/>
  <c r="V20" i="89"/>
  <c r="V25" i="89"/>
  <c r="V15" i="89"/>
  <c r="V26" i="89"/>
  <c r="V17" i="89"/>
  <c r="V27" i="89"/>
  <c r="V28" i="89"/>
  <c r="V18" i="89"/>
  <c r="V21" i="89"/>
  <c r="V24" i="89"/>
  <c r="V16" i="89"/>
  <c r="I6" i="68"/>
  <c r="J11" i="68"/>
  <c r="M32" i="68"/>
  <c r="M33" i="68"/>
  <c r="M34" i="68"/>
  <c r="M35" i="68"/>
  <c r="M36" i="68"/>
  <c r="M37" i="68"/>
  <c r="M38" i="68"/>
  <c r="M39" i="68"/>
  <c r="M40" i="68"/>
  <c r="M41" i="68"/>
  <c r="M42" i="68"/>
  <c r="M43" i="68"/>
  <c r="M44" i="68"/>
  <c r="J10" i="68" s="1"/>
  <c r="M45" i="68"/>
  <c r="M46" i="68"/>
  <c r="M47" i="68"/>
  <c r="M48" i="68"/>
  <c r="M49" i="68"/>
  <c r="M50" i="68"/>
  <c r="M31" i="68"/>
  <c r="L32" i="68"/>
  <c r="L33" i="68" s="1"/>
  <c r="L34" i="68" s="1"/>
  <c r="L35" i="68" s="1"/>
  <c r="L36" i="68" s="1"/>
  <c r="L37" i="68" s="1"/>
  <c r="L38" i="68" s="1"/>
  <c r="L39" i="68" s="1"/>
  <c r="L40" i="68" s="1"/>
  <c r="L41" i="68" s="1"/>
  <c r="L42" i="68" s="1"/>
  <c r="L43" i="68" s="1"/>
  <c r="L44" i="68" s="1"/>
  <c r="L45" i="68" s="1"/>
  <c r="L46" i="68" s="1"/>
  <c r="L47" i="68" s="1"/>
  <c r="L48" i="68" s="1"/>
  <c r="L49" i="68" s="1"/>
  <c r="L50" i="68" s="1"/>
  <c r="D34" i="68"/>
  <c r="G25" i="68" s="1"/>
  <c r="G34" i="68"/>
  <c r="G35" i="68"/>
  <c r="G36" i="68"/>
  <c r="D33" i="68" s="1"/>
  <c r="G37" i="68"/>
  <c r="G33" i="68"/>
  <c r="D32" i="68" s="1"/>
  <c r="J9" i="68" l="1"/>
  <c r="K9" i="68" s="1"/>
  <c r="G23" i="68"/>
  <c r="E23" i="68"/>
  <c r="G16" i="68"/>
  <c r="E16" i="68"/>
  <c r="F9" i="68"/>
  <c r="E9" i="68"/>
  <c r="F23" i="68"/>
  <c r="F16" i="68"/>
  <c r="G9" i="68"/>
  <c r="D35" i="68"/>
  <c r="F24" i="68"/>
  <c r="F17" i="68"/>
  <c r="F10" i="68"/>
  <c r="E10" i="68"/>
  <c r="G24" i="68"/>
  <c r="E24" i="68"/>
  <c r="G17" i="68"/>
  <c r="E17" i="68"/>
  <c r="G10" i="68"/>
  <c r="K10" i="68"/>
  <c r="E11" i="68"/>
  <c r="G11" i="68"/>
  <c r="F18" i="68"/>
  <c r="F25" i="68"/>
  <c r="K11" i="68"/>
  <c r="F11" i="68"/>
  <c r="E18" i="68"/>
  <c r="G18" i="68"/>
  <c r="E25" i="68"/>
  <c r="J12" i="68"/>
  <c r="K12" i="68" s="1"/>
  <c r="D26" i="68"/>
  <c r="G26" i="68" s="1"/>
  <c r="C26" i="68"/>
  <c r="F26" i="68" s="1"/>
  <c r="B26" i="68"/>
  <c r="E26" i="68" s="1"/>
  <c r="D19" i="68"/>
  <c r="G19" i="68" s="1"/>
  <c r="C19" i="68"/>
  <c r="F19" i="68" s="1"/>
  <c r="B19" i="68"/>
  <c r="E19" i="68" s="1"/>
  <c r="C12" i="68"/>
  <c r="F12" i="68" s="1"/>
  <c r="D12" i="68"/>
  <c r="G12" i="68" s="1"/>
  <c r="B12" i="68"/>
  <c r="E12" i="68" s="1"/>
  <c r="I29" i="89" l="1"/>
  <c r="I31" i="89"/>
  <c r="I28" i="89"/>
  <c r="I30" i="89"/>
  <c r="I27" i="89"/>
  <c r="E29" i="89"/>
  <c r="E31" i="89"/>
  <c r="E28" i="89"/>
  <c r="E30" i="89"/>
  <c r="E27" i="89"/>
  <c r="I19" i="89"/>
  <c r="I21" i="89"/>
  <c r="I23" i="89"/>
  <c r="I25" i="89"/>
  <c r="I18" i="89"/>
  <c r="I20" i="89"/>
  <c r="I22" i="89"/>
  <c r="I24" i="89"/>
  <c r="I26" i="89"/>
  <c r="N50" i="89"/>
  <c r="N48" i="89"/>
  <c r="N46" i="89"/>
  <c r="N44" i="89"/>
  <c r="I50" i="89"/>
  <c r="I48" i="89"/>
  <c r="I46" i="89"/>
  <c r="I44" i="89"/>
  <c r="D50" i="89"/>
  <c r="D48" i="89"/>
  <c r="D46" i="89"/>
  <c r="D44" i="89"/>
  <c r="N51" i="89"/>
  <c r="N49" i="89"/>
  <c r="N47" i="89"/>
  <c r="N45" i="89"/>
  <c r="N43" i="89"/>
  <c r="I51" i="89"/>
  <c r="I49" i="89"/>
  <c r="I47" i="89"/>
  <c r="I45" i="89"/>
  <c r="I43" i="89"/>
  <c r="D51" i="89"/>
  <c r="D49" i="89"/>
  <c r="D47" i="89"/>
  <c r="D45" i="89"/>
  <c r="D43" i="89"/>
  <c r="C19" i="89"/>
  <c r="C21" i="89"/>
  <c r="C23" i="89"/>
  <c r="C25" i="89"/>
  <c r="C26" i="89"/>
  <c r="C20" i="89"/>
  <c r="C22" i="89"/>
  <c r="C24" i="89"/>
  <c r="C18" i="89"/>
  <c r="G19" i="89"/>
  <c r="G21" i="89"/>
  <c r="G23" i="89"/>
  <c r="G25" i="89"/>
  <c r="G18" i="89"/>
  <c r="G20" i="89"/>
  <c r="G22" i="89"/>
  <c r="G24" i="89"/>
  <c r="G26" i="89"/>
  <c r="E19" i="89"/>
  <c r="E21" i="89"/>
  <c r="E23" i="89"/>
  <c r="E25" i="89"/>
  <c r="E18" i="89"/>
  <c r="E20" i="89"/>
  <c r="E22" i="89"/>
  <c r="E24" i="89"/>
  <c r="E26" i="89"/>
  <c r="E16" i="89"/>
  <c r="E14" i="89"/>
  <c r="E15" i="89"/>
  <c r="E17" i="89"/>
  <c r="N41" i="89"/>
  <c r="N39" i="89"/>
  <c r="I41" i="89"/>
  <c r="I39" i="89"/>
  <c r="D41" i="89"/>
  <c r="D39" i="89"/>
  <c r="N40" i="89"/>
  <c r="N38" i="89"/>
  <c r="I40" i="89"/>
  <c r="I38" i="89"/>
  <c r="D40" i="89"/>
  <c r="D38" i="89"/>
  <c r="C15" i="89"/>
  <c r="C17" i="89"/>
  <c r="C16" i="89"/>
  <c r="C14" i="89"/>
  <c r="G16" i="89"/>
  <c r="G14" i="89"/>
  <c r="G15" i="89"/>
  <c r="G17" i="89"/>
  <c r="G29" i="89"/>
  <c r="G31" i="89"/>
  <c r="G28" i="89"/>
  <c r="G30" i="89"/>
  <c r="G27" i="89"/>
  <c r="N57" i="89"/>
  <c r="N55" i="89"/>
  <c r="N53" i="89"/>
  <c r="I57" i="89"/>
  <c r="I55" i="89"/>
  <c r="I53" i="89"/>
  <c r="D57" i="89"/>
  <c r="D55" i="89"/>
  <c r="D53" i="89"/>
  <c r="N56" i="89"/>
  <c r="N54" i="89"/>
  <c r="I56" i="89"/>
  <c r="I54" i="89"/>
  <c r="D56" i="89"/>
  <c r="D54" i="89"/>
  <c r="C28" i="89"/>
  <c r="C30" i="89"/>
  <c r="C27" i="89"/>
  <c r="C29" i="89"/>
  <c r="C31" i="89"/>
  <c r="I16" i="89"/>
  <c r="I14" i="89"/>
  <c r="I15" i="89"/>
  <c r="I17" i="89"/>
  <c r="E28" i="22"/>
  <c r="E27" i="22"/>
  <c r="E10" i="86"/>
  <c r="E8" i="86"/>
  <c r="E7" i="86"/>
  <c r="E6" i="86"/>
  <c r="E9" i="86"/>
  <c r="E5" i="86"/>
  <c r="E21" i="22"/>
  <c r="E22" i="22" s="1"/>
  <c r="B3" i="86"/>
  <c r="E20" i="22" s="1"/>
  <c r="E29" i="22" l="1"/>
  <c r="A3" i="72"/>
  <c r="D29" i="82"/>
  <c r="D29" i="74"/>
  <c r="D25" i="82"/>
  <c r="D25" i="74"/>
  <c r="D26" i="82"/>
  <c r="D26" i="74"/>
  <c r="D14" i="74"/>
  <c r="D14" i="82"/>
  <c r="D13" i="82"/>
  <c r="D13" i="74"/>
  <c r="K15" i="89"/>
  <c r="K16" i="89"/>
  <c r="K24" i="89"/>
  <c r="K20" i="89"/>
  <c r="K25" i="89"/>
  <c r="K21" i="89"/>
  <c r="D22" i="74"/>
  <c r="D22" i="82"/>
  <c r="D18" i="82"/>
  <c r="D18" i="74"/>
  <c r="D23" i="74"/>
  <c r="D23" i="82"/>
  <c r="D19" i="82"/>
  <c r="D19" i="74"/>
  <c r="K27" i="89"/>
  <c r="K28" i="89"/>
  <c r="K29" i="89"/>
  <c r="E30" i="22"/>
  <c r="A3" i="80"/>
  <c r="D27" i="82"/>
  <c r="D27" i="74"/>
  <c r="D28" i="82"/>
  <c r="D28" i="74"/>
  <c r="D12" i="74"/>
  <c r="D12" i="82"/>
  <c r="D15" i="74"/>
  <c r="D15" i="82"/>
  <c r="K17" i="89"/>
  <c r="K14" i="89"/>
  <c r="K26" i="89"/>
  <c r="K22" i="89"/>
  <c r="K18" i="89"/>
  <c r="K23" i="89"/>
  <c r="K19" i="89"/>
  <c r="D16" i="74"/>
  <c r="D16" i="82"/>
  <c r="D20" i="74"/>
  <c r="D20" i="82"/>
  <c r="D24" i="82"/>
  <c r="D24" i="74"/>
  <c r="D21" i="74"/>
  <c r="D21" i="82"/>
  <c r="D17" i="82"/>
  <c r="D17" i="74"/>
  <c r="K30" i="89"/>
  <c r="K31" i="89"/>
  <c r="E11" i="86"/>
  <c r="B32" i="89" s="1"/>
  <c r="B19" i="89" l="1"/>
  <c r="B16" i="89"/>
  <c r="B28" i="89"/>
  <c r="B15" i="89"/>
  <c r="B23" i="89"/>
  <c r="B31" i="89"/>
  <c r="B18" i="89"/>
  <c r="B26" i="89"/>
  <c r="B30" i="89"/>
  <c r="B14" i="89"/>
  <c r="B21" i="89"/>
  <c r="B17" i="89"/>
  <c r="B20" i="89"/>
  <c r="B29" i="89"/>
  <c r="B24" i="89"/>
  <c r="B27" i="89"/>
  <c r="B25" i="89"/>
  <c r="L25" i="89" s="1"/>
  <c r="B22" i="89"/>
  <c r="L31" i="89"/>
  <c r="L29" i="89"/>
  <c r="L28" i="89"/>
  <c r="L27" i="89"/>
  <c r="L30" i="89"/>
  <c r="L19" i="89"/>
  <c r="L23" i="89"/>
  <c r="L18" i="89"/>
  <c r="L22" i="89"/>
  <c r="L26" i="89"/>
  <c r="L14" i="89"/>
  <c r="L17" i="89"/>
  <c r="L21" i="89"/>
  <c r="L20" i="89"/>
  <c r="L24" i="89"/>
  <c r="L16" i="89"/>
  <c r="L15" i="89"/>
  <c r="E26" i="80"/>
  <c r="E26" i="72"/>
  <c r="E20" i="60"/>
  <c r="E7" i="80"/>
  <c r="E5" i="60"/>
  <c r="C8" i="4"/>
  <c r="D40" i="38"/>
  <c r="D38" i="38"/>
  <c r="D8" i="22"/>
  <c r="E23" i="22"/>
  <c r="E37" i="60"/>
  <c r="E19" i="60"/>
  <c r="E4" i="60"/>
  <c r="A6" i="22"/>
  <c r="A8" i="22" s="1"/>
  <c r="A10" i="22" s="1"/>
  <c r="A12" i="22" s="1"/>
  <c r="A14" i="22" s="1"/>
  <c r="A16" i="22" s="1"/>
  <c r="A20" i="22" s="1"/>
  <c r="A21" i="22" s="1"/>
  <c r="A22" i="22" s="1"/>
  <c r="A23" i="22" s="1"/>
  <c r="A25" i="22" s="1"/>
  <c r="A27" i="22" s="1"/>
  <c r="A28" i="22" s="1"/>
  <c r="A29" i="22" s="1"/>
  <c r="A30" i="22" s="1"/>
  <c r="A32" i="22" s="1"/>
  <c r="A33" i="22" s="1"/>
  <c r="A34" i="22" s="1"/>
  <c r="A3" i="81"/>
  <c r="A3" i="73"/>
  <c r="A3" i="82"/>
  <c r="A3" i="74"/>
  <c r="I20" i="90" l="1"/>
  <c r="R25" i="89"/>
  <c r="O25" i="89"/>
  <c r="R15" i="89"/>
  <c r="I10" i="90"/>
  <c r="O15" i="89"/>
  <c r="I19" i="90"/>
  <c r="O24" i="89"/>
  <c r="R24" i="89"/>
  <c r="R17" i="89"/>
  <c r="O17" i="89"/>
  <c r="I12" i="90"/>
  <c r="I21" i="90"/>
  <c r="O26" i="89"/>
  <c r="R26" i="89"/>
  <c r="I13" i="90"/>
  <c r="R18" i="89"/>
  <c r="O18" i="89"/>
  <c r="R19" i="89"/>
  <c r="I14" i="90"/>
  <c r="O19" i="89"/>
  <c r="O27" i="89"/>
  <c r="R27" i="89"/>
  <c r="I22" i="90"/>
  <c r="O29" i="89"/>
  <c r="R29" i="89"/>
  <c r="I24" i="90"/>
  <c r="B20" i="74"/>
  <c r="J22" i="89"/>
  <c r="B20" i="82"/>
  <c r="H22" i="89"/>
  <c r="J47" i="89"/>
  <c r="E47" i="89"/>
  <c r="O47" i="89"/>
  <c r="F22" i="89"/>
  <c r="D22" i="89"/>
  <c r="B25" i="74"/>
  <c r="H27" i="89"/>
  <c r="B25" i="82"/>
  <c r="J27" i="89"/>
  <c r="F27" i="89"/>
  <c r="E53" i="89"/>
  <c r="O53" i="89"/>
  <c r="D27" i="89"/>
  <c r="J53" i="89"/>
  <c r="B27" i="82"/>
  <c r="B27" i="74"/>
  <c r="H29" i="89"/>
  <c r="J29" i="89"/>
  <c r="E55" i="89"/>
  <c r="F29" i="89"/>
  <c r="O55" i="89"/>
  <c r="D29" i="89"/>
  <c r="J55" i="89"/>
  <c r="B15" i="82"/>
  <c r="B15" i="74"/>
  <c r="J17" i="89"/>
  <c r="H17" i="89"/>
  <c r="J41" i="89"/>
  <c r="E41" i="89"/>
  <c r="O41" i="89"/>
  <c r="D17" i="89"/>
  <c r="F17" i="89"/>
  <c r="B12" i="74"/>
  <c r="H14" i="89"/>
  <c r="B12" i="82"/>
  <c r="J14" i="89"/>
  <c r="D14" i="89"/>
  <c r="J38" i="89"/>
  <c r="E38" i="89"/>
  <c r="O38" i="89"/>
  <c r="F14" i="89"/>
  <c r="B24" i="74"/>
  <c r="J26" i="89"/>
  <c r="B24" i="82"/>
  <c r="H26" i="89"/>
  <c r="O51" i="89"/>
  <c r="D26" i="89"/>
  <c r="E51" i="89"/>
  <c r="F26" i="89"/>
  <c r="J51" i="89"/>
  <c r="B29" i="74"/>
  <c r="J31" i="89"/>
  <c r="B29" i="82"/>
  <c r="H31" i="89"/>
  <c r="D31" i="89"/>
  <c r="J57" i="89"/>
  <c r="E57" i="89"/>
  <c r="O57" i="89"/>
  <c r="F31" i="89"/>
  <c r="B13" i="74"/>
  <c r="H15" i="89"/>
  <c r="B13" i="82"/>
  <c r="J15" i="89"/>
  <c r="J39" i="89"/>
  <c r="D15" i="89"/>
  <c r="F15" i="89"/>
  <c r="E39" i="89"/>
  <c r="O39" i="89"/>
  <c r="B14" i="74"/>
  <c r="B14" i="82"/>
  <c r="J16" i="89"/>
  <c r="H16" i="89"/>
  <c r="D16" i="89"/>
  <c r="J40" i="89"/>
  <c r="E40" i="89"/>
  <c r="O40" i="89"/>
  <c r="F16" i="89"/>
  <c r="I11" i="90"/>
  <c r="R16" i="89"/>
  <c r="O16" i="89"/>
  <c r="I15" i="90"/>
  <c r="O20" i="89"/>
  <c r="R20" i="89"/>
  <c r="R21" i="89"/>
  <c r="O21" i="89"/>
  <c r="I16" i="90"/>
  <c r="L32" i="89"/>
  <c r="E42" i="60" s="1"/>
  <c r="I9" i="90"/>
  <c r="O14" i="89"/>
  <c r="R14" i="89"/>
  <c r="O22" i="89"/>
  <c r="R22" i="89"/>
  <c r="I17" i="90"/>
  <c r="R23" i="89"/>
  <c r="I18" i="90"/>
  <c r="O23" i="89"/>
  <c r="I25" i="90"/>
  <c r="R30" i="89"/>
  <c r="O30" i="89"/>
  <c r="I23" i="90"/>
  <c r="O28" i="89"/>
  <c r="R28" i="89"/>
  <c r="R31" i="89"/>
  <c r="I26" i="90"/>
  <c r="O31" i="89"/>
  <c r="B23" i="82"/>
  <c r="H25" i="89"/>
  <c r="B23" i="74"/>
  <c r="J25" i="89"/>
  <c r="D25" i="89"/>
  <c r="E50" i="89"/>
  <c r="J50" i="89"/>
  <c r="O50" i="89"/>
  <c r="F25" i="89"/>
  <c r="B22" i="82"/>
  <c r="H24" i="89"/>
  <c r="B22" i="74"/>
  <c r="J24" i="89"/>
  <c r="D24" i="89"/>
  <c r="E49" i="89"/>
  <c r="F24" i="89"/>
  <c r="J49" i="89"/>
  <c r="O49" i="89"/>
  <c r="B18" i="74"/>
  <c r="B18" i="82"/>
  <c r="J20" i="89"/>
  <c r="H20" i="89"/>
  <c r="J45" i="89"/>
  <c r="E45" i="89"/>
  <c r="F20" i="89"/>
  <c r="D20" i="89"/>
  <c r="O45" i="89"/>
  <c r="B19" i="74"/>
  <c r="B19" i="82"/>
  <c r="J21" i="89"/>
  <c r="H21" i="89"/>
  <c r="E46" i="89"/>
  <c r="F21" i="89"/>
  <c r="D21" i="89"/>
  <c r="J46" i="89"/>
  <c r="O46" i="89"/>
  <c r="B28" i="82"/>
  <c r="H30" i="89"/>
  <c r="B28" i="74"/>
  <c r="J30" i="89"/>
  <c r="E56" i="89"/>
  <c r="O56" i="89"/>
  <c r="D30" i="89"/>
  <c r="J56" i="89"/>
  <c r="F30" i="89"/>
  <c r="B16" i="82"/>
  <c r="J18" i="89"/>
  <c r="B16" i="74"/>
  <c r="H18" i="89"/>
  <c r="O43" i="89"/>
  <c r="D18" i="89"/>
  <c r="E43" i="89"/>
  <c r="F18" i="89"/>
  <c r="J43" i="89"/>
  <c r="B21" i="82"/>
  <c r="B21" i="74"/>
  <c r="J23" i="89"/>
  <c r="H23" i="89"/>
  <c r="F23" i="89"/>
  <c r="D23" i="89"/>
  <c r="E48" i="89"/>
  <c r="J48" i="89"/>
  <c r="O48" i="89"/>
  <c r="B26" i="74"/>
  <c r="H28" i="89"/>
  <c r="B26" i="82"/>
  <c r="J28" i="89"/>
  <c r="D28" i="89"/>
  <c r="F28" i="89"/>
  <c r="E54" i="89"/>
  <c r="O54" i="89"/>
  <c r="J54" i="89"/>
  <c r="H19" i="89"/>
  <c r="J19" i="89"/>
  <c r="B17" i="74"/>
  <c r="B17" i="82"/>
  <c r="D19" i="89"/>
  <c r="F19" i="89"/>
  <c r="E44" i="89"/>
  <c r="J44" i="89"/>
  <c r="O44" i="89"/>
  <c r="C1" i="90"/>
  <c r="A1" i="89"/>
  <c r="A1" i="38"/>
  <c r="A1" i="43"/>
  <c r="A1" i="74"/>
  <c r="A1" i="72"/>
  <c r="A1" i="57"/>
  <c r="A1" i="73"/>
  <c r="A1" i="81"/>
  <c r="A1" i="80"/>
  <c r="A1" i="4"/>
  <c r="A1" i="82"/>
  <c r="A1" i="61"/>
  <c r="A1" i="59"/>
  <c r="C29" i="82"/>
  <c r="C28" i="82"/>
  <c r="C27" i="82"/>
  <c r="C26" i="82"/>
  <c r="D5" i="82"/>
  <c r="E32" i="22"/>
  <c r="E60" i="60" s="1"/>
  <c r="C27" i="74"/>
  <c r="C26" i="74"/>
  <c r="D5" i="74"/>
  <c r="C29" i="74"/>
  <c r="C28" i="74"/>
  <c r="E18" i="80"/>
  <c r="E41" i="38"/>
  <c r="F41" i="38"/>
  <c r="G41" i="38"/>
  <c r="E6" i="80"/>
  <c r="E25" i="80" s="1"/>
  <c r="E45" i="60"/>
  <c r="C7" i="81"/>
  <c r="D7" i="81" s="1"/>
  <c r="C7" i="73"/>
  <c r="D7" i="73" s="1"/>
  <c r="C8" i="61"/>
  <c r="D8" i="61" s="1"/>
  <c r="E8" i="61" s="1"/>
  <c r="F8" i="61" s="1"/>
  <c r="G8" i="61" s="1"/>
  <c r="H8" i="61" s="1"/>
  <c r="I8" i="61" s="1"/>
  <c r="J8" i="61" s="1"/>
  <c r="K8" i="61" s="1"/>
  <c r="L8" i="61" s="1"/>
  <c r="M8" i="61" s="1"/>
  <c r="B31" i="61" s="1"/>
  <c r="C31" i="61" s="1"/>
  <c r="D31" i="61" s="1"/>
  <c r="E31" i="61" s="1"/>
  <c r="F31" i="61" s="1"/>
  <c r="G31" i="61" s="1"/>
  <c r="H31" i="61" s="1"/>
  <c r="I31" i="61" s="1"/>
  <c r="J31" i="61" s="1"/>
  <c r="K31" i="61" s="1"/>
  <c r="L31" i="61" s="1"/>
  <c r="M31" i="61" s="1"/>
  <c r="C7" i="43"/>
  <c r="D7" i="43" s="1"/>
  <c r="E7" i="43" s="1"/>
  <c r="A8" i="60"/>
  <c r="A9" i="60" s="1"/>
  <c r="A10" i="60" s="1"/>
  <c r="G6" i="74"/>
  <c r="J33" i="82"/>
  <c r="I33" i="82"/>
  <c r="H33" i="82"/>
  <c r="E33" i="82"/>
  <c r="D33" i="82"/>
  <c r="C10" i="82"/>
  <c r="D10" i="82" s="1"/>
  <c r="E10" i="82" s="1"/>
  <c r="F10" i="82" s="1"/>
  <c r="G10" i="82" s="1"/>
  <c r="H10" i="82" s="1"/>
  <c r="I10" i="82" s="1"/>
  <c r="J10" i="82" s="1"/>
  <c r="K10" i="82" s="1"/>
  <c r="L10" i="82" s="1"/>
  <c r="B34" i="82" s="1"/>
  <c r="C34" i="82" s="1"/>
  <c r="D34" i="82" s="1"/>
  <c r="E34" i="82" s="1"/>
  <c r="L9" i="82"/>
  <c r="K9" i="82"/>
  <c r="J9" i="82"/>
  <c r="I9" i="82"/>
  <c r="H9" i="82"/>
  <c r="G9" i="82"/>
  <c r="G6" i="82"/>
  <c r="A27" i="81"/>
  <c r="A51" i="81" s="1"/>
  <c r="A26" i="81"/>
  <c r="A50" i="81" s="1"/>
  <c r="N26" i="81" s="1"/>
  <c r="A25" i="81"/>
  <c r="A49" i="81" s="1"/>
  <c r="N25" i="81" s="1"/>
  <c r="A24" i="81"/>
  <c r="A48" i="81" s="1"/>
  <c r="N24" i="81" s="1"/>
  <c r="A23" i="81"/>
  <c r="A47" i="81" s="1"/>
  <c r="N23" i="81" s="1"/>
  <c r="A22" i="81"/>
  <c r="A46" i="81" s="1"/>
  <c r="N22" i="81" s="1"/>
  <c r="A21" i="81"/>
  <c r="A45" i="81" s="1"/>
  <c r="N21" i="81" s="1"/>
  <c r="A20" i="81"/>
  <c r="A44" i="81" s="1"/>
  <c r="N20" i="81" s="1"/>
  <c r="A19" i="81"/>
  <c r="A43" i="81" s="1"/>
  <c r="N19" i="81" s="1"/>
  <c r="A18" i="81"/>
  <c r="A42" i="81" s="1"/>
  <c r="N18" i="81" s="1"/>
  <c r="A17" i="81"/>
  <c r="A41" i="81" s="1"/>
  <c r="N17" i="81" s="1"/>
  <c r="A16" i="81"/>
  <c r="A40" i="81" s="1"/>
  <c r="N16" i="81" s="1"/>
  <c r="A15" i="81"/>
  <c r="A39" i="81" s="1"/>
  <c r="N15" i="81" s="1"/>
  <c r="A14" i="81"/>
  <c r="A38" i="81" s="1"/>
  <c r="N14" i="81" s="1"/>
  <c r="A13" i="81"/>
  <c r="A37" i="81" s="1"/>
  <c r="N13" i="81" s="1"/>
  <c r="A12" i="81"/>
  <c r="A36" i="81" s="1"/>
  <c r="N12" i="81" s="1"/>
  <c r="A11" i="81"/>
  <c r="A35" i="81" s="1"/>
  <c r="N11" i="81" s="1"/>
  <c r="A10" i="81"/>
  <c r="A34" i="81" s="1"/>
  <c r="N10" i="81" s="1"/>
  <c r="A9" i="81"/>
  <c r="A33" i="81" s="1"/>
  <c r="N9" i="81" s="1"/>
  <c r="A10" i="80"/>
  <c r="A11" i="80" s="1"/>
  <c r="A12" i="80" s="1"/>
  <c r="A16" i="80" s="1"/>
  <c r="A10" i="72"/>
  <c r="A11" i="72" s="1"/>
  <c r="A12" i="72" s="1"/>
  <c r="A16" i="72" s="1"/>
  <c r="I10" i="61"/>
  <c r="Z12" i="59"/>
  <c r="AA12" i="59"/>
  <c r="M27" i="61"/>
  <c r="L27" i="61"/>
  <c r="M26" i="61"/>
  <c r="L26" i="61"/>
  <c r="M25" i="61"/>
  <c r="L25" i="61"/>
  <c r="M24" i="61"/>
  <c r="L24" i="61"/>
  <c r="M23" i="61"/>
  <c r="L23" i="61"/>
  <c r="J23" i="61" s="1"/>
  <c r="I22" i="73" s="1"/>
  <c r="M22" i="61"/>
  <c r="L22" i="61"/>
  <c r="M21" i="61"/>
  <c r="L21" i="61"/>
  <c r="J21" i="61" s="1"/>
  <c r="J20" i="43" s="1"/>
  <c r="M20" i="61"/>
  <c r="L20" i="61"/>
  <c r="M19" i="61"/>
  <c r="L19" i="61"/>
  <c r="J19" i="61" s="1"/>
  <c r="M18" i="61"/>
  <c r="L18" i="61"/>
  <c r="M17" i="61"/>
  <c r="L17" i="61"/>
  <c r="J17" i="61" s="1"/>
  <c r="I16" i="73" s="1"/>
  <c r="M16" i="61"/>
  <c r="L16" i="61"/>
  <c r="M15" i="61"/>
  <c r="L15" i="61"/>
  <c r="J15" i="61" s="1"/>
  <c r="J14" i="43" s="1"/>
  <c r="M14" i="61"/>
  <c r="L14" i="61"/>
  <c r="M13" i="61"/>
  <c r="L13" i="61"/>
  <c r="J13" i="61" s="1"/>
  <c r="M12" i="61"/>
  <c r="L12" i="61"/>
  <c r="M11" i="61"/>
  <c r="L11" i="61"/>
  <c r="J11" i="61" s="1"/>
  <c r="M10" i="61"/>
  <c r="L10" i="61"/>
  <c r="M36" i="61"/>
  <c r="L36" i="61"/>
  <c r="J36" i="61" s="1"/>
  <c r="R12" i="73" s="1"/>
  <c r="M35" i="61"/>
  <c r="L35" i="61"/>
  <c r="M34" i="61"/>
  <c r="L34" i="61"/>
  <c r="J34" i="61" s="1"/>
  <c r="R10" i="73" s="1"/>
  <c r="M33" i="61"/>
  <c r="L33" i="61"/>
  <c r="I50" i="61"/>
  <c r="I49" i="61"/>
  <c r="I48" i="61"/>
  <c r="I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H50" i="61"/>
  <c r="F50" i="61" s="1"/>
  <c r="H49" i="61"/>
  <c r="H48" i="61"/>
  <c r="H47" i="61"/>
  <c r="H46" i="61"/>
  <c r="F46" i="61" s="1"/>
  <c r="O22" i="73" s="1"/>
  <c r="H45" i="61"/>
  <c r="H44" i="61"/>
  <c r="H43" i="61"/>
  <c r="H42" i="61"/>
  <c r="F42" i="61" s="1"/>
  <c r="H41" i="61"/>
  <c r="H40" i="61"/>
  <c r="H39" i="61"/>
  <c r="H38" i="61"/>
  <c r="F38" i="61" s="1"/>
  <c r="O14" i="73" s="1"/>
  <c r="H37" i="61"/>
  <c r="H36" i="61"/>
  <c r="H35" i="61"/>
  <c r="H34" i="61"/>
  <c r="F34" i="61" s="1"/>
  <c r="H33" i="61"/>
  <c r="H10" i="61"/>
  <c r="F10" i="61" s="1"/>
  <c r="G9" i="43" s="1"/>
  <c r="H11" i="61"/>
  <c r="F11" i="61" s="1"/>
  <c r="F10" i="73" s="1"/>
  <c r="H12" i="61"/>
  <c r="F12" i="61" s="1"/>
  <c r="F11" i="73" s="1"/>
  <c r="H13" i="61"/>
  <c r="F13" i="61" s="1"/>
  <c r="F12" i="73" s="1"/>
  <c r="H14" i="61"/>
  <c r="F14" i="61" s="1"/>
  <c r="F13" i="73" s="1"/>
  <c r="H15" i="61"/>
  <c r="F15" i="61" s="1"/>
  <c r="F14" i="73" s="1"/>
  <c r="H16" i="61"/>
  <c r="F16" i="61" s="1"/>
  <c r="F15" i="73" s="1"/>
  <c r="H17" i="61"/>
  <c r="F17" i="61" s="1"/>
  <c r="G16" i="43" s="1"/>
  <c r="H18" i="61"/>
  <c r="F18" i="61" s="1"/>
  <c r="F17" i="73" s="1"/>
  <c r="H19" i="61"/>
  <c r="F19" i="61" s="1"/>
  <c r="F18" i="73" s="1"/>
  <c r="H20" i="61"/>
  <c r="F20" i="61" s="1"/>
  <c r="G19" i="43" s="1"/>
  <c r="H21" i="61"/>
  <c r="F21" i="61" s="1"/>
  <c r="F20" i="73" s="1"/>
  <c r="H22" i="61"/>
  <c r="F22" i="61" s="1"/>
  <c r="F21" i="73" s="1"/>
  <c r="H23" i="61"/>
  <c r="F23" i="61" s="1"/>
  <c r="G22" i="43" s="1"/>
  <c r="H24" i="61"/>
  <c r="F24" i="61" s="1"/>
  <c r="F23" i="73" s="1"/>
  <c r="H25" i="61"/>
  <c r="F25" i="61" s="1"/>
  <c r="G24" i="43" s="1"/>
  <c r="H26" i="61"/>
  <c r="F26" i="61" s="1"/>
  <c r="F25" i="73" s="1"/>
  <c r="H27" i="61"/>
  <c r="F27" i="61" s="1"/>
  <c r="F26" i="73" s="1"/>
  <c r="A10" i="57"/>
  <c r="A11" i="57" s="1"/>
  <c r="A12" i="57" s="1"/>
  <c r="A14" i="57" s="1"/>
  <c r="A15" i="57" s="1"/>
  <c r="A17" i="57" s="1"/>
  <c r="A18" i="57" s="1"/>
  <c r="A19" i="57" s="1"/>
  <c r="A22" i="57" s="1"/>
  <c r="A23" i="57" s="1"/>
  <c r="A24" i="57" s="1"/>
  <c r="A26" i="57" s="1"/>
  <c r="A28" i="57" s="1"/>
  <c r="A29" i="57" s="1"/>
  <c r="A30" i="57" s="1"/>
  <c r="A31" i="57" s="1"/>
  <c r="A32" i="57" s="1"/>
  <c r="A33" i="57" s="1"/>
  <c r="A36" i="57" s="1"/>
  <c r="A37" i="57" s="1"/>
  <c r="A38" i="57" s="1"/>
  <c r="A39" i="57" s="1"/>
  <c r="A40" i="57" s="1"/>
  <c r="A41" i="57" s="1"/>
  <c r="A44" i="57" s="1"/>
  <c r="A45" i="57" s="1"/>
  <c r="A46" i="57" s="1"/>
  <c r="A49" i="57" s="1"/>
  <c r="A50" i="57" s="1"/>
  <c r="A51" i="57" s="1"/>
  <c r="A54" i="57" s="1"/>
  <c r="A55" i="57" s="1"/>
  <c r="A57" i="57" s="1"/>
  <c r="E16" i="38"/>
  <c r="G16" i="38" s="1"/>
  <c r="F6" i="4"/>
  <c r="G42" i="38"/>
  <c r="F42" i="38"/>
  <c r="D42" i="38" s="1"/>
  <c r="J33" i="74"/>
  <c r="I33" i="74"/>
  <c r="H33" i="74"/>
  <c r="E33" i="74"/>
  <c r="D33" i="74"/>
  <c r="C10" i="74"/>
  <c r="D10" i="74" s="1"/>
  <c r="E10" i="74" s="1"/>
  <c r="F10" i="74" s="1"/>
  <c r="G10" i="74" s="1"/>
  <c r="H10" i="74" s="1"/>
  <c r="I10" i="74" s="1"/>
  <c r="J10" i="74" s="1"/>
  <c r="K10" i="74" s="1"/>
  <c r="L10" i="74" s="1"/>
  <c r="B34" i="74" s="1"/>
  <c r="C34" i="74" s="1"/>
  <c r="D34" i="74" s="1"/>
  <c r="L9" i="74"/>
  <c r="K9" i="74"/>
  <c r="J9" i="74"/>
  <c r="I9" i="74"/>
  <c r="H9" i="74"/>
  <c r="G9" i="74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D50" i="61"/>
  <c r="D49" i="61"/>
  <c r="D48" i="61"/>
  <c r="D47" i="61"/>
  <c r="D46" i="61"/>
  <c r="D45" i="61"/>
  <c r="D44" i="61"/>
  <c r="D43" i="61"/>
  <c r="D42" i="61"/>
  <c r="D41" i="61"/>
  <c r="D40" i="61"/>
  <c r="D39" i="61"/>
  <c r="D38" i="61"/>
  <c r="D37" i="61"/>
  <c r="D36" i="61"/>
  <c r="E36" i="61" s="1"/>
  <c r="D35" i="61"/>
  <c r="D34" i="61"/>
  <c r="D33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K50" i="61"/>
  <c r="M50" i="61" s="1"/>
  <c r="K49" i="61"/>
  <c r="M49" i="61" s="1"/>
  <c r="K48" i="61"/>
  <c r="M48" i="61" s="1"/>
  <c r="K47" i="61"/>
  <c r="M47" i="61" s="1"/>
  <c r="K46" i="61"/>
  <c r="M46" i="61" s="1"/>
  <c r="K45" i="61"/>
  <c r="M45" i="61" s="1"/>
  <c r="K44" i="61"/>
  <c r="M44" i="61" s="1"/>
  <c r="K43" i="61"/>
  <c r="M43" i="61" s="1"/>
  <c r="K42" i="61"/>
  <c r="M42" i="61" s="1"/>
  <c r="K41" i="61"/>
  <c r="M41" i="61" s="1"/>
  <c r="K40" i="61"/>
  <c r="M40" i="61" s="1"/>
  <c r="K39" i="61"/>
  <c r="M39" i="61" s="1"/>
  <c r="K38" i="61"/>
  <c r="M38" i="61" s="1"/>
  <c r="K37" i="61"/>
  <c r="M37" i="61" s="1"/>
  <c r="E6" i="4"/>
  <c r="AC9" i="57"/>
  <c r="AC17" i="57" s="1"/>
  <c r="AD9" i="57"/>
  <c r="AD17" i="57" s="1"/>
  <c r="AA17" i="59"/>
  <c r="Z17" i="59"/>
  <c r="G48" i="38"/>
  <c r="F48" i="38"/>
  <c r="F10" i="38"/>
  <c r="D10" i="38" s="1"/>
  <c r="G10" i="38"/>
  <c r="G47" i="38"/>
  <c r="F47" i="38"/>
  <c r="D47" i="38" s="1"/>
  <c r="D36" i="57" s="1"/>
  <c r="S36" i="57" s="1"/>
  <c r="G46" i="38"/>
  <c r="F46" i="38"/>
  <c r="G35" i="38"/>
  <c r="G36" i="38"/>
  <c r="F35" i="38"/>
  <c r="D35" i="38" s="1"/>
  <c r="F36" i="38"/>
  <c r="D36" i="38" s="1"/>
  <c r="G18" i="38"/>
  <c r="F18" i="38"/>
  <c r="D18" i="38" s="1"/>
  <c r="F16" i="38"/>
  <c r="D16" i="38" s="1"/>
  <c r="G15" i="38"/>
  <c r="F15" i="38"/>
  <c r="G9" i="38"/>
  <c r="F9" i="38"/>
  <c r="G37" i="38"/>
  <c r="E28" i="38"/>
  <c r="E30" i="38"/>
  <c r="E31" i="38" s="1"/>
  <c r="E22" i="38"/>
  <c r="E17" i="38"/>
  <c r="E12" i="38"/>
  <c r="E21" i="38"/>
  <c r="E8" i="38"/>
  <c r="F8" i="38"/>
  <c r="G8" i="38"/>
  <c r="B9" i="43"/>
  <c r="B10" i="43"/>
  <c r="B11" i="43"/>
  <c r="B12" i="43"/>
  <c r="B13" i="43"/>
  <c r="B14" i="43"/>
  <c r="B15" i="43"/>
  <c r="B16" i="43"/>
  <c r="B18" i="43"/>
  <c r="B19" i="43"/>
  <c r="B20" i="43"/>
  <c r="B21" i="43"/>
  <c r="B22" i="43"/>
  <c r="B23" i="43"/>
  <c r="B24" i="43"/>
  <c r="B26" i="43"/>
  <c r="D13" i="4"/>
  <c r="E13" i="4"/>
  <c r="F13" i="4"/>
  <c r="D5" i="4"/>
  <c r="E5" i="4"/>
  <c r="F5" i="4"/>
  <c r="A9" i="43"/>
  <c r="A12" i="74" s="1"/>
  <c r="A36" i="74" s="1"/>
  <c r="A10" i="43"/>
  <c r="A13" i="74" s="1"/>
  <c r="A37" i="74" s="1"/>
  <c r="A11" i="43"/>
  <c r="A14" i="82" s="1"/>
  <c r="A38" i="82" s="1"/>
  <c r="A12" i="43"/>
  <c r="A15" i="82" s="1"/>
  <c r="A39" i="82" s="1"/>
  <c r="A13" i="43"/>
  <c r="A38" i="43" s="1"/>
  <c r="M13" i="43" s="1"/>
  <c r="A14" i="43"/>
  <c r="A17" i="82" s="1"/>
  <c r="A41" i="82" s="1"/>
  <c r="A15" i="43"/>
  <c r="A18" i="74" s="1"/>
  <c r="A42" i="74" s="1"/>
  <c r="A16" i="43"/>
  <c r="A19" i="82" s="1"/>
  <c r="A43" i="82" s="1"/>
  <c r="A17" i="43"/>
  <c r="A20" i="74" s="1"/>
  <c r="A44" i="74" s="1"/>
  <c r="A18" i="43"/>
  <c r="A21" i="82" s="1"/>
  <c r="A45" i="82" s="1"/>
  <c r="A19" i="43"/>
  <c r="A22" i="74" s="1"/>
  <c r="A46" i="74" s="1"/>
  <c r="A20" i="43"/>
  <c r="A23" i="82" s="1"/>
  <c r="A47" i="82" s="1"/>
  <c r="A21" i="43"/>
  <c r="A24" i="74" s="1"/>
  <c r="A48" i="74" s="1"/>
  <c r="A22" i="43"/>
  <c r="A25" i="82" s="1"/>
  <c r="A49" i="82" s="1"/>
  <c r="A23" i="43"/>
  <c r="A26" i="82" s="1"/>
  <c r="A50" i="82" s="1"/>
  <c r="A24" i="43"/>
  <c r="A27" i="82" s="1"/>
  <c r="A51" i="82" s="1"/>
  <c r="A25" i="43"/>
  <c r="A28" i="74" s="1"/>
  <c r="A52" i="74" s="1"/>
  <c r="A26" i="43"/>
  <c r="A29" i="82" s="1"/>
  <c r="A53" i="82" s="1"/>
  <c r="A28" i="43"/>
  <c r="B17" i="43"/>
  <c r="B25" i="43"/>
  <c r="A46" i="4"/>
  <c r="A47" i="4" s="1"/>
  <c r="A48" i="4" s="1"/>
  <c r="A49" i="4" s="1"/>
  <c r="A50" i="4" s="1"/>
  <c r="A51" i="4" s="1"/>
  <c r="A52" i="4" s="1"/>
  <c r="I45" i="4" s="1"/>
  <c r="I46" i="4" s="1"/>
  <c r="I47" i="4" s="1"/>
  <c r="I48" i="4" s="1"/>
  <c r="I49" i="4" s="1"/>
  <c r="I50" i="4" s="1"/>
  <c r="I51" i="4" s="1"/>
  <c r="I52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G28" i="38"/>
  <c r="F37" i="38"/>
  <c r="D37" i="38" s="1"/>
  <c r="F28" i="38"/>
  <c r="E40" i="61"/>
  <c r="A19" i="61"/>
  <c r="A42" i="61" s="1"/>
  <c r="A15" i="61"/>
  <c r="A38" i="61" s="1"/>
  <c r="A11" i="61"/>
  <c r="A34" i="61" s="1"/>
  <c r="A23" i="61"/>
  <c r="A46" i="61" s="1"/>
  <c r="A43" i="43"/>
  <c r="M18" i="43" s="1"/>
  <c r="A45" i="43"/>
  <c r="M20" i="43" s="1"/>
  <c r="A51" i="43"/>
  <c r="M26" i="43" s="1"/>
  <c r="A47" i="43"/>
  <c r="M22" i="43" s="1"/>
  <c r="A50" i="43"/>
  <c r="M25" i="43" s="1"/>
  <c r="G10" i="43"/>
  <c r="J16" i="43" l="1"/>
  <c r="D41" i="38"/>
  <c r="A37" i="43"/>
  <c r="M12" i="43" s="1"/>
  <c r="A17" i="61"/>
  <c r="A40" i="61" s="1"/>
  <c r="A41" i="43"/>
  <c r="M16" i="43" s="1"/>
  <c r="A21" i="61"/>
  <c r="A44" i="61" s="1"/>
  <c r="J14" i="90"/>
  <c r="Q19" i="89"/>
  <c r="T19" i="89"/>
  <c r="K18" i="90"/>
  <c r="P23" i="89"/>
  <c r="S23" i="89"/>
  <c r="F49" i="89"/>
  <c r="G49" i="89" s="1"/>
  <c r="F50" i="89"/>
  <c r="G50" i="89" s="1"/>
  <c r="F46" i="89"/>
  <c r="G46" i="89" s="1"/>
  <c r="F51" i="89"/>
  <c r="G51" i="89" s="1"/>
  <c r="F45" i="89"/>
  <c r="G45" i="89" s="1"/>
  <c r="F43" i="89"/>
  <c r="G43" i="89" s="1"/>
  <c r="F48" i="89"/>
  <c r="G48" i="89" s="1"/>
  <c r="F44" i="89"/>
  <c r="G44" i="89" s="1"/>
  <c r="F47" i="89"/>
  <c r="G47" i="89" s="1"/>
  <c r="J25" i="90"/>
  <c r="T30" i="89"/>
  <c r="Q30" i="89"/>
  <c r="S30" i="89"/>
  <c r="K25" i="90"/>
  <c r="P30" i="89"/>
  <c r="T21" i="89"/>
  <c r="J16" i="90"/>
  <c r="Q21" i="89"/>
  <c r="P20" i="89"/>
  <c r="S20" i="89"/>
  <c r="K15" i="90"/>
  <c r="T25" i="89"/>
  <c r="J20" i="90"/>
  <c r="Q25" i="89"/>
  <c r="S25" i="89"/>
  <c r="K20" i="90"/>
  <c r="P25" i="89"/>
  <c r="O32" i="89"/>
  <c r="Q16" i="89"/>
  <c r="T16" i="89"/>
  <c r="J11" i="90"/>
  <c r="T15" i="89"/>
  <c r="J10" i="90"/>
  <c r="Q15" i="89"/>
  <c r="P15" i="89"/>
  <c r="S15" i="89"/>
  <c r="K10" i="90"/>
  <c r="K21" i="90"/>
  <c r="S26" i="89"/>
  <c r="P26" i="89"/>
  <c r="J21" i="90"/>
  <c r="T26" i="89"/>
  <c r="Q26" i="89"/>
  <c r="F32" i="89"/>
  <c r="F39" i="89"/>
  <c r="G39" i="89" s="1"/>
  <c r="F40" i="89"/>
  <c r="G40" i="89" s="1"/>
  <c r="F41" i="89"/>
  <c r="G41" i="89" s="1"/>
  <c r="F38" i="89"/>
  <c r="G38" i="89" s="1"/>
  <c r="D32" i="89"/>
  <c r="K12" i="90"/>
  <c r="P17" i="89"/>
  <c r="S17" i="89"/>
  <c r="K24" i="90"/>
  <c r="P29" i="89"/>
  <c r="S29" i="89"/>
  <c r="F56" i="89"/>
  <c r="G56" i="89" s="1"/>
  <c r="F57" i="89"/>
  <c r="G57" i="89" s="1"/>
  <c r="F53" i="89"/>
  <c r="G53" i="89" s="1"/>
  <c r="F55" i="89"/>
  <c r="G55" i="89" s="1"/>
  <c r="F54" i="89"/>
  <c r="G54" i="89" s="1"/>
  <c r="J22" i="90"/>
  <c r="T27" i="89"/>
  <c r="Q27" i="89"/>
  <c r="P27" i="89"/>
  <c r="S27" i="89"/>
  <c r="K22" i="90"/>
  <c r="A40" i="43"/>
  <c r="M15" i="43" s="1"/>
  <c r="G29" i="38"/>
  <c r="D9" i="38"/>
  <c r="F11" i="38"/>
  <c r="K14" i="90"/>
  <c r="P19" i="89"/>
  <c r="S19" i="89"/>
  <c r="J23" i="90"/>
  <c r="Q28" i="89"/>
  <c r="T28" i="89"/>
  <c r="P28" i="89"/>
  <c r="S28" i="89"/>
  <c r="K23" i="90"/>
  <c r="J18" i="90"/>
  <c r="T23" i="89"/>
  <c r="Q23" i="89"/>
  <c r="K13" i="90"/>
  <c r="S18" i="89"/>
  <c r="P18" i="89"/>
  <c r="Q18" i="89"/>
  <c r="J13" i="90"/>
  <c r="T18" i="89"/>
  <c r="K16" i="90"/>
  <c r="P21" i="89"/>
  <c r="S21" i="89"/>
  <c r="J15" i="90"/>
  <c r="Q20" i="89"/>
  <c r="T20" i="89"/>
  <c r="J19" i="90"/>
  <c r="Q24" i="89"/>
  <c r="T24" i="89"/>
  <c r="S24" i="89"/>
  <c r="K19" i="90"/>
  <c r="P24" i="89"/>
  <c r="R32" i="89"/>
  <c r="K11" i="90"/>
  <c r="S16" i="89"/>
  <c r="P16" i="89"/>
  <c r="S31" i="89"/>
  <c r="K26" i="90"/>
  <c r="P31" i="89"/>
  <c r="T31" i="89"/>
  <c r="J26" i="90"/>
  <c r="Q31" i="89"/>
  <c r="O58" i="89"/>
  <c r="J58" i="89"/>
  <c r="J9" i="90"/>
  <c r="Q14" i="89"/>
  <c r="J32" i="89"/>
  <c r="E41" i="60" s="1"/>
  <c r="T14" i="89"/>
  <c r="H32" i="89"/>
  <c r="E40" i="60" s="1"/>
  <c r="S14" i="89"/>
  <c r="K9" i="90"/>
  <c r="P14" i="89"/>
  <c r="Q17" i="89"/>
  <c r="T17" i="89"/>
  <c r="J12" i="90"/>
  <c r="J24" i="90"/>
  <c r="T29" i="89"/>
  <c r="Q29" i="89"/>
  <c r="P22" i="89"/>
  <c r="S22" i="89"/>
  <c r="K17" i="90"/>
  <c r="J17" i="90"/>
  <c r="Q22" i="89"/>
  <c r="T22" i="89"/>
  <c r="G35" i="43"/>
  <c r="O10" i="73"/>
  <c r="G43" i="43"/>
  <c r="O18" i="73"/>
  <c r="G51" i="43"/>
  <c r="O26" i="73"/>
  <c r="A18" i="80"/>
  <c r="A20" i="80" s="1"/>
  <c r="A28" i="80" s="1"/>
  <c r="A29" i="80" s="1"/>
  <c r="A30" i="80" s="1"/>
  <c r="A32" i="80" s="1"/>
  <c r="A33" i="80" s="1"/>
  <c r="A35" i="80" s="1"/>
  <c r="A38" i="80" s="1"/>
  <c r="F34" i="82"/>
  <c r="G34" i="82" s="1"/>
  <c r="A14" i="60"/>
  <c r="A16" i="60" s="1"/>
  <c r="A22" i="60" s="1"/>
  <c r="A24" i="60" s="1"/>
  <c r="A25" i="60" s="1"/>
  <c r="A27" i="60" s="1"/>
  <c r="A29" i="60" s="1"/>
  <c r="A31" i="60" s="1"/>
  <c r="A18" i="72"/>
  <c r="A20" i="72" s="1"/>
  <c r="A28" i="72" s="1"/>
  <c r="A29" i="72" s="1"/>
  <c r="A30" i="72" s="1"/>
  <c r="A32" i="72" s="1"/>
  <c r="A33" i="72" s="1"/>
  <c r="A35" i="72" s="1"/>
  <c r="A38" i="72" s="1"/>
  <c r="G11" i="43"/>
  <c r="G21" i="38"/>
  <c r="F36" i="61"/>
  <c r="O12" i="73" s="1"/>
  <c r="F40" i="61"/>
  <c r="F44" i="61"/>
  <c r="O20" i="73" s="1"/>
  <c r="F48" i="61"/>
  <c r="G48" i="81" s="1"/>
  <c r="A49" i="43"/>
  <c r="M24" i="43" s="1"/>
  <c r="A16" i="74"/>
  <c r="A40" i="74" s="1"/>
  <c r="A13" i="61"/>
  <c r="A36" i="61" s="1"/>
  <c r="A25" i="61"/>
  <c r="A48" i="61" s="1"/>
  <c r="D48" i="38"/>
  <c r="D31" i="57" s="1"/>
  <c r="B36" i="61"/>
  <c r="L12" i="73" s="1"/>
  <c r="B40" i="61"/>
  <c r="L16" i="73" s="1"/>
  <c r="D46" i="38"/>
  <c r="D28" i="57" s="1"/>
  <c r="H28" i="57" s="1"/>
  <c r="J33" i="61"/>
  <c r="J35" i="61"/>
  <c r="R11" i="73" s="1"/>
  <c r="J10" i="61"/>
  <c r="J9" i="43" s="1"/>
  <c r="J12" i="61"/>
  <c r="I11" i="73" s="1"/>
  <c r="J14" i="61"/>
  <c r="I13" i="73" s="1"/>
  <c r="J16" i="61"/>
  <c r="J15" i="43" s="1"/>
  <c r="J18" i="61"/>
  <c r="I17" i="73" s="1"/>
  <c r="J20" i="61"/>
  <c r="K19" i="81" s="1"/>
  <c r="J22" i="61"/>
  <c r="I21" i="73" s="1"/>
  <c r="J24" i="61"/>
  <c r="I23" i="73" s="1"/>
  <c r="C15" i="82"/>
  <c r="J25" i="61"/>
  <c r="J24" i="43" s="1"/>
  <c r="J26" i="61"/>
  <c r="J25" i="43" s="1"/>
  <c r="J27" i="61"/>
  <c r="J26" i="43" s="1"/>
  <c r="C16" i="4"/>
  <c r="N18" i="59" s="1"/>
  <c r="N19" i="59" s="1"/>
  <c r="Q14" i="57" s="1"/>
  <c r="F33" i="61"/>
  <c r="G33" i="81" s="1"/>
  <c r="F35" i="61"/>
  <c r="F37" i="61"/>
  <c r="O13" i="73" s="1"/>
  <c r="F39" i="61"/>
  <c r="F41" i="61"/>
  <c r="O17" i="73" s="1"/>
  <c r="F47" i="61"/>
  <c r="O23" i="73" s="1"/>
  <c r="F49" i="61"/>
  <c r="O25" i="73" s="1"/>
  <c r="E33" i="61"/>
  <c r="B33" i="61"/>
  <c r="L9" i="73" s="1"/>
  <c r="E35" i="61"/>
  <c r="B35" i="61"/>
  <c r="L11" i="73" s="1"/>
  <c r="E37" i="61"/>
  <c r="B37" i="61"/>
  <c r="E39" i="61"/>
  <c r="B39" i="61"/>
  <c r="L15" i="73" s="1"/>
  <c r="E41" i="61"/>
  <c r="B41" i="61"/>
  <c r="L17" i="73" s="1"/>
  <c r="E50" i="61"/>
  <c r="B50" i="61"/>
  <c r="L26" i="73" s="1"/>
  <c r="E42" i="61"/>
  <c r="B42" i="61" s="1"/>
  <c r="L18" i="73" s="1"/>
  <c r="E38" i="61"/>
  <c r="B38" i="61" s="1"/>
  <c r="L14" i="73" s="1"/>
  <c r="E34" i="61"/>
  <c r="B34" i="61" s="1"/>
  <c r="L10" i="73" s="1"/>
  <c r="E27" i="61"/>
  <c r="B27" i="61" s="1"/>
  <c r="E26" i="61"/>
  <c r="B26" i="61" s="1"/>
  <c r="E25" i="61"/>
  <c r="B25" i="61" s="1"/>
  <c r="E24" i="61"/>
  <c r="E23" i="61"/>
  <c r="B23" i="61" s="1"/>
  <c r="E22" i="61"/>
  <c r="B22" i="61" s="1"/>
  <c r="E21" i="61"/>
  <c r="E20" i="61"/>
  <c r="B20" i="61" s="1"/>
  <c r="E19" i="61"/>
  <c r="B19" i="61" s="1"/>
  <c r="E18" i="61"/>
  <c r="B18" i="61" s="1"/>
  <c r="E17" i="61"/>
  <c r="B17" i="61" s="1"/>
  <c r="E16" i="61"/>
  <c r="E15" i="61"/>
  <c r="B15" i="61" s="1"/>
  <c r="E14" i="61"/>
  <c r="E13" i="61"/>
  <c r="B13" i="61" s="1"/>
  <c r="E12" i="61"/>
  <c r="B12" i="61" s="1"/>
  <c r="E11" i="61"/>
  <c r="B11" i="61" s="1"/>
  <c r="E10" i="61"/>
  <c r="B10" i="61" s="1"/>
  <c r="E43" i="61"/>
  <c r="E44" i="61"/>
  <c r="E45" i="61"/>
  <c r="B45" i="61" s="1"/>
  <c r="L21" i="73" s="1"/>
  <c r="E46" i="61"/>
  <c r="B46" i="61" s="1"/>
  <c r="L22" i="73" s="1"/>
  <c r="E47" i="61"/>
  <c r="B47" i="61" s="1"/>
  <c r="L23" i="73" s="1"/>
  <c r="E48" i="61"/>
  <c r="B48" i="61" s="1"/>
  <c r="L24" i="73" s="1"/>
  <c r="E49" i="61"/>
  <c r="B49" i="61" s="1"/>
  <c r="L25" i="73" s="1"/>
  <c r="E23" i="38"/>
  <c r="G22" i="38"/>
  <c r="F19" i="73"/>
  <c r="F21" i="38"/>
  <c r="D21" i="38" s="1"/>
  <c r="F29" i="38"/>
  <c r="D28" i="38"/>
  <c r="D29" i="57" s="1"/>
  <c r="J29" i="57" s="1"/>
  <c r="E29" i="38"/>
  <c r="F17" i="38"/>
  <c r="D17" i="38" s="1"/>
  <c r="D15" i="38"/>
  <c r="G17" i="38"/>
  <c r="G20" i="43"/>
  <c r="G11" i="38"/>
  <c r="G23" i="38" s="1"/>
  <c r="F30" i="38"/>
  <c r="G30" i="38"/>
  <c r="A44" i="43"/>
  <c r="M19" i="43" s="1"/>
  <c r="A10" i="61"/>
  <c r="A33" i="61" s="1"/>
  <c r="F43" i="61"/>
  <c r="O19" i="73" s="1"/>
  <c r="F45" i="61"/>
  <c r="O21" i="73" s="1"/>
  <c r="A36" i="43"/>
  <c r="M11" i="43" s="1"/>
  <c r="A42" i="43"/>
  <c r="M17" i="43" s="1"/>
  <c r="A48" i="43"/>
  <c r="M23" i="43" s="1"/>
  <c r="A34" i="43"/>
  <c r="M9" i="43" s="1"/>
  <c r="A18" i="61"/>
  <c r="A41" i="61" s="1"/>
  <c r="A46" i="43"/>
  <c r="M21" i="43" s="1"/>
  <c r="A14" i="61"/>
  <c r="A37" i="61" s="1"/>
  <c r="A22" i="61"/>
  <c r="A45" i="61" s="1"/>
  <c r="A12" i="61"/>
  <c r="A35" i="61" s="1"/>
  <c r="A16" i="61"/>
  <c r="A39" i="61" s="1"/>
  <c r="A20" i="61"/>
  <c r="A43" i="61" s="1"/>
  <c r="G14" i="43"/>
  <c r="G26" i="43"/>
  <c r="G15" i="43"/>
  <c r="G23" i="43"/>
  <c r="G12" i="43"/>
  <c r="G18" i="43"/>
  <c r="F22" i="73"/>
  <c r="F9" i="73"/>
  <c r="G13" i="43"/>
  <c r="G17" i="43"/>
  <c r="G21" i="43"/>
  <c r="G25" i="43"/>
  <c r="E18" i="72"/>
  <c r="D6" i="74"/>
  <c r="C14" i="4"/>
  <c r="G5" i="74" s="1"/>
  <c r="C6" i="4"/>
  <c r="D36" i="4" s="1"/>
  <c r="C19" i="82"/>
  <c r="C18" i="82"/>
  <c r="C22" i="82"/>
  <c r="C23" i="82"/>
  <c r="C12" i="82"/>
  <c r="C16" i="82"/>
  <c r="C20" i="82"/>
  <c r="C24" i="82"/>
  <c r="C13" i="82"/>
  <c r="A26" i="61"/>
  <c r="A49" i="61" s="1"/>
  <c r="A23" i="74"/>
  <c r="A47" i="74" s="1"/>
  <c r="F7" i="43"/>
  <c r="G7" i="43" s="1"/>
  <c r="A15" i="74"/>
  <c r="A39" i="74" s="1"/>
  <c r="A27" i="74"/>
  <c r="A51" i="74" s="1"/>
  <c r="A19" i="74"/>
  <c r="A43" i="74" s="1"/>
  <c r="E7" i="73"/>
  <c r="E16" i="60"/>
  <c r="F7" i="81"/>
  <c r="H7" i="43"/>
  <c r="A12" i="82"/>
  <c r="A36" i="82" s="1"/>
  <c r="A13" i="82"/>
  <c r="A37" i="82" s="1"/>
  <c r="C14" i="82"/>
  <c r="A16" i="82"/>
  <c r="A40" i="82" s="1"/>
  <c r="C17" i="82"/>
  <c r="A18" i="82"/>
  <c r="A42" i="82" s="1"/>
  <c r="A20" i="82"/>
  <c r="A44" i="82" s="1"/>
  <c r="C21" i="82"/>
  <c r="A22" i="82"/>
  <c r="A46" i="82" s="1"/>
  <c r="A24" i="82"/>
  <c r="A48" i="82" s="1"/>
  <c r="C25" i="82"/>
  <c r="A28" i="82"/>
  <c r="A52" i="82" s="1"/>
  <c r="C40" i="81"/>
  <c r="C36" i="81"/>
  <c r="D36" i="43"/>
  <c r="K10" i="81"/>
  <c r="K12" i="81"/>
  <c r="K14" i="81"/>
  <c r="K16" i="81"/>
  <c r="K18" i="81"/>
  <c r="K20" i="81"/>
  <c r="K22" i="81"/>
  <c r="K34" i="81"/>
  <c r="K36" i="81"/>
  <c r="G34" i="81"/>
  <c r="G38" i="81"/>
  <c r="G42" i="81"/>
  <c r="G46" i="81"/>
  <c r="G50" i="81"/>
  <c r="G26" i="81"/>
  <c r="G25" i="81"/>
  <c r="G24" i="81"/>
  <c r="G23" i="81"/>
  <c r="G22" i="81"/>
  <c r="G21" i="81"/>
  <c r="G20" i="81"/>
  <c r="G19" i="81"/>
  <c r="G18" i="81"/>
  <c r="G17" i="81"/>
  <c r="G16" i="81"/>
  <c r="G15" i="81"/>
  <c r="G14" i="81"/>
  <c r="G13" i="81"/>
  <c r="G12" i="81"/>
  <c r="G11" i="81"/>
  <c r="G10" i="81"/>
  <c r="G9" i="81"/>
  <c r="D40" i="43"/>
  <c r="C50" i="81"/>
  <c r="J17" i="43"/>
  <c r="G49" i="81"/>
  <c r="E6" i="72"/>
  <c r="E25" i="72" s="1"/>
  <c r="E45" i="80"/>
  <c r="K15" i="81"/>
  <c r="K17" i="81"/>
  <c r="C35" i="81"/>
  <c r="K35" i="81"/>
  <c r="C39" i="81"/>
  <c r="D6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B50" i="82"/>
  <c r="B51" i="82"/>
  <c r="B52" i="82"/>
  <c r="B53" i="82"/>
  <c r="J10" i="43"/>
  <c r="J12" i="43"/>
  <c r="I14" i="73"/>
  <c r="J18" i="43"/>
  <c r="I20" i="73"/>
  <c r="J22" i="43"/>
  <c r="G39" i="43"/>
  <c r="G47" i="43"/>
  <c r="F24" i="73"/>
  <c r="F16" i="73"/>
  <c r="I9" i="73"/>
  <c r="K29" i="57"/>
  <c r="P29" i="57"/>
  <c r="C14" i="74"/>
  <c r="C18" i="74"/>
  <c r="C22" i="74"/>
  <c r="C12" i="74"/>
  <c r="C16" i="74"/>
  <c r="C20" i="74"/>
  <c r="C24" i="74"/>
  <c r="C13" i="74"/>
  <c r="C17" i="74"/>
  <c r="C21" i="74"/>
  <c r="C25" i="74"/>
  <c r="C15" i="74"/>
  <c r="C19" i="74"/>
  <c r="C23" i="74"/>
  <c r="A52" i="43"/>
  <c r="A25" i="74"/>
  <c r="A49" i="74" s="1"/>
  <c r="A17" i="74"/>
  <c r="A41" i="74" s="1"/>
  <c r="A39" i="43"/>
  <c r="M14" i="43" s="1"/>
  <c r="A14" i="74"/>
  <c r="A38" i="74" s="1"/>
  <c r="F12" i="38"/>
  <c r="E24" i="38"/>
  <c r="D51" i="43"/>
  <c r="AB29" i="57"/>
  <c r="A35" i="43"/>
  <c r="M10" i="43" s="1"/>
  <c r="A29" i="74"/>
  <c r="A53" i="74" s="1"/>
  <c r="A27" i="61"/>
  <c r="A50" i="61" s="1"/>
  <c r="A26" i="74"/>
  <c r="A50" i="74" s="1"/>
  <c r="A24" i="61"/>
  <c r="A47" i="61" s="1"/>
  <c r="A21" i="74"/>
  <c r="A45" i="74" s="1"/>
  <c r="F22" i="38"/>
  <c r="D22" i="38" s="1"/>
  <c r="L37" i="61"/>
  <c r="J37" i="61" s="1"/>
  <c r="R13" i="73" s="1"/>
  <c r="L38" i="61"/>
  <c r="J38" i="61" s="1"/>
  <c r="R14" i="73" s="1"/>
  <c r="L39" i="61"/>
  <c r="J39" i="61" s="1"/>
  <c r="R15" i="73" s="1"/>
  <c r="L40" i="61"/>
  <c r="J40" i="61" s="1"/>
  <c r="R16" i="73" s="1"/>
  <c r="L41" i="61"/>
  <c r="J41" i="61" s="1"/>
  <c r="R17" i="73" s="1"/>
  <c r="L42" i="61"/>
  <c r="J42" i="61" s="1"/>
  <c r="R18" i="73" s="1"/>
  <c r="L43" i="61"/>
  <c r="J43" i="61" s="1"/>
  <c r="R19" i="73" s="1"/>
  <c r="L44" i="61"/>
  <c r="J44" i="61" s="1"/>
  <c r="R20" i="73" s="1"/>
  <c r="L45" i="61"/>
  <c r="J45" i="61" s="1"/>
  <c r="R21" i="73" s="1"/>
  <c r="L46" i="61"/>
  <c r="J46" i="61" s="1"/>
  <c r="R22" i="73" s="1"/>
  <c r="L47" i="61"/>
  <c r="J47" i="61" s="1"/>
  <c r="R23" i="73" s="1"/>
  <c r="L48" i="61"/>
  <c r="J48" i="61" s="1"/>
  <c r="R24" i="73" s="1"/>
  <c r="L49" i="61"/>
  <c r="J49" i="61" s="1"/>
  <c r="R25" i="73" s="1"/>
  <c r="L50" i="61"/>
  <c r="J50" i="61" s="1"/>
  <c r="R26" i="73" s="1"/>
  <c r="AA36" i="57"/>
  <c r="AD36" i="57"/>
  <c r="W36" i="57"/>
  <c r="O36" i="57"/>
  <c r="U36" i="57"/>
  <c r="Y36" i="57"/>
  <c r="E36" i="57"/>
  <c r="R36" i="57"/>
  <c r="L36" i="57"/>
  <c r="X36" i="57"/>
  <c r="D10" i="59"/>
  <c r="X11" i="59"/>
  <c r="I10" i="73"/>
  <c r="I12" i="73"/>
  <c r="I18" i="73"/>
  <c r="J35" i="43"/>
  <c r="J37" i="43"/>
  <c r="T36" i="57"/>
  <c r="M36" i="57"/>
  <c r="I36" i="57"/>
  <c r="AC36" i="57"/>
  <c r="P36" i="57"/>
  <c r="J36" i="57"/>
  <c r="F36" i="57"/>
  <c r="H36" i="57"/>
  <c r="Z36" i="57"/>
  <c r="Q36" i="57"/>
  <c r="V36" i="57"/>
  <c r="K36" i="57"/>
  <c r="AB36" i="57"/>
  <c r="N36" i="57"/>
  <c r="G36" i="57"/>
  <c r="E34" i="74"/>
  <c r="F34" i="74" s="1"/>
  <c r="X29" i="57"/>
  <c r="Z29" i="57"/>
  <c r="V29" i="57"/>
  <c r="G29" i="57" l="1"/>
  <c r="I29" i="57"/>
  <c r="W29" i="57"/>
  <c r="M29" i="57"/>
  <c r="Q29" i="57"/>
  <c r="N29" i="57"/>
  <c r="H29" i="57"/>
  <c r="AC29" i="57"/>
  <c r="U29" i="57"/>
  <c r="O29" i="57"/>
  <c r="L29" i="57"/>
  <c r="S29" i="57"/>
  <c r="AD29" i="57"/>
  <c r="Y29" i="57"/>
  <c r="F29" i="57"/>
  <c r="AA29" i="57"/>
  <c r="E29" i="57"/>
  <c r="R29" i="57"/>
  <c r="T29" i="57"/>
  <c r="D41" i="43"/>
  <c r="O10" i="59"/>
  <c r="O17" i="59" s="1"/>
  <c r="K11" i="81"/>
  <c r="G44" i="81"/>
  <c r="D11" i="59"/>
  <c r="G45" i="43"/>
  <c r="I24" i="73"/>
  <c r="T11" i="59"/>
  <c r="K9" i="81"/>
  <c r="J19" i="43"/>
  <c r="G41" i="81"/>
  <c r="I19" i="73"/>
  <c r="K24" i="81"/>
  <c r="P32" i="89"/>
  <c r="S32" i="89"/>
  <c r="T32" i="89"/>
  <c r="Q32" i="89"/>
  <c r="J40" i="4"/>
  <c r="G42" i="43"/>
  <c r="J11" i="43"/>
  <c r="G48" i="43"/>
  <c r="J23" i="43"/>
  <c r="G44" i="43"/>
  <c r="G38" i="43"/>
  <c r="K23" i="81"/>
  <c r="G43" i="81"/>
  <c r="J36" i="43"/>
  <c r="I15" i="73"/>
  <c r="G50" i="43"/>
  <c r="K26" i="81"/>
  <c r="I26" i="73"/>
  <c r="G37" i="81"/>
  <c r="D37" i="43"/>
  <c r="G28" i="57"/>
  <c r="G34" i="43"/>
  <c r="O9" i="73"/>
  <c r="G49" i="43"/>
  <c r="O24" i="73"/>
  <c r="C37" i="81"/>
  <c r="L13" i="73"/>
  <c r="G36" i="43"/>
  <c r="O11" i="73"/>
  <c r="K33" i="81"/>
  <c r="R9" i="73"/>
  <c r="U28" i="57"/>
  <c r="I25" i="73"/>
  <c r="J34" i="43"/>
  <c r="K25" i="81"/>
  <c r="G47" i="81"/>
  <c r="G35" i="81"/>
  <c r="G40" i="43"/>
  <c r="O15" i="73"/>
  <c r="H13" i="82"/>
  <c r="H17" i="82"/>
  <c r="H21" i="82"/>
  <c r="H25" i="82"/>
  <c r="H29" i="82"/>
  <c r="I15" i="82"/>
  <c r="I19" i="82"/>
  <c r="I23" i="82"/>
  <c r="I27" i="82"/>
  <c r="I13" i="74"/>
  <c r="I17" i="74"/>
  <c r="I21" i="74"/>
  <c r="I25" i="74"/>
  <c r="I29" i="74"/>
  <c r="H15" i="74"/>
  <c r="H19" i="74"/>
  <c r="H23" i="74"/>
  <c r="H27" i="74"/>
  <c r="H24" i="82"/>
  <c r="I18" i="82"/>
  <c r="I26" i="82"/>
  <c r="I20" i="74"/>
  <c r="H14" i="74"/>
  <c r="H26" i="74"/>
  <c r="H14" i="82"/>
  <c r="H18" i="82"/>
  <c r="H22" i="82"/>
  <c r="H26" i="82"/>
  <c r="H12" i="82"/>
  <c r="I16" i="82"/>
  <c r="I20" i="82"/>
  <c r="I24" i="82"/>
  <c r="G24" i="82" s="1"/>
  <c r="I28" i="82"/>
  <c r="I14" i="74"/>
  <c r="I18" i="74"/>
  <c r="I22" i="74"/>
  <c r="I26" i="74"/>
  <c r="I12" i="74"/>
  <c r="H16" i="74"/>
  <c r="H20" i="74"/>
  <c r="H24" i="74"/>
  <c r="H28" i="74"/>
  <c r="H20" i="82"/>
  <c r="I14" i="82"/>
  <c r="I13" i="82"/>
  <c r="I24" i="74"/>
  <c r="H22" i="74"/>
  <c r="H15" i="82"/>
  <c r="H19" i="82"/>
  <c r="H23" i="82"/>
  <c r="H27" i="82"/>
  <c r="I12" i="82"/>
  <c r="I17" i="82"/>
  <c r="I21" i="82"/>
  <c r="I25" i="82"/>
  <c r="I29" i="82"/>
  <c r="I15" i="74"/>
  <c r="I19" i="74"/>
  <c r="I23" i="74"/>
  <c r="I27" i="74"/>
  <c r="H13" i="74"/>
  <c r="H17" i="74"/>
  <c r="H21" i="74"/>
  <c r="H25" i="74"/>
  <c r="H29" i="74"/>
  <c r="H16" i="82"/>
  <c r="G16" i="82" s="1"/>
  <c r="H28" i="82"/>
  <c r="I22" i="82"/>
  <c r="G22" i="82" s="1"/>
  <c r="I16" i="74"/>
  <c r="I28" i="74"/>
  <c r="H18" i="74"/>
  <c r="G18" i="74" s="1"/>
  <c r="H12" i="74"/>
  <c r="G36" i="81"/>
  <c r="G37" i="43"/>
  <c r="J38" i="4"/>
  <c r="B24" i="4"/>
  <c r="B28" i="4"/>
  <c r="B32" i="4"/>
  <c r="B36" i="4"/>
  <c r="B40" i="4"/>
  <c r="B31" i="4"/>
  <c r="B25" i="4"/>
  <c r="B29" i="4"/>
  <c r="B33" i="4"/>
  <c r="B37" i="4"/>
  <c r="B23" i="4"/>
  <c r="B27" i="4"/>
  <c r="D13" i="90" s="1"/>
  <c r="B39" i="4"/>
  <c r="B26" i="4"/>
  <c r="B30" i="4"/>
  <c r="B34" i="4"/>
  <c r="B38" i="4"/>
  <c r="B35" i="4"/>
  <c r="G41" i="43"/>
  <c r="O16" i="73"/>
  <c r="H34" i="82"/>
  <c r="I34" i="82" s="1"/>
  <c r="O28" i="57"/>
  <c r="V10" i="59"/>
  <c r="V17" i="59" s="1"/>
  <c r="N10" i="59"/>
  <c r="N17" i="59" s="1"/>
  <c r="U11" i="59"/>
  <c r="F25" i="4"/>
  <c r="F31" i="4"/>
  <c r="J11" i="59"/>
  <c r="AC28" i="57"/>
  <c r="Q10" i="59"/>
  <c r="Q17" i="59" s="1"/>
  <c r="M11" i="59"/>
  <c r="S11" i="59"/>
  <c r="D38" i="43"/>
  <c r="K10" i="59"/>
  <c r="K12" i="59" s="1"/>
  <c r="N9" i="57" s="1"/>
  <c r="N17" i="57" s="1"/>
  <c r="G46" i="43"/>
  <c r="D32" i="4"/>
  <c r="H34" i="4"/>
  <c r="R28" i="57"/>
  <c r="Z28" i="57"/>
  <c r="I11" i="59"/>
  <c r="F18" i="59"/>
  <c r="F19" i="59" s="1"/>
  <c r="I14" i="57" s="1"/>
  <c r="F28" i="4"/>
  <c r="W11" i="59"/>
  <c r="F29" i="4"/>
  <c r="D39" i="57"/>
  <c r="I28" i="57"/>
  <c r="AA28" i="57"/>
  <c r="X28" i="57"/>
  <c r="Q28" i="57"/>
  <c r="Y28" i="57"/>
  <c r="T28" i="57"/>
  <c r="C18" i="59"/>
  <c r="C19" i="59" s="1"/>
  <c r="F14" i="57" s="1"/>
  <c r="U10" i="59"/>
  <c r="U17" i="59" s="1"/>
  <c r="L11" i="59"/>
  <c r="F10" i="59"/>
  <c r="F17" i="59" s="1"/>
  <c r="AA11" i="59"/>
  <c r="K11" i="59"/>
  <c r="S18" i="59"/>
  <c r="S19" i="59" s="1"/>
  <c r="V14" i="57" s="1"/>
  <c r="H18" i="59"/>
  <c r="H19" i="59" s="1"/>
  <c r="K14" i="57" s="1"/>
  <c r="P18" i="59"/>
  <c r="P19" i="59" s="1"/>
  <c r="S14" i="57" s="1"/>
  <c r="G11" i="59"/>
  <c r="M18" i="59"/>
  <c r="M19" i="59" s="1"/>
  <c r="P14" i="57" s="1"/>
  <c r="G18" i="59"/>
  <c r="G19" i="59" s="1"/>
  <c r="J14" i="57" s="1"/>
  <c r="P11" i="59"/>
  <c r="R11" i="59"/>
  <c r="J21" i="43"/>
  <c r="J26" i="4"/>
  <c r="J31" i="4"/>
  <c r="J32" i="4"/>
  <c r="F23" i="4"/>
  <c r="F24" i="4"/>
  <c r="H27" i="4"/>
  <c r="G39" i="81"/>
  <c r="K21" i="81"/>
  <c r="K13" i="81"/>
  <c r="C41" i="81"/>
  <c r="G40" i="81"/>
  <c r="J10" i="59"/>
  <c r="J17" i="59" s="1"/>
  <c r="L10" i="59"/>
  <c r="Z18" i="59"/>
  <c r="Z19" i="59" s="1"/>
  <c r="AC14" i="57" s="1"/>
  <c r="Y10" i="59"/>
  <c r="F28" i="57"/>
  <c r="S28" i="57"/>
  <c r="E10" i="59"/>
  <c r="E17" i="59" s="1"/>
  <c r="M10" i="59"/>
  <c r="M17" i="59" s="1"/>
  <c r="O11" i="59"/>
  <c r="Q11" i="59"/>
  <c r="D42" i="43"/>
  <c r="O18" i="59"/>
  <c r="O19" i="59" s="1"/>
  <c r="R14" i="57" s="1"/>
  <c r="I10" i="59"/>
  <c r="I17" i="59" s="1"/>
  <c r="T18" i="59"/>
  <c r="T19" i="59" s="1"/>
  <c r="W14" i="57" s="1"/>
  <c r="T10" i="59"/>
  <c r="T17" i="59" s="1"/>
  <c r="D27" i="4"/>
  <c r="J33" i="4"/>
  <c r="F36" i="4"/>
  <c r="D38" i="4"/>
  <c r="D25" i="4"/>
  <c r="H35" i="4"/>
  <c r="G45" i="81"/>
  <c r="C33" i="81"/>
  <c r="Y11" i="59"/>
  <c r="N11" i="59"/>
  <c r="C10" i="59"/>
  <c r="C17" i="59" s="1"/>
  <c r="E11" i="59"/>
  <c r="E28" i="57"/>
  <c r="L28" i="57"/>
  <c r="M28" i="57"/>
  <c r="W28" i="57"/>
  <c r="H10" i="59"/>
  <c r="H17" i="59" s="1"/>
  <c r="U18" i="59"/>
  <c r="U19" i="59" s="1"/>
  <c r="X14" i="57" s="1"/>
  <c r="W18" i="59"/>
  <c r="W19" i="59" s="1"/>
  <c r="Z14" i="57" s="1"/>
  <c r="C11" i="59"/>
  <c r="K18" i="59"/>
  <c r="K19" i="59" s="1"/>
  <c r="N14" i="57" s="1"/>
  <c r="J28" i="57"/>
  <c r="V28" i="57"/>
  <c r="K28" i="57"/>
  <c r="AB28" i="57"/>
  <c r="P28" i="57"/>
  <c r="N28" i="57"/>
  <c r="AA18" i="59"/>
  <c r="AA19" i="59" s="1"/>
  <c r="AD14" i="57" s="1"/>
  <c r="V11" i="59"/>
  <c r="Q18" i="59"/>
  <c r="Q19" i="59" s="1"/>
  <c r="T14" i="57" s="1"/>
  <c r="E18" i="59"/>
  <c r="E19" i="59" s="1"/>
  <c r="H14" i="57" s="1"/>
  <c r="V18" i="59"/>
  <c r="V19" i="59" s="1"/>
  <c r="Y14" i="57" s="1"/>
  <c r="R10" i="59"/>
  <c r="R12" i="59" s="1"/>
  <c r="U9" i="57" s="1"/>
  <c r="U17" i="57" s="1"/>
  <c r="J18" i="59"/>
  <c r="J19" i="59" s="1"/>
  <c r="M14" i="57" s="1"/>
  <c r="Y18" i="59"/>
  <c r="Y19" i="59" s="1"/>
  <c r="AB14" i="57" s="1"/>
  <c r="S10" i="59"/>
  <c r="S12" i="59" s="1"/>
  <c r="V9" i="57" s="1"/>
  <c r="V17" i="57" s="1"/>
  <c r="J13" i="43"/>
  <c r="D18" i="59"/>
  <c r="D19" i="59" s="1"/>
  <c r="G14" i="57" s="1"/>
  <c r="R18" i="59"/>
  <c r="R19" i="59" s="1"/>
  <c r="U14" i="57" s="1"/>
  <c r="L18" i="59"/>
  <c r="L19" i="59" s="1"/>
  <c r="O14" i="57" s="1"/>
  <c r="X18" i="59"/>
  <c r="X19" i="59" s="1"/>
  <c r="AA14" i="57" s="1"/>
  <c r="F11" i="59"/>
  <c r="J28" i="4"/>
  <c r="D29" i="4"/>
  <c r="F32" i="4"/>
  <c r="J37" i="4"/>
  <c r="D31" i="4"/>
  <c r="H26" i="4"/>
  <c r="H11" i="59"/>
  <c r="Z11" i="59"/>
  <c r="P10" i="59"/>
  <c r="X10" i="59"/>
  <c r="W10" i="59"/>
  <c r="D49" i="43"/>
  <c r="C48" i="81"/>
  <c r="D11" i="43"/>
  <c r="C11" i="73"/>
  <c r="C11" i="81"/>
  <c r="C19" i="73"/>
  <c r="D19" i="43"/>
  <c r="C19" i="81"/>
  <c r="C34" i="81"/>
  <c r="D35" i="43"/>
  <c r="C47" i="81"/>
  <c r="C12" i="73"/>
  <c r="C12" i="81"/>
  <c r="C16" i="81"/>
  <c r="C16" i="73"/>
  <c r="D16" i="43"/>
  <c r="C24" i="81"/>
  <c r="C24" i="73"/>
  <c r="D24" i="43"/>
  <c r="D39" i="43"/>
  <c r="C38" i="81"/>
  <c r="C46" i="81"/>
  <c r="D47" i="43"/>
  <c r="C9" i="81"/>
  <c r="C9" i="73"/>
  <c r="C17" i="81"/>
  <c r="D17" i="43"/>
  <c r="C17" i="73"/>
  <c r="C21" i="81"/>
  <c r="D21" i="43"/>
  <c r="C21" i="73"/>
  <c r="D25" i="43"/>
  <c r="C25" i="73"/>
  <c r="C25" i="81"/>
  <c r="C42" i="81"/>
  <c r="D50" i="43"/>
  <c r="C49" i="81"/>
  <c r="D46" i="43"/>
  <c r="C45" i="81"/>
  <c r="C10" i="73"/>
  <c r="C10" i="81"/>
  <c r="D10" i="43"/>
  <c r="D14" i="43"/>
  <c r="C14" i="73"/>
  <c r="C14" i="81"/>
  <c r="D18" i="43"/>
  <c r="C18" i="73"/>
  <c r="C18" i="81"/>
  <c r="D22" i="43"/>
  <c r="C22" i="73"/>
  <c r="C22" i="81"/>
  <c r="C26" i="73"/>
  <c r="C26" i="81"/>
  <c r="D26" i="43"/>
  <c r="G10" i="59"/>
  <c r="AD28" i="57"/>
  <c r="B16" i="61"/>
  <c r="D15" i="43" s="1"/>
  <c r="D48" i="43"/>
  <c r="D12" i="43"/>
  <c r="B43" i="61"/>
  <c r="I18" i="59"/>
  <c r="I19" i="59" s="1"/>
  <c r="L14" i="57" s="1"/>
  <c r="D9" i="43"/>
  <c r="D43" i="43"/>
  <c r="B24" i="61"/>
  <c r="D23" i="43" s="1"/>
  <c r="B21" i="61"/>
  <c r="B44" i="61"/>
  <c r="B14" i="61"/>
  <c r="F37" i="4"/>
  <c r="D33" i="4"/>
  <c r="D35" i="4"/>
  <c r="H33" i="4"/>
  <c r="J27" i="4"/>
  <c r="F35" i="4"/>
  <c r="F26" i="4"/>
  <c r="H32" i="4"/>
  <c r="D23" i="4"/>
  <c r="D34" i="43"/>
  <c r="F23" i="38"/>
  <c r="D23" i="38" s="1"/>
  <c r="D11" i="38"/>
  <c r="G31" i="38"/>
  <c r="D30" i="38"/>
  <c r="D37" i="57" s="1"/>
  <c r="F31" i="38"/>
  <c r="D29" i="38"/>
  <c r="B30" i="74"/>
  <c r="D30" i="4"/>
  <c r="J30" i="4"/>
  <c r="D24" i="4"/>
  <c r="J39" i="4"/>
  <c r="F30" i="4"/>
  <c r="H23" i="4"/>
  <c r="H31" i="4"/>
  <c r="K31" i="4" s="1"/>
  <c r="H39" i="4"/>
  <c r="H30" i="4"/>
  <c r="H38" i="4"/>
  <c r="G5" i="82"/>
  <c r="D37" i="4"/>
  <c r="D39" i="4"/>
  <c r="F38" i="4"/>
  <c r="D28" i="4"/>
  <c r="J25" i="4"/>
  <c r="J29" i="4"/>
  <c r="H25" i="4"/>
  <c r="H24" i="4"/>
  <c r="H40" i="4"/>
  <c r="F40" i="4"/>
  <c r="C12" i="59"/>
  <c r="F9" i="57" s="1"/>
  <c r="F17" i="57" s="1"/>
  <c r="O12" i="59"/>
  <c r="R9" i="57" s="1"/>
  <c r="R17" i="57" s="1"/>
  <c r="H29" i="4"/>
  <c r="J24" i="4"/>
  <c r="V12" i="59"/>
  <c r="Y9" i="57" s="1"/>
  <c r="Y17" i="57" s="1"/>
  <c r="J36" i="4"/>
  <c r="J23" i="4"/>
  <c r="J35" i="4"/>
  <c r="F27" i="4"/>
  <c r="H28" i="4"/>
  <c r="E26" i="74"/>
  <c r="J34" i="4"/>
  <c r="D34" i="4"/>
  <c r="F39" i="4"/>
  <c r="F33" i="4"/>
  <c r="D40" i="4"/>
  <c r="D26" i="4"/>
  <c r="F34" i="4"/>
  <c r="H37" i="4"/>
  <c r="H36" i="4"/>
  <c r="E28" i="74"/>
  <c r="E21" i="74"/>
  <c r="J50" i="43"/>
  <c r="K49" i="81"/>
  <c r="K47" i="81"/>
  <c r="J48" i="43"/>
  <c r="K45" i="81"/>
  <c r="J46" i="43"/>
  <c r="K43" i="81"/>
  <c r="J44" i="43"/>
  <c r="J42" i="43"/>
  <c r="K41" i="81"/>
  <c r="J40" i="43"/>
  <c r="K39" i="81"/>
  <c r="K37" i="81"/>
  <c r="J38" i="43"/>
  <c r="K50" i="81"/>
  <c r="J51" i="43"/>
  <c r="J49" i="43"/>
  <c r="K48" i="81"/>
  <c r="K46" i="81"/>
  <c r="J47" i="43"/>
  <c r="J45" i="43"/>
  <c r="K44" i="81"/>
  <c r="K42" i="81"/>
  <c r="J43" i="43"/>
  <c r="J41" i="43"/>
  <c r="K40" i="81"/>
  <c r="K38" i="81"/>
  <c r="J39" i="43"/>
  <c r="G7" i="81"/>
  <c r="H7" i="81" s="1"/>
  <c r="J7" i="81" s="1"/>
  <c r="C30" i="74"/>
  <c r="F7" i="73"/>
  <c r="G7" i="73" s="1"/>
  <c r="I7" i="43"/>
  <c r="J7" i="43" s="1"/>
  <c r="K7" i="43" s="1"/>
  <c r="B30" i="82"/>
  <c r="E44" i="72"/>
  <c r="C30" i="82"/>
  <c r="G20" i="82"/>
  <c r="G12" i="38"/>
  <c r="D12" i="38" s="1"/>
  <c r="F24" i="38"/>
  <c r="D12" i="59"/>
  <c r="G9" i="57" s="1"/>
  <c r="G17" i="57" s="1"/>
  <c r="D17" i="59"/>
  <c r="K24" i="4" l="1"/>
  <c r="K30" i="4"/>
  <c r="G28" i="74"/>
  <c r="G27" i="74"/>
  <c r="S17" i="59"/>
  <c r="T12" i="59"/>
  <c r="W9" i="57" s="1"/>
  <c r="W17" i="57" s="1"/>
  <c r="G17" i="74"/>
  <c r="G21" i="82"/>
  <c r="G15" i="74"/>
  <c r="G19" i="82"/>
  <c r="F26" i="74"/>
  <c r="L26" i="74" s="1"/>
  <c r="K50" i="74"/>
  <c r="K29" i="4"/>
  <c r="N12" i="59"/>
  <c r="Q9" i="57" s="1"/>
  <c r="Q17" i="57" s="1"/>
  <c r="F28" i="74"/>
  <c r="J28" i="74" s="1"/>
  <c r="K52" i="74"/>
  <c r="E12" i="59"/>
  <c r="H9" i="57" s="1"/>
  <c r="H17" i="57" s="1"/>
  <c r="F21" i="74"/>
  <c r="K21" i="74" s="1"/>
  <c r="K45" i="74"/>
  <c r="G26" i="74"/>
  <c r="G12" i="82"/>
  <c r="G14" i="82"/>
  <c r="G23" i="74"/>
  <c r="G27" i="82"/>
  <c r="K38" i="4"/>
  <c r="K32" i="4"/>
  <c r="K26" i="74"/>
  <c r="K37" i="4"/>
  <c r="K39" i="4"/>
  <c r="K25" i="4"/>
  <c r="K28" i="4"/>
  <c r="K27" i="4"/>
  <c r="L27" i="4" s="1"/>
  <c r="E13" i="90" s="1"/>
  <c r="G19" i="74"/>
  <c r="G23" i="82"/>
  <c r="G18" i="82"/>
  <c r="G13" i="82"/>
  <c r="U12" i="59"/>
  <c r="X9" i="57" s="1"/>
  <c r="X17" i="57" s="1"/>
  <c r="R17" i="59"/>
  <c r="G20" i="74"/>
  <c r="G29" i="74"/>
  <c r="G13" i="74"/>
  <c r="G15" i="82"/>
  <c r="G17" i="82"/>
  <c r="D44" i="43"/>
  <c r="L19" i="73"/>
  <c r="Q12" i="59"/>
  <c r="T9" i="57" s="1"/>
  <c r="T17" i="57" s="1"/>
  <c r="K35" i="4"/>
  <c r="D45" i="43"/>
  <c r="L20" i="73"/>
  <c r="J12" i="59"/>
  <c r="M9" i="57" s="1"/>
  <c r="M17" i="57" s="1"/>
  <c r="K17" i="59"/>
  <c r="J34" i="82"/>
  <c r="E23" i="82"/>
  <c r="K26" i="4"/>
  <c r="B18" i="59"/>
  <c r="B19" i="59" s="1"/>
  <c r="E14" i="57" s="1"/>
  <c r="F12" i="59"/>
  <c r="I9" i="57" s="1"/>
  <c r="I17" i="57" s="1"/>
  <c r="H12" i="59"/>
  <c r="K9" i="57" s="1"/>
  <c r="K17" i="57" s="1"/>
  <c r="M12" i="59"/>
  <c r="P9" i="57" s="1"/>
  <c r="P17" i="57" s="1"/>
  <c r="B11" i="59"/>
  <c r="B10" i="59"/>
  <c r="B12" i="59" s="1"/>
  <c r="E9" i="57" s="1"/>
  <c r="E17" i="57" s="1"/>
  <c r="Y17" i="59"/>
  <c r="Y12" i="59"/>
  <c r="AB9" i="57" s="1"/>
  <c r="AB17" i="57" s="1"/>
  <c r="E25" i="74"/>
  <c r="I12" i="59"/>
  <c r="L9" i="57" s="1"/>
  <c r="L17" i="57" s="1"/>
  <c r="K23" i="4"/>
  <c r="P12" i="59"/>
  <c r="S9" i="57" s="1"/>
  <c r="S17" i="57" s="1"/>
  <c r="P17" i="59"/>
  <c r="L12" i="59"/>
  <c r="O9" i="57" s="1"/>
  <c r="O17" i="57" s="1"/>
  <c r="L17" i="59"/>
  <c r="K33" i="4"/>
  <c r="W17" i="59"/>
  <c r="W12" i="59"/>
  <c r="Z9" i="57" s="1"/>
  <c r="Z17" i="57" s="1"/>
  <c r="X17" i="59"/>
  <c r="X12" i="59"/>
  <c r="AA9" i="57" s="1"/>
  <c r="AA17" i="57" s="1"/>
  <c r="E23" i="74"/>
  <c r="C20" i="81"/>
  <c r="C20" i="73"/>
  <c r="G17" i="59"/>
  <c r="G12" i="59"/>
  <c r="J9" i="57" s="1"/>
  <c r="J17" i="57" s="1"/>
  <c r="C23" i="81"/>
  <c r="C23" i="73"/>
  <c r="C13" i="81"/>
  <c r="C13" i="73"/>
  <c r="C43" i="81"/>
  <c r="C44" i="81"/>
  <c r="D13" i="43"/>
  <c r="D20" i="43"/>
  <c r="C15" i="81"/>
  <c r="C15" i="73"/>
  <c r="G21" i="74"/>
  <c r="Y37" i="57"/>
  <c r="H37" i="57"/>
  <c r="M37" i="57"/>
  <c r="N37" i="57"/>
  <c r="S37" i="57"/>
  <c r="T37" i="57"/>
  <c r="L37" i="57"/>
  <c r="E37" i="57"/>
  <c r="U37" i="57"/>
  <c r="AB37" i="57"/>
  <c r="W37" i="57"/>
  <c r="I37" i="57"/>
  <c r="Z37" i="57"/>
  <c r="F37" i="57"/>
  <c r="Q37" i="57"/>
  <c r="AD37" i="57"/>
  <c r="R37" i="57"/>
  <c r="P37" i="57"/>
  <c r="X37" i="57"/>
  <c r="V37" i="57"/>
  <c r="G37" i="57"/>
  <c r="K37" i="57"/>
  <c r="O37" i="57"/>
  <c r="J37" i="57"/>
  <c r="AA37" i="57"/>
  <c r="AC37" i="57"/>
  <c r="D31" i="38"/>
  <c r="K40" i="4"/>
  <c r="G14" i="74"/>
  <c r="E22" i="82"/>
  <c r="E19" i="82"/>
  <c r="E20" i="82"/>
  <c r="K34" i="4"/>
  <c r="E27" i="82"/>
  <c r="E27" i="74"/>
  <c r="D24" i="90"/>
  <c r="E16" i="82"/>
  <c r="E16" i="74"/>
  <c r="E21" i="82"/>
  <c r="K36" i="4"/>
  <c r="E28" i="82"/>
  <c r="D18" i="90"/>
  <c r="G16" i="74"/>
  <c r="E14" i="82"/>
  <c r="E14" i="74"/>
  <c r="G12" i="74"/>
  <c r="G22" i="74"/>
  <c r="G24" i="74"/>
  <c r="K7" i="81"/>
  <c r="L7" i="81" s="1"/>
  <c r="E18" i="82"/>
  <c r="E18" i="74"/>
  <c r="G34" i="74"/>
  <c r="H7" i="73"/>
  <c r="B32" i="43"/>
  <c r="E26" i="82"/>
  <c r="D23" i="90"/>
  <c r="E17" i="82"/>
  <c r="E17" i="74"/>
  <c r="K41" i="74" s="1"/>
  <c r="G26" i="82"/>
  <c r="G25" i="82"/>
  <c r="G28" i="82"/>
  <c r="G29" i="82"/>
  <c r="G25" i="74"/>
  <c r="G24" i="38"/>
  <c r="D24" i="38" s="1"/>
  <c r="K28" i="74"/>
  <c r="D20" i="90"/>
  <c r="L28" i="74" l="1"/>
  <c r="J26" i="74"/>
  <c r="F17" i="82"/>
  <c r="K17" i="82" s="1"/>
  <c r="I41" i="82" s="1"/>
  <c r="B38" i="81" s="1"/>
  <c r="D38" i="81" s="1"/>
  <c r="K41" i="82"/>
  <c r="L21" i="74"/>
  <c r="F18" i="74"/>
  <c r="J18" i="74" s="1"/>
  <c r="K42" i="74"/>
  <c r="F14" i="74"/>
  <c r="K14" i="74" s="1"/>
  <c r="K38" i="74"/>
  <c r="F28" i="82"/>
  <c r="L28" i="82" s="1"/>
  <c r="K52" i="82"/>
  <c r="F16" i="82"/>
  <c r="K16" i="82" s="1"/>
  <c r="I40" i="82" s="1"/>
  <c r="B37" i="81" s="1"/>
  <c r="D37" i="81" s="1"/>
  <c r="K40" i="82"/>
  <c r="F16" i="74"/>
  <c r="K16" i="74" s="1"/>
  <c r="K40" i="74"/>
  <c r="F22" i="82"/>
  <c r="J22" i="82" s="1"/>
  <c r="D46" i="82" s="1"/>
  <c r="K46" i="82"/>
  <c r="F23" i="82"/>
  <c r="K47" i="82"/>
  <c r="F18" i="82"/>
  <c r="K18" i="82" s="1"/>
  <c r="E42" i="82" s="1"/>
  <c r="B15" i="81" s="1"/>
  <c r="D15" i="81" s="1"/>
  <c r="K42" i="82"/>
  <c r="F14" i="82"/>
  <c r="K14" i="82" s="1"/>
  <c r="I38" i="82" s="1"/>
  <c r="B35" i="81" s="1"/>
  <c r="K38" i="82"/>
  <c r="F20" i="82"/>
  <c r="K20" i="82" s="1"/>
  <c r="I44" i="82" s="1"/>
  <c r="B41" i="81" s="1"/>
  <c r="D41" i="81" s="1"/>
  <c r="K44" i="82"/>
  <c r="F23" i="74"/>
  <c r="K23" i="74" s="1"/>
  <c r="K47" i="74"/>
  <c r="F25" i="74"/>
  <c r="L25" i="74" s="1"/>
  <c r="K49" i="74"/>
  <c r="F27" i="82"/>
  <c r="K27" i="82" s="1"/>
  <c r="I51" i="82" s="1"/>
  <c r="B48" i="81" s="1"/>
  <c r="D48" i="81" s="1"/>
  <c r="K51" i="82"/>
  <c r="F26" i="82"/>
  <c r="L26" i="82" s="1"/>
  <c r="K50" i="82"/>
  <c r="F21" i="82"/>
  <c r="J21" i="82" s="1"/>
  <c r="H45" i="82" s="1"/>
  <c r="K45" i="82"/>
  <c r="F27" i="74"/>
  <c r="K27" i="74" s="1"/>
  <c r="K51" i="74"/>
  <c r="F19" i="82"/>
  <c r="K19" i="82" s="1"/>
  <c r="E43" i="82" s="1"/>
  <c r="B16" i="81" s="1"/>
  <c r="D16" i="81" s="1"/>
  <c r="K43" i="82"/>
  <c r="J21" i="74"/>
  <c r="K34" i="82"/>
  <c r="L39" i="4"/>
  <c r="E25" i="90" s="1"/>
  <c r="D25" i="90"/>
  <c r="L25" i="4"/>
  <c r="E11" i="90" s="1"/>
  <c r="D11" i="90"/>
  <c r="B17" i="59"/>
  <c r="D22" i="90"/>
  <c r="E25" i="82"/>
  <c r="D16" i="90"/>
  <c r="E20" i="74"/>
  <c r="D17" i="90"/>
  <c r="E19" i="74"/>
  <c r="L33" i="4"/>
  <c r="E19" i="90" s="1"/>
  <c r="E22" i="74"/>
  <c r="E13" i="74"/>
  <c r="E13" i="82"/>
  <c r="E15" i="82"/>
  <c r="L26" i="4"/>
  <c r="E12" i="90" s="1"/>
  <c r="E15" i="74"/>
  <c r="D26" i="90"/>
  <c r="E24" i="82"/>
  <c r="E24" i="74"/>
  <c r="E12" i="82"/>
  <c r="D9" i="90"/>
  <c r="E12" i="74"/>
  <c r="M7" i="81"/>
  <c r="B31" i="81"/>
  <c r="D15" i="90"/>
  <c r="H34" i="74"/>
  <c r="I34" i="74" s="1"/>
  <c r="I7" i="73"/>
  <c r="J7" i="73" s="1"/>
  <c r="J17" i="82"/>
  <c r="C32" i="43"/>
  <c r="D14" i="90"/>
  <c r="F17" i="74"/>
  <c r="L37" i="4"/>
  <c r="E23" i="90" s="1"/>
  <c r="L38" i="4"/>
  <c r="E24" i="90" s="1"/>
  <c r="L32" i="4"/>
  <c r="E18" i="90" s="1"/>
  <c r="L30" i="4"/>
  <c r="E16" i="90" s="1"/>
  <c r="L34" i="4"/>
  <c r="E20" i="90" s="1"/>
  <c r="E41" i="82" l="1"/>
  <c r="B14" i="81" s="1"/>
  <c r="D14" i="81" s="1"/>
  <c r="L22" i="82"/>
  <c r="L14" i="74"/>
  <c r="L18" i="82"/>
  <c r="J16" i="82"/>
  <c r="H40" i="82" s="1"/>
  <c r="J20" i="82"/>
  <c r="H44" i="82" s="1"/>
  <c r="K22" i="82"/>
  <c r="I46" i="82" s="1"/>
  <c r="B43" i="81" s="1"/>
  <c r="J27" i="74"/>
  <c r="J14" i="74"/>
  <c r="L16" i="82"/>
  <c r="J18" i="82"/>
  <c r="H42" i="82" s="1"/>
  <c r="K25" i="74"/>
  <c r="J26" i="82"/>
  <c r="D50" i="82" s="1"/>
  <c r="J25" i="74"/>
  <c r="E40" i="82"/>
  <c r="B13" i="81" s="1"/>
  <c r="O13" i="81" s="1"/>
  <c r="E44" i="82"/>
  <c r="B17" i="81" s="1"/>
  <c r="D17" i="81" s="1"/>
  <c r="P17" i="81" s="1"/>
  <c r="I43" i="82"/>
  <c r="B40" i="81" s="1"/>
  <c r="D40" i="81" s="1"/>
  <c r="P16" i="81" s="1"/>
  <c r="I42" i="82"/>
  <c r="B39" i="81" s="1"/>
  <c r="D39" i="81" s="1"/>
  <c r="P15" i="81" s="1"/>
  <c r="L18" i="74"/>
  <c r="L17" i="82"/>
  <c r="K28" i="82"/>
  <c r="I52" i="82" s="1"/>
  <c r="B49" i="81" s="1"/>
  <c r="D49" i="81" s="1"/>
  <c r="K26" i="82"/>
  <c r="I50" i="82" s="1"/>
  <c r="B47" i="81" s="1"/>
  <c r="D47" i="81" s="1"/>
  <c r="E38" i="82"/>
  <c r="B11" i="81" s="1"/>
  <c r="D11" i="81" s="1"/>
  <c r="L20" i="82"/>
  <c r="J27" i="82"/>
  <c r="H51" i="82" s="1"/>
  <c r="D45" i="82"/>
  <c r="K23" i="82"/>
  <c r="L23" i="82"/>
  <c r="L21" i="82"/>
  <c r="F12" i="74"/>
  <c r="L12" i="74" s="1"/>
  <c r="K36" i="74"/>
  <c r="F24" i="82"/>
  <c r="K24" i="82" s="1"/>
  <c r="K48" i="82"/>
  <c r="F15" i="82"/>
  <c r="K15" i="82" s="1"/>
  <c r="K39" i="82"/>
  <c r="K18" i="74"/>
  <c r="L19" i="82"/>
  <c r="L27" i="74"/>
  <c r="L23" i="74"/>
  <c r="L16" i="74"/>
  <c r="E51" i="82"/>
  <c r="B24" i="81" s="1"/>
  <c r="D24" i="81" s="1"/>
  <c r="P24" i="81" s="1"/>
  <c r="J23" i="82"/>
  <c r="F24" i="74"/>
  <c r="K24" i="74" s="1"/>
  <c r="K48" i="74"/>
  <c r="F19" i="74"/>
  <c r="J19" i="74" s="1"/>
  <c r="K43" i="74"/>
  <c r="F20" i="74"/>
  <c r="L20" i="74" s="1"/>
  <c r="K44" i="74"/>
  <c r="F25" i="82"/>
  <c r="L25" i="82" s="1"/>
  <c r="K49" i="82"/>
  <c r="F22" i="74"/>
  <c r="J22" i="74" s="1"/>
  <c r="K46" i="74"/>
  <c r="K21" i="82"/>
  <c r="E45" i="82" s="1"/>
  <c r="B18" i="81" s="1"/>
  <c r="J14" i="82"/>
  <c r="H38" i="82" s="1"/>
  <c r="L14" i="82"/>
  <c r="F13" i="82"/>
  <c r="J13" i="82" s="1"/>
  <c r="D37" i="82" s="1"/>
  <c r="K37" i="82"/>
  <c r="J28" i="82"/>
  <c r="H52" i="82" s="1"/>
  <c r="F12" i="82"/>
  <c r="L12" i="82" s="1"/>
  <c r="K36" i="82"/>
  <c r="F15" i="74"/>
  <c r="L15" i="74" s="1"/>
  <c r="K39" i="74"/>
  <c r="F13" i="74"/>
  <c r="J13" i="74" s="1"/>
  <c r="K37" i="74"/>
  <c r="J19" i="82"/>
  <c r="H43" i="82" s="1"/>
  <c r="J16" i="74"/>
  <c r="J23" i="74"/>
  <c r="L27" i="82"/>
  <c r="P14" i="81"/>
  <c r="D35" i="81"/>
  <c r="K7" i="73"/>
  <c r="L7" i="73" s="1"/>
  <c r="M7" i="73" s="1"/>
  <c r="N7" i="73" s="1"/>
  <c r="O7" i="73" s="1"/>
  <c r="P7" i="73" s="1"/>
  <c r="Q7" i="73" s="1"/>
  <c r="R7" i="73" s="1"/>
  <c r="S7" i="73" s="1"/>
  <c r="L35" i="4"/>
  <c r="E21" i="90" s="1"/>
  <c r="D21" i="90"/>
  <c r="L24" i="4"/>
  <c r="E10" i="90" s="1"/>
  <c r="D10" i="90"/>
  <c r="D19" i="90"/>
  <c r="L23" i="4"/>
  <c r="E9" i="90" s="1"/>
  <c r="D12" i="90"/>
  <c r="O15" i="81"/>
  <c r="J20" i="74"/>
  <c r="H46" i="82"/>
  <c r="D44" i="82"/>
  <c r="E39" i="60"/>
  <c r="L31" i="4"/>
  <c r="E17" i="90" s="1"/>
  <c r="O14" i="81"/>
  <c r="K22" i="74"/>
  <c r="E29" i="74"/>
  <c r="E29" i="82"/>
  <c r="L40" i="4"/>
  <c r="E26" i="90" s="1"/>
  <c r="B41" i="4"/>
  <c r="H41" i="4" s="1"/>
  <c r="C31" i="81"/>
  <c r="D31" i="81" s="1"/>
  <c r="L29" i="4"/>
  <c r="E15" i="90" s="1"/>
  <c r="L36" i="4"/>
  <c r="E22" i="90" s="1"/>
  <c r="J34" i="74"/>
  <c r="H41" i="82"/>
  <c r="D41" i="82"/>
  <c r="D32" i="43"/>
  <c r="E32" i="43" s="1"/>
  <c r="L28" i="4"/>
  <c r="E14" i="90" s="1"/>
  <c r="K17" i="74"/>
  <c r="J17" i="74"/>
  <c r="L17" i="74"/>
  <c r="J24" i="82" l="1"/>
  <c r="O17" i="81"/>
  <c r="L24" i="82"/>
  <c r="K12" i="82"/>
  <c r="E36" i="82" s="1"/>
  <c r="B9" i="81" s="1"/>
  <c r="K20" i="74"/>
  <c r="K13" i="82"/>
  <c r="I37" i="82" s="1"/>
  <c r="B34" i="81" s="1"/>
  <c r="D42" i="82"/>
  <c r="L13" i="82"/>
  <c r="H37" i="82"/>
  <c r="H50" i="82"/>
  <c r="O16" i="81"/>
  <c r="D40" i="82"/>
  <c r="O11" i="81"/>
  <c r="J24" i="74"/>
  <c r="L13" i="74"/>
  <c r="L22" i="74"/>
  <c r="D13" i="81"/>
  <c r="P13" i="81" s="1"/>
  <c r="L24" i="74"/>
  <c r="K13" i="74"/>
  <c r="J12" i="82"/>
  <c r="D36" i="82" s="1"/>
  <c r="E46" i="82"/>
  <c r="B19" i="81" s="1"/>
  <c r="D19" i="81" s="1"/>
  <c r="P11" i="81"/>
  <c r="E50" i="82"/>
  <c r="B23" i="81" s="1"/>
  <c r="O23" i="81" s="1"/>
  <c r="E47" i="60"/>
  <c r="E43" i="60"/>
  <c r="D52" i="82"/>
  <c r="E52" i="82"/>
  <c r="B25" i="81" s="1"/>
  <c r="O25" i="81" s="1"/>
  <c r="I45" i="82"/>
  <c r="B42" i="81" s="1"/>
  <c r="D42" i="81" s="1"/>
  <c r="L15" i="82"/>
  <c r="J12" i="74"/>
  <c r="K15" i="74"/>
  <c r="K25" i="82"/>
  <c r="E49" i="82" s="1"/>
  <c r="B22" i="81" s="1"/>
  <c r="D22" i="81" s="1"/>
  <c r="J15" i="74"/>
  <c r="L19" i="74"/>
  <c r="J25" i="82"/>
  <c r="D49" i="82" s="1"/>
  <c r="K19" i="74"/>
  <c r="D43" i="82"/>
  <c r="O24" i="81"/>
  <c r="D51" i="82"/>
  <c r="H47" i="82"/>
  <c r="D47" i="82"/>
  <c r="J15" i="82"/>
  <c r="H39" i="82" s="1"/>
  <c r="D38" i="82"/>
  <c r="E30" i="82"/>
  <c r="K53" i="82"/>
  <c r="E30" i="74"/>
  <c r="K53" i="74"/>
  <c r="K12" i="74"/>
  <c r="I47" i="82"/>
  <c r="B44" i="81" s="1"/>
  <c r="D44" i="81" s="1"/>
  <c r="E47" i="82"/>
  <c r="B20" i="81" s="1"/>
  <c r="D43" i="81"/>
  <c r="D27" i="90"/>
  <c r="J54" i="57"/>
  <c r="J55" i="57" s="1"/>
  <c r="M54" i="57"/>
  <c r="M55" i="57" s="1"/>
  <c r="I54" i="57"/>
  <c r="I55" i="57" s="1"/>
  <c r="Q54" i="57"/>
  <c r="Q55" i="57" s="1"/>
  <c r="H54" i="57"/>
  <c r="H55" i="57" s="1"/>
  <c r="N54" i="57"/>
  <c r="N55" i="57" s="1"/>
  <c r="O54" i="57"/>
  <c r="O55" i="57" s="1"/>
  <c r="J41" i="4"/>
  <c r="AD54" i="57"/>
  <c r="AD55" i="57" s="1"/>
  <c r="T54" i="57"/>
  <c r="T55" i="57" s="1"/>
  <c r="AA54" i="57"/>
  <c r="AA55" i="57" s="1"/>
  <c r="Y54" i="57"/>
  <c r="Y55" i="57" s="1"/>
  <c r="W54" i="57"/>
  <c r="W55" i="57" s="1"/>
  <c r="S54" i="57"/>
  <c r="S55" i="57" s="1"/>
  <c r="E37" i="82"/>
  <c r="B10" i="81" s="1"/>
  <c r="F54" i="57"/>
  <c r="F55" i="57" s="1"/>
  <c r="V54" i="57"/>
  <c r="V55" i="57" s="1"/>
  <c r="U54" i="57"/>
  <c r="U55" i="57" s="1"/>
  <c r="R54" i="57"/>
  <c r="R55" i="57" s="1"/>
  <c r="K54" i="57"/>
  <c r="K55" i="57" s="1"/>
  <c r="AB54" i="57"/>
  <c r="AB55" i="57" s="1"/>
  <c r="P54" i="57"/>
  <c r="P55" i="57" s="1"/>
  <c r="L54" i="57"/>
  <c r="L55" i="57" s="1"/>
  <c r="G54" i="57"/>
  <c r="G55" i="57" s="1"/>
  <c r="Z54" i="57"/>
  <c r="Z55" i="57" s="1"/>
  <c r="AC54" i="57"/>
  <c r="AC55" i="57" s="1"/>
  <c r="X54" i="57"/>
  <c r="X55" i="57" s="1"/>
  <c r="F29" i="82"/>
  <c r="F29" i="74"/>
  <c r="I39" i="82"/>
  <c r="B36" i="81" s="1"/>
  <c r="E39" i="82"/>
  <c r="B12" i="81" s="1"/>
  <c r="H48" i="82"/>
  <c r="D48" i="82"/>
  <c r="I48" i="82"/>
  <c r="B45" i="81" s="1"/>
  <c r="E48" i="82"/>
  <c r="B21" i="81" s="1"/>
  <c r="I36" i="82"/>
  <c r="B33" i="81" s="1"/>
  <c r="F41" i="4"/>
  <c r="D41" i="4"/>
  <c r="L41" i="4"/>
  <c r="F31" i="81"/>
  <c r="K34" i="74"/>
  <c r="F32" i="43"/>
  <c r="G32" i="43" s="1"/>
  <c r="H32" i="43" s="1"/>
  <c r="D18" i="81"/>
  <c r="D25" i="81" l="1"/>
  <c r="P25" i="81" s="1"/>
  <c r="D23" i="81"/>
  <c r="P23" i="81" s="1"/>
  <c r="H49" i="82"/>
  <c r="O18" i="81"/>
  <c r="H36" i="82"/>
  <c r="O19" i="81"/>
  <c r="I49" i="82"/>
  <c r="B46" i="81" s="1"/>
  <c r="O22" i="81" s="1"/>
  <c r="P18" i="81"/>
  <c r="D39" i="82"/>
  <c r="D20" i="81"/>
  <c r="P20" i="81" s="1"/>
  <c r="O20" i="81"/>
  <c r="P19" i="81"/>
  <c r="D45" i="81"/>
  <c r="D36" i="81"/>
  <c r="D33" i="81"/>
  <c r="E27" i="90"/>
  <c r="D55" i="57"/>
  <c r="D54" i="57"/>
  <c r="J29" i="82"/>
  <c r="F30" i="82"/>
  <c r="L29" i="82"/>
  <c r="K29" i="82"/>
  <c r="K29" i="74"/>
  <c r="K30" i="74" s="1"/>
  <c r="L29" i="74"/>
  <c r="J29" i="74"/>
  <c r="J30" i="74" s="1"/>
  <c r="F30" i="74"/>
  <c r="D21" i="81"/>
  <c r="O21" i="81"/>
  <c r="O12" i="81"/>
  <c r="D12" i="81"/>
  <c r="D9" i="81"/>
  <c r="P9" i="81" s="1"/>
  <c r="O9" i="81"/>
  <c r="I32" i="43"/>
  <c r="J32" i="43" s="1"/>
  <c r="K32" i="43" s="1"/>
  <c r="G31" i="81"/>
  <c r="H31" i="81" s="1"/>
  <c r="O10" i="81"/>
  <c r="D10" i="81"/>
  <c r="D34" i="81"/>
  <c r="D46" i="81" l="1"/>
  <c r="P22" i="81" s="1"/>
  <c r="P21" i="81"/>
  <c r="P12" i="81"/>
  <c r="L30" i="82"/>
  <c r="L30" i="74"/>
  <c r="K27" i="90"/>
  <c r="I27" i="90"/>
  <c r="J27" i="90"/>
  <c r="D53" i="82"/>
  <c r="D54" i="82" s="1"/>
  <c r="H53" i="82"/>
  <c r="H54" i="82" s="1"/>
  <c r="J30" i="82"/>
  <c r="E57" i="60" s="1"/>
  <c r="E65" i="60" s="1"/>
  <c r="K30" i="82"/>
  <c r="I53" i="82"/>
  <c r="E53" i="82"/>
  <c r="J31" i="81"/>
  <c r="E50" i="60"/>
  <c r="D15" i="57"/>
  <c r="D10" i="57"/>
  <c r="E49" i="60"/>
  <c r="E48" i="60"/>
  <c r="P10" i="81"/>
  <c r="B50" i="81" l="1"/>
  <c r="I54" i="82"/>
  <c r="B26" i="81"/>
  <c r="E54" i="82"/>
  <c r="Z10" i="57"/>
  <c r="Z22" i="57" s="1"/>
  <c r="N10" i="57"/>
  <c r="AA10" i="57"/>
  <c r="AA22" i="57" s="1"/>
  <c r="U10" i="57"/>
  <c r="U22" i="57" s="1"/>
  <c r="O10" i="57"/>
  <c r="O22" i="57" s="1"/>
  <c r="L10" i="57"/>
  <c r="L22" i="57" s="1"/>
  <c r="K31" i="81"/>
  <c r="L31" i="81" s="1"/>
  <c r="D19" i="57"/>
  <c r="J19" i="57" s="1"/>
  <c r="J38" i="57" s="1"/>
  <c r="J39" i="57" s="1"/>
  <c r="Q10" i="57"/>
  <c r="Q22" i="57" s="1"/>
  <c r="R10" i="57"/>
  <c r="R22" i="57" s="1"/>
  <c r="AB10" i="57"/>
  <c r="AB22" i="57" s="1"/>
  <c r="M10" i="57"/>
  <c r="M22" i="57" s="1"/>
  <c r="AD10" i="57"/>
  <c r="AD22" i="57" s="1"/>
  <c r="F10" i="57"/>
  <c r="F22" i="57" s="1"/>
  <c r="Y10" i="57"/>
  <c r="Y22" i="57" s="1"/>
  <c r="AC10" i="57"/>
  <c r="AC22" i="57" s="1"/>
  <c r="J10" i="57"/>
  <c r="V10" i="57"/>
  <c r="V22" i="57" s="1"/>
  <c r="X10" i="57"/>
  <c r="X22" i="57" s="1"/>
  <c r="G10" i="57"/>
  <c r="G22" i="57" s="1"/>
  <c r="S10" i="57"/>
  <c r="S22" i="57" s="1"/>
  <c r="W10" i="57"/>
  <c r="W22" i="57" s="1"/>
  <c r="E10" i="57"/>
  <c r="E22" i="57" s="1"/>
  <c r="T10" i="57"/>
  <c r="T22" i="57" s="1"/>
  <c r="K10" i="57"/>
  <c r="K22" i="57" s="1"/>
  <c r="I10" i="57"/>
  <c r="I22" i="57" s="1"/>
  <c r="H10" i="57"/>
  <c r="H22" i="57" s="1"/>
  <c r="P10" i="57"/>
  <c r="P22" i="57" s="1"/>
  <c r="D11" i="57"/>
  <c r="U11" i="57" s="1"/>
  <c r="D18" i="57"/>
  <c r="I18" i="57" s="1"/>
  <c r="I30" i="57" s="1"/>
  <c r="I31" i="57" s="1"/>
  <c r="S15" i="57"/>
  <c r="N15" i="57"/>
  <c r="Y15" i="57"/>
  <c r="AB15" i="57"/>
  <c r="P15" i="57"/>
  <c r="H15" i="57"/>
  <c r="L15" i="57"/>
  <c r="E15" i="57"/>
  <c r="Z15" i="57"/>
  <c r="G15" i="57"/>
  <c r="F15" i="57"/>
  <c r="AD15" i="57"/>
  <c r="R15" i="57"/>
  <c r="X15" i="57"/>
  <c r="U15" i="57"/>
  <c r="J15" i="57"/>
  <c r="W15" i="57"/>
  <c r="M15" i="57"/>
  <c r="V15" i="57"/>
  <c r="AC15" i="57"/>
  <c r="O15" i="57"/>
  <c r="AA15" i="57"/>
  <c r="I15" i="57"/>
  <c r="K15" i="57"/>
  <c r="Q15" i="57"/>
  <c r="T15" i="57"/>
  <c r="J22" i="57"/>
  <c r="N22" i="57"/>
  <c r="U12" i="57" l="1"/>
  <c r="D26" i="81"/>
  <c r="B27" i="81"/>
  <c r="O26" i="81"/>
  <c r="O27" i="81" s="1"/>
  <c r="E28" i="80" s="1"/>
  <c r="D50" i="81"/>
  <c r="D51" i="81" s="1"/>
  <c r="B51" i="81"/>
  <c r="X19" i="57"/>
  <c r="X38" i="57" s="1"/>
  <c r="X39" i="57" s="1"/>
  <c r="T19" i="57"/>
  <c r="T38" i="57" s="1"/>
  <c r="T39" i="57" s="1"/>
  <c r="L19" i="57"/>
  <c r="L38" i="57" s="1"/>
  <c r="L39" i="57" s="1"/>
  <c r="AD19" i="57"/>
  <c r="AD38" i="57" s="1"/>
  <c r="AD39" i="57" s="1"/>
  <c r="O19" i="57"/>
  <c r="O38" i="57" s="1"/>
  <c r="O39" i="57" s="1"/>
  <c r="E18" i="57"/>
  <c r="E30" i="57" s="1"/>
  <c r="E31" i="57" s="1"/>
  <c r="W19" i="57"/>
  <c r="W38" i="57" s="1"/>
  <c r="W39" i="57" s="1"/>
  <c r="V19" i="57"/>
  <c r="V38" i="57" s="1"/>
  <c r="V39" i="57" s="1"/>
  <c r="U19" i="57"/>
  <c r="U38" i="57" s="1"/>
  <c r="U39" i="57" s="1"/>
  <c r="H19" i="57"/>
  <c r="H38" i="57" s="1"/>
  <c r="H39" i="57" s="1"/>
  <c r="F19" i="57"/>
  <c r="F38" i="57" s="1"/>
  <c r="F39" i="57" s="1"/>
  <c r="R19" i="57"/>
  <c r="R38" i="57" s="1"/>
  <c r="R39" i="57" s="1"/>
  <c r="N19" i="57"/>
  <c r="N38" i="57" s="1"/>
  <c r="N39" i="57" s="1"/>
  <c r="S19" i="57"/>
  <c r="S38" i="57" s="1"/>
  <c r="S39" i="57" s="1"/>
  <c r="Q19" i="57"/>
  <c r="Q38" i="57" s="1"/>
  <c r="Q39" i="57" s="1"/>
  <c r="AA19" i="57"/>
  <c r="AA38" i="57" s="1"/>
  <c r="AA39" i="57" s="1"/>
  <c r="Z19" i="57"/>
  <c r="Z38" i="57" s="1"/>
  <c r="Z39" i="57" s="1"/>
  <c r="P19" i="57"/>
  <c r="P38" i="57" s="1"/>
  <c r="P39" i="57" s="1"/>
  <c r="I19" i="57"/>
  <c r="I38" i="57" s="1"/>
  <c r="I39" i="57" s="1"/>
  <c r="Y19" i="57"/>
  <c r="Y38" i="57" s="1"/>
  <c r="Y39" i="57" s="1"/>
  <c r="AC19" i="57"/>
  <c r="AC38" i="57" s="1"/>
  <c r="AC39" i="57" s="1"/>
  <c r="AB19" i="57"/>
  <c r="AB38" i="57" s="1"/>
  <c r="AB39" i="57" s="1"/>
  <c r="G18" i="57"/>
  <c r="G30" i="57" s="1"/>
  <c r="G31" i="57" s="1"/>
  <c r="Q18" i="57"/>
  <c r="Q30" i="57" s="1"/>
  <c r="Q31" i="57" s="1"/>
  <c r="I11" i="57"/>
  <c r="I12" i="57" s="1"/>
  <c r="M11" i="57"/>
  <c r="M12" i="57" s="1"/>
  <c r="V18" i="57"/>
  <c r="V30" i="57" s="1"/>
  <c r="V31" i="57" s="1"/>
  <c r="S18" i="57"/>
  <c r="S30" i="57" s="1"/>
  <c r="S31" i="57" s="1"/>
  <c r="AD18" i="57"/>
  <c r="AD30" i="57" s="1"/>
  <c r="AD31" i="57" s="1"/>
  <c r="M31" i="81"/>
  <c r="T18" i="57"/>
  <c r="T30" i="57" s="1"/>
  <c r="T31" i="57" s="1"/>
  <c r="N18" i="57"/>
  <c r="N30" i="57" s="1"/>
  <c r="N31" i="57" s="1"/>
  <c r="AA18" i="57"/>
  <c r="AA30" i="57" s="1"/>
  <c r="AA31" i="57" s="1"/>
  <c r="F18" i="57"/>
  <c r="F30" i="57" s="1"/>
  <c r="F31" i="57" s="1"/>
  <c r="L18" i="57"/>
  <c r="L30" i="57" s="1"/>
  <c r="L31" i="57" s="1"/>
  <c r="W18" i="57"/>
  <c r="W30" i="57" s="1"/>
  <c r="W31" i="57" s="1"/>
  <c r="AB18" i="57"/>
  <c r="AB30" i="57" s="1"/>
  <c r="AB31" i="57" s="1"/>
  <c r="P18" i="57"/>
  <c r="P30" i="57" s="1"/>
  <c r="P31" i="57" s="1"/>
  <c r="Y18" i="57"/>
  <c r="Y30" i="57" s="1"/>
  <c r="Y31" i="57" s="1"/>
  <c r="O18" i="57"/>
  <c r="O30" i="57" s="1"/>
  <c r="O31" i="57" s="1"/>
  <c r="AC18" i="57"/>
  <c r="AC30" i="57" s="1"/>
  <c r="AC31" i="57" s="1"/>
  <c r="J18" i="57"/>
  <c r="J30" i="57" s="1"/>
  <c r="J31" i="57" s="1"/>
  <c r="Z18" i="57"/>
  <c r="Z30" i="57" s="1"/>
  <c r="Z31" i="57" s="1"/>
  <c r="U18" i="57"/>
  <c r="U30" i="57" s="1"/>
  <c r="U31" i="57" s="1"/>
  <c r="M18" i="57"/>
  <c r="M30" i="57" s="1"/>
  <c r="M31" i="57" s="1"/>
  <c r="H18" i="57"/>
  <c r="H30" i="57" s="1"/>
  <c r="H31" i="57" s="1"/>
  <c r="K18" i="57"/>
  <c r="K30" i="57" s="1"/>
  <c r="K31" i="57" s="1"/>
  <c r="X18" i="57"/>
  <c r="X30" i="57" s="1"/>
  <c r="X31" i="57" s="1"/>
  <c r="R18" i="57"/>
  <c r="R30" i="57" s="1"/>
  <c r="R31" i="57" s="1"/>
  <c r="M19" i="57"/>
  <c r="M38" i="57" s="1"/>
  <c r="M39" i="57" s="1"/>
  <c r="E19" i="57"/>
  <c r="E38" i="57" s="1"/>
  <c r="E39" i="57" s="1"/>
  <c r="G19" i="57"/>
  <c r="G38" i="57" s="1"/>
  <c r="G39" i="57" s="1"/>
  <c r="K19" i="57"/>
  <c r="K38" i="57" s="1"/>
  <c r="K39" i="57" s="1"/>
  <c r="AB11" i="57"/>
  <c r="AB12" i="57" s="1"/>
  <c r="S11" i="57"/>
  <c r="S12" i="57" s="1"/>
  <c r="AD11" i="57"/>
  <c r="AD12" i="57" s="1"/>
  <c r="P11" i="57"/>
  <c r="P12" i="57" s="1"/>
  <c r="K11" i="57"/>
  <c r="K12" i="57" s="1"/>
  <c r="G11" i="57"/>
  <c r="G12" i="57" s="1"/>
  <c r="E11" i="57"/>
  <c r="E23" i="57" s="1"/>
  <c r="E44" i="57" s="1"/>
  <c r="AA11" i="57"/>
  <c r="D12" i="57"/>
  <c r="Q11" i="57"/>
  <c r="X11" i="57"/>
  <c r="F11" i="57"/>
  <c r="AC11" i="57"/>
  <c r="AC12" i="57" s="1"/>
  <c r="R11" i="57"/>
  <c r="R12" i="57" s="1"/>
  <c r="N11" i="57"/>
  <c r="W11" i="57"/>
  <c r="W12" i="57" s="1"/>
  <c r="L11" i="57"/>
  <c r="L12" i="57" s="1"/>
  <c r="Z11" i="57"/>
  <c r="J11" i="57"/>
  <c r="O11" i="57"/>
  <c r="O12" i="57" s="1"/>
  <c r="Y11" i="57"/>
  <c r="H11" i="57"/>
  <c r="H12" i="57" s="1"/>
  <c r="V11" i="57"/>
  <c r="T11" i="57"/>
  <c r="S23" i="57" l="1"/>
  <c r="S26" i="57" s="1"/>
  <c r="J23" i="57"/>
  <c r="J24" i="57" s="1"/>
  <c r="E45" i="57"/>
  <c r="E46" i="57" s="1"/>
  <c r="E26" i="57"/>
  <c r="P26" i="81"/>
  <c r="P27" i="81" s="1"/>
  <c r="E9" i="80" s="1"/>
  <c r="D27" i="81"/>
  <c r="AC23" i="57"/>
  <c r="AC44" i="57" s="1"/>
  <c r="I23" i="57"/>
  <c r="I45" i="57" s="1"/>
  <c r="L23" i="57"/>
  <c r="L26" i="57" s="1"/>
  <c r="AD23" i="57"/>
  <c r="AD45" i="57" s="1"/>
  <c r="P23" i="57"/>
  <c r="P44" i="57" s="1"/>
  <c r="R23" i="57"/>
  <c r="R44" i="57" s="1"/>
  <c r="H23" i="57"/>
  <c r="W23" i="57"/>
  <c r="W45" i="57" s="1"/>
  <c r="O23" i="57"/>
  <c r="O44" i="57" s="1"/>
  <c r="J26" i="57"/>
  <c r="AA12" i="57"/>
  <c r="AB23" i="57"/>
  <c r="E24" i="57"/>
  <c r="M23" i="57"/>
  <c r="E12" i="57"/>
  <c r="V23" i="57"/>
  <c r="V12" i="57"/>
  <c r="Y23" i="57"/>
  <c r="Y12" i="57"/>
  <c r="J12" i="57"/>
  <c r="K23" i="57"/>
  <c r="N12" i="57"/>
  <c r="N23" i="57"/>
  <c r="X23" i="57"/>
  <c r="X12" i="57"/>
  <c r="T23" i="57"/>
  <c r="T12" i="57"/>
  <c r="U23" i="57"/>
  <c r="Z23" i="57"/>
  <c r="AA23" i="57"/>
  <c r="Z12" i="57"/>
  <c r="F12" i="57"/>
  <c r="F23" i="57"/>
  <c r="G23" i="57"/>
  <c r="Q23" i="57"/>
  <c r="Q12" i="57"/>
  <c r="J44" i="57"/>
  <c r="J45" i="57"/>
  <c r="L45" i="57"/>
  <c r="E51" i="80" l="1"/>
  <c r="S45" i="57"/>
  <c r="O26" i="57"/>
  <c r="E40" i="57"/>
  <c r="E41" i="57" s="1"/>
  <c r="R26" i="57"/>
  <c r="S44" i="57"/>
  <c r="S46" i="57" s="1"/>
  <c r="I44" i="57"/>
  <c r="I46" i="57" s="1"/>
  <c r="AD44" i="57"/>
  <c r="AD46" i="57" s="1"/>
  <c r="P24" i="57"/>
  <c r="S24" i="57"/>
  <c r="S32" i="57" s="1"/>
  <c r="S33" i="57" s="1"/>
  <c r="AC45" i="57"/>
  <c r="AC46" i="57" s="1"/>
  <c r="AD26" i="57"/>
  <c r="J32" i="57"/>
  <c r="J33" i="57" s="1"/>
  <c r="W44" i="57"/>
  <c r="W46" i="57" s="1"/>
  <c r="P26" i="57"/>
  <c r="P45" i="57"/>
  <c r="P46" i="57" s="1"/>
  <c r="AC24" i="57"/>
  <c r="L24" i="57"/>
  <c r="L32" i="57" s="1"/>
  <c r="L33" i="57" s="1"/>
  <c r="AD24" i="57"/>
  <c r="I26" i="57"/>
  <c r="I24" i="57"/>
  <c r="AC26" i="57"/>
  <c r="L44" i="57"/>
  <c r="L46" i="57" s="1"/>
  <c r="R45" i="57"/>
  <c r="R46" i="57" s="1"/>
  <c r="R24" i="57"/>
  <c r="H45" i="57"/>
  <c r="H24" i="57"/>
  <c r="H44" i="57"/>
  <c r="H26" i="57"/>
  <c r="W24" i="57"/>
  <c r="W26" i="57"/>
  <c r="O45" i="57"/>
  <c r="O46" i="57" s="1"/>
  <c r="O24" i="57"/>
  <c r="M45" i="57"/>
  <c r="M24" i="57"/>
  <c r="M44" i="57"/>
  <c r="M26" i="57"/>
  <c r="AB45" i="57"/>
  <c r="AB26" i="57"/>
  <c r="AB44" i="57"/>
  <c r="AB24" i="57"/>
  <c r="G45" i="57"/>
  <c r="G44" i="57"/>
  <c r="G26" i="57"/>
  <c r="G24" i="57"/>
  <c r="AA45" i="57"/>
  <c r="AA24" i="57"/>
  <c r="AA44" i="57"/>
  <c r="AA26" i="57"/>
  <c r="U44" i="57"/>
  <c r="U24" i="57"/>
  <c r="U45" i="57"/>
  <c r="U26" i="57"/>
  <c r="T24" i="57"/>
  <c r="T44" i="57"/>
  <c r="T26" i="57"/>
  <c r="T45" i="57"/>
  <c r="X44" i="57"/>
  <c r="X24" i="57"/>
  <c r="X26" i="57"/>
  <c r="X45" i="57"/>
  <c r="Y44" i="57"/>
  <c r="Y45" i="57"/>
  <c r="Y26" i="57"/>
  <c r="Y24" i="57"/>
  <c r="V45" i="57"/>
  <c r="V24" i="57"/>
  <c r="V26" i="57"/>
  <c r="V44" i="57"/>
  <c r="Q44" i="57"/>
  <c r="Q45" i="57"/>
  <c r="Q24" i="57"/>
  <c r="Q26" i="57"/>
  <c r="F45" i="57"/>
  <c r="F44" i="57"/>
  <c r="F24" i="57"/>
  <c r="F26" i="57"/>
  <c r="Z45" i="57"/>
  <c r="Z24" i="57"/>
  <c r="Z44" i="57"/>
  <c r="Z26" i="57"/>
  <c r="N45" i="57"/>
  <c r="N26" i="57"/>
  <c r="N44" i="57"/>
  <c r="N24" i="57"/>
  <c r="K26" i="57"/>
  <c r="K44" i="57"/>
  <c r="K24" i="57"/>
  <c r="K45" i="57"/>
  <c r="J46" i="57"/>
  <c r="E32" i="57" l="1"/>
  <c r="E33" i="57" s="1"/>
  <c r="L40" i="57"/>
  <c r="L41" i="57" s="1"/>
  <c r="O40" i="57"/>
  <c r="O41" i="57" s="1"/>
  <c r="T46" i="57"/>
  <c r="AB40" i="57"/>
  <c r="AB41" i="57" s="1"/>
  <c r="S40" i="57"/>
  <c r="S41" i="57" s="1"/>
  <c r="Z46" i="57"/>
  <c r="U46" i="57"/>
  <c r="M46" i="57"/>
  <c r="R32" i="57"/>
  <c r="R33" i="57" s="1"/>
  <c r="P32" i="57"/>
  <c r="P33" i="57" s="1"/>
  <c r="K46" i="57"/>
  <c r="J40" i="57"/>
  <c r="J41" i="57" s="1"/>
  <c r="AC40" i="57"/>
  <c r="AC41" i="57" s="1"/>
  <c r="I32" i="57"/>
  <c r="I33" i="57" s="1"/>
  <c r="H46" i="57"/>
  <c r="AB46" i="57"/>
  <c r="Q46" i="57"/>
  <c r="V32" i="57"/>
  <c r="V33" i="57" s="1"/>
  <c r="Y46" i="57"/>
  <c r="X46" i="57"/>
  <c r="X40" i="57"/>
  <c r="X41" i="57" s="1"/>
  <c r="G46" i="57"/>
  <c r="D44" i="57"/>
  <c r="D45" i="57"/>
  <c r="N46" i="57"/>
  <c r="F46" i="57"/>
  <c r="V46" i="57"/>
  <c r="AA46" i="57"/>
  <c r="B50" i="74"/>
  <c r="H50" i="74"/>
  <c r="I50" i="74"/>
  <c r="K23" i="73" s="1"/>
  <c r="B46" i="74"/>
  <c r="H46" i="74"/>
  <c r="I46" i="74"/>
  <c r="K19" i="73" s="1"/>
  <c r="B42" i="74"/>
  <c r="I42" i="74"/>
  <c r="K15" i="73" s="1"/>
  <c r="H42" i="74"/>
  <c r="B38" i="74"/>
  <c r="H38" i="74"/>
  <c r="I38" i="74"/>
  <c r="K11" i="73" s="1"/>
  <c r="B53" i="74"/>
  <c r="I53" i="74"/>
  <c r="K26" i="73" s="1"/>
  <c r="H53" i="74"/>
  <c r="B49" i="74"/>
  <c r="H49" i="74"/>
  <c r="I49" i="74"/>
  <c r="K22" i="73" s="1"/>
  <c r="B45" i="74"/>
  <c r="H45" i="74"/>
  <c r="I45" i="74"/>
  <c r="K18" i="73" s="1"/>
  <c r="B41" i="74"/>
  <c r="I41" i="74"/>
  <c r="K14" i="73" s="1"/>
  <c r="H41" i="74"/>
  <c r="B37" i="74"/>
  <c r="I37" i="74"/>
  <c r="K10" i="73" s="1"/>
  <c r="H37" i="74"/>
  <c r="B52" i="74"/>
  <c r="I52" i="74"/>
  <c r="K25" i="73" s="1"/>
  <c r="H52" i="74"/>
  <c r="B48" i="74"/>
  <c r="I48" i="74"/>
  <c r="K21" i="73" s="1"/>
  <c r="H48" i="74"/>
  <c r="B44" i="74"/>
  <c r="I44" i="74"/>
  <c r="K17" i="73" s="1"/>
  <c r="H44" i="74"/>
  <c r="B40" i="74"/>
  <c r="H40" i="74"/>
  <c r="I40" i="74"/>
  <c r="K13" i="73" s="1"/>
  <c r="B36" i="74"/>
  <c r="I36" i="74"/>
  <c r="K9" i="73" s="1"/>
  <c r="C34" i="43" s="1"/>
  <c r="H36" i="74"/>
  <c r="B51" i="74"/>
  <c r="H51" i="74"/>
  <c r="I51" i="74"/>
  <c r="K24" i="73" s="1"/>
  <c r="B47" i="74"/>
  <c r="H47" i="74"/>
  <c r="I47" i="74"/>
  <c r="K20" i="73" s="1"/>
  <c r="B43" i="74"/>
  <c r="I43" i="74"/>
  <c r="K16" i="73" s="1"/>
  <c r="H43" i="74"/>
  <c r="B39" i="74"/>
  <c r="H39" i="74"/>
  <c r="I39" i="74"/>
  <c r="K12" i="73" s="1"/>
  <c r="O32" i="57" l="1"/>
  <c r="O33" i="57" s="1"/>
  <c r="M18" i="73"/>
  <c r="C43" i="43"/>
  <c r="E43" i="43" s="1"/>
  <c r="M20" i="73"/>
  <c r="C45" i="43"/>
  <c r="E45" i="43" s="1"/>
  <c r="M21" i="73"/>
  <c r="C46" i="43"/>
  <c r="E46" i="43" s="1"/>
  <c r="M11" i="73"/>
  <c r="C36" i="43"/>
  <c r="E36" i="43" s="1"/>
  <c r="M15" i="73"/>
  <c r="C40" i="43"/>
  <c r="E40" i="43" s="1"/>
  <c r="M13" i="73"/>
  <c r="C38" i="43"/>
  <c r="E38" i="43" s="1"/>
  <c r="M17" i="73"/>
  <c r="C42" i="43"/>
  <c r="E42" i="43" s="1"/>
  <c r="M14" i="73"/>
  <c r="C39" i="43"/>
  <c r="E39" i="43" s="1"/>
  <c r="M12" i="73"/>
  <c r="C37" i="43"/>
  <c r="E37" i="43" s="1"/>
  <c r="M16" i="73"/>
  <c r="C41" i="43"/>
  <c r="E41" i="43" s="1"/>
  <c r="M10" i="73"/>
  <c r="C35" i="43"/>
  <c r="E35" i="43" s="1"/>
  <c r="M22" i="73"/>
  <c r="C47" i="43"/>
  <c r="E47" i="43" s="1"/>
  <c r="M19" i="73"/>
  <c r="C44" i="43"/>
  <c r="E44" i="43" s="1"/>
  <c r="M26" i="73"/>
  <c r="C51" i="43"/>
  <c r="E51" i="43" s="1"/>
  <c r="M24" i="73"/>
  <c r="C49" i="43"/>
  <c r="E49" i="43" s="1"/>
  <c r="M25" i="73"/>
  <c r="C50" i="43"/>
  <c r="E50" i="43" s="1"/>
  <c r="M23" i="73"/>
  <c r="C48" i="43"/>
  <c r="E48" i="43" s="1"/>
  <c r="K27" i="73"/>
  <c r="M9" i="73"/>
  <c r="V40" i="57"/>
  <c r="V41" i="57" s="1"/>
  <c r="P40" i="57"/>
  <c r="P41" i="57" s="1"/>
  <c r="AB32" i="57"/>
  <c r="AB33" i="57" s="1"/>
  <c r="AC32" i="57"/>
  <c r="AC33" i="57" s="1"/>
  <c r="I40" i="57"/>
  <c r="I41" i="57" s="1"/>
  <c r="R40" i="57"/>
  <c r="R41" i="57" s="1"/>
  <c r="N32" i="57"/>
  <c r="N33" i="57" s="1"/>
  <c r="N40" i="57"/>
  <c r="N41" i="57" s="1"/>
  <c r="AD40" i="57"/>
  <c r="AD41" i="57" s="1"/>
  <c r="AD32" i="57"/>
  <c r="AD33" i="57" s="1"/>
  <c r="W32" i="57"/>
  <c r="W33" i="57" s="1"/>
  <c r="W40" i="57"/>
  <c r="W41" i="57" s="1"/>
  <c r="H32" i="57"/>
  <c r="H33" i="57" s="1"/>
  <c r="H40" i="57"/>
  <c r="H41" i="57" s="1"/>
  <c r="X32" i="57"/>
  <c r="X33" i="57" s="1"/>
  <c r="M40" i="57"/>
  <c r="M41" i="57" s="1"/>
  <c r="M32" i="57"/>
  <c r="M33" i="57" s="1"/>
  <c r="D46" i="57"/>
  <c r="K32" i="57"/>
  <c r="K33" i="57" s="1"/>
  <c r="K40" i="57"/>
  <c r="K41" i="57" s="1"/>
  <c r="G32" i="57"/>
  <c r="G33" i="57" s="1"/>
  <c r="G40" i="57"/>
  <c r="G41" i="57" s="1"/>
  <c r="Y40" i="57"/>
  <c r="Y41" i="57" s="1"/>
  <c r="Y32" i="57"/>
  <c r="Y33" i="57" s="1"/>
  <c r="U32" i="57"/>
  <c r="U33" i="57" s="1"/>
  <c r="U40" i="57"/>
  <c r="U41" i="57" s="1"/>
  <c r="T32" i="57"/>
  <c r="T33" i="57" s="1"/>
  <c r="T40" i="57"/>
  <c r="T41" i="57" s="1"/>
  <c r="Q40" i="57"/>
  <c r="Q41" i="57" s="1"/>
  <c r="Q32" i="57"/>
  <c r="Q33" i="57" s="1"/>
  <c r="F40" i="57"/>
  <c r="F41" i="57" s="1"/>
  <c r="F32" i="57"/>
  <c r="F33" i="57" s="1"/>
  <c r="AA40" i="57"/>
  <c r="AA41" i="57" s="1"/>
  <c r="AA32" i="57"/>
  <c r="AA33" i="57" s="1"/>
  <c r="Z32" i="57"/>
  <c r="Z33" i="57" s="1"/>
  <c r="Z40" i="57"/>
  <c r="Z41" i="57" s="1"/>
  <c r="D43" i="74"/>
  <c r="E43" i="74"/>
  <c r="B16" i="73" s="1"/>
  <c r="E51" i="74"/>
  <c r="B24" i="73" s="1"/>
  <c r="D51" i="74"/>
  <c r="I54" i="74"/>
  <c r="D40" i="74"/>
  <c r="E40" i="74"/>
  <c r="B13" i="73" s="1"/>
  <c r="E48" i="74"/>
  <c r="B21" i="73" s="1"/>
  <c r="D48" i="74"/>
  <c r="E37" i="74"/>
  <c r="B10" i="73" s="1"/>
  <c r="D37" i="74"/>
  <c r="D45" i="74"/>
  <c r="E45" i="74"/>
  <c r="B18" i="73" s="1"/>
  <c r="D53" i="74"/>
  <c r="E53" i="74"/>
  <c r="B26" i="73" s="1"/>
  <c r="D42" i="74"/>
  <c r="E42" i="74"/>
  <c r="B15" i="73" s="1"/>
  <c r="D50" i="74"/>
  <c r="E50" i="74"/>
  <c r="B23" i="73" s="1"/>
  <c r="E39" i="74"/>
  <c r="B12" i="73" s="1"/>
  <c r="D39" i="74"/>
  <c r="E47" i="74"/>
  <c r="B20" i="73" s="1"/>
  <c r="D47" i="74"/>
  <c r="E36" i="74"/>
  <c r="D36" i="74"/>
  <c r="E44" i="74"/>
  <c r="B17" i="73" s="1"/>
  <c r="D44" i="74"/>
  <c r="E52" i="74"/>
  <c r="B25" i="73" s="1"/>
  <c r="D52" i="74"/>
  <c r="D41" i="74"/>
  <c r="E41" i="74"/>
  <c r="B14" i="73" s="1"/>
  <c r="D49" i="74"/>
  <c r="E49" i="74"/>
  <c r="B22" i="73" s="1"/>
  <c r="D38" i="74"/>
  <c r="E38" i="74"/>
  <c r="B11" i="73" s="1"/>
  <c r="D46" i="74"/>
  <c r="E46" i="74"/>
  <c r="B19" i="73" s="1"/>
  <c r="H54" i="74"/>
  <c r="C25" i="43" l="1"/>
  <c r="E25" i="43" s="1"/>
  <c r="O25" i="43" s="1"/>
  <c r="T25" i="73"/>
  <c r="C21" i="43"/>
  <c r="E21" i="43" s="1"/>
  <c r="O21" i="43" s="1"/>
  <c r="T21" i="73"/>
  <c r="C14" i="43"/>
  <c r="E14" i="43" s="1"/>
  <c r="O14" i="43" s="1"/>
  <c r="T14" i="73"/>
  <c r="C13" i="43"/>
  <c r="N13" i="43" s="1"/>
  <c r="T13" i="73"/>
  <c r="C10" i="43"/>
  <c r="E10" i="43" s="1"/>
  <c r="O10" i="43" s="1"/>
  <c r="T10" i="73"/>
  <c r="C12" i="43"/>
  <c r="N12" i="43" s="1"/>
  <c r="T12" i="73"/>
  <c r="C11" i="43"/>
  <c r="N11" i="43" s="1"/>
  <c r="T11" i="73"/>
  <c r="C23" i="43"/>
  <c r="N23" i="43" s="1"/>
  <c r="T23" i="73"/>
  <c r="C26" i="43"/>
  <c r="N26" i="43" s="1"/>
  <c r="T26" i="73"/>
  <c r="C17" i="43"/>
  <c r="N17" i="43" s="1"/>
  <c r="T17" i="73"/>
  <c r="C20" i="43"/>
  <c r="N20" i="43" s="1"/>
  <c r="T20" i="73"/>
  <c r="C24" i="43"/>
  <c r="E24" i="43" s="1"/>
  <c r="O24" i="43" s="1"/>
  <c r="T24" i="73"/>
  <c r="C19" i="43"/>
  <c r="N19" i="43" s="1"/>
  <c r="T19" i="73"/>
  <c r="C22" i="43"/>
  <c r="N22" i="43" s="1"/>
  <c r="T22" i="73"/>
  <c r="C15" i="43"/>
  <c r="N15" i="43" s="1"/>
  <c r="T15" i="73"/>
  <c r="C18" i="43"/>
  <c r="N18" i="43" s="1"/>
  <c r="T18" i="73"/>
  <c r="C16" i="43"/>
  <c r="N16" i="43" s="1"/>
  <c r="T16" i="73"/>
  <c r="E34" i="43"/>
  <c r="E52" i="43" s="1"/>
  <c r="M27" i="73"/>
  <c r="D57" i="57"/>
  <c r="Q19" i="73" s="1"/>
  <c r="S19" i="73" s="1"/>
  <c r="D11" i="73"/>
  <c r="U11" i="73" s="1"/>
  <c r="D14" i="73"/>
  <c r="U14" i="73" s="1"/>
  <c r="D25" i="73"/>
  <c r="U25" i="73" s="1"/>
  <c r="B9" i="73"/>
  <c r="E54" i="74"/>
  <c r="D12" i="73"/>
  <c r="U12" i="73" s="1"/>
  <c r="D23" i="73"/>
  <c r="U23" i="73" s="1"/>
  <c r="D26" i="73"/>
  <c r="U26" i="73" s="1"/>
  <c r="D21" i="73"/>
  <c r="U21" i="73" s="1"/>
  <c r="D13" i="73"/>
  <c r="U13" i="73" s="1"/>
  <c r="D24" i="73"/>
  <c r="U24" i="73" s="1"/>
  <c r="D16" i="73"/>
  <c r="U16" i="73" s="1"/>
  <c r="D54" i="74"/>
  <c r="D19" i="73"/>
  <c r="U19" i="73" s="1"/>
  <c r="D22" i="73"/>
  <c r="U22" i="73" s="1"/>
  <c r="D17" i="73"/>
  <c r="U17" i="73" s="1"/>
  <c r="D20" i="73"/>
  <c r="U20" i="73" s="1"/>
  <c r="D15" i="73"/>
  <c r="U15" i="73" s="1"/>
  <c r="D18" i="73"/>
  <c r="U18" i="73" s="1"/>
  <c r="D10" i="73"/>
  <c r="U10" i="73" s="1"/>
  <c r="N14" i="43" l="1"/>
  <c r="J52" i="82"/>
  <c r="F49" i="81" s="1"/>
  <c r="E15" i="43"/>
  <c r="O15" i="43" s="1"/>
  <c r="J53" i="74"/>
  <c r="N26" i="73" s="1"/>
  <c r="P26" i="73" s="1"/>
  <c r="E19" i="43"/>
  <c r="O19" i="43" s="1"/>
  <c r="E26" i="43"/>
  <c r="O26" i="43" s="1"/>
  <c r="E22" i="43"/>
  <c r="O22" i="43" s="1"/>
  <c r="Q17" i="73"/>
  <c r="S17" i="73" s="1"/>
  <c r="N25" i="43"/>
  <c r="J45" i="74"/>
  <c r="F45" i="74" s="1"/>
  <c r="E18" i="73" s="1"/>
  <c r="E20" i="43"/>
  <c r="O20" i="43" s="1"/>
  <c r="N10" i="43"/>
  <c r="E16" i="43"/>
  <c r="O16" i="43" s="1"/>
  <c r="E23" i="43"/>
  <c r="O23" i="43" s="1"/>
  <c r="E11" i="43"/>
  <c r="O11" i="43" s="1"/>
  <c r="N21" i="43"/>
  <c r="E17" i="43"/>
  <c r="O17" i="43" s="1"/>
  <c r="E13" i="43"/>
  <c r="O13" i="43" s="1"/>
  <c r="C9" i="43"/>
  <c r="E9" i="43" s="1"/>
  <c r="T9" i="73"/>
  <c r="T27" i="73" s="1"/>
  <c r="E28" i="72" s="1"/>
  <c r="N24" i="43"/>
  <c r="E18" i="43"/>
  <c r="O18" i="43" s="1"/>
  <c r="C52" i="43"/>
  <c r="E12" i="43"/>
  <c r="O12" i="43" s="1"/>
  <c r="Q24" i="73"/>
  <c r="S24" i="73" s="1"/>
  <c r="Q10" i="73"/>
  <c r="S10" i="73" s="1"/>
  <c r="J43" i="81"/>
  <c r="J48" i="82"/>
  <c r="G48" i="82"/>
  <c r="J21" i="81" s="1"/>
  <c r="J34" i="81"/>
  <c r="J44" i="82"/>
  <c r="J45" i="82"/>
  <c r="J52" i="74"/>
  <c r="F52" i="74" s="1"/>
  <c r="G39" i="82"/>
  <c r="J12" i="81" s="1"/>
  <c r="G42" i="82"/>
  <c r="J15" i="81" s="1"/>
  <c r="Q26" i="73"/>
  <c r="S26" i="73" s="1"/>
  <c r="G49" i="82"/>
  <c r="J22" i="81" s="1"/>
  <c r="J36" i="82"/>
  <c r="J46" i="82"/>
  <c r="J44" i="74"/>
  <c r="J36" i="74"/>
  <c r="Q18" i="73"/>
  <c r="S18" i="73" s="1"/>
  <c r="G43" i="82"/>
  <c r="J16" i="81" s="1"/>
  <c r="J37" i="82"/>
  <c r="E51" i="60"/>
  <c r="G50" i="82"/>
  <c r="J23" i="81" s="1"/>
  <c r="J50" i="82"/>
  <c r="F50" i="82" s="1"/>
  <c r="J38" i="74"/>
  <c r="J38" i="82"/>
  <c r="J42" i="74"/>
  <c r="J50" i="74"/>
  <c r="J53" i="82"/>
  <c r="J39" i="74"/>
  <c r="G51" i="82"/>
  <c r="J24" i="81" s="1"/>
  <c r="J37" i="74"/>
  <c r="J51" i="74"/>
  <c r="Q21" i="73"/>
  <c r="S21" i="73" s="1"/>
  <c r="J42" i="81"/>
  <c r="J41" i="74"/>
  <c r="J40" i="74"/>
  <c r="J40" i="82"/>
  <c r="G38" i="82"/>
  <c r="J11" i="81" s="1"/>
  <c r="J42" i="82"/>
  <c r="J49" i="74"/>
  <c r="J38" i="81"/>
  <c r="J48" i="74"/>
  <c r="J43" i="82"/>
  <c r="Q11" i="73"/>
  <c r="S11" i="73" s="1"/>
  <c r="Q14" i="73"/>
  <c r="S14" i="73" s="1"/>
  <c r="J33" i="81"/>
  <c r="G52" i="82"/>
  <c r="J25" i="81" s="1"/>
  <c r="J44" i="81"/>
  <c r="G40" i="82"/>
  <c r="J13" i="81" s="1"/>
  <c r="G53" i="82"/>
  <c r="J26" i="81" s="1"/>
  <c r="J43" i="74"/>
  <c r="J46" i="74"/>
  <c r="J41" i="82"/>
  <c r="J47" i="74"/>
  <c r="J39" i="82"/>
  <c r="F39" i="82" s="1"/>
  <c r="J51" i="82"/>
  <c r="J47" i="82"/>
  <c r="J49" i="82"/>
  <c r="F49" i="82" s="1"/>
  <c r="G46" i="74"/>
  <c r="H19" i="73" s="1"/>
  <c r="D9" i="73"/>
  <c r="U9" i="73" s="1"/>
  <c r="B27" i="73"/>
  <c r="F53" i="74" l="1"/>
  <c r="E26" i="73" s="1"/>
  <c r="V26" i="73" s="1"/>
  <c r="G44" i="74"/>
  <c r="H17" i="73" s="1"/>
  <c r="X17" i="73" s="1"/>
  <c r="F52" i="82"/>
  <c r="F25" i="81" s="1"/>
  <c r="H25" i="81" s="1"/>
  <c r="N18" i="73"/>
  <c r="P18" i="73" s="1"/>
  <c r="I35" i="43"/>
  <c r="K35" i="43" s="1"/>
  <c r="F33" i="81"/>
  <c r="H33" i="81" s="1"/>
  <c r="F36" i="82"/>
  <c r="F42" i="81"/>
  <c r="F45" i="82"/>
  <c r="F18" i="81" s="1"/>
  <c r="F39" i="81"/>
  <c r="F42" i="82"/>
  <c r="F15" i="81" s="1"/>
  <c r="F43" i="81"/>
  <c r="F46" i="82"/>
  <c r="F19" i="81" s="1"/>
  <c r="L43" i="81"/>
  <c r="I44" i="43"/>
  <c r="F44" i="81"/>
  <c r="H44" i="81" s="1"/>
  <c r="F47" i="82"/>
  <c r="F20" i="81" s="1"/>
  <c r="F38" i="81"/>
  <c r="F41" i="82"/>
  <c r="F14" i="81" s="1"/>
  <c r="L33" i="81"/>
  <c r="F40" i="81"/>
  <c r="F43" i="82"/>
  <c r="F16" i="81" s="1"/>
  <c r="H16" i="81" s="1"/>
  <c r="L42" i="81"/>
  <c r="I43" i="43"/>
  <c r="K43" i="43" s="1"/>
  <c r="F35" i="81"/>
  <c r="H35" i="81" s="1"/>
  <c r="F38" i="82"/>
  <c r="F11" i="81" s="1"/>
  <c r="H11" i="81" s="1"/>
  <c r="F41" i="81"/>
  <c r="F44" i="82"/>
  <c r="F17" i="81" s="1"/>
  <c r="H17" i="81" s="1"/>
  <c r="F45" i="81"/>
  <c r="F48" i="82"/>
  <c r="F21" i="81" s="1"/>
  <c r="L38" i="81"/>
  <c r="I39" i="43"/>
  <c r="K39" i="43" s="1"/>
  <c r="L44" i="81"/>
  <c r="F37" i="81"/>
  <c r="F40" i="82"/>
  <c r="F13" i="81" s="1"/>
  <c r="F34" i="81"/>
  <c r="F37" i="82"/>
  <c r="F10" i="81" s="1"/>
  <c r="F48" i="81"/>
  <c r="F51" i="82"/>
  <c r="F24" i="81" s="1"/>
  <c r="F50" i="81"/>
  <c r="F53" i="82"/>
  <c r="F26" i="81" s="1"/>
  <c r="H49" i="81"/>
  <c r="J36" i="81"/>
  <c r="U12" i="81" s="1"/>
  <c r="G51" i="74"/>
  <c r="H24" i="73" s="1"/>
  <c r="I24" i="43" s="1"/>
  <c r="K24" i="43" s="1"/>
  <c r="N19" i="73"/>
  <c r="P19" i="73" s="1"/>
  <c r="F46" i="74"/>
  <c r="E19" i="73" s="1"/>
  <c r="N10" i="73"/>
  <c r="P10" i="73" s="1"/>
  <c r="F37" i="74"/>
  <c r="E10" i="73" s="1"/>
  <c r="N13" i="73"/>
  <c r="P13" i="73" s="1"/>
  <c r="F40" i="74"/>
  <c r="E13" i="73" s="1"/>
  <c r="N23" i="73"/>
  <c r="P23" i="73" s="1"/>
  <c r="F50" i="74"/>
  <c r="E23" i="73" s="1"/>
  <c r="N17" i="73"/>
  <c r="P17" i="73" s="1"/>
  <c r="F44" i="74"/>
  <c r="E17" i="73" s="1"/>
  <c r="N22" i="73"/>
  <c r="P22" i="73" s="1"/>
  <c r="F49" i="74"/>
  <c r="E22" i="73" s="1"/>
  <c r="N11" i="73"/>
  <c r="P11" i="73" s="1"/>
  <c r="F38" i="74"/>
  <c r="E11" i="73" s="1"/>
  <c r="N16" i="73"/>
  <c r="P16" i="73" s="1"/>
  <c r="F43" i="74"/>
  <c r="E16" i="73" s="1"/>
  <c r="N20" i="73"/>
  <c r="P20" i="73" s="1"/>
  <c r="F47" i="74"/>
  <c r="E20" i="73" s="1"/>
  <c r="N14" i="73"/>
  <c r="P14" i="73" s="1"/>
  <c r="F41" i="74"/>
  <c r="E14" i="73" s="1"/>
  <c r="N15" i="73"/>
  <c r="P15" i="73" s="1"/>
  <c r="F42" i="74"/>
  <c r="E15" i="73" s="1"/>
  <c r="N21" i="73"/>
  <c r="P21" i="73" s="1"/>
  <c r="F48" i="74"/>
  <c r="E21" i="73" s="1"/>
  <c r="N24" i="73"/>
  <c r="P24" i="73" s="1"/>
  <c r="F51" i="74"/>
  <c r="E24" i="73" s="1"/>
  <c r="N12" i="73"/>
  <c r="P12" i="73" s="1"/>
  <c r="F39" i="74"/>
  <c r="E12" i="73" s="1"/>
  <c r="N9" i="73"/>
  <c r="P9" i="73" s="1"/>
  <c r="F36" i="74"/>
  <c r="E9" i="73" s="1"/>
  <c r="G37" i="74"/>
  <c r="H10" i="73" s="1"/>
  <c r="X10" i="73" s="1"/>
  <c r="G49" i="74"/>
  <c r="H22" i="73" s="1"/>
  <c r="Q22" i="73"/>
  <c r="S22" i="73" s="1"/>
  <c r="G42" i="74"/>
  <c r="H15" i="73" s="1"/>
  <c r="I15" i="43" s="1"/>
  <c r="K15" i="43" s="1"/>
  <c r="Q15" i="73"/>
  <c r="S15" i="73" s="1"/>
  <c r="G50" i="74"/>
  <c r="H23" i="73" s="1"/>
  <c r="Q23" i="73"/>
  <c r="S23" i="73" s="1"/>
  <c r="G39" i="74"/>
  <c r="H12" i="73" s="1"/>
  <c r="J12" i="73" s="1"/>
  <c r="Q12" i="73"/>
  <c r="S12" i="73" s="1"/>
  <c r="G40" i="74"/>
  <c r="H13" i="73" s="1"/>
  <c r="Q13" i="73"/>
  <c r="S13" i="73" s="1"/>
  <c r="G43" i="74"/>
  <c r="H16" i="73" s="1"/>
  <c r="J16" i="73" s="1"/>
  <c r="Q16" i="73"/>
  <c r="S16" i="73" s="1"/>
  <c r="G52" i="74"/>
  <c r="H25" i="73" s="1"/>
  <c r="Q25" i="73"/>
  <c r="S25" i="73" s="1"/>
  <c r="G47" i="74"/>
  <c r="H20" i="73" s="1"/>
  <c r="J20" i="73" s="1"/>
  <c r="Q20" i="73"/>
  <c r="S20" i="73" s="1"/>
  <c r="G36" i="74"/>
  <c r="H9" i="73" s="1"/>
  <c r="Q9" i="73"/>
  <c r="I34" i="43" s="1"/>
  <c r="N25" i="73"/>
  <c r="P25" i="73" s="1"/>
  <c r="N9" i="43"/>
  <c r="N28" i="43" s="1"/>
  <c r="E56" i="60" s="1"/>
  <c r="E64" i="60" s="1"/>
  <c r="C28" i="43"/>
  <c r="J19" i="73"/>
  <c r="Y19" i="73" s="1"/>
  <c r="X19" i="73"/>
  <c r="G18" i="73"/>
  <c r="G46" i="82"/>
  <c r="J19" i="81" s="1"/>
  <c r="I19" i="43" s="1"/>
  <c r="K19" i="43" s="1"/>
  <c r="J39" i="81"/>
  <c r="J47" i="81"/>
  <c r="G48" i="74"/>
  <c r="H21" i="73" s="1"/>
  <c r="X21" i="73" s="1"/>
  <c r="G37" i="82"/>
  <c r="J10" i="81" s="1"/>
  <c r="G41" i="74"/>
  <c r="H14" i="73" s="1"/>
  <c r="X14" i="73" s="1"/>
  <c r="J45" i="81"/>
  <c r="G53" i="74"/>
  <c r="H26" i="73" s="1"/>
  <c r="E25" i="73"/>
  <c r="J46" i="81"/>
  <c r="J40" i="81"/>
  <c r="F9" i="81"/>
  <c r="G45" i="74"/>
  <c r="H18" i="73" s="1"/>
  <c r="J49" i="81"/>
  <c r="J50" i="81"/>
  <c r="J35" i="81"/>
  <c r="G47" i="82"/>
  <c r="J20" i="81" s="1"/>
  <c r="U20" i="81" s="1"/>
  <c r="G41" i="82"/>
  <c r="J14" i="81" s="1"/>
  <c r="J54" i="74"/>
  <c r="G45" i="82"/>
  <c r="J18" i="81" s="1"/>
  <c r="K54" i="74"/>
  <c r="J37" i="81"/>
  <c r="F47" i="81"/>
  <c r="F23" i="81"/>
  <c r="G38" i="74"/>
  <c r="H11" i="73" s="1"/>
  <c r="J54" i="82"/>
  <c r="J48" i="81"/>
  <c r="K54" i="82"/>
  <c r="G36" i="82"/>
  <c r="J9" i="81" s="1"/>
  <c r="L9" i="81" s="1"/>
  <c r="J41" i="81"/>
  <c r="G44" i="82"/>
  <c r="J17" i="81" s="1"/>
  <c r="F46" i="81"/>
  <c r="F22" i="81"/>
  <c r="F36" i="81"/>
  <c r="F12" i="81"/>
  <c r="L23" i="81"/>
  <c r="L26" i="81"/>
  <c r="L16" i="81"/>
  <c r="L13" i="81"/>
  <c r="K44" i="43"/>
  <c r="O9" i="43"/>
  <c r="O28" i="43" s="1"/>
  <c r="E28" i="43"/>
  <c r="L25" i="81"/>
  <c r="L11" i="81"/>
  <c r="L21" i="81"/>
  <c r="L15" i="81"/>
  <c r="L12" i="81"/>
  <c r="L34" i="81"/>
  <c r="J17" i="73"/>
  <c r="Y17" i="73" s="1"/>
  <c r="L22" i="81"/>
  <c r="L24" i="81"/>
  <c r="G26" i="73"/>
  <c r="W26" i="73" s="1"/>
  <c r="D27" i="73"/>
  <c r="S25" i="81" l="1"/>
  <c r="W18" i="73"/>
  <c r="I17" i="43"/>
  <c r="K17" i="43" s="1"/>
  <c r="R25" i="81"/>
  <c r="V18" i="73"/>
  <c r="J24" i="73"/>
  <c r="Y24" i="73" s="1"/>
  <c r="V9" i="81"/>
  <c r="V20" i="73"/>
  <c r="V11" i="73"/>
  <c r="R21" i="81"/>
  <c r="I12" i="43"/>
  <c r="K12" i="43" s="1"/>
  <c r="R13" i="81"/>
  <c r="R20" i="81"/>
  <c r="R18" i="81"/>
  <c r="J10" i="73"/>
  <c r="Y10" i="73" s="1"/>
  <c r="R10" i="81"/>
  <c r="I10" i="43"/>
  <c r="K10" i="43" s="1"/>
  <c r="U10" i="43" s="1"/>
  <c r="J15" i="73"/>
  <c r="Y15" i="73" s="1"/>
  <c r="X24" i="73"/>
  <c r="R19" i="81"/>
  <c r="H19" i="81"/>
  <c r="L36" i="81"/>
  <c r="V12" i="81" s="1"/>
  <c r="I37" i="43"/>
  <c r="K37" i="43" s="1"/>
  <c r="L41" i="81"/>
  <c r="I42" i="43"/>
  <c r="K42" i="43" s="1"/>
  <c r="U17" i="43" s="1"/>
  <c r="L35" i="81"/>
  <c r="V11" i="81" s="1"/>
  <c r="I36" i="43"/>
  <c r="K36" i="43" s="1"/>
  <c r="H37" i="81"/>
  <c r="F38" i="43"/>
  <c r="H38" i="43" s="1"/>
  <c r="H41" i="81"/>
  <c r="S17" i="81" s="1"/>
  <c r="F42" i="43"/>
  <c r="H42" i="43" s="1"/>
  <c r="F45" i="43"/>
  <c r="H45" i="43" s="1"/>
  <c r="H43" i="81"/>
  <c r="F44" i="43"/>
  <c r="H44" i="43" s="1"/>
  <c r="H42" i="81"/>
  <c r="F43" i="43"/>
  <c r="H43" i="43" s="1"/>
  <c r="L37" i="81"/>
  <c r="V13" i="81" s="1"/>
  <c r="I38" i="43"/>
  <c r="K38" i="43" s="1"/>
  <c r="L40" i="81"/>
  <c r="V16" i="81" s="1"/>
  <c r="I41" i="43"/>
  <c r="K41" i="43" s="1"/>
  <c r="I45" i="43"/>
  <c r="K45" i="43" s="1"/>
  <c r="F37" i="43"/>
  <c r="F47" i="43"/>
  <c r="H47" i="43" s="1"/>
  <c r="V16" i="73"/>
  <c r="L46" i="81"/>
  <c r="V22" i="81" s="1"/>
  <c r="I47" i="43"/>
  <c r="L45" i="81"/>
  <c r="V21" i="81" s="1"/>
  <c r="I46" i="43"/>
  <c r="K46" i="43" s="1"/>
  <c r="L39" i="81"/>
  <c r="V15" i="81" s="1"/>
  <c r="I40" i="43"/>
  <c r="K40" i="43" s="1"/>
  <c r="U15" i="43" s="1"/>
  <c r="H34" i="81"/>
  <c r="F35" i="43"/>
  <c r="H35" i="43" s="1"/>
  <c r="H45" i="81"/>
  <c r="F46" i="43"/>
  <c r="H46" i="43" s="1"/>
  <c r="F36" i="43"/>
  <c r="H36" i="43" s="1"/>
  <c r="H40" i="81"/>
  <c r="S16" i="81" s="1"/>
  <c r="F41" i="43"/>
  <c r="H41" i="43" s="1"/>
  <c r="H38" i="81"/>
  <c r="F39" i="43"/>
  <c r="H39" i="43" s="1"/>
  <c r="H39" i="81"/>
  <c r="F40" i="43"/>
  <c r="H40" i="43" s="1"/>
  <c r="F34" i="43"/>
  <c r="H34" i="43" s="1"/>
  <c r="L48" i="81"/>
  <c r="V24" i="81" s="1"/>
  <c r="I49" i="43"/>
  <c r="K49" i="43" s="1"/>
  <c r="U24" i="43" s="1"/>
  <c r="L49" i="81"/>
  <c r="V25" i="81" s="1"/>
  <c r="I50" i="43"/>
  <c r="K50" i="43" s="1"/>
  <c r="L47" i="81"/>
  <c r="I48" i="43"/>
  <c r="K48" i="43" s="1"/>
  <c r="F50" i="43"/>
  <c r="H50" i="43" s="1"/>
  <c r="H50" i="81"/>
  <c r="F51" i="43"/>
  <c r="H51" i="43" s="1"/>
  <c r="H47" i="81"/>
  <c r="F48" i="43"/>
  <c r="H48" i="43" s="1"/>
  <c r="L50" i="81"/>
  <c r="V26" i="81" s="1"/>
  <c r="I51" i="43"/>
  <c r="K51" i="43" s="1"/>
  <c r="H48" i="81"/>
  <c r="F49" i="43"/>
  <c r="H49" i="43" s="1"/>
  <c r="U19" i="81"/>
  <c r="V23" i="81"/>
  <c r="L19" i="81"/>
  <c r="V19" i="81" s="1"/>
  <c r="V25" i="73"/>
  <c r="V14" i="73"/>
  <c r="V23" i="73"/>
  <c r="V10" i="73"/>
  <c r="F54" i="74"/>
  <c r="N27" i="73"/>
  <c r="I16" i="43"/>
  <c r="K16" i="43" s="1"/>
  <c r="X9" i="73"/>
  <c r="X25" i="73"/>
  <c r="X13" i="73"/>
  <c r="X23" i="73"/>
  <c r="X22" i="73"/>
  <c r="X20" i="73"/>
  <c r="Y16" i="73"/>
  <c r="X12" i="73"/>
  <c r="Y20" i="73"/>
  <c r="Y12" i="73"/>
  <c r="H21" i="81"/>
  <c r="J23" i="73"/>
  <c r="Y23" i="73" s="1"/>
  <c r="X16" i="73"/>
  <c r="I22" i="43"/>
  <c r="K22" i="43" s="1"/>
  <c r="J13" i="73"/>
  <c r="Y13" i="73" s="1"/>
  <c r="J25" i="73"/>
  <c r="Y25" i="73" s="1"/>
  <c r="J22" i="73"/>
  <c r="Y22" i="73" s="1"/>
  <c r="I25" i="43"/>
  <c r="K25" i="43" s="1"/>
  <c r="X15" i="73"/>
  <c r="I13" i="43"/>
  <c r="K13" i="43" s="1"/>
  <c r="I23" i="43"/>
  <c r="K23" i="43" s="1"/>
  <c r="P27" i="73"/>
  <c r="S9" i="73"/>
  <c r="S27" i="73" s="1"/>
  <c r="Q27" i="73"/>
  <c r="I11" i="43"/>
  <c r="K11" i="43" s="1"/>
  <c r="X11" i="73"/>
  <c r="J18" i="73"/>
  <c r="Y18" i="73" s="1"/>
  <c r="X18" i="73"/>
  <c r="J26" i="73"/>
  <c r="Y26" i="73" s="1"/>
  <c r="X26" i="73"/>
  <c r="K34" i="43"/>
  <c r="G13" i="73"/>
  <c r="W13" i="73" s="1"/>
  <c r="V13" i="73"/>
  <c r="G21" i="73"/>
  <c r="W21" i="73" s="1"/>
  <c r="V21" i="73"/>
  <c r="G22" i="73"/>
  <c r="W22" i="73" s="1"/>
  <c r="V22" i="73"/>
  <c r="G19" i="73"/>
  <c r="W19" i="73" s="1"/>
  <c r="V19" i="73"/>
  <c r="G24" i="73"/>
  <c r="W24" i="73" s="1"/>
  <c r="V24" i="73"/>
  <c r="G17" i="73"/>
  <c r="W17" i="73" s="1"/>
  <c r="V17" i="73"/>
  <c r="G9" i="73"/>
  <c r="W9" i="73" s="1"/>
  <c r="V9" i="73"/>
  <c r="G12" i="73"/>
  <c r="W12" i="73" s="1"/>
  <c r="V12" i="73"/>
  <c r="G15" i="73"/>
  <c r="W15" i="73" s="1"/>
  <c r="V15" i="73"/>
  <c r="U23" i="81"/>
  <c r="U15" i="81"/>
  <c r="F9" i="43"/>
  <c r="R17" i="81"/>
  <c r="H10" i="81"/>
  <c r="G10" i="73"/>
  <c r="W10" i="73" s="1"/>
  <c r="F21" i="43"/>
  <c r="H21" i="43" s="1"/>
  <c r="F10" i="43"/>
  <c r="G14" i="73"/>
  <c r="W14" i="73" s="1"/>
  <c r="F14" i="43"/>
  <c r="H14" i="43" s="1"/>
  <c r="H13" i="81"/>
  <c r="J14" i="73"/>
  <c r="Y14" i="73" s="1"/>
  <c r="I14" i="43"/>
  <c r="K14" i="43" s="1"/>
  <c r="U14" i="43" s="1"/>
  <c r="I26" i="43"/>
  <c r="K26" i="43" s="1"/>
  <c r="U22" i="81"/>
  <c r="U21" i="81"/>
  <c r="U16" i="81"/>
  <c r="I21" i="43"/>
  <c r="K21" i="43" s="1"/>
  <c r="J21" i="73"/>
  <c r="Y21" i="73" s="1"/>
  <c r="G11" i="73"/>
  <c r="W11" i="73" s="1"/>
  <c r="F17" i="43"/>
  <c r="F13" i="43"/>
  <c r="F18" i="43"/>
  <c r="H18" i="43" s="1"/>
  <c r="F25" i="43"/>
  <c r="H25" i="43" s="1"/>
  <c r="G25" i="73"/>
  <c r="W25" i="73" s="1"/>
  <c r="H18" i="81"/>
  <c r="G20" i="73"/>
  <c r="W20" i="73" s="1"/>
  <c r="F19" i="43"/>
  <c r="H19" i="43" s="1"/>
  <c r="K47" i="43"/>
  <c r="I18" i="43"/>
  <c r="K18" i="43" s="1"/>
  <c r="U18" i="43" s="1"/>
  <c r="U19" i="43"/>
  <c r="F24" i="43"/>
  <c r="H24" i="43" s="1"/>
  <c r="R24" i="43" s="1"/>
  <c r="U25" i="81"/>
  <c r="U26" i="81"/>
  <c r="F22" i="43"/>
  <c r="H22" i="43" s="1"/>
  <c r="U11" i="81"/>
  <c r="F15" i="43"/>
  <c r="F20" i="43"/>
  <c r="H20" i="43" s="1"/>
  <c r="H20" i="81"/>
  <c r="S20" i="81" s="1"/>
  <c r="F16" i="43"/>
  <c r="H16" i="43" s="1"/>
  <c r="R16" i="81"/>
  <c r="G54" i="82"/>
  <c r="J51" i="81"/>
  <c r="U13" i="81"/>
  <c r="L20" i="81"/>
  <c r="V20" i="81" s="1"/>
  <c r="I20" i="43"/>
  <c r="K20" i="43" s="1"/>
  <c r="G54" i="74"/>
  <c r="L18" i="81"/>
  <c r="V18" i="81" s="1"/>
  <c r="U14" i="81"/>
  <c r="U9" i="81"/>
  <c r="G16" i="73"/>
  <c r="W16" i="73" s="1"/>
  <c r="U18" i="81"/>
  <c r="L14" i="81"/>
  <c r="V14" i="81" s="1"/>
  <c r="F11" i="43"/>
  <c r="F51" i="81"/>
  <c r="S11" i="81"/>
  <c r="R11" i="81"/>
  <c r="E27" i="73"/>
  <c r="F54" i="82"/>
  <c r="U24" i="81"/>
  <c r="I9" i="43"/>
  <c r="T19" i="43"/>
  <c r="F12" i="43"/>
  <c r="H12" i="43" s="1"/>
  <c r="H23" i="81"/>
  <c r="R23" i="81"/>
  <c r="R14" i="81"/>
  <c r="H14" i="81"/>
  <c r="R24" i="81"/>
  <c r="H24" i="81"/>
  <c r="J11" i="73"/>
  <c r="Y11" i="73" s="1"/>
  <c r="R15" i="81"/>
  <c r="H15" i="81"/>
  <c r="H26" i="81"/>
  <c r="R26" i="81"/>
  <c r="F26" i="43"/>
  <c r="G23" i="73"/>
  <c r="W23" i="73" s="1"/>
  <c r="F23" i="43"/>
  <c r="H36" i="81"/>
  <c r="H46" i="81"/>
  <c r="H12" i="81"/>
  <c r="R12" i="81"/>
  <c r="H22" i="81"/>
  <c r="R22" i="81"/>
  <c r="U17" i="81"/>
  <c r="L17" i="81"/>
  <c r="U10" i="81"/>
  <c r="L10" i="81"/>
  <c r="J27" i="81"/>
  <c r="J9" i="73"/>
  <c r="H27" i="73"/>
  <c r="F27" i="81"/>
  <c r="R9" i="81"/>
  <c r="H9" i="81"/>
  <c r="U27" i="73"/>
  <c r="E9" i="72" s="1"/>
  <c r="E7" i="60" s="1"/>
  <c r="V17" i="81" l="1"/>
  <c r="S24" i="81"/>
  <c r="R18" i="43"/>
  <c r="T10" i="43"/>
  <c r="S15" i="81"/>
  <c r="S23" i="81"/>
  <c r="Q15" i="43"/>
  <c r="U22" i="43"/>
  <c r="Q13" i="43"/>
  <c r="U12" i="43"/>
  <c r="L51" i="81"/>
  <c r="R19" i="43"/>
  <c r="T16" i="43"/>
  <c r="S18" i="81"/>
  <c r="U16" i="43"/>
  <c r="T12" i="43"/>
  <c r="Q11" i="43"/>
  <c r="S10" i="81"/>
  <c r="Q10" i="43"/>
  <c r="S14" i="81"/>
  <c r="Q17" i="43"/>
  <c r="S13" i="81"/>
  <c r="R21" i="43"/>
  <c r="S26" i="81"/>
  <c r="R16" i="43"/>
  <c r="R20" i="43"/>
  <c r="R25" i="43"/>
  <c r="Q9" i="43"/>
  <c r="S21" i="81"/>
  <c r="S19" i="81"/>
  <c r="T9" i="43"/>
  <c r="U23" i="43"/>
  <c r="U11" i="43"/>
  <c r="U25" i="43"/>
  <c r="U13" i="43"/>
  <c r="Y9" i="73"/>
  <c r="U21" i="43"/>
  <c r="H9" i="43"/>
  <c r="R9" i="43" s="1"/>
  <c r="Q14" i="43"/>
  <c r="Q21" i="43"/>
  <c r="R14" i="43"/>
  <c r="T23" i="43"/>
  <c r="Q24" i="43"/>
  <c r="H10" i="43"/>
  <c r="R10" i="43" s="1"/>
  <c r="T14" i="43"/>
  <c r="Q18" i="43"/>
  <c r="T18" i="43"/>
  <c r="U26" i="43"/>
  <c r="T15" i="43"/>
  <c r="H17" i="43"/>
  <c r="R17" i="43" s="1"/>
  <c r="H13" i="43"/>
  <c r="R13" i="43" s="1"/>
  <c r="Q19" i="43"/>
  <c r="T22" i="43"/>
  <c r="T21" i="43"/>
  <c r="Q25" i="43"/>
  <c r="T11" i="43"/>
  <c r="H15" i="43"/>
  <c r="R15" i="43" s="1"/>
  <c r="H51" i="81"/>
  <c r="T26" i="43"/>
  <c r="T13" i="43"/>
  <c r="H11" i="43"/>
  <c r="R11" i="43" s="1"/>
  <c r="T25" i="43"/>
  <c r="Q20" i="43"/>
  <c r="Q16" i="43"/>
  <c r="T17" i="43"/>
  <c r="U20" i="43"/>
  <c r="W27" i="73"/>
  <c r="E10" i="72" s="1"/>
  <c r="T20" i="43"/>
  <c r="R22" i="43"/>
  <c r="K9" i="43"/>
  <c r="U9" i="43" s="1"/>
  <c r="X27" i="73"/>
  <c r="E30" i="72" s="1"/>
  <c r="T24" i="43"/>
  <c r="I52" i="43"/>
  <c r="I28" i="43"/>
  <c r="F28" i="43"/>
  <c r="G27" i="73"/>
  <c r="R27" i="81"/>
  <c r="E29" i="80" s="1"/>
  <c r="S22" i="81"/>
  <c r="S12" i="81"/>
  <c r="V27" i="73"/>
  <c r="E29" i="72" s="1"/>
  <c r="U27" i="81"/>
  <c r="E30" i="80" s="1"/>
  <c r="Q22" i="43"/>
  <c r="H26" i="43"/>
  <c r="R26" i="43" s="1"/>
  <c r="Q26" i="43"/>
  <c r="H23" i="43"/>
  <c r="R23" i="43" s="1"/>
  <c r="Q23" i="43"/>
  <c r="H37" i="43"/>
  <c r="H52" i="43" s="1"/>
  <c r="F52" i="43"/>
  <c r="Q12" i="43"/>
  <c r="E50" i="72"/>
  <c r="K52" i="43"/>
  <c r="J27" i="73"/>
  <c r="V10" i="81"/>
  <c r="L27" i="81"/>
  <c r="H27" i="81"/>
  <c r="S9" i="81"/>
  <c r="U28" i="43" l="1"/>
  <c r="E32" i="72"/>
  <c r="T28" i="43"/>
  <c r="E54" i="60" s="1"/>
  <c r="E62" i="60" s="1"/>
  <c r="K28" i="43"/>
  <c r="E32" i="80"/>
  <c r="H28" i="43"/>
  <c r="Q28" i="43"/>
  <c r="E55" i="60" s="1"/>
  <c r="E63" i="60" s="1"/>
  <c r="R12" i="43"/>
  <c r="R28" i="43" s="1"/>
  <c r="V27" i="81"/>
  <c r="E11" i="80" s="1"/>
  <c r="E48" i="80" s="1"/>
  <c r="Y27" i="73"/>
  <c r="E11" i="72" s="1"/>
  <c r="S27" i="81"/>
  <c r="E10" i="80" s="1"/>
  <c r="E8" i="60" s="1"/>
  <c r="E46" i="72"/>
  <c r="E24" i="60" l="1"/>
  <c r="E58" i="60"/>
  <c r="E66" i="60" s="1"/>
  <c r="E12" i="72"/>
  <c r="E16" i="72" s="1"/>
  <c r="E9" i="60"/>
  <c r="E47" i="72"/>
  <c r="E48" i="72"/>
  <c r="E47" i="80"/>
  <c r="E12" i="80"/>
  <c r="E16" i="80" s="1"/>
  <c r="E49" i="80"/>
  <c r="E20" i="72" l="1"/>
  <c r="E33" i="72" s="1"/>
  <c r="E10" i="60"/>
  <c r="E14" i="60" s="1"/>
  <c r="E20" i="80"/>
  <c r="E22" i="60" l="1"/>
  <c r="E35" i="72"/>
  <c r="E38" i="72" s="1"/>
  <c r="E35" i="80"/>
  <c r="E33" i="80"/>
  <c r="E27" i="60" l="1"/>
  <c r="E29" i="60" s="1"/>
  <c r="E31" i="60" s="1"/>
  <c r="E25" i="60"/>
  <c r="E38" i="80"/>
  <c r="S50" i="57"/>
  <c r="S49" i="57" l="1"/>
  <c r="S51" i="57" s="1"/>
  <c r="E50" i="57"/>
  <c r="AB50" i="57"/>
  <c r="AD50" i="57"/>
  <c r="I50" i="57"/>
  <c r="F50" i="57"/>
  <c r="W50" i="57"/>
  <c r="AC50" i="57"/>
  <c r="M50" i="57"/>
  <c r="AA50" i="57"/>
  <c r="X50" i="57"/>
  <c r="N50" i="57"/>
  <c r="Y50" i="57"/>
  <c r="J50" i="57"/>
  <c r="L50" i="57"/>
  <c r="R50" i="57"/>
  <c r="G50" i="57"/>
  <c r="U50" i="57"/>
  <c r="K50" i="57"/>
  <c r="H50" i="57"/>
  <c r="O50" i="57"/>
  <c r="P50" i="57"/>
  <c r="V50" i="57"/>
  <c r="Z50" i="57"/>
  <c r="Q50" i="57"/>
  <c r="T50" i="57"/>
  <c r="T49" i="57" l="1"/>
  <c r="T51" i="57" s="1"/>
  <c r="P49" i="57"/>
  <c r="P51" i="57" s="1"/>
  <c r="H49" i="57"/>
  <c r="H51" i="57" s="1"/>
  <c r="U49" i="57"/>
  <c r="U51" i="57" s="1"/>
  <c r="R49" i="57"/>
  <c r="R51" i="57" s="1"/>
  <c r="J49" i="57"/>
  <c r="J51" i="57" s="1"/>
  <c r="N49" i="57"/>
  <c r="N51" i="57" s="1"/>
  <c r="AA49" i="57"/>
  <c r="AA51" i="57" s="1"/>
  <c r="AC49" i="57"/>
  <c r="AC51" i="57" s="1"/>
  <c r="F49" i="57"/>
  <c r="F51" i="57" s="1"/>
  <c r="AD49" i="57"/>
  <c r="AD51" i="57" s="1"/>
  <c r="E49" i="57"/>
  <c r="E51" i="57" s="1"/>
  <c r="D50" i="57"/>
  <c r="Z49" i="57"/>
  <c r="Z51" i="57" s="1"/>
  <c r="Q49" i="57"/>
  <c r="Q51" i="57" s="1"/>
  <c r="V49" i="57"/>
  <c r="V51" i="57" s="1"/>
  <c r="O49" i="57"/>
  <c r="O51" i="57" s="1"/>
  <c r="K49" i="57"/>
  <c r="K51" i="57" s="1"/>
  <c r="G49" i="57"/>
  <c r="G51" i="57" s="1"/>
  <c r="L49" i="57"/>
  <c r="L51" i="57" s="1"/>
  <c r="Y49" i="57"/>
  <c r="Y51" i="57" s="1"/>
  <c r="X49" i="57"/>
  <c r="X51" i="57" s="1"/>
  <c r="M49" i="57"/>
  <c r="M51" i="57" s="1"/>
  <c r="W49" i="57"/>
  <c r="W51" i="57" s="1"/>
  <c r="I49" i="57"/>
  <c r="I51" i="57" s="1"/>
  <c r="AB49" i="57"/>
  <c r="AB51" i="57" s="1"/>
  <c r="D51" i="57" l="1"/>
  <c r="D49" i="57"/>
</calcChain>
</file>

<file path=xl/comments1.xml><?xml version="1.0" encoding="utf-8"?>
<comments xmlns="http://schemas.openxmlformats.org/spreadsheetml/2006/main">
  <authors>
    <author>Bryan Liu</author>
  </authors>
  <commentList>
    <comment ref="K22" authorId="0" shapeId="0">
      <text>
        <r>
          <rPr>
            <b/>
            <sz val="9"/>
            <color indexed="81"/>
            <rFont val="Tahoma"/>
            <family val="2"/>
          </rPr>
          <t>Bryan Liu: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<sst xmlns="http://schemas.openxmlformats.org/spreadsheetml/2006/main" count="942" uniqueCount="428">
  <si>
    <t>Population</t>
  </si>
  <si>
    <t>Total</t>
  </si>
  <si>
    <t>Age Range</t>
  </si>
  <si>
    <t>Selected</t>
  </si>
  <si>
    <t>Severe</t>
  </si>
  <si>
    <t>Moderate</t>
  </si>
  <si>
    <t>Percent</t>
  </si>
  <si>
    <t>85+</t>
  </si>
  <si>
    <t>Column Notes: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</si>
  <si>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</si>
  <si>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</si>
  <si>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</si>
  <si>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</si>
  <si>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</si>
  <si>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</si>
  <si>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</si>
  <si>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</si>
  <si>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</si>
  <si>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</si>
  <si>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</si>
  <si>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</si>
  <si>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</si>
  <si>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</si>
  <si>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</si>
  <si>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</si>
  <si>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</si>
  <si>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Percentage</t>
  </si>
  <si>
    <t xml:space="preserve">Morbidity  (1) </t>
  </si>
  <si>
    <t>US Census</t>
  </si>
  <si>
    <t xml:space="preserve">Mortality Ratio of     </t>
  </si>
  <si>
    <t>Morbidity</t>
  </si>
  <si>
    <t>Distribution of Morbidity by Age</t>
  </si>
  <si>
    <t>Cases</t>
  </si>
  <si>
    <t>Mild</t>
  </si>
  <si>
    <t>Age</t>
  </si>
  <si>
    <t>Range</t>
  </si>
  <si>
    <t>Deaths</t>
  </si>
  <si>
    <t># Physicians</t>
  </si>
  <si>
    <t># Nurses</t>
  </si>
  <si>
    <t>Hospital</t>
  </si>
  <si>
    <t xml:space="preserve">Distribution by Age  (2) </t>
  </si>
  <si>
    <t>Outpatient</t>
  </si>
  <si>
    <t>Not Seeking</t>
  </si>
  <si>
    <t xml:space="preserve">Insured vs Gen Pop (3) </t>
  </si>
  <si>
    <t>Mortality</t>
  </si>
  <si>
    <t>Low Risk</t>
  </si>
  <si>
    <t>Cost</t>
  </si>
  <si>
    <t>High Risk</t>
  </si>
  <si>
    <t>Outpatient - Low Risk</t>
  </si>
  <si>
    <t>Deaths - Low Risk</t>
  </si>
  <si>
    <t>Seasonal</t>
  </si>
  <si>
    <t>Pandemic Scenario Assumptions</t>
  </si>
  <si>
    <t>Outpatient - High Risk</t>
  </si>
  <si>
    <t>Deaths - High Risk</t>
  </si>
  <si>
    <t>Hospitalizations - Low Risk</t>
  </si>
  <si>
    <t>(Millions)</t>
  </si>
  <si>
    <t>Case Distribution by Provider Type</t>
  </si>
  <si>
    <t>Number of Cases by Provider Type</t>
  </si>
  <si>
    <t>Morbidity Distribution</t>
  </si>
  <si>
    <t>Low Risk Cases by Provider Type</t>
  </si>
  <si>
    <t>High Risk Cases by Provider Type</t>
  </si>
  <si>
    <t xml:space="preserve"> Based on Molinari</t>
  </si>
  <si>
    <t xml:space="preserve"> (7) x (1)</t>
  </si>
  <si>
    <t xml:space="preserve"> (9) x (1)</t>
  </si>
  <si>
    <t xml:space="preserve"> (11) x (1)</t>
  </si>
  <si>
    <t>Family Care Factor</t>
  </si>
  <si>
    <t>Total Hospital Beds</t>
  </si>
  <si>
    <t>Hospitalizations - High Risk</t>
  </si>
  <si>
    <t>Total Capacity</t>
  </si>
  <si>
    <t>Hospital Capacity Assumptions</t>
  </si>
  <si>
    <t>Total Non-ICU Beds</t>
  </si>
  <si>
    <t>Total Ventilators</t>
  </si>
  <si>
    <t>ICU Bed Use</t>
  </si>
  <si>
    <t>Non-ICU Bed Use</t>
  </si>
  <si>
    <t>Ventilator Use</t>
  </si>
  <si>
    <t>Average Utilization</t>
  </si>
  <si>
    <t>Average Daily Inpatients</t>
  </si>
  <si>
    <t>Hospital Staffing Considerations</t>
  </si>
  <si>
    <t>Physicians Per Bed</t>
  </si>
  <si>
    <t>Nurses Per Bed</t>
  </si>
  <si>
    <t>Hospital Beds</t>
  </si>
  <si>
    <t>Non-ICU Beds</t>
  </si>
  <si>
    <t>Ventilators</t>
  </si>
  <si>
    <t>Hospital Utilization Assumptions</t>
  </si>
  <si>
    <t>Ventilator Length of Stay</t>
  </si>
  <si>
    <t xml:space="preserve"> % of Deaths Hospitalized</t>
  </si>
  <si>
    <t>Hospital Capacity</t>
  </si>
  <si>
    <t>ICU Capacity</t>
  </si>
  <si>
    <t>Ventilator Capacity</t>
  </si>
  <si>
    <t># of influenza deaths in hospital</t>
  </si>
  <si>
    <t>% Needing ICU Care</t>
  </si>
  <si>
    <t>% Needing Ventilators</t>
  </si>
  <si>
    <t>Excess Ventilator Demand</t>
  </si>
  <si>
    <t>Net of Deaths</t>
  </si>
  <si>
    <t>Outpatient Cases</t>
  </si>
  <si>
    <t>Provider Utilization by Week</t>
  </si>
  <si>
    <t>Pandemic Influenza Cases</t>
  </si>
  <si>
    <t>Week of Scenario</t>
  </si>
  <si>
    <t>Outpatient Nurse Capacity</t>
  </si>
  <si>
    <t>Outpatient Physician Capacity</t>
  </si>
  <si>
    <t>Total Physician Capacity</t>
  </si>
  <si>
    <t>Hospital Needs</t>
  </si>
  <si>
    <t>Physicians Remaining</t>
  </si>
  <si>
    <t>Total Nurse Capacity</t>
  </si>
  <si>
    <t>Nurses Remaining</t>
  </si>
  <si>
    <t>ICU Bed Capacity</t>
  </si>
  <si>
    <t>Hospital Non-ICU Cases</t>
  </si>
  <si>
    <t>Hospital ICU Cases</t>
  </si>
  <si>
    <t>Total Hospital Demand</t>
  </si>
  <si>
    <t>Weekly Outpatient Caseload</t>
  </si>
  <si>
    <t>Physician Cases (Hosp + Out)</t>
  </si>
  <si>
    <t>Nurse Cases (Hosp + Out)</t>
  </si>
  <si>
    <t>Multiple of Seasonal</t>
  </si>
  <si>
    <t>Provider Scenario Assumptions</t>
  </si>
  <si>
    <t>Outpatient Capacity Assumptions</t>
  </si>
  <si>
    <t>Total Physicians</t>
  </si>
  <si>
    <t>Total Nurses</t>
  </si>
  <si>
    <t>Family Care Absences</t>
  </si>
  <si>
    <t>Exhibit 2, Page 5</t>
  </si>
  <si>
    <t>Hospital Case Distribution</t>
  </si>
  <si>
    <t>Outpatient Case Distribution</t>
  </si>
  <si>
    <t>Charge</t>
  </si>
  <si>
    <t>Avg Cost (Hosp + Dth)</t>
  </si>
  <si>
    <t>Weibull Alpha</t>
  </si>
  <si>
    <t>Weibull Beta</t>
  </si>
  <si>
    <t>Distribution Input Parameters</t>
  </si>
  <si>
    <t>Death</t>
  </si>
  <si>
    <t>Provider Case Distribution</t>
  </si>
  <si>
    <t>Weekly Physician Illnesses</t>
  </si>
  <si>
    <t>Weekly Nurse Illnesses</t>
  </si>
  <si>
    <t>ICU Demand</t>
  </si>
  <si>
    <t>Avg Hosp Costs</t>
  </si>
  <si>
    <t>Avg Death Costs</t>
  </si>
  <si>
    <t>Avg Outpatient Cost</t>
  </si>
  <si>
    <t>Average Cost By Provider</t>
  </si>
  <si>
    <t>Total # of deaths from influenza</t>
  </si>
  <si>
    <t>Gross Cost</t>
  </si>
  <si>
    <t>S</t>
  </si>
  <si>
    <t>M</t>
  </si>
  <si>
    <t>Provider Charges By Scenario, Provider, and Risk Group</t>
  </si>
  <si>
    <t>Total Costs</t>
  </si>
  <si>
    <t>Total Costs by Provider and Risk Group</t>
  </si>
  <si>
    <t>VV</t>
  </si>
  <si>
    <t>Rate</t>
  </si>
  <si>
    <t xml:space="preserve">Utilization Adjustment    </t>
  </si>
  <si>
    <t xml:space="preserve">Insured vs Gen Pop (4) </t>
  </si>
  <si>
    <t xml:space="preserve">Wave Duration (5) </t>
  </si>
  <si>
    <t xml:space="preserve">Risk Adjustment    </t>
  </si>
  <si>
    <t>By Age</t>
  </si>
  <si>
    <t>Distribution by Age</t>
  </si>
  <si>
    <t>Members</t>
  </si>
  <si>
    <t># Cases</t>
  </si>
  <si>
    <t>Dths Hosp</t>
  </si>
  <si>
    <t>Cases by Provider</t>
  </si>
  <si>
    <t>Employee</t>
  </si>
  <si>
    <t>EE OOP Costs</t>
  </si>
  <si>
    <t>OOP Costs</t>
  </si>
  <si>
    <t>OOP x Cases</t>
  </si>
  <si>
    <t/>
  </si>
  <si>
    <t>as % of Total</t>
  </si>
  <si>
    <t xml:space="preserve"> Selected scenario morbidity by age</t>
  </si>
  <si>
    <t>Self-Care</t>
  </si>
  <si>
    <t>Hospitalizations</t>
  </si>
  <si>
    <t>Total Hospital Cases (w/ Deaths)</t>
  </si>
  <si>
    <t>1918 "V\ " Curve</t>
  </si>
  <si>
    <t>V\</t>
  </si>
  <si>
    <t>Moderate "U" Curve</t>
  </si>
  <si>
    <t xml:space="preserve"> Based on moderate distribution of deaths</t>
  </si>
  <si>
    <t xml:space="preserve">  Seasonal "S", Moderate "U" curve, Severe "VV", or 1918 "V\"</t>
  </si>
  <si>
    <t xml:space="preserve"> (13) x (1)</t>
  </si>
  <si>
    <t xml:space="preserve"> Selected morbidity curve (morbidity distribution by age)</t>
  </si>
  <si>
    <t xml:space="preserve"> Relative proportion of high risk individuals for insured vs general population</t>
  </si>
  <si>
    <t xml:space="preserve"> Weeks for a wave to pass. Longer is conservative - allows more services and higher resulting costs.</t>
  </si>
  <si>
    <t xml:space="preserve"> Relative intensity of utilization of services for insureds vs general population</t>
  </si>
  <si>
    <t xml:space="preserve">  Weeks for wave to pass (6 - 24)</t>
  </si>
  <si>
    <t xml:space="preserve"> Census population net of deaths and their proportionate exposures</t>
  </si>
  <si>
    <t xml:space="preserve"> Based on severe "V\" distribution of deaths</t>
  </si>
  <si>
    <t xml:space="preserve"> Based on severe "VV" distribution of deaths</t>
  </si>
  <si>
    <t xml:space="preserve"> Seasonal from Molinari; moderate &amp; severe based on HHS</t>
  </si>
  <si>
    <t xml:space="preserve"> (15) x (6)</t>
  </si>
  <si>
    <t xml:space="preserve"> Exhibit 3, Page 2 Column 16</t>
  </si>
  <si>
    <t xml:space="preserve"> Exhibit 3, Page 2 Column 6</t>
  </si>
  <si>
    <t xml:space="preserve"> Based on Scenario</t>
  </si>
  <si>
    <t xml:space="preserve"> (3) x (2)</t>
  </si>
  <si>
    <t xml:space="preserve"> (4) x (2)</t>
  </si>
  <si>
    <t xml:space="preserve"> (5) x (2)</t>
  </si>
  <si>
    <t xml:space="preserve"> 1 - (10) - (11)</t>
  </si>
  <si>
    <t xml:space="preserve"> Based on Molinari research</t>
  </si>
  <si>
    <t xml:space="preserve"> 1 - (13) - (14)</t>
  </si>
  <si>
    <t xml:space="preserve"> Based on ratio of moderate vs seasonal</t>
  </si>
  <si>
    <t xml:space="preserve"> morbidity &amp; judgment</t>
  </si>
  <si>
    <t xml:space="preserve"> deaths &amp; judgment</t>
  </si>
  <si>
    <t xml:space="preserve"> 1 - (16) - (17)</t>
  </si>
  <si>
    <t xml:space="preserve"> Based on ratio of severe vs moderate morbidity by age &amp; judgment</t>
  </si>
  <si>
    <t xml:space="preserve"> Based on ratio of severe vs moderate mortality by age &amp; judgment</t>
  </si>
  <si>
    <t xml:space="preserve"> 1 - (19) - (20)</t>
  </si>
  <si>
    <t xml:space="preserve"> Based on ratio of 1918 vs moderate morbidity by age &amp; judgment</t>
  </si>
  <si>
    <t xml:space="preserve"> Based on ratio of 1918 vs moderate mortality by age &amp; judgment</t>
  </si>
  <si>
    <t>Moderate*</t>
  </si>
  <si>
    <t>Total ICU Beds</t>
  </si>
  <si>
    <t>ICU Beds</t>
  </si>
  <si>
    <t>Severe*</t>
  </si>
  <si>
    <t>Excess ICU Demand</t>
  </si>
  <si>
    <t>Non-ICU Length of Stay</t>
  </si>
  <si>
    <t>ICU Length of Stay</t>
  </si>
  <si>
    <t>Hospital Charge Adj.*</t>
  </si>
  <si>
    <t>* Reduction in hospital charges as a percentage of reduction in non - ICU length of stay.</t>
  </si>
  <si>
    <t>Hospital Non-ICU Bed Demand</t>
  </si>
  <si>
    <t>Hospital ICU Bed Demand</t>
  </si>
  <si>
    <t>Hospital Demand</t>
  </si>
  <si>
    <t>Distribution 1:  Normal</t>
  </si>
  <si>
    <t>Distribution 2:  Weibull</t>
  </si>
  <si>
    <t xml:space="preserve"> Based on Meltzer</t>
  </si>
  <si>
    <t xml:space="preserve"> Informed by 2009 H1N1</t>
  </si>
  <si>
    <t>Normal Std Deviation Factor</t>
  </si>
  <si>
    <t>Weekly Hospital Bed Demand</t>
  </si>
  <si>
    <t>Covered Members  (1)</t>
  </si>
  <si>
    <t>Deaths Hospital</t>
  </si>
  <si>
    <t>Insured vs Pop Mortality Ratio  (2)</t>
  </si>
  <si>
    <t>Utilization Adjustment  (3)</t>
  </si>
  <si>
    <t>Risk Adjustment  (4)</t>
  </si>
  <si>
    <t>Net Pre-Tax Cost</t>
  </si>
  <si>
    <t>Net After Tax Cost</t>
  </si>
  <si>
    <t>Total Outpatient</t>
  </si>
  <si>
    <t>Total Hospitalizations</t>
  </si>
  <si>
    <t>Total Deaths</t>
  </si>
  <si>
    <t>Provider Labels:</t>
  </si>
  <si>
    <t>Current Scenario:</t>
  </si>
  <si>
    <t>Medical Inflation Rate:</t>
  </si>
  <si>
    <t>Cumulative Inflation:</t>
  </si>
  <si>
    <t>TaxRate:</t>
  </si>
  <si>
    <t>LOB1 Population:</t>
  </si>
  <si>
    <t>ICU Stepdown:</t>
  </si>
  <si>
    <t>Population Statistics</t>
  </si>
  <si>
    <t>LOB2 Population:</t>
  </si>
  <si>
    <t>Insured Population:</t>
  </si>
  <si>
    <t>Total Private Insurance:</t>
  </si>
  <si>
    <t>Net After Tax PMPM</t>
  </si>
  <si>
    <t>Covered Members</t>
  </si>
  <si>
    <t>"VV " Curve</t>
  </si>
  <si>
    <t>Hypothetical "W"</t>
  </si>
  <si>
    <t>(Drop Down Menu)</t>
  </si>
  <si>
    <t>Company Statistics</t>
  </si>
  <si>
    <t>LOB1:</t>
  </si>
  <si>
    <t>LOB2:</t>
  </si>
  <si>
    <t>Seasonal "U"</t>
  </si>
  <si>
    <t>Moderate "U"</t>
  </si>
  <si>
    <t>1918 "V\"</t>
  </si>
  <si>
    <t>Scenario Selection</t>
  </si>
  <si>
    <t xml:space="preserve">per 1000  (1) </t>
  </si>
  <si>
    <t xml:space="preserve">Population Deaths   </t>
  </si>
  <si>
    <t>Claims Projected From:</t>
  </si>
  <si>
    <t>Claims Projected To:</t>
  </si>
  <si>
    <t>Company Specific Assumptions</t>
  </si>
  <si>
    <t>Distribution Curve:</t>
  </si>
  <si>
    <t>Distribution Curve Menu:</t>
  </si>
  <si>
    <t>Distribution Curve Labels:</t>
  </si>
  <si>
    <t>Scenario Menu:</t>
  </si>
  <si>
    <t>Tab:: Scenario</t>
  </si>
  <si>
    <t>Tab:: Total Costs</t>
  </si>
  <si>
    <t>Tab:: Morbidity Distribution</t>
  </si>
  <si>
    <t>Tab:: Distribution by Provider</t>
  </si>
  <si>
    <t>Available Surge Capacity</t>
  </si>
  <si>
    <t>Selected Severity:</t>
  </si>
  <si>
    <t>Tab:: Case Distribution</t>
  </si>
  <si>
    <t>Tab:: Provider Utilization</t>
  </si>
  <si>
    <t>Tab:: Provider Charges</t>
  </si>
  <si>
    <t>Tab:: Provider Scenario</t>
  </si>
  <si>
    <t>Patients Needing Ventilators</t>
  </si>
  <si>
    <t>Medical Inflation Rate</t>
  </si>
  <si>
    <t>Feb. 29, 2016</t>
  </si>
  <si>
    <t>Jan. 31, 2016</t>
  </si>
  <si>
    <t>Dec. 31, 2015</t>
  </si>
  <si>
    <t>Nov. 30, 2015</t>
  </si>
  <si>
    <t>Oct. 31, 2015</t>
  </si>
  <si>
    <t>Sept. 30, 2015</t>
  </si>
  <si>
    <t>Aug. 31, 2015</t>
  </si>
  <si>
    <t>Feb. 28, 2015</t>
  </si>
  <si>
    <t>Jan. 31, 2015</t>
  </si>
  <si>
    <t>Dec. 31, 2014</t>
  </si>
  <si>
    <t>Nov. 30, 2014</t>
  </si>
  <si>
    <t>Oct. 31, 2014</t>
  </si>
  <si>
    <t>Sept. 30, 2014</t>
  </si>
  <si>
    <t>Aug. 31, 2014</t>
  </si>
  <si>
    <t>Feb. 28, 2014</t>
  </si>
  <si>
    <t>Jan. 31, 2014</t>
  </si>
  <si>
    <t>Dec. 31, 2013</t>
  </si>
  <si>
    <t>Nov. 30, 2013</t>
  </si>
  <si>
    <t>Oct. 31, 2013</t>
  </si>
  <si>
    <t>Sept. 30, 2013</t>
  </si>
  <si>
    <t>Aug. 31, 2013</t>
  </si>
  <si>
    <t>Feb. 28, 2013</t>
  </si>
  <si>
    <t>Jan. 31, 2013</t>
  </si>
  <si>
    <t>Dec. 31, 2012</t>
  </si>
  <si>
    <t>Nov. 30, 2012</t>
  </si>
  <si>
    <t>Oct. 31, 2012</t>
  </si>
  <si>
    <t>Sept. 30, 2012</t>
  </si>
  <si>
    <t>Aug. 31, 2012</t>
  </si>
  <si>
    <t>Feb. 29, 2012</t>
  </si>
  <si>
    <t>Jan. 31, 2012</t>
  </si>
  <si>
    <t>Source</t>
  </si>
  <si>
    <t>https://ycharts.com/indicators/us_health_care_inflation_rate</t>
  </si>
  <si>
    <t>Line of Businesses</t>
  </si>
  <si>
    <t>Product</t>
  </si>
  <si>
    <t>Health Plan Commercial Risk</t>
  </si>
  <si>
    <t>Health Plan Commercial ASO</t>
  </si>
  <si>
    <t>Medicare Advantage CCP</t>
  </si>
  <si>
    <t>Other National ASO</t>
  </si>
  <si>
    <t>Medicare Part D</t>
  </si>
  <si>
    <t>(Coventry Healthcare 2013Q1 Report)</t>
  </si>
  <si>
    <t>Gross Cost as of 2021 (Millions)</t>
  </si>
  <si>
    <t>Gross Cost as of 2016 (Millions)</t>
  </si>
  <si>
    <t>Cumulative Inflation</t>
  </si>
  <si>
    <t>Net Payer Cost (2016)</t>
  </si>
  <si>
    <t>2014 Census</t>
  </si>
  <si>
    <t>Male</t>
  </si>
  <si>
    <t>Female</t>
  </si>
  <si>
    <t>Medicaid Risk</t>
  </si>
  <si>
    <t>CDC Estimates</t>
  </si>
  <si>
    <t>Mid Lvl Range</t>
  </si>
  <si>
    <t>0-17</t>
  </si>
  <si>
    <t>18-64</t>
  </si>
  <si>
    <t>65+</t>
  </si>
  <si>
    <t>Upper Bnd</t>
  </si>
  <si>
    <t>Lower Bnd</t>
  </si>
  <si>
    <t>Hospitalization</t>
  </si>
  <si>
    <t>http://www.cdc.gov/h1n1flu/pdf/graph_March%202010.pdf</t>
  </si>
  <si>
    <t>Infected Individuals</t>
  </si>
  <si>
    <t>2009 H1N1 Influenza (March 13 2010)</t>
  </si>
  <si>
    <t>Census</t>
  </si>
  <si>
    <t>Both Sexes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</si>
  <si>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</si>
  <si>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</si>
  <si>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</si>
  <si>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</si>
  <si>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</si>
  <si>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</si>
  <si>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</si>
  <si>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</si>
  <si>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</si>
  <si>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</si>
  <si>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</si>
  <si>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</si>
  <si>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</si>
  <si>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</si>
  <si>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</si>
  <si>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</si>
  <si>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</si>
  <si>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</si>
  <si>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qx med</t>
  </si>
  <si>
    <t>qx lower</t>
  </si>
  <si>
    <t>qx upper</t>
  </si>
  <si>
    <t>Rate med</t>
  </si>
  <si>
    <t>Rate Low</t>
  </si>
  <si>
    <t>Rate High</t>
  </si>
  <si>
    <t>Census 2010 Summary</t>
  </si>
  <si>
    <t>2016 Gross Cost</t>
  </si>
  <si>
    <t>Total Company Estimated Gross Costs as of 2016</t>
  </si>
  <si>
    <t>Outpatient Rates</t>
  </si>
  <si>
    <t>PERCENTAGE OF VISITS FOR INFLUENZA-LIKE-ILLNESS REPORTED BY SENTINEL PROVIDERS 2008-2009</t>
  </si>
  <si>
    <t>Week</t>
  </si>
  <si>
    <t>Age 0-4</t>
  </si>
  <si>
    <t>Age 5-24</t>
  </si>
  <si>
    <t>Age 25-64</t>
  </si>
  <si>
    <t>Age over 64</t>
  </si>
  <si>
    <t>Total ILI</t>
  </si>
  <si>
    <t>Total Patients</t>
  </si>
  <si>
    <t>% Unweighted ILI</t>
  </si>
  <si>
    <t>% Weighted ILI</t>
  </si>
  <si>
    <t>http://www.cdc.gov/flu/weekly/weeklyarchives2008-2009/weekly34.htm</t>
  </si>
  <si>
    <t>Avg Outpatient Rates</t>
  </si>
  <si>
    <t>Infection</t>
  </si>
  <si>
    <t xml:space="preserve">Outpatient </t>
  </si>
  <si>
    <t>Assumptions</t>
  </si>
  <si>
    <t>Pandemic Scenario Assumptions - H1N1(2009)</t>
  </si>
  <si>
    <t>Infected</t>
  </si>
  <si>
    <t>Low Risk Class</t>
  </si>
  <si>
    <t>High Risk Class</t>
  </si>
  <si>
    <t>Net 2016 Payer Cost</t>
  </si>
  <si>
    <t>Inflation</t>
  </si>
  <si>
    <t>Estimated Gross Cost</t>
  </si>
  <si>
    <t>Servere</t>
  </si>
  <si>
    <t>Seasonal "U" Curve</t>
  </si>
  <si>
    <t>Hypothetical "W" Curve</t>
  </si>
  <si>
    <t>1918 "V\" Curve</t>
  </si>
  <si>
    <t>Mort</t>
  </si>
  <si>
    <t>Normal Mort</t>
  </si>
  <si>
    <t>Adj Mort</t>
  </si>
  <si>
    <t>Adj Deaths</t>
  </si>
  <si>
    <t>Norm Deaths</t>
  </si>
  <si>
    <t>New Mort</t>
  </si>
  <si>
    <t>Current Assumptions---&gt;</t>
  </si>
  <si>
    <t>Scenario/Distribution</t>
  </si>
  <si>
    <t>W</t>
  </si>
  <si>
    <t>Result Matrix-Net After Tax Costs(Million)</t>
  </si>
  <si>
    <t>Adjustment for Employee Out Of Pocket (Millions)</t>
  </si>
  <si>
    <t>Operating revenues:</t>
  </si>
  <si>
    <t>Managed care premiums</t>
  </si>
  <si>
    <t>Management services</t>
  </si>
  <si>
    <t>Total operating revenues</t>
  </si>
  <si>
    <t>Operating expenses:</t>
  </si>
  <si>
    <t>Medical costs</t>
  </si>
  <si>
    <t>Cost of sales</t>
  </si>
  <si>
    <t>Selling, general and administrative</t>
  </si>
  <si>
    <t>Depreciation and amortization</t>
  </si>
  <si>
    <t>Total operating expenses</t>
  </si>
  <si>
    <t>Operating earnings</t>
  </si>
  <si>
    <t>Interest expense</t>
  </si>
  <si>
    <t>Other income, net</t>
  </si>
  <si>
    <t>Earnings before income taxes</t>
  </si>
  <si>
    <t>Provision for income taxes</t>
  </si>
  <si>
    <t>Net earnings</t>
  </si>
  <si>
    <t>Net earnings per common share:</t>
  </si>
  <si>
    <t>Basic earnings per common share</t>
  </si>
  <si>
    <t>Diluted earnings per common share</t>
  </si>
  <si>
    <t>Cash dividends declared per share</t>
  </si>
  <si>
    <t>Other comprehensive income, net of tax:</t>
  </si>
  <si>
    <t>Change in unrealized investment holding gains</t>
  </si>
  <si>
    <t>Reclassification adjustment, net</t>
  </si>
  <si>
    <t>Income tax benefit (provision)</t>
  </si>
  <si>
    <t>Other comprehensive income, net of tax</t>
  </si>
  <si>
    <t>Comprehensive income</t>
  </si>
  <si>
    <t>Costs as % of Annual Premium</t>
  </si>
  <si>
    <t>Costs as % of Net Income</t>
  </si>
  <si>
    <t>%</t>
  </si>
  <si>
    <t>Removed AFC for added simplicity of calculations</t>
  </si>
  <si>
    <t>Based mortality/hospitalization/outpatient/infection rates on H1N1(2009) data</t>
  </si>
  <si>
    <t>Financial impact is put into context through the use of information from Coventry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</si>
</sst>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0.0"/>
    <numFmt numFmtId="169" formatCode="_(* #,##0.000_);_(* \(#,##0.000\);_(* &quot;-&quot;??_);_(@_)"/>
    <numFmt numFmtId="170" formatCode="_(* #,##0.00000_);_(* \(#,##0.00000\);_(* &quot;-&quot;??_);_(@_)"/>
    <numFmt numFmtId="171" formatCode="0_);\(0\)"/>
    <numFmt numFmtId="172" formatCode="_(* #,##0.0000_);_(* \(#,##0.0000\);_(* &quot;-&quot;??_);_(@_)"/>
    <numFmt numFmtId="173" formatCode="_(* #,##0.0_);_(* \(#,##0.0\);_(* &quot;-&quot;?_);_(@_)"/>
    <numFmt numFmtId="174" formatCode="_(&quot;$&quot;* #,##0_);_(&quot;$&quot;* \(#,##0\);_(&quot;$&quot;* &quot;-&quot;??_);_(@_)"/>
    <numFmt numFmtId="175" formatCode="_(* #,##0_);_(* \(#,##0\);_(* &quot;-&quot;???_);_(@_)"/>
    <numFmt numFmtId="176" formatCode="_(&quot;$&quot;* #,##0.0_);_(&quot;$&quot;* \(#,##0.0\);_(&quot;$&quot;* &quot;-&quot;??_);_(@_)"/>
    <numFmt numFmtId="177" formatCode="0.0000%"/>
    <numFmt numFmtId="178" formatCode="0.00000%"/>
    <numFmt numFmtId="179" formatCode="0.000%"/>
  </numFmts>
  <fonts count="4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36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color rgb="FFFF0000"/>
      <name val="Arial"/>
      <family val="2"/>
    </font>
    <font>
      <sz val="10"/>
      <color theme="3" tint="0.39997558519241921"/>
      <name val="Arial"/>
      <family val="2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D2446"/>
      <name val="Arial"/>
      <family val="2"/>
    </font>
    <font>
      <b/>
      <sz val="10"/>
      <color rgb="FF999999"/>
      <name val="Arial"/>
      <family val="2"/>
    </font>
    <font>
      <b/>
      <sz val="8"/>
      <color rgb="FFFFFFFF"/>
      <name val="Arial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Inherit"/>
    </font>
    <font>
      <b/>
      <sz val="10"/>
      <name val="Inherit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8E6"/>
        <bgColor indexed="64"/>
      </patternFill>
    </fill>
    <fill>
      <patternFill patternType="solid">
        <fgColor rgb="FFBDD0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 style="medium">
        <color rgb="FFAAAAAA"/>
      </right>
      <top style="medium">
        <color indexed="64"/>
      </top>
      <bottom/>
      <diagonal/>
    </border>
    <border>
      <left style="medium">
        <color rgb="FFAAAAAA"/>
      </left>
      <right style="medium">
        <color indexed="64"/>
      </right>
      <top style="medium">
        <color indexed="64"/>
      </top>
      <bottom style="medium">
        <color rgb="FFAAAAAA"/>
      </bottom>
      <diagonal/>
    </border>
    <border>
      <left style="medium">
        <color indexed="64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indexed="64"/>
      </right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indexed="64"/>
      </right>
      <top style="medium">
        <color rgb="FFAAAAAA"/>
      </top>
      <bottom/>
      <diagonal/>
    </border>
    <border>
      <left style="medium">
        <color indexed="64"/>
      </left>
      <right/>
      <top style="medium">
        <color rgb="FFAAAAAA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AAAAAA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AAAAA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640">
    <xf numFmtId="0" fontId="0" fillId="0" borderId="0" xfId="0"/>
    <xf numFmtId="0" fontId="4" fillId="0" borderId="0" xfId="5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67" fontId="4" fillId="0" borderId="0" xfId="1" applyNumberFormat="1" applyFont="1"/>
    <xf numFmtId="167" fontId="4" fillId="0" borderId="0" xfId="0" applyNumberFormat="1" applyFont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3" fontId="4" fillId="0" borderId="0" xfId="1" applyFont="1"/>
    <xf numFmtId="43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4" fillId="0" borderId="0" xfId="5" applyFont="1" applyAlignment="1">
      <alignment horizontal="center"/>
    </xf>
    <xf numFmtId="167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4" fillId="0" borderId="0" xfId="5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6" fontId="3" fillId="0" borderId="0" xfId="1" quotePrefix="1" applyNumberFormat="1" applyFont="1" applyBorder="1" applyAlignment="1">
      <alignment horizontal="right"/>
    </xf>
    <xf numFmtId="166" fontId="0" fillId="0" borderId="0" xfId="1" applyNumberFormat="1" applyFont="1" applyBorder="1"/>
    <xf numFmtId="0" fontId="4" fillId="0" borderId="0" xfId="0" applyFont="1" applyFill="1"/>
    <xf numFmtId="0" fontId="4" fillId="0" borderId="0" xfId="0" applyFont="1" applyAlignment="1">
      <alignment horizontal="centerContinuous"/>
    </xf>
    <xf numFmtId="43" fontId="3" fillId="0" borderId="0" xfId="1" applyFont="1" applyAlignment="1">
      <alignment horizontal="center"/>
    </xf>
    <xf numFmtId="0" fontId="4" fillId="0" borderId="1" xfId="0" applyFont="1" applyBorder="1"/>
    <xf numFmtId="167" fontId="4" fillId="0" borderId="2" xfId="1" applyNumberFormat="1" applyFont="1" applyBorder="1"/>
    <xf numFmtId="0" fontId="4" fillId="0" borderId="0" xfId="0" applyFont="1" applyBorder="1"/>
    <xf numFmtId="43" fontId="0" fillId="0" borderId="0" xfId="0" applyNumberFormat="1"/>
    <xf numFmtId="167" fontId="4" fillId="0" borderId="0" xfId="1" applyNumberFormat="1" applyFont="1" applyFill="1" applyBorder="1"/>
    <xf numFmtId="0" fontId="9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0" fontId="7" fillId="0" borderId="0" xfId="0" applyFont="1"/>
    <xf numFmtId="0" fontId="4" fillId="0" borderId="0" xfId="0" applyFont="1" applyBorder="1" applyAlignment="1">
      <alignment horizontal="right"/>
    </xf>
    <xf numFmtId="43" fontId="4" fillId="0" borderId="0" xfId="0" applyNumberFormat="1" applyFont="1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4" fillId="0" borderId="0" xfId="5" applyFont="1" applyFill="1" applyBorder="1" applyAlignment="1">
      <alignment horizontal="right"/>
    </xf>
    <xf numFmtId="43" fontId="4" fillId="0" borderId="0" xfId="1" applyNumberFormat="1" applyFont="1" applyFill="1" applyBorder="1"/>
    <xf numFmtId="43" fontId="4" fillId="0" borderId="0" xfId="1" applyFont="1" applyFill="1"/>
    <xf numFmtId="0" fontId="6" fillId="0" borderId="0" xfId="0" applyFont="1" applyAlignment="1">
      <alignment horizontal="left"/>
    </xf>
    <xf numFmtId="9" fontId="11" fillId="0" borderId="0" xfId="6" applyFont="1" applyFill="1" applyAlignment="1">
      <alignment horizontal="centerContinuous"/>
    </xf>
    <xf numFmtId="0" fontId="4" fillId="0" borderId="0" xfId="0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11" fillId="0" borderId="0" xfId="0" applyFont="1" applyAlignment="1">
      <alignment horizontal="left"/>
    </xf>
    <xf numFmtId="167" fontId="3" fillId="0" borderId="0" xfId="1" applyNumberFormat="1" applyFont="1" applyBorder="1"/>
    <xf numFmtId="0" fontId="4" fillId="0" borderId="3" xfId="0" applyFont="1" applyBorder="1"/>
    <xf numFmtId="0" fontId="3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0" borderId="3" xfId="5" applyFont="1" applyBorder="1" applyAlignment="1">
      <alignment horizontal="right"/>
    </xf>
    <xf numFmtId="171" fontId="4" fillId="0" borderId="1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65" fontId="3" fillId="0" borderId="0" xfId="6" applyNumberFormat="1" applyFont="1" applyFill="1" applyBorder="1"/>
    <xf numFmtId="0" fontId="2" fillId="0" borderId="0" xfId="0" applyFont="1"/>
    <xf numFmtId="167" fontId="0" fillId="0" borderId="0" xfId="1" applyNumberFormat="1" applyFont="1" applyFill="1" applyBorder="1"/>
    <xf numFmtId="0" fontId="0" fillId="0" borderId="8" xfId="0" applyBorder="1" applyAlignment="1">
      <alignment horizontal="centerContinuous"/>
    </xf>
    <xf numFmtId="43" fontId="2" fillId="0" borderId="0" xfId="0" applyNumberFormat="1" applyFont="1"/>
    <xf numFmtId="167" fontId="3" fillId="0" borderId="0" xfId="0" applyNumberFormat="1" applyFont="1"/>
    <xf numFmtId="165" fontId="2" fillId="0" borderId="0" xfId="6" applyNumberFormat="1" applyFont="1"/>
    <xf numFmtId="43" fontId="4" fillId="0" borderId="0" xfId="1" applyFont="1" applyAlignment="1">
      <alignment horizontal="right"/>
    </xf>
    <xf numFmtId="43" fontId="4" fillId="0" borderId="0" xfId="1" quotePrefix="1" applyFont="1" applyAlignment="1">
      <alignment horizontal="right"/>
    </xf>
    <xf numFmtId="43" fontId="4" fillId="0" borderId="0" xfId="1" applyFont="1" applyBorder="1" applyAlignment="1">
      <alignment horizontal="right"/>
    </xf>
    <xf numFmtId="43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0" applyNumberFormat="1" applyFont="1"/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3" fontId="3" fillId="0" borderId="0" xfId="1" applyNumberFormat="1" applyFont="1" applyFill="1" applyBorder="1"/>
    <xf numFmtId="43" fontId="3" fillId="0" borderId="0" xfId="1" applyFont="1" applyFill="1" applyBorder="1"/>
    <xf numFmtId="0" fontId="4" fillId="0" borderId="5" xfId="5" applyFont="1" applyBorder="1" applyAlignment="1">
      <alignment horizontal="center"/>
    </xf>
    <xf numFmtId="0" fontId="4" fillId="0" borderId="1" xfId="5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43" fontId="7" fillId="0" borderId="0" xfId="1" applyNumberFormat="1" applyFont="1" applyFill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167" fontId="0" fillId="0" borderId="3" xfId="1" applyNumberFormat="1" applyFont="1" applyBorder="1"/>
    <xf numFmtId="167" fontId="0" fillId="0" borderId="9" xfId="1" applyNumberFormat="1" applyFont="1" applyBorder="1"/>
    <xf numFmtId="43" fontId="6" fillId="0" borderId="0" xfId="1" applyNumberFormat="1" applyFont="1" applyFill="1"/>
    <xf numFmtId="167" fontId="4" fillId="0" borderId="1" xfId="1" applyNumberFormat="1" applyFont="1" applyBorder="1"/>
    <xf numFmtId="167" fontId="4" fillId="0" borderId="0" xfId="1" applyNumberFormat="1" applyFont="1" applyBorder="1"/>
    <xf numFmtId="167" fontId="4" fillId="0" borderId="3" xfId="1" applyNumberFormat="1" applyFont="1" applyBorder="1"/>
    <xf numFmtId="167" fontId="4" fillId="0" borderId="7" xfId="1" applyNumberFormat="1" applyFont="1" applyBorder="1"/>
    <xf numFmtId="167" fontId="4" fillId="0" borderId="9" xfId="1" applyNumberFormat="1" applyFont="1" applyBorder="1"/>
    <xf numFmtId="9" fontId="4" fillId="0" borderId="0" xfId="6" applyFont="1" applyFill="1" applyBorder="1"/>
    <xf numFmtId="0" fontId="4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7" fillId="0" borderId="12" xfId="0" applyFont="1" applyBorder="1" applyAlignment="1">
      <alignment horizontal="centerContinuous"/>
    </xf>
    <xf numFmtId="165" fontId="3" fillId="0" borderId="0" xfId="1" quotePrefix="1" applyNumberFormat="1" applyFont="1" applyBorder="1" applyAlignment="1">
      <alignment horizontal="right"/>
    </xf>
    <xf numFmtId="165" fontId="4" fillId="0" borderId="1" xfId="1" quotePrefix="1" applyNumberFormat="1" applyFont="1" applyBorder="1" applyAlignment="1">
      <alignment horizontal="right"/>
    </xf>
    <xf numFmtId="165" fontId="4" fillId="0" borderId="7" xfId="1" quotePrefix="1" applyNumberFormat="1" applyFont="1" applyBorder="1" applyAlignment="1">
      <alignment horizontal="right"/>
    </xf>
    <xf numFmtId="0" fontId="0" fillId="0" borderId="11" xfId="0" applyBorder="1" applyAlignment="1">
      <alignment horizontal="centerContinuous"/>
    </xf>
    <xf numFmtId="0" fontId="6" fillId="0" borderId="11" xfId="0" applyFont="1" applyBorder="1" applyAlignment="1">
      <alignment horizontal="centerContinuous"/>
    </xf>
    <xf numFmtId="0" fontId="6" fillId="0" borderId="12" xfId="0" applyFont="1" applyBorder="1" applyAlignment="1">
      <alignment horizontal="centerContinuous"/>
    </xf>
    <xf numFmtId="167" fontId="0" fillId="0" borderId="0" xfId="1" applyNumberFormat="1" applyFont="1"/>
    <xf numFmtId="2" fontId="4" fillId="0" borderId="13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43" fontId="4" fillId="0" borderId="4" xfId="1" applyNumberFormat="1" applyFont="1" applyFill="1" applyBorder="1" applyAlignment="1">
      <alignment horizontal="center"/>
    </xf>
    <xf numFmtId="165" fontId="4" fillId="0" borderId="4" xfId="6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67" fontId="1" fillId="0" borderId="3" xfId="1" applyNumberFormat="1" applyBorder="1"/>
    <xf numFmtId="167" fontId="1" fillId="0" borderId="9" xfId="1" applyNumberFormat="1" applyBorder="1"/>
    <xf numFmtId="2" fontId="4" fillId="0" borderId="0" xfId="0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5" fontId="4" fillId="0" borderId="3" xfId="6" quotePrefix="1" applyNumberFormat="1" applyFont="1" applyBorder="1" applyAlignment="1">
      <alignment horizontal="right"/>
    </xf>
    <xf numFmtId="165" fontId="4" fillId="0" borderId="9" xfId="6" quotePrefix="1" applyNumberFormat="1" applyFont="1" applyBorder="1" applyAlignment="1">
      <alignment horizontal="right"/>
    </xf>
    <xf numFmtId="165" fontId="4" fillId="0" borderId="13" xfId="6" applyNumberFormat="1" applyFont="1" applyFill="1" applyBorder="1" applyAlignment="1">
      <alignment horizontal="center"/>
    </xf>
    <xf numFmtId="165" fontId="2" fillId="0" borderId="0" xfId="0" applyNumberFormat="1" applyFont="1"/>
    <xf numFmtId="9" fontId="10" fillId="0" borderId="0" xfId="6" applyFont="1" applyFill="1" applyAlignment="1">
      <alignment horizontal="centerContinuous"/>
    </xf>
    <xf numFmtId="43" fontId="4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9" fontId="1" fillId="0" borderId="3" xfId="1" applyNumberFormat="1" applyBorder="1"/>
    <xf numFmtId="169" fontId="1" fillId="0" borderId="9" xfId="1" applyNumberFormat="1" applyBorder="1"/>
    <xf numFmtId="169" fontId="4" fillId="0" borderId="1" xfId="1" quotePrefix="1" applyNumberFormat="1" applyFont="1" applyBorder="1" applyAlignment="1">
      <alignment horizontal="right"/>
    </xf>
    <xf numFmtId="169" fontId="4" fillId="0" borderId="7" xfId="1" quotePrefix="1" applyNumberFormat="1" applyFont="1" applyBorder="1" applyAlignment="1">
      <alignment horizontal="right"/>
    </xf>
    <xf numFmtId="167" fontId="2" fillId="0" borderId="0" xfId="1" applyNumberFormat="1" applyFont="1" applyFill="1" applyBorder="1" applyAlignment="1">
      <alignment horizontal="centerContinuous"/>
    </xf>
    <xf numFmtId="167" fontId="2" fillId="0" borderId="0" xfId="1" applyNumberFormat="1" applyFont="1" applyFill="1" applyBorder="1" applyAlignment="1">
      <alignment horizontal="center"/>
    </xf>
    <xf numFmtId="9" fontId="11" fillId="0" borderId="0" xfId="6" applyFont="1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9" fontId="10" fillId="0" borderId="0" xfId="6" applyFont="1" applyFill="1" applyBorder="1" applyAlignment="1">
      <alignment horizontal="centerContinuous"/>
    </xf>
    <xf numFmtId="165" fontId="4" fillId="0" borderId="0" xfId="6" applyNumberFormat="1" applyFont="1" applyBorder="1"/>
    <xf numFmtId="167" fontId="4" fillId="0" borderId="0" xfId="1" applyNumberFormat="1" applyFont="1" applyBorder="1" applyAlignment="1">
      <alignment horizontal="centerContinuous"/>
    </xf>
    <xf numFmtId="165" fontId="4" fillId="0" borderId="0" xfId="6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/>
    </xf>
    <xf numFmtId="167" fontId="4" fillId="0" borderId="0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5" fontId="4" fillId="0" borderId="14" xfId="6" applyNumberFormat="1" applyFont="1" applyFill="1" applyBorder="1" applyAlignment="1">
      <alignment horizontal="center"/>
    </xf>
    <xf numFmtId="171" fontId="4" fillId="0" borderId="1" xfId="5" applyNumberFormat="1" applyFont="1" applyBorder="1" applyAlignment="1">
      <alignment horizontal="center"/>
    </xf>
    <xf numFmtId="171" fontId="4" fillId="0" borderId="0" xfId="5" applyNumberFormat="1" applyFont="1" applyBorder="1" applyAlignment="1">
      <alignment horizontal="center"/>
    </xf>
    <xf numFmtId="171" fontId="4" fillId="0" borderId="3" xfId="5" applyNumberFormat="1" applyFont="1" applyBorder="1" applyAlignment="1">
      <alignment horizontal="center"/>
    </xf>
    <xf numFmtId="167" fontId="4" fillId="0" borderId="3" xfId="1" applyNumberFormat="1" applyFont="1" applyBorder="1" applyAlignment="1">
      <alignment horizontal="left"/>
    </xf>
    <xf numFmtId="0" fontId="4" fillId="0" borderId="0" xfId="5" applyFont="1" applyFill="1" applyBorder="1" applyAlignment="1">
      <alignment horizontal="center"/>
    </xf>
    <xf numFmtId="0" fontId="4" fillId="0" borderId="1" xfId="5" applyFont="1" applyFill="1" applyBorder="1" applyAlignment="1">
      <alignment horizontal="center"/>
    </xf>
    <xf numFmtId="9" fontId="4" fillId="0" borderId="1" xfId="0" applyNumberFormat="1" applyFont="1" applyBorder="1"/>
    <xf numFmtId="9" fontId="4" fillId="0" borderId="7" xfId="0" applyNumberFormat="1" applyFont="1" applyBorder="1"/>
    <xf numFmtId="0" fontId="4" fillId="0" borderId="3" xfId="5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5" fontId="4" fillId="0" borderId="1" xfId="6" quotePrefix="1" applyNumberFormat="1" applyFont="1" applyBorder="1" applyAlignment="1">
      <alignment horizontal="right"/>
    </xf>
    <xf numFmtId="165" fontId="4" fillId="0" borderId="7" xfId="6" quotePrefix="1" applyNumberFormat="1" applyFont="1" applyBorder="1" applyAlignment="1">
      <alignment horizontal="right"/>
    </xf>
    <xf numFmtId="165" fontId="0" fillId="0" borderId="0" xfId="0" applyNumberFormat="1"/>
    <xf numFmtId="9" fontId="4" fillId="0" borderId="0" xfId="6" applyFont="1" applyBorder="1"/>
    <xf numFmtId="166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9" fontId="16" fillId="0" borderId="0" xfId="6" applyFont="1" applyFill="1" applyAlignment="1">
      <alignment horizontal="right"/>
    </xf>
    <xf numFmtId="167" fontId="1" fillId="0" borderId="0" xfId="1" applyNumberFormat="1" applyFont="1" applyBorder="1"/>
    <xf numFmtId="0" fontId="1" fillId="0" borderId="0" xfId="0" applyFont="1" applyBorder="1" applyAlignment="1">
      <alignment horizontal="centerContinuous"/>
    </xf>
    <xf numFmtId="173" fontId="4" fillId="0" borderId="0" xfId="0" applyNumberFormat="1" applyFont="1"/>
    <xf numFmtId="2" fontId="8" fillId="0" borderId="0" xfId="0" applyNumberFormat="1" applyFont="1" applyFill="1" applyBorder="1"/>
    <xf numFmtId="0" fontId="0" fillId="0" borderId="0" xfId="0" applyFill="1"/>
    <xf numFmtId="165" fontId="3" fillId="0" borderId="0" xfId="1" quotePrefix="1" applyNumberFormat="1" applyFont="1" applyFill="1" applyBorder="1" applyAlignment="1">
      <alignment horizontal="right"/>
    </xf>
    <xf numFmtId="165" fontId="4" fillId="0" borderId="0" xfId="1" quotePrefix="1" applyNumberFormat="1" applyFont="1" applyFill="1" applyBorder="1" applyAlignment="1">
      <alignment horizontal="right"/>
    </xf>
    <xf numFmtId="165" fontId="4" fillId="0" borderId="2" xfId="1" quotePrefix="1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7" fontId="0" fillId="0" borderId="0" xfId="0" applyNumberFormat="1" applyFill="1"/>
    <xf numFmtId="171" fontId="4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left"/>
    </xf>
    <xf numFmtId="166" fontId="3" fillId="0" borderId="0" xfId="1" quotePrefix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1" fillId="0" borderId="0" xfId="0" applyFont="1" applyFill="1"/>
    <xf numFmtId="170" fontId="5" fillId="0" borderId="0" xfId="1" quotePrefix="1" applyNumberFormat="1" applyFont="1" applyFill="1" applyBorder="1" applyAlignment="1">
      <alignment horizontal="right"/>
    </xf>
    <xf numFmtId="16" fontId="3" fillId="0" borderId="0" xfId="0" quotePrefix="1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Continuous"/>
    </xf>
    <xf numFmtId="43" fontId="14" fillId="0" borderId="0" xfId="1" applyFont="1"/>
    <xf numFmtId="0" fontId="1" fillId="0" borderId="1" xfId="5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7" fillId="0" borderId="0" xfId="0" applyFont="1"/>
    <xf numFmtId="9" fontId="4" fillId="0" borderId="0" xfId="6" applyFont="1" applyFill="1"/>
    <xf numFmtId="166" fontId="1" fillId="0" borderId="0" xfId="2" applyNumberFormat="1" applyFont="1" applyBorder="1" applyAlignment="1">
      <alignment horizontal="center"/>
    </xf>
    <xf numFmtId="0" fontId="15" fillId="0" borderId="0" xfId="0" applyFont="1" applyBorder="1"/>
    <xf numFmtId="165" fontId="1" fillId="0" borderId="0" xfId="6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1" fillId="0" borderId="0" xfId="0" applyFont="1" applyBorder="1"/>
    <xf numFmtId="166" fontId="1" fillId="0" borderId="0" xfId="2" applyNumberFormat="1" applyFont="1" applyBorder="1"/>
    <xf numFmtId="167" fontId="1" fillId="0" borderId="0" xfId="2" applyNumberFormat="1" applyFont="1" applyFill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1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6" fontId="1" fillId="0" borderId="0" xfId="2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6" fontId="0" fillId="0" borderId="0" xfId="1" applyNumberFormat="1" applyFont="1"/>
    <xf numFmtId="166" fontId="2" fillId="0" borderId="0" xfId="2" applyNumberFormat="1" applyFont="1" applyFill="1" applyBorder="1" applyAlignment="1">
      <alignment horizontal="right"/>
    </xf>
    <xf numFmtId="166" fontId="0" fillId="0" borderId="0" xfId="0" applyNumberFormat="1"/>
    <xf numFmtId="166" fontId="2" fillId="0" borderId="0" xfId="2" applyNumberFormat="1" applyFont="1" applyBorder="1" applyAlignment="1">
      <alignment horizontal="right"/>
    </xf>
    <xf numFmtId="167" fontId="1" fillId="0" borderId="0" xfId="1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167" fontId="18" fillId="0" borderId="0" xfId="2" applyNumberFormat="1" applyFont="1" applyBorder="1"/>
    <xf numFmtId="166" fontId="1" fillId="0" borderId="2" xfId="2" applyNumberFormat="1" applyFont="1" applyFill="1" applyBorder="1" applyAlignment="1">
      <alignment horizontal="right"/>
    </xf>
    <xf numFmtId="166" fontId="8" fillId="0" borderId="0" xfId="1" applyNumberFormat="1" applyFont="1" applyFill="1" applyBorder="1"/>
    <xf numFmtId="167" fontId="1" fillId="0" borderId="2" xfId="2" applyNumberFormat="1" applyFont="1" applyFill="1" applyBorder="1" applyAlignment="1">
      <alignment horizontal="right"/>
    </xf>
    <xf numFmtId="9" fontId="1" fillId="0" borderId="0" xfId="6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17" fillId="0" borderId="0" xfId="0" applyFont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0" fillId="0" borderId="0" xfId="6" applyFont="1" applyFill="1" applyAlignment="1">
      <alignment horizontal="right"/>
    </xf>
    <xf numFmtId="9" fontId="9" fillId="0" borderId="0" xfId="6" applyFont="1" applyFill="1" applyAlignment="1">
      <alignment horizontal="centerContinuous"/>
    </xf>
    <xf numFmtId="9" fontId="4" fillId="0" borderId="1" xfId="6" applyFont="1" applyFill="1" applyBorder="1"/>
    <xf numFmtId="9" fontId="4" fillId="0" borderId="3" xfId="6" applyFont="1" applyFill="1" applyBorder="1"/>
    <xf numFmtId="0" fontId="7" fillId="0" borderId="1" xfId="0" applyFont="1" applyFill="1" applyBorder="1" applyAlignment="1">
      <alignment horizontal="center"/>
    </xf>
    <xf numFmtId="9" fontId="7" fillId="0" borderId="3" xfId="6" applyFont="1" applyFill="1" applyBorder="1" applyAlignment="1">
      <alignment horizontal="center"/>
    </xf>
    <xf numFmtId="167" fontId="4" fillId="0" borderId="0" xfId="0" applyNumberFormat="1" applyFont="1" applyFill="1" applyBorder="1"/>
    <xf numFmtId="43" fontId="1" fillId="0" borderId="0" xfId="1" applyNumberFormat="1" applyFont="1" applyBorder="1"/>
    <xf numFmtId="168" fontId="1" fillId="0" borderId="0" xfId="0" applyNumberFormat="1" applyFont="1" applyFill="1" applyBorder="1"/>
    <xf numFmtId="168" fontId="16" fillId="0" borderId="0" xfId="0" applyNumberFormat="1" applyFont="1" applyFill="1" applyBorder="1"/>
    <xf numFmtId="167" fontId="1" fillId="0" borderId="0" xfId="1" applyNumberFormat="1" applyFont="1"/>
    <xf numFmtId="0" fontId="1" fillId="0" borderId="0" xfId="0" applyFont="1" applyAlignment="1">
      <alignment horizontal="centerContinuous"/>
    </xf>
    <xf numFmtId="165" fontId="1" fillId="0" borderId="0" xfId="6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166" fontId="1" fillId="0" borderId="0" xfId="2" applyNumberFormat="1" applyFont="1" applyFill="1" applyBorder="1" applyAlignment="1">
      <alignment horizontal="center"/>
    </xf>
    <xf numFmtId="165" fontId="0" fillId="0" borderId="0" xfId="6" applyNumberFormat="1" applyFont="1" applyFill="1"/>
    <xf numFmtId="165" fontId="0" fillId="0" borderId="0" xfId="6" applyNumberFormat="1" applyFont="1"/>
    <xf numFmtId="165" fontId="2" fillId="0" borderId="0" xfId="6" applyNumberFormat="1" applyFont="1" applyBorder="1" applyAlignment="1">
      <alignment horizontal="right"/>
    </xf>
    <xf numFmtId="43" fontId="4" fillId="0" borderId="0" xfId="0" applyNumberFormat="1" applyFont="1" applyBorder="1"/>
    <xf numFmtId="168" fontId="17" fillId="0" borderId="0" xfId="0" applyNumberFormat="1" applyFont="1" applyFill="1" applyBorder="1"/>
    <xf numFmtId="166" fontId="1" fillId="0" borderId="0" xfId="1" applyNumberFormat="1" applyFont="1" applyFill="1" applyBorder="1"/>
    <xf numFmtId="166" fontId="16" fillId="0" borderId="0" xfId="1" applyNumberFormat="1" applyFont="1" applyFill="1" applyBorder="1"/>
    <xf numFmtId="174" fontId="4" fillId="0" borderId="0" xfId="3" applyNumberFormat="1" applyFont="1" applyBorder="1"/>
    <xf numFmtId="0" fontId="2" fillId="0" borderId="0" xfId="0" applyFont="1" applyBorder="1" applyAlignment="1">
      <alignment horizontal="centerContinuous"/>
    </xf>
    <xf numFmtId="167" fontId="1" fillId="0" borderId="2" xfId="1" applyNumberFormat="1" applyFont="1" applyBorder="1"/>
    <xf numFmtId="167" fontId="0" fillId="0" borderId="0" xfId="0" applyNumberFormat="1" applyFill="1" applyBorder="1"/>
    <xf numFmtId="0" fontId="1" fillId="0" borderId="0" xfId="4" applyFont="1"/>
    <xf numFmtId="0" fontId="1" fillId="0" borderId="0" xfId="4" applyFont="1" applyAlignment="1">
      <alignment horizontal="right"/>
    </xf>
    <xf numFmtId="167" fontId="1" fillId="0" borderId="0" xfId="4" applyNumberFormat="1" applyFont="1"/>
    <xf numFmtId="0" fontId="1" fillId="0" borderId="2" xfId="4" applyFont="1" applyBorder="1"/>
    <xf numFmtId="165" fontId="1" fillId="0" borderId="0" xfId="6" applyNumberFormat="1" applyFont="1"/>
    <xf numFmtId="167" fontId="1" fillId="0" borderId="0" xfId="1" applyNumberFormat="1" applyFont="1" applyFill="1" applyBorder="1"/>
    <xf numFmtId="167" fontId="0" fillId="0" borderId="2" xfId="0" applyNumberFormat="1" applyFill="1" applyBorder="1"/>
    <xf numFmtId="167" fontId="1" fillId="0" borderId="0" xfId="0" applyNumberFormat="1" applyFont="1"/>
    <xf numFmtId="9" fontId="4" fillId="0" borderId="0" xfId="0" applyNumberFormat="1" applyFont="1"/>
    <xf numFmtId="10" fontId="3" fillId="0" borderId="0" xfId="1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Continuous"/>
    </xf>
    <xf numFmtId="167" fontId="1" fillId="0" borderId="0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Continuous"/>
    </xf>
    <xf numFmtId="167" fontId="1" fillId="0" borderId="0" xfId="1" applyNumberFormat="1" applyFont="1" applyFill="1"/>
    <xf numFmtId="9" fontId="1" fillId="0" borderId="0" xfId="6" applyFont="1" applyAlignment="1">
      <alignment horizontal="centerContinuous"/>
    </xf>
    <xf numFmtId="0" fontId="7" fillId="0" borderId="0" xfId="0" applyFont="1" applyFill="1" applyAlignment="1">
      <alignment horizontal="right"/>
    </xf>
    <xf numFmtId="0" fontId="1" fillId="0" borderId="0" xfId="0" applyFont="1" applyBorder="1" applyAlignment="1">
      <alignment horizontal="left"/>
    </xf>
    <xf numFmtId="167" fontId="20" fillId="0" borderId="0" xfId="1" applyNumberFormat="1" applyFont="1"/>
    <xf numFmtId="165" fontId="1" fillId="0" borderId="0" xfId="1" quotePrefix="1" applyNumberFormat="1" applyFont="1" applyFill="1" applyBorder="1" applyAlignment="1">
      <alignment horizontal="right"/>
    </xf>
    <xf numFmtId="165" fontId="1" fillId="0" borderId="2" xfId="1" quotePrefix="1" applyNumberFormat="1" applyFont="1" applyFill="1" applyBorder="1" applyAlignment="1">
      <alignment horizontal="right"/>
    </xf>
    <xf numFmtId="165" fontId="4" fillId="0" borderId="0" xfId="6" applyNumberFormat="1" applyFont="1"/>
    <xf numFmtId="165" fontId="3" fillId="0" borderId="0" xfId="6" applyNumberFormat="1" applyFont="1" applyFill="1" applyBorder="1" applyAlignment="1">
      <alignment horizontal="right"/>
    </xf>
    <xf numFmtId="10" fontId="4" fillId="0" borderId="0" xfId="0" applyNumberFormat="1" applyFont="1"/>
    <xf numFmtId="175" fontId="1" fillId="0" borderId="2" xfId="4" applyNumberFormat="1" applyFont="1" applyBorder="1" applyAlignment="1">
      <alignment horizontal="right"/>
    </xf>
    <xf numFmtId="0" fontId="1" fillId="0" borderId="1" xfId="4" applyFont="1" applyBorder="1"/>
    <xf numFmtId="0" fontId="1" fillId="0" borderId="0" xfId="4" applyFont="1" applyBorder="1"/>
    <xf numFmtId="0" fontId="1" fillId="0" borderId="3" xfId="4" applyFont="1" applyBorder="1"/>
    <xf numFmtId="165" fontId="1" fillId="0" borderId="0" xfId="6" applyNumberFormat="1" applyFont="1" applyBorder="1"/>
    <xf numFmtId="165" fontId="1" fillId="0" borderId="3" xfId="6" applyNumberFormat="1" applyFont="1" applyBorder="1"/>
    <xf numFmtId="165" fontId="1" fillId="0" borderId="1" xfId="4" applyNumberFormat="1" applyFont="1" applyBorder="1"/>
    <xf numFmtId="165" fontId="1" fillId="0" borderId="7" xfId="4" applyNumberFormat="1" applyFont="1" applyBorder="1"/>
    <xf numFmtId="167" fontId="1" fillId="0" borderId="1" xfId="4" applyNumberFormat="1" applyFont="1" applyBorder="1"/>
    <xf numFmtId="167" fontId="1" fillId="0" borderId="0" xfId="4" applyNumberFormat="1" applyFont="1" applyBorder="1"/>
    <xf numFmtId="167" fontId="1" fillId="0" borderId="3" xfId="4" applyNumberFormat="1" applyFont="1" applyBorder="1"/>
    <xf numFmtId="167" fontId="1" fillId="0" borderId="7" xfId="4" applyNumberFormat="1" applyFont="1" applyBorder="1"/>
    <xf numFmtId="167" fontId="1" fillId="0" borderId="2" xfId="4" applyNumberFormat="1" applyFont="1" applyBorder="1"/>
    <xf numFmtId="167" fontId="1" fillId="0" borderId="9" xfId="4" applyNumberFormat="1" applyFont="1" applyBorder="1"/>
    <xf numFmtId="165" fontId="1" fillId="0" borderId="3" xfId="0" applyNumberFormat="1" applyFont="1" applyBorder="1"/>
    <xf numFmtId="167" fontId="1" fillId="0" borderId="3" xfId="1" applyNumberFormat="1" applyFont="1" applyBorder="1"/>
    <xf numFmtId="167" fontId="1" fillId="0" borderId="9" xfId="1" applyNumberFormat="1" applyFont="1" applyBorder="1"/>
    <xf numFmtId="0" fontId="1" fillId="0" borderId="12" xfId="4" applyFont="1" applyBorder="1" applyAlignment="1">
      <alignment horizontal="centerContinuous"/>
    </xf>
    <xf numFmtId="0" fontId="1" fillId="0" borderId="5" xfId="4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9" fontId="1" fillId="0" borderId="1" xfId="1" applyNumberFormat="1" applyFont="1" applyBorder="1"/>
    <xf numFmtId="175" fontId="1" fillId="0" borderId="0" xfId="4" applyNumberFormat="1" applyFont="1" applyBorder="1" applyAlignment="1">
      <alignment horizontal="right"/>
    </xf>
    <xf numFmtId="0" fontId="1" fillId="0" borderId="5" xfId="4" applyFont="1" applyBorder="1" applyAlignment="1">
      <alignment horizontal="centerContinuous"/>
    </xf>
    <xf numFmtId="0" fontId="1" fillId="0" borderId="6" xfId="4" applyFont="1" applyBorder="1" applyAlignment="1">
      <alignment horizontal="centerContinuous"/>
    </xf>
    <xf numFmtId="0" fontId="1" fillId="0" borderId="3" xfId="4" applyFont="1" applyBorder="1" applyAlignment="1">
      <alignment horizontal="center"/>
    </xf>
    <xf numFmtId="165" fontId="14" fillId="0" borderId="1" xfId="6" applyNumberFormat="1" applyFont="1" applyBorder="1" applyAlignment="1">
      <alignment horizontal="right"/>
    </xf>
    <xf numFmtId="0" fontId="1" fillId="0" borderId="0" xfId="4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43" fontId="6" fillId="0" borderId="0" xfId="1" quotePrefix="1" applyNumberFormat="1" applyFont="1" applyFill="1"/>
    <xf numFmtId="167" fontId="1" fillId="0" borderId="1" xfId="1" quotePrefix="1" applyNumberFormat="1" applyFont="1" applyBorder="1" applyAlignment="1">
      <alignment horizontal="right"/>
    </xf>
    <xf numFmtId="165" fontId="4" fillId="0" borderId="3" xfId="6" quotePrefix="1" applyNumberFormat="1" applyFont="1" applyFill="1" applyBorder="1" applyAlignment="1">
      <alignment horizontal="right"/>
    </xf>
    <xf numFmtId="165" fontId="4" fillId="0" borderId="9" xfId="6" quotePrefix="1" applyNumberFormat="1" applyFont="1" applyFill="1" applyBorder="1" applyAlignment="1">
      <alignment horizontal="right"/>
    </xf>
    <xf numFmtId="9" fontId="1" fillId="0" borderId="0" xfId="6" applyFont="1" applyFill="1" applyBorder="1"/>
    <xf numFmtId="165" fontId="4" fillId="0" borderId="0" xfId="6" applyNumberFormat="1" applyFont="1" applyAlignment="1">
      <alignment horizontal="right"/>
    </xf>
    <xf numFmtId="165" fontId="4" fillId="0" borderId="0" xfId="6" quotePrefix="1" applyNumberFormat="1" applyFont="1" applyAlignment="1">
      <alignment horizontal="right"/>
    </xf>
    <xf numFmtId="167" fontId="1" fillId="0" borderId="14" xfId="1" applyNumberFormat="1" applyFont="1" applyFill="1" applyBorder="1"/>
    <xf numFmtId="166" fontId="0" fillId="0" borderId="0" xfId="0" applyNumberFormat="1" applyFill="1"/>
    <xf numFmtId="167" fontId="1" fillId="0" borderId="0" xfId="2" applyNumberFormat="1" applyFont="1" applyBorder="1" applyAlignment="1">
      <alignment horizontal="center"/>
    </xf>
    <xf numFmtId="167" fontId="1" fillId="0" borderId="0" xfId="2" applyNumberFormat="1" applyFont="1" applyFill="1" applyBorder="1" applyAlignment="1">
      <alignment horizontal="center"/>
    </xf>
    <xf numFmtId="0" fontId="22" fillId="0" borderId="0" xfId="0" applyFont="1" applyFill="1"/>
    <xf numFmtId="0" fontId="22" fillId="0" borderId="0" xfId="0" applyFont="1" applyFill="1" applyAlignment="1">
      <alignment horizontal="left"/>
    </xf>
    <xf numFmtId="165" fontId="0" fillId="0" borderId="0" xfId="0" applyNumberFormat="1" applyBorder="1"/>
    <xf numFmtId="167" fontId="0" fillId="0" borderId="0" xfId="1" applyNumberFormat="1" applyFont="1" applyBorder="1" applyAlignment="1">
      <alignment horizontal="right"/>
    </xf>
    <xf numFmtId="167" fontId="0" fillId="0" borderId="0" xfId="1" applyNumberFormat="1" applyFont="1" applyBorder="1"/>
    <xf numFmtId="166" fontId="4" fillId="0" borderId="14" xfId="1" applyNumberFormat="1" applyFont="1" applyFill="1" applyBorder="1" applyAlignment="1">
      <alignment horizontal="center"/>
    </xf>
    <xf numFmtId="167" fontId="23" fillId="0" borderId="0" xfId="1" applyNumberFormat="1" applyFont="1"/>
    <xf numFmtId="0" fontId="23" fillId="0" borderId="0" xfId="0" applyFont="1"/>
    <xf numFmtId="167" fontId="20" fillId="0" borderId="0" xfId="1" applyNumberFormat="1" applyFont="1" applyBorder="1"/>
    <xf numFmtId="165" fontId="20" fillId="0" borderId="0" xfId="0" applyNumberFormat="1" applyFont="1" applyBorder="1"/>
    <xf numFmtId="167" fontId="20" fillId="0" borderId="0" xfId="1" applyNumberFormat="1" applyFont="1" applyBorder="1" applyAlignment="1">
      <alignment horizontal="right"/>
    </xf>
    <xf numFmtId="165" fontId="20" fillId="0" borderId="0" xfId="0" applyNumberFormat="1" applyFont="1"/>
    <xf numFmtId="9" fontId="3" fillId="0" borderId="0" xfId="0" applyNumberFormat="1" applyFont="1" applyBorder="1" applyAlignment="1">
      <alignment horizontal="right"/>
    </xf>
    <xf numFmtId="9" fontId="3" fillId="0" borderId="0" xfId="0" applyNumberFormat="1" applyFont="1" applyBorder="1"/>
    <xf numFmtId="9" fontId="0" fillId="0" borderId="0" xfId="0" applyNumberFormat="1"/>
    <xf numFmtId="9" fontId="3" fillId="0" borderId="0" xfId="6" applyFont="1" applyBorder="1" applyAlignment="1">
      <alignment horizontal="right"/>
    </xf>
    <xf numFmtId="9" fontId="0" fillId="0" borderId="0" xfId="6" applyFont="1" applyBorder="1" applyAlignment="1">
      <alignment horizontal="right"/>
    </xf>
    <xf numFmtId="9" fontId="0" fillId="0" borderId="0" xfId="6" applyFont="1" applyBorder="1"/>
    <xf numFmtId="9" fontId="0" fillId="0" borderId="0" xfId="6" applyFont="1"/>
    <xf numFmtId="9" fontId="3" fillId="0" borderId="0" xfId="6" applyFont="1" applyBorder="1"/>
    <xf numFmtId="9" fontId="7" fillId="0" borderId="10" xfId="6" applyFont="1" applyFill="1" applyBorder="1" applyAlignment="1">
      <alignment horizontal="centerContinuous"/>
    </xf>
    <xf numFmtId="167" fontId="1" fillId="0" borderId="0" xfId="0" applyNumberFormat="1" applyFont="1" applyFill="1"/>
    <xf numFmtId="171" fontId="4" fillId="0" borderId="0" xfId="0" applyNumberFormat="1" applyFont="1"/>
    <xf numFmtId="167" fontId="4" fillId="0" borderId="0" xfId="1" applyNumberFormat="1" applyFont="1" applyFill="1" applyBorder="1" applyAlignment="1">
      <alignment horizontal="centerContinuous"/>
    </xf>
    <xf numFmtId="9" fontId="3" fillId="0" borderId="1" xfId="6" applyFont="1" applyFill="1" applyBorder="1"/>
    <xf numFmtId="9" fontId="3" fillId="0" borderId="3" xfId="6" applyFont="1" applyFill="1" applyBorder="1"/>
    <xf numFmtId="9" fontId="1" fillId="0" borderId="1" xfId="6" applyFont="1" applyFill="1" applyBorder="1"/>
    <xf numFmtId="9" fontId="1" fillId="0" borderId="3" xfId="6" applyFont="1" applyFill="1" applyBorder="1"/>
    <xf numFmtId="9" fontId="3" fillId="0" borderId="1" xfId="6" applyFont="1" applyFill="1" applyBorder="1" applyAlignment="1">
      <alignment horizontal="right"/>
    </xf>
    <xf numFmtId="9" fontId="3" fillId="0" borderId="3" xfId="6" applyFont="1" applyFill="1" applyBorder="1" applyAlignment="1">
      <alignment horizontal="right"/>
    </xf>
    <xf numFmtId="174" fontId="4" fillId="0" borderId="0" xfId="3" applyNumberFormat="1" applyFont="1" applyFill="1" applyBorder="1"/>
    <xf numFmtId="171" fontId="1" fillId="0" borderId="0" xfId="0" applyNumberFormat="1" applyFont="1"/>
    <xf numFmtId="171" fontId="4" fillId="0" borderId="0" xfId="0" applyNumberFormat="1" applyFont="1" applyBorder="1" applyAlignment="1">
      <alignment horizontal="right"/>
    </xf>
    <xf numFmtId="167" fontId="1" fillId="0" borderId="0" xfId="1" applyNumberFormat="1" applyFont="1" applyFill="1" applyBorder="1" applyAlignment="1">
      <alignment horizontal="right"/>
    </xf>
    <xf numFmtId="171" fontId="0" fillId="0" borderId="0" xfId="0" applyNumberFormat="1" applyFill="1" applyBorder="1"/>
    <xf numFmtId="171" fontId="0" fillId="0" borderId="0" xfId="0" applyNumberFormat="1"/>
    <xf numFmtId="0" fontId="0" fillId="0" borderId="0" xfId="0" applyAlignment="1"/>
    <xf numFmtId="172" fontId="1" fillId="0" borderId="0" xfId="1" applyNumberFormat="1" applyFont="1" applyBorder="1" applyAlignment="1">
      <alignment horizontal="right"/>
    </xf>
    <xf numFmtId="0" fontId="1" fillId="0" borderId="0" xfId="4" applyFont="1" applyFill="1" applyBorder="1" applyAlignment="1">
      <alignment horizontal="center"/>
    </xf>
    <xf numFmtId="0" fontId="4" fillId="0" borderId="8" xfId="5" applyFont="1" applyFill="1" applyBorder="1" applyAlignment="1">
      <alignment horizontal="center"/>
    </xf>
    <xf numFmtId="0" fontId="4" fillId="0" borderId="8" xfId="5" applyFont="1" applyBorder="1" applyAlignment="1">
      <alignment horizontal="center"/>
    </xf>
    <xf numFmtId="0" fontId="1" fillId="0" borderId="6" xfId="4" applyFont="1" applyFill="1" applyBorder="1" applyAlignment="1">
      <alignment horizontal="center"/>
    </xf>
    <xf numFmtId="0" fontId="1" fillId="0" borderId="0" xfId="5" applyFont="1" applyBorder="1" applyAlignment="1">
      <alignment horizontal="center"/>
    </xf>
    <xf numFmtId="167" fontId="1" fillId="0" borderId="3" xfId="1" applyNumberFormat="1" applyFont="1" applyFill="1" applyBorder="1"/>
    <xf numFmtId="167" fontId="4" fillId="0" borderId="2" xfId="1" applyNumberFormat="1" applyFont="1" applyFill="1" applyBorder="1"/>
    <xf numFmtId="167" fontId="4" fillId="0" borderId="0" xfId="0" applyNumberFormat="1" applyFont="1" applyFill="1"/>
    <xf numFmtId="171" fontId="1" fillId="0" borderId="0" xfId="4" applyNumberFormat="1" applyFont="1"/>
    <xf numFmtId="171" fontId="4" fillId="0" borderId="0" xfId="0" applyNumberFormat="1" applyFont="1" applyFill="1" applyAlignment="1">
      <alignment horizontal="center"/>
    </xf>
    <xf numFmtId="171" fontId="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1" fillId="0" borderId="0" xfId="4" applyFont="1" applyFill="1"/>
    <xf numFmtId="0" fontId="8" fillId="0" borderId="0" xfId="0" applyFont="1" applyAlignment="1" applyProtection="1">
      <alignment horizontal="center"/>
      <protection locked="0"/>
    </xf>
    <xf numFmtId="165" fontId="8" fillId="0" borderId="0" xfId="6" applyNumberFormat="1" applyFont="1" applyAlignment="1" applyProtection="1">
      <alignment horizontal="right"/>
      <protection locked="0"/>
    </xf>
    <xf numFmtId="167" fontId="21" fillId="0" borderId="0" xfId="1" applyNumberFormat="1" applyFont="1" applyProtection="1">
      <protection locked="0"/>
    </xf>
    <xf numFmtId="167" fontId="3" fillId="0" borderId="0" xfId="1" applyNumberFormat="1" applyFont="1" applyBorder="1" applyProtection="1">
      <protection locked="0"/>
    </xf>
    <xf numFmtId="167" fontId="3" fillId="0" borderId="0" xfId="1" applyNumberFormat="1" applyFont="1" applyFill="1" applyBorder="1" applyProtection="1">
      <protection locked="0"/>
    </xf>
    <xf numFmtId="167" fontId="17" fillId="0" borderId="0" xfId="1" applyNumberFormat="1" applyFont="1" applyFill="1" applyBorder="1" applyProtection="1">
      <protection locked="0"/>
    </xf>
    <xf numFmtId="168" fontId="17" fillId="0" borderId="0" xfId="0" applyNumberFormat="1" applyFont="1" applyFill="1" applyBorder="1" applyProtection="1">
      <protection locked="0"/>
    </xf>
    <xf numFmtId="9" fontId="17" fillId="0" borderId="0" xfId="6" applyFont="1" applyFill="1" applyBorder="1" applyProtection="1">
      <protection locked="0"/>
    </xf>
    <xf numFmtId="9" fontId="3" fillId="0" borderId="1" xfId="6" applyFont="1" applyFill="1" applyBorder="1" applyProtection="1">
      <protection locked="0"/>
    </xf>
    <xf numFmtId="9" fontId="3" fillId="0" borderId="3" xfId="6" applyFont="1" applyFill="1" applyBorder="1" applyProtection="1">
      <protection locked="0"/>
    </xf>
    <xf numFmtId="9" fontId="3" fillId="0" borderId="1" xfId="6" applyFont="1" applyFill="1" applyBorder="1" applyAlignment="1" applyProtection="1">
      <alignment horizontal="right"/>
      <protection locked="0"/>
    </xf>
    <xf numFmtId="9" fontId="3" fillId="0" borderId="3" xfId="6" applyFont="1" applyFill="1" applyBorder="1" applyAlignment="1" applyProtection="1">
      <alignment horizontal="right"/>
      <protection locked="0"/>
    </xf>
    <xf numFmtId="165" fontId="17" fillId="0" borderId="0" xfId="6" applyNumberFormat="1" applyFont="1" applyFill="1" applyBorder="1" applyProtection="1">
      <protection locked="0"/>
    </xf>
    <xf numFmtId="167" fontId="17" fillId="0" borderId="0" xfId="0" applyNumberFormat="1" applyFont="1" applyBorder="1" applyProtection="1">
      <protection locked="0"/>
    </xf>
    <xf numFmtId="166" fontId="3" fillId="0" borderId="0" xfId="1" applyNumberFormat="1" applyFont="1" applyFill="1" applyBorder="1" applyProtection="1">
      <protection locked="0"/>
    </xf>
    <xf numFmtId="9" fontId="3" fillId="0" borderId="7" xfId="6" applyFont="1" applyFill="1" applyBorder="1" applyProtection="1">
      <protection locked="0"/>
    </xf>
    <xf numFmtId="9" fontId="3" fillId="0" borderId="9" xfId="6" applyFont="1" applyFill="1" applyBorder="1" applyProtection="1">
      <protection locked="0"/>
    </xf>
    <xf numFmtId="43" fontId="3" fillId="0" borderId="0" xfId="1" applyNumberFormat="1" applyFont="1" applyFill="1" applyBorder="1" applyProtection="1">
      <protection locked="0"/>
    </xf>
    <xf numFmtId="43" fontId="3" fillId="0" borderId="0" xfId="1" applyFont="1" applyFill="1" applyBorder="1" applyProtection="1">
      <protection locked="0"/>
    </xf>
    <xf numFmtId="165" fontId="3" fillId="0" borderId="0" xfId="6" applyNumberFormat="1" applyFont="1" applyFill="1" applyBorder="1" applyProtection="1">
      <protection locked="0"/>
    </xf>
    <xf numFmtId="9" fontId="3" fillId="0" borderId="1" xfId="6" applyNumberFormat="1" applyFont="1" applyFill="1" applyBorder="1" applyProtection="1">
      <protection locked="0"/>
    </xf>
    <xf numFmtId="9" fontId="3" fillId="0" borderId="7" xfId="6" applyNumberFormat="1" applyFont="1" applyFill="1" applyBorder="1" applyProtection="1">
      <protection locked="0"/>
    </xf>
    <xf numFmtId="167" fontId="3" fillId="0" borderId="0" xfId="1" quotePrefix="1" applyNumberFormat="1" applyFont="1" applyFill="1" applyBorder="1" applyAlignment="1" applyProtection="1">
      <alignment horizontal="right"/>
      <protection locked="0"/>
    </xf>
    <xf numFmtId="167" fontId="3" fillId="0" borderId="0" xfId="1" quotePrefix="1" applyNumberFormat="1" applyFont="1" applyBorder="1" applyAlignment="1" applyProtection="1">
      <alignment horizontal="right"/>
      <protection locked="0"/>
    </xf>
    <xf numFmtId="165" fontId="20" fillId="0" borderId="4" xfId="6" applyNumberFormat="1" applyFont="1" applyFill="1" applyBorder="1" applyAlignment="1" applyProtection="1">
      <alignment horizontal="center"/>
      <protection locked="0"/>
    </xf>
    <xf numFmtId="165" fontId="3" fillId="0" borderId="0" xfId="1" quotePrefix="1" applyNumberFormat="1" applyFont="1" applyFill="1" applyBorder="1" applyAlignment="1" applyProtection="1">
      <alignment horizontal="right"/>
      <protection locked="0"/>
    </xf>
    <xf numFmtId="165" fontId="3" fillId="0" borderId="0" xfId="1" applyNumberFormat="1" applyFont="1" applyBorder="1" applyAlignment="1" applyProtection="1">
      <alignment horizontal="right"/>
      <protection locked="0"/>
    </xf>
    <xf numFmtId="10" fontId="3" fillId="0" borderId="3" xfId="1" quotePrefix="1" applyNumberFormat="1" applyFont="1" applyBorder="1" applyAlignment="1" applyProtection="1">
      <alignment horizontal="right"/>
      <protection locked="0"/>
    </xf>
    <xf numFmtId="165" fontId="3" fillId="0" borderId="0" xfId="1" quotePrefix="1" applyNumberFormat="1" applyFont="1" applyBorder="1" applyAlignment="1" applyProtection="1">
      <alignment horizontal="right"/>
      <protection locked="0"/>
    </xf>
    <xf numFmtId="10" fontId="3" fillId="0" borderId="3" xfId="1" applyNumberFormat="1" applyFont="1" applyBorder="1" applyAlignment="1" applyProtection="1">
      <alignment horizontal="right"/>
      <protection locked="0"/>
    </xf>
    <xf numFmtId="10" fontId="3" fillId="0" borderId="3" xfId="1" quotePrefix="1" applyNumberFormat="1" applyFont="1" applyFill="1" applyBorder="1" applyAlignment="1" applyProtection="1">
      <alignment horizontal="right"/>
      <protection locked="0"/>
    </xf>
    <xf numFmtId="165" fontId="3" fillId="0" borderId="2" xfId="1" quotePrefix="1" applyNumberFormat="1" applyFont="1" applyFill="1" applyBorder="1" applyAlignment="1" applyProtection="1">
      <alignment horizontal="right"/>
      <protection locked="0"/>
    </xf>
    <xf numFmtId="10" fontId="3" fillId="0" borderId="9" xfId="1" quotePrefix="1" applyNumberFormat="1" applyFont="1" applyFill="1" applyBorder="1" applyAlignment="1" applyProtection="1">
      <alignment horizontal="right"/>
      <protection locked="0"/>
    </xf>
    <xf numFmtId="165" fontId="20" fillId="0" borderId="0" xfId="1" quotePrefix="1" applyNumberFormat="1" applyFont="1" applyFill="1" applyBorder="1" applyAlignment="1" applyProtection="1">
      <alignment horizontal="right"/>
      <protection locked="0"/>
    </xf>
    <xf numFmtId="165" fontId="20" fillId="0" borderId="2" xfId="1" quotePrefix="1" applyNumberFormat="1" applyFont="1" applyFill="1" applyBorder="1" applyAlignment="1" applyProtection="1">
      <alignment horizontal="right"/>
      <protection locked="0"/>
    </xf>
    <xf numFmtId="165" fontId="1" fillId="0" borderId="0" xfId="6" applyNumberFormat="1" applyFont="1" applyAlignment="1" applyProtection="1">
      <alignment horizontal="right"/>
      <protection locked="0"/>
    </xf>
    <xf numFmtId="0" fontId="7" fillId="0" borderId="0" xfId="0" applyFont="1" applyAlignment="1">
      <alignment horizontal="center"/>
    </xf>
    <xf numFmtId="165" fontId="1" fillId="0" borderId="0" xfId="6" applyNumberFormat="1" applyFont="1" applyFill="1" applyBorder="1" applyProtection="1">
      <protection locked="0"/>
    </xf>
    <xf numFmtId="9" fontId="6" fillId="0" borderId="0" xfId="6" applyFont="1" applyFill="1" applyAlignment="1">
      <alignment horizontal="left"/>
    </xf>
    <xf numFmtId="9" fontId="6" fillId="0" borderId="0" xfId="6" applyFont="1" applyFill="1" applyAlignment="1" applyProtection="1">
      <alignment horizontal="left"/>
      <protection locked="0"/>
    </xf>
    <xf numFmtId="0" fontId="8" fillId="0" borderId="0" xfId="0" applyFont="1" applyBorder="1" applyAlignment="1">
      <alignment horizontal="centerContinuous"/>
    </xf>
    <xf numFmtId="0" fontId="8" fillId="0" borderId="0" xfId="6" applyNumberFormat="1" applyFont="1" applyAlignment="1" applyProtection="1">
      <alignment horizontal="right"/>
      <protection locked="0"/>
    </xf>
    <xf numFmtId="0" fontId="6" fillId="0" borderId="0" xfId="0" applyFont="1"/>
    <xf numFmtId="166" fontId="4" fillId="0" borderId="0" xfId="1" applyNumberFormat="1" applyFont="1" applyBorder="1"/>
    <xf numFmtId="166" fontId="4" fillId="0" borderId="0" xfId="6" applyNumberFormat="1" applyFont="1" applyBorder="1"/>
    <xf numFmtId="166" fontId="4" fillId="0" borderId="0" xfId="0" applyNumberFormat="1" applyFont="1" applyBorder="1"/>
    <xf numFmtId="176" fontId="4" fillId="0" borderId="0" xfId="3" applyNumberFormat="1" applyFont="1" applyFill="1" applyBorder="1"/>
    <xf numFmtId="0" fontId="0" fillId="0" borderId="0" xfId="0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1" fillId="0" borderId="0" xfId="4" applyFont="1" applyFill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165" fontId="4" fillId="0" borderId="8" xfId="6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1" fillId="0" borderId="2" xfId="4" applyFont="1" applyFill="1" applyBorder="1"/>
    <xf numFmtId="166" fontId="4" fillId="0" borderId="2" xfId="1" applyNumberFormat="1" applyFont="1" applyFill="1" applyBorder="1"/>
    <xf numFmtId="176" fontId="4" fillId="0" borderId="0" xfId="0" applyNumberFormat="1" applyFont="1" applyFill="1" applyBorder="1"/>
    <xf numFmtId="176" fontId="1" fillId="0" borderId="0" xfId="0" applyNumberFormat="1" applyFont="1" applyFill="1" applyBorder="1"/>
    <xf numFmtId="176" fontId="4" fillId="0" borderId="0" xfId="1" applyNumberFormat="1" applyFont="1" applyFill="1" applyBorder="1"/>
    <xf numFmtId="165" fontId="4" fillId="0" borderId="0" xfId="6" applyNumberFormat="1" applyFont="1" applyFill="1" applyBorder="1"/>
    <xf numFmtId="176" fontId="4" fillId="0" borderId="0" xfId="6" applyNumberFormat="1" applyFont="1" applyFill="1" applyBorder="1"/>
    <xf numFmtId="176" fontId="4" fillId="0" borderId="0" xfId="3" applyNumberFormat="1" applyFont="1" applyFill="1" applyBorder="1" applyAlignment="1">
      <alignment horizontal="centerContinuous"/>
    </xf>
    <xf numFmtId="167" fontId="4" fillId="0" borderId="0" xfId="0" applyNumberFormat="1" applyFont="1" applyFill="1" applyBorder="1" applyAlignment="1">
      <alignment horizontal="centerContinuous"/>
    </xf>
    <xf numFmtId="0" fontId="2" fillId="0" borderId="5" xfId="0" applyFont="1" applyFill="1" applyBorder="1" applyAlignment="1">
      <alignment horizontal="centerContinuous"/>
    </xf>
    <xf numFmtId="176" fontId="1" fillId="0" borderId="8" xfId="4" applyNumberFormat="1" applyFont="1" applyFill="1" applyBorder="1" applyAlignment="1">
      <alignment horizontal="centerContinuous"/>
    </xf>
    <xf numFmtId="176" fontId="4" fillId="0" borderId="0" xfId="6" applyNumberFormat="1" applyFont="1" applyFill="1" applyBorder="1" applyAlignment="1">
      <alignment horizontal="center"/>
    </xf>
    <xf numFmtId="176" fontId="1" fillId="0" borderId="0" xfId="4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165" fontId="1" fillId="0" borderId="0" xfId="6" applyNumberFormat="1" applyFont="1" applyFill="1" applyBorder="1"/>
    <xf numFmtId="176" fontId="1" fillId="0" borderId="0" xfId="6" applyNumberFormat="1" applyFont="1" applyFill="1" applyBorder="1"/>
    <xf numFmtId="176" fontId="1" fillId="0" borderId="0" xfId="3" applyNumberFormat="1" applyFont="1" applyFill="1" applyBorder="1"/>
    <xf numFmtId="0" fontId="1" fillId="0" borderId="10" xfId="0" applyFont="1" applyFill="1" applyBorder="1" applyAlignment="1">
      <alignment horizontal="right"/>
    </xf>
    <xf numFmtId="176" fontId="4" fillId="0" borderId="11" xfId="3" applyNumberFormat="1" applyFont="1" applyFill="1" applyBorder="1"/>
    <xf numFmtId="43" fontId="4" fillId="0" borderId="0" xfId="0" applyNumberFormat="1" applyFont="1" applyFill="1" applyBorder="1"/>
    <xf numFmtId="0" fontId="4" fillId="0" borderId="2" xfId="0" applyFont="1" applyFill="1" applyBorder="1"/>
    <xf numFmtId="167" fontId="1" fillId="0" borderId="2" xfId="1" applyNumberFormat="1" applyFont="1" applyFill="1" applyBorder="1"/>
    <xf numFmtId="0" fontId="2" fillId="0" borderId="0" xfId="4" applyFont="1" applyFill="1" applyAlignment="1">
      <alignment horizontal="centerContinuous"/>
    </xf>
    <xf numFmtId="0" fontId="1" fillId="0" borderId="0" xfId="4" applyFont="1" applyFill="1" applyAlignment="1">
      <alignment horizontal="center"/>
    </xf>
    <xf numFmtId="0" fontId="1" fillId="0" borderId="0" xfId="4" applyFont="1" applyFill="1" applyAlignment="1">
      <alignment horizontal="right"/>
    </xf>
    <xf numFmtId="10" fontId="1" fillId="0" borderId="0" xfId="6" applyNumberFormat="1" applyFont="1" applyFill="1"/>
    <xf numFmtId="0" fontId="2" fillId="0" borderId="0" xfId="4" applyFont="1" applyFill="1" applyAlignment="1">
      <alignment horizontal="right"/>
    </xf>
    <xf numFmtId="44" fontId="4" fillId="0" borderId="0" xfId="3" applyNumberFormat="1" applyFont="1" applyFill="1" applyBorder="1"/>
    <xf numFmtId="0" fontId="21" fillId="0" borderId="0" xfId="0" applyFont="1" applyAlignment="1">
      <alignment horizontal="center"/>
    </xf>
    <xf numFmtId="0" fontId="1" fillId="0" borderId="5" xfId="0" applyFont="1" applyBorder="1" applyAlignment="1">
      <alignment horizontal="centerContinuous"/>
    </xf>
    <xf numFmtId="0" fontId="24" fillId="0" borderId="0" xfId="0" applyFont="1" applyAlignment="1">
      <alignment horizontal="centerContinuous"/>
    </xf>
    <xf numFmtId="0" fontId="7" fillId="0" borderId="0" xfId="0" applyFont="1" applyFill="1" applyAlignment="1">
      <alignment horizontal="center"/>
    </xf>
    <xf numFmtId="174" fontId="20" fillId="2" borderId="0" xfId="3" applyNumberFormat="1" applyFont="1" applyFill="1" applyBorder="1" applyAlignment="1" applyProtection="1">
      <alignment horizontal="center"/>
      <protection locked="0"/>
    </xf>
    <xf numFmtId="167" fontId="20" fillId="2" borderId="0" xfId="1" applyNumberFormat="1" applyFont="1" applyFill="1" applyBorder="1" applyAlignment="1" applyProtection="1">
      <alignment horizontal="center"/>
      <protection locked="0"/>
    </xf>
    <xf numFmtId="167" fontId="20" fillId="2" borderId="2" xfId="1" applyNumberFormat="1" applyFont="1" applyFill="1" applyBorder="1" applyProtection="1">
      <protection locked="0"/>
    </xf>
    <xf numFmtId="168" fontId="20" fillId="2" borderId="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167" fontId="3" fillId="2" borderId="0" xfId="1" applyNumberFormat="1" applyFont="1" applyFill="1" applyBorder="1" applyProtection="1">
      <protection locked="0"/>
    </xf>
    <xf numFmtId="9" fontId="3" fillId="2" borderId="3" xfId="0" applyNumberFormat="1" applyFont="1" applyFill="1" applyBorder="1" applyProtection="1">
      <protection locked="0"/>
    </xf>
    <xf numFmtId="9" fontId="3" fillId="2" borderId="9" xfId="0" applyNumberFormat="1" applyFont="1" applyFill="1" applyBorder="1" applyProtection="1"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/>
    <xf numFmtId="0" fontId="8" fillId="3" borderId="0" xfId="0" applyFont="1" applyFill="1" applyAlignment="1">
      <alignment horizontal="center"/>
    </xf>
    <xf numFmtId="0" fontId="1" fillId="0" borderId="0" xfId="5" applyFont="1" applyFill="1" applyBorder="1" applyAlignment="1">
      <alignment horizontal="right"/>
    </xf>
    <xf numFmtId="165" fontId="4" fillId="0" borderId="0" xfId="6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9" xfId="4" applyFont="1" applyBorder="1"/>
    <xf numFmtId="0" fontId="1" fillId="0" borderId="1" xfId="0" applyFont="1" applyFill="1" applyBorder="1" applyAlignment="1">
      <alignment horizontal="right"/>
    </xf>
    <xf numFmtId="0" fontId="4" fillId="0" borderId="7" xfId="0" applyFont="1" applyFill="1" applyBorder="1"/>
    <xf numFmtId="165" fontId="4" fillId="0" borderId="2" xfId="6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Font="1" applyFill="1" applyBorder="1" applyAlignment="1">
      <alignment horizontal="centerContinuous"/>
    </xf>
    <xf numFmtId="10" fontId="1" fillId="0" borderId="0" xfId="6" applyNumberFormat="1" applyFont="1" applyFill="1" applyBorder="1"/>
    <xf numFmtId="165" fontId="4" fillId="2" borderId="0" xfId="1" quotePrefix="1" applyNumberFormat="1" applyFont="1" applyFill="1" applyBorder="1" applyAlignment="1">
      <alignment horizontal="right"/>
    </xf>
    <xf numFmtId="165" fontId="4" fillId="2" borderId="2" xfId="1" quotePrefix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9" fontId="1" fillId="2" borderId="0" xfId="6" applyFont="1" applyFill="1" applyBorder="1" applyAlignment="1">
      <alignment horizontal="right"/>
    </xf>
    <xf numFmtId="176" fontId="4" fillId="0" borderId="12" xfId="3" applyNumberFormat="1" applyFont="1" applyFill="1" applyBorder="1"/>
    <xf numFmtId="0" fontId="2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10" fontId="0" fillId="0" borderId="0" xfId="0" applyNumberFormat="1"/>
    <xf numFmtId="10" fontId="1" fillId="0" borderId="15" xfId="0" applyNumberFormat="1" applyFont="1" applyBorder="1" applyAlignment="1">
      <alignment horizontal="right" vertical="top"/>
    </xf>
    <xf numFmtId="15" fontId="1" fillId="0" borderId="15" xfId="0" applyNumberFormat="1" applyFont="1" applyBorder="1" applyAlignment="1">
      <alignment horizontal="left" vertical="top"/>
    </xf>
    <xf numFmtId="9" fontId="1" fillId="0" borderId="0" xfId="6" applyFont="1"/>
    <xf numFmtId="0" fontId="2" fillId="0" borderId="0" xfId="4" applyFont="1"/>
    <xf numFmtId="15" fontId="35" fillId="5" borderId="17" xfId="0" applyNumberFormat="1" applyFont="1" applyFill="1" applyBorder="1" applyAlignment="1">
      <alignment wrapText="1"/>
    </xf>
    <xf numFmtId="0" fontId="35" fillId="5" borderId="19" xfId="0" applyFont="1" applyFill="1" applyBorder="1" applyAlignment="1">
      <alignment wrapText="1"/>
    </xf>
    <xf numFmtId="0" fontId="35" fillId="5" borderId="21" xfId="0" applyFont="1" applyFill="1" applyBorder="1" applyAlignment="1">
      <alignment horizontal="center" wrapText="1"/>
    </xf>
    <xf numFmtId="0" fontId="35" fillId="4" borderId="22" xfId="0" applyFont="1" applyFill="1" applyBorder="1" applyAlignment="1">
      <alignment horizontal="left" vertical="center" wrapText="1"/>
    </xf>
    <xf numFmtId="3" fontId="36" fillId="4" borderId="21" xfId="0" applyNumberFormat="1" applyFont="1" applyFill="1" applyBorder="1" applyAlignment="1">
      <alignment horizontal="right" vertical="center"/>
    </xf>
    <xf numFmtId="0" fontId="35" fillId="5" borderId="23" xfId="0" applyFont="1" applyFill="1" applyBorder="1" applyAlignment="1">
      <alignment horizontal="left" vertical="center" wrapText="1" indent="1"/>
    </xf>
    <xf numFmtId="3" fontId="36" fillId="5" borderId="24" xfId="0" applyNumberFormat="1" applyFont="1" applyFill="1" applyBorder="1" applyAlignment="1">
      <alignment horizontal="right" vertical="center"/>
    </xf>
    <xf numFmtId="0" fontId="35" fillId="4" borderId="23" xfId="0" applyFont="1" applyFill="1" applyBorder="1" applyAlignment="1">
      <alignment horizontal="left" vertical="center" wrapText="1" indent="1"/>
    </xf>
    <xf numFmtId="3" fontId="36" fillId="4" borderId="24" xfId="0" applyNumberFormat="1" applyFont="1" applyFill="1" applyBorder="1" applyAlignment="1">
      <alignment horizontal="right" vertical="center"/>
    </xf>
    <xf numFmtId="0" fontId="37" fillId="6" borderId="23" xfId="0" applyFont="1" applyFill="1" applyBorder="1" applyAlignment="1">
      <alignment horizontal="left" vertical="center" wrapText="1" indent="1"/>
    </xf>
    <xf numFmtId="3" fontId="38" fillId="6" borderId="24" xfId="0" applyNumberFormat="1" applyFont="1" applyFill="1" applyBorder="1" applyAlignment="1">
      <alignment horizontal="right" vertical="center"/>
    </xf>
    <xf numFmtId="0" fontId="35" fillId="4" borderId="25" xfId="0" applyFont="1" applyFill="1" applyBorder="1" applyAlignment="1">
      <alignment horizontal="left" vertical="center" wrapText="1" indent="1"/>
    </xf>
    <xf numFmtId="3" fontId="36" fillId="4" borderId="26" xfId="0" applyNumberFormat="1" applyFont="1" applyFill="1" applyBorder="1" applyAlignment="1">
      <alignment horizontal="right" vertical="center"/>
    </xf>
    <xf numFmtId="3" fontId="1" fillId="0" borderId="0" xfId="4" applyNumberFormat="1" applyFont="1"/>
    <xf numFmtId="3" fontId="2" fillId="0" borderId="0" xfId="4" applyNumberFormat="1" applyFont="1"/>
    <xf numFmtId="177" fontId="1" fillId="0" borderId="0" xfId="6" applyNumberFormat="1" applyFont="1"/>
    <xf numFmtId="0" fontId="39" fillId="4" borderId="27" xfId="0" applyFont="1" applyFill="1" applyBorder="1" applyAlignment="1">
      <alignment horizontal="center" vertical="center" wrapText="1"/>
    </xf>
    <xf numFmtId="0" fontId="40" fillId="4" borderId="27" xfId="0" applyFont="1" applyFill="1" applyBorder="1" applyAlignment="1">
      <alignment vertical="center" wrapText="1"/>
    </xf>
    <xf numFmtId="0" fontId="2" fillId="7" borderId="0" xfId="4" applyFont="1" applyFill="1"/>
    <xf numFmtId="10" fontId="2" fillId="7" borderId="0" xfId="6" applyNumberFormat="1" applyFont="1" applyFill="1"/>
    <xf numFmtId="0" fontId="1" fillId="0" borderId="0" xfId="0" applyFont="1" applyAlignment="1">
      <alignment vertical="center"/>
    </xf>
    <xf numFmtId="43" fontId="1" fillId="0" borderId="3" xfId="1" applyNumberFormat="1" applyBorder="1"/>
    <xf numFmtId="169" fontId="1" fillId="0" borderId="0" xfId="1" applyNumberFormat="1" applyBorder="1"/>
    <xf numFmtId="169" fontId="1" fillId="0" borderId="2" xfId="1" applyNumberFormat="1" applyBorder="1"/>
    <xf numFmtId="0" fontId="1" fillId="0" borderId="5" xfId="5" applyFont="1" applyBorder="1" applyAlignment="1">
      <alignment horizontal="center"/>
    </xf>
    <xf numFmtId="9" fontId="0" fillId="0" borderId="7" xfId="0" applyNumberFormat="1" applyBorder="1"/>
    <xf numFmtId="171" fontId="1" fillId="0" borderId="3" xfId="0" applyNumberFormat="1" applyFont="1" applyBorder="1" applyAlignment="1">
      <alignment horizontal="center"/>
    </xf>
    <xf numFmtId="43" fontId="0" fillId="0" borderId="9" xfId="0" applyNumberFormat="1" applyBorder="1"/>
    <xf numFmtId="177" fontId="3" fillId="0" borderId="1" xfId="6" applyNumberFormat="1" applyFont="1" applyFill="1" applyBorder="1" applyProtection="1">
      <protection locked="0"/>
    </xf>
    <xf numFmtId="177" fontId="3" fillId="0" borderId="7" xfId="6" applyNumberFormat="1" applyFont="1" applyFill="1" applyBorder="1" applyProtection="1">
      <protection locked="0"/>
    </xf>
    <xf numFmtId="178" fontId="3" fillId="0" borderId="1" xfId="6" applyNumberFormat="1" applyFont="1" applyFill="1" applyBorder="1" applyProtection="1">
      <protection locked="0"/>
    </xf>
    <xf numFmtId="178" fontId="3" fillId="0" borderId="7" xfId="6" applyNumberFormat="1" applyFont="1" applyFill="1" applyBorder="1" applyProtection="1">
      <protection locked="0"/>
    </xf>
    <xf numFmtId="0" fontId="4" fillId="0" borderId="0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9" fontId="1" fillId="0" borderId="0" xfId="6" applyBorder="1"/>
    <xf numFmtId="9" fontId="1" fillId="0" borderId="7" xfId="6" applyBorder="1"/>
    <xf numFmtId="169" fontId="1" fillId="0" borderId="7" xfId="1" applyNumberFormat="1" applyBorder="1"/>
    <xf numFmtId="0" fontId="1" fillId="0" borderId="5" xfId="0" applyFont="1" applyBorder="1" applyAlignment="1">
      <alignment horizontal="center"/>
    </xf>
    <xf numFmtId="165" fontId="4" fillId="2" borderId="3" xfId="1" quotePrefix="1" applyNumberFormat="1" applyFont="1" applyFill="1" applyBorder="1" applyAlignment="1">
      <alignment horizontal="right"/>
    </xf>
    <xf numFmtId="165" fontId="4" fillId="2" borderId="9" xfId="1" quotePrefix="1" applyNumberFormat="1" applyFont="1" applyFill="1" applyBorder="1" applyAlignment="1">
      <alignment horizontal="right"/>
    </xf>
    <xf numFmtId="0" fontId="0" fillId="0" borderId="5" xfId="0" applyBorder="1"/>
    <xf numFmtId="0" fontId="4" fillId="0" borderId="3" xfId="0" applyFont="1" applyFill="1" applyBorder="1" applyAlignment="1">
      <alignment horizontal="centerContinuous"/>
    </xf>
    <xf numFmtId="171" fontId="4" fillId="0" borderId="0" xfId="0" applyNumberFormat="1" applyFont="1" applyFill="1" applyBorder="1" applyAlignment="1">
      <alignment horizontal="center"/>
    </xf>
    <xf numFmtId="171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67" fontId="4" fillId="0" borderId="3" xfId="1" applyNumberFormat="1" applyFont="1" applyFill="1" applyBorder="1"/>
    <xf numFmtId="0" fontId="4" fillId="0" borderId="7" xfId="0" applyFont="1" applyBorder="1" applyAlignment="1">
      <alignment horizontal="right"/>
    </xf>
    <xf numFmtId="0" fontId="1" fillId="0" borderId="2" xfId="0" applyFont="1" applyBorder="1"/>
    <xf numFmtId="0" fontId="2" fillId="0" borderId="5" xfId="0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165" fontId="4" fillId="0" borderId="1" xfId="6" applyNumberFormat="1" applyFont="1" applyBorder="1" applyAlignment="1">
      <alignment horizontal="center"/>
    </xf>
    <xf numFmtId="167" fontId="4" fillId="0" borderId="3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4" fillId="0" borderId="2" xfId="1" applyNumberFormat="1" applyFont="1" applyBorder="1"/>
    <xf numFmtId="166" fontId="4" fillId="0" borderId="9" xfId="1" applyNumberFormat="1" applyFont="1" applyBorder="1"/>
    <xf numFmtId="0" fontId="4" fillId="0" borderId="1" xfId="0" applyFont="1" applyBorder="1" applyAlignment="1">
      <alignment horizontal="centerContinuous"/>
    </xf>
    <xf numFmtId="171" fontId="4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0" fontId="41" fillId="0" borderId="0" xfId="6" applyNumberFormat="1" applyFont="1"/>
    <xf numFmtId="0" fontId="42" fillId="0" borderId="0" xfId="0" applyFont="1"/>
    <xf numFmtId="178" fontId="0" fillId="0" borderId="0" xfId="0" applyNumberFormat="1"/>
    <xf numFmtId="177" fontId="0" fillId="0" borderId="0" xfId="0" applyNumberFormat="1"/>
    <xf numFmtId="179" fontId="0" fillId="0" borderId="0" xfId="0" applyNumberFormat="1"/>
    <xf numFmtId="165" fontId="4" fillId="0" borderId="29" xfId="6" applyNumberFormat="1" applyFont="1" applyFill="1" applyBorder="1" applyAlignment="1">
      <alignment horizontal="center"/>
    </xf>
    <xf numFmtId="165" fontId="4" fillId="0" borderId="30" xfId="6" applyNumberFormat="1" applyFont="1" applyFill="1" applyBorder="1" applyAlignment="1">
      <alignment horizontal="center"/>
    </xf>
    <xf numFmtId="165" fontId="4" fillId="0" borderId="31" xfId="6" applyNumberFormat="1" applyFont="1" applyFill="1" applyBorder="1" applyAlignment="1">
      <alignment horizontal="center"/>
    </xf>
    <xf numFmtId="176" fontId="4" fillId="0" borderId="23" xfId="6" applyNumberFormat="1" applyFont="1" applyFill="1" applyBorder="1"/>
    <xf numFmtId="176" fontId="4" fillId="0" borderId="32" xfId="6" applyNumberFormat="1" applyFont="1" applyFill="1" applyBorder="1"/>
    <xf numFmtId="176" fontId="4" fillId="0" borderId="23" xfId="3" applyNumberFormat="1" applyFont="1" applyFill="1" applyBorder="1"/>
    <xf numFmtId="176" fontId="4" fillId="0" borderId="32" xfId="3" applyNumberFormat="1" applyFont="1" applyFill="1" applyBorder="1"/>
    <xf numFmtId="165" fontId="4" fillId="0" borderId="23" xfId="6" applyNumberFormat="1" applyFont="1" applyFill="1" applyBorder="1"/>
    <xf numFmtId="165" fontId="4" fillId="0" borderId="32" xfId="6" applyNumberFormat="1" applyFont="1" applyFill="1" applyBorder="1"/>
    <xf numFmtId="44" fontId="4" fillId="0" borderId="25" xfId="3" applyNumberFormat="1" applyFont="1" applyFill="1" applyBorder="1"/>
    <xf numFmtId="176" fontId="4" fillId="0" borderId="33" xfId="3" applyNumberFormat="1" applyFont="1" applyFill="1" applyBorder="1"/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166" fontId="4" fillId="0" borderId="23" xfId="1" applyNumberFormat="1" applyFont="1" applyFill="1" applyBorder="1"/>
    <xf numFmtId="166" fontId="4" fillId="0" borderId="32" xfId="1" applyNumberFormat="1" applyFont="1" applyFill="1" applyBorder="1"/>
    <xf numFmtId="176" fontId="4" fillId="0" borderId="23" xfId="0" applyNumberFormat="1" applyFont="1" applyFill="1" applyBorder="1"/>
    <xf numFmtId="176" fontId="4" fillId="0" borderId="32" xfId="0" applyNumberFormat="1" applyFont="1" applyFill="1" applyBorder="1"/>
    <xf numFmtId="176" fontId="1" fillId="0" borderId="23" xfId="0" applyNumberFormat="1" applyFont="1" applyFill="1" applyBorder="1"/>
    <xf numFmtId="176" fontId="1" fillId="0" borderId="32" xfId="0" applyNumberFormat="1" applyFont="1" applyFill="1" applyBorder="1"/>
    <xf numFmtId="176" fontId="4" fillId="0" borderId="23" xfId="1" applyNumberFormat="1" applyFont="1" applyFill="1" applyBorder="1"/>
    <xf numFmtId="176" fontId="4" fillId="0" borderId="32" xfId="1" applyNumberFormat="1" applyFont="1" applyFill="1" applyBorder="1"/>
    <xf numFmtId="165" fontId="4" fillId="0" borderId="25" xfId="6" applyNumberFormat="1" applyFont="1" applyFill="1" applyBorder="1"/>
    <xf numFmtId="165" fontId="4" fillId="0" borderId="33" xfId="6" applyNumberFormat="1" applyFont="1" applyFill="1" applyBorder="1"/>
    <xf numFmtId="165" fontId="4" fillId="0" borderId="34" xfId="6" applyNumberFormat="1" applyFont="1" applyFill="1" applyBorder="1"/>
    <xf numFmtId="165" fontId="1" fillId="0" borderId="2" xfId="6" applyNumberFormat="1" applyFont="1" applyBorder="1"/>
    <xf numFmtId="165" fontId="1" fillId="0" borderId="9" xfId="6" applyNumberFormat="1" applyFont="1" applyBorder="1"/>
    <xf numFmtId="0" fontId="2" fillId="0" borderId="35" xfId="0" applyFont="1" applyBorder="1"/>
    <xf numFmtId="165" fontId="1" fillId="0" borderId="23" xfId="6" applyNumberFormat="1" applyFont="1" applyFill="1" applyBorder="1" applyAlignment="1">
      <alignment horizontal="center"/>
    </xf>
    <xf numFmtId="44" fontId="0" fillId="0" borderId="35" xfId="3" applyFont="1" applyBorder="1"/>
    <xf numFmtId="44" fontId="4" fillId="0" borderId="35" xfId="3" applyFont="1" applyFill="1" applyBorder="1"/>
    <xf numFmtId="0" fontId="43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10" fontId="0" fillId="0" borderId="35" xfId="6" applyNumberFormat="1" applyFont="1" applyBorder="1"/>
    <xf numFmtId="10" fontId="7" fillId="0" borderId="0" xfId="6" applyNumberFormat="1" applyFont="1"/>
    <xf numFmtId="177" fontId="1" fillId="8" borderId="0" xfId="6" applyNumberFormat="1" applyFont="1" applyFill="1"/>
    <xf numFmtId="9" fontId="1" fillId="8" borderId="0" xfId="6" applyFont="1" applyFill="1"/>
    <xf numFmtId="0" fontId="43" fillId="0" borderId="0" xfId="0" applyFont="1" applyFill="1" applyAlignment="1">
      <alignment vertical="top"/>
    </xf>
    <xf numFmtId="0" fontId="44" fillId="0" borderId="36" xfId="0" applyFont="1" applyFill="1" applyBorder="1" applyAlignment="1">
      <alignment vertical="top"/>
    </xf>
    <xf numFmtId="0" fontId="43" fillId="0" borderId="0" xfId="0" applyFont="1" applyFill="1" applyAlignment="1">
      <alignment horizontal="left" vertical="top"/>
    </xf>
    <xf numFmtId="0" fontId="44" fillId="0" borderId="37" xfId="0" applyFont="1" applyFill="1" applyBorder="1" applyAlignment="1">
      <alignment vertical="top"/>
    </xf>
    <xf numFmtId="0" fontId="43" fillId="0" borderId="38" xfId="0" applyFont="1" applyFill="1" applyBorder="1" applyAlignment="1">
      <alignment vertical="top"/>
    </xf>
    <xf numFmtId="174" fontId="43" fillId="0" borderId="0" xfId="3" applyNumberFormat="1" applyFont="1" applyFill="1" applyAlignment="1">
      <alignment vertical="top"/>
    </xf>
    <xf numFmtId="3" fontId="43" fillId="0" borderId="0" xfId="0" applyNumberFormat="1" applyFont="1" applyFill="1" applyAlignment="1">
      <alignment vertical="top"/>
    </xf>
    <xf numFmtId="3" fontId="43" fillId="0" borderId="36" xfId="0" applyNumberFormat="1" applyFont="1" applyFill="1" applyBorder="1" applyAlignment="1">
      <alignment vertical="top"/>
    </xf>
    <xf numFmtId="3" fontId="43" fillId="0" borderId="38" xfId="0" applyNumberFormat="1" applyFont="1" applyFill="1" applyBorder="1" applyAlignment="1">
      <alignment vertical="top"/>
    </xf>
    <xf numFmtId="0" fontId="43" fillId="0" borderId="36" xfId="0" applyFont="1" applyFill="1" applyBorder="1" applyAlignment="1">
      <alignment vertical="top"/>
    </xf>
    <xf numFmtId="44" fontId="43" fillId="0" borderId="38" xfId="3" applyFont="1" applyFill="1" applyBorder="1" applyAlignment="1">
      <alignment vertical="top"/>
    </xf>
    <xf numFmtId="0" fontId="43" fillId="0" borderId="39" xfId="0" applyFont="1" applyFill="1" applyBorder="1" applyAlignment="1">
      <alignment vertical="top"/>
    </xf>
    <xf numFmtId="0" fontId="43" fillId="0" borderId="40" xfId="0" applyFont="1" applyFill="1" applyBorder="1" applyAlignment="1">
      <alignment vertical="top"/>
    </xf>
    <xf numFmtId="44" fontId="43" fillId="0" borderId="0" xfId="3" applyFont="1" applyFill="1" applyAlignment="1">
      <alignment vertical="top"/>
    </xf>
    <xf numFmtId="44" fontId="43" fillId="0" borderId="40" xfId="3" applyFont="1" applyFill="1" applyBorder="1" applyAlignment="1">
      <alignment vertical="top"/>
    </xf>
    <xf numFmtId="44" fontId="43" fillId="0" borderId="36" xfId="3" applyFont="1" applyFill="1" applyBorder="1" applyAlignment="1">
      <alignment vertical="top"/>
    </xf>
    <xf numFmtId="165" fontId="1" fillId="0" borderId="0" xfId="6" applyNumberFormat="1" applyFont="1" applyFill="1" applyBorder="1" applyAlignment="1">
      <alignment horizontal="center"/>
    </xf>
    <xf numFmtId="165" fontId="1" fillId="0" borderId="32" xfId="6" applyNumberFormat="1" applyFont="1" applyFill="1" applyBorder="1" applyAlignment="1">
      <alignment horizontal="center"/>
    </xf>
    <xf numFmtId="44" fontId="4" fillId="0" borderId="33" xfId="3" applyNumberFormat="1" applyFont="1" applyFill="1" applyBorder="1"/>
    <xf numFmtId="176" fontId="4" fillId="0" borderId="34" xfId="3" applyNumberFormat="1" applyFont="1" applyFill="1" applyBorder="1"/>
    <xf numFmtId="0" fontId="27" fillId="0" borderId="0" xfId="0" applyFont="1" applyFill="1" applyBorder="1" applyAlignment="1">
      <alignment vertical="top"/>
    </xf>
    <xf numFmtId="0" fontId="28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29" fillId="0" borderId="0" xfId="0" applyFont="1" applyFill="1" applyBorder="1" applyAlignment="1">
      <alignment horizontal="center" vertical="center" wrapText="1"/>
    </xf>
    <xf numFmtId="0" fontId="34" fillId="0" borderId="0" xfId="8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9" fontId="31" fillId="0" borderId="0" xfId="0" applyNumberFormat="1" applyFont="1" applyFill="1" applyBorder="1" applyAlignment="1">
      <alignment horizontal="left" vertical="center" wrapText="1"/>
    </xf>
    <xf numFmtId="10" fontId="31" fillId="0" borderId="0" xfId="0" applyNumberFormat="1" applyFont="1" applyFill="1" applyBorder="1" applyAlignment="1">
      <alignment horizontal="left" vertical="center" wrapText="1"/>
    </xf>
    <xf numFmtId="0" fontId="34" fillId="0" borderId="0" xfId="8" applyFont="1" applyFill="1" applyBorder="1" applyAlignment="1">
      <alignment horizontal="left" vertical="center" wrapText="1"/>
    </xf>
    <xf numFmtId="9" fontId="32" fillId="0" borderId="0" xfId="0" applyNumberFormat="1" applyFont="1" applyFill="1" applyBorder="1" applyAlignment="1">
      <alignment horizontal="left" vertical="center"/>
    </xf>
    <xf numFmtId="10" fontId="32" fillId="0" borderId="0" xfId="0" applyNumberFormat="1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/>
    </xf>
    <xf numFmtId="10" fontId="0" fillId="0" borderId="0" xfId="0" applyNumberFormat="1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28" xfId="0" applyFont="1" applyFill="1" applyBorder="1" applyAlignment="1">
      <alignment horizontal="center" vertical="center"/>
    </xf>
    <xf numFmtId="0" fontId="2" fillId="0" borderId="0" xfId="4" applyFont="1" applyAlignment="1">
      <alignment horizontal="center"/>
    </xf>
    <xf numFmtId="0" fontId="1" fillId="0" borderId="23" xfId="4" applyFont="1" applyBorder="1" applyAlignment="1">
      <alignment horizontal="center"/>
    </xf>
    <xf numFmtId="0" fontId="1" fillId="0" borderId="0" xfId="4" applyFont="1" applyAlignment="1">
      <alignment horizontal="center"/>
    </xf>
    <xf numFmtId="0" fontId="35" fillId="5" borderId="16" xfId="0" applyFont="1" applyFill="1" applyBorder="1" applyAlignment="1">
      <alignment horizontal="center" wrapText="1"/>
    </xf>
    <xf numFmtId="0" fontId="35" fillId="5" borderId="18" xfId="0" applyFont="1" applyFill="1" applyBorder="1" applyAlignment="1">
      <alignment horizontal="center" wrapText="1"/>
    </xf>
    <xf numFmtId="0" fontId="35" fillId="5" borderId="20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9" fontId="2" fillId="0" borderId="5" xfId="6" applyFont="1" applyFill="1" applyBorder="1" applyAlignment="1">
      <alignment horizontal="center"/>
    </xf>
    <xf numFmtId="9" fontId="2" fillId="0" borderId="6" xfId="6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1" fillId="0" borderId="0" xfId="6" applyFont="1" applyBorder="1"/>
  </cellXfs>
  <cellStyles count="9">
    <cellStyle name="Comma" xfId="1" builtinId="3"/>
    <cellStyle name="Comma 2" xfId="2"/>
    <cellStyle name="Currency" xfId="3" builtinId="4"/>
    <cellStyle name="Hyperlink" xfId="8" builtinId="8"/>
    <cellStyle name="Normal" xfId="0" builtinId="0"/>
    <cellStyle name="Normal 2" xfId="4"/>
    <cellStyle name="Normal_sheet" xfId="5"/>
    <cellStyle name="Percent" xfId="6" builtinId="5"/>
    <cellStyle name="Percent 2" xfId="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64897569621979"/>
          <c:y val="0.1654967907772614"/>
          <c:w val="0.53565292974741119"/>
          <c:h val="0.62334920524315784"/>
        </c:manualLayout>
      </c:layout>
      <c:scatterChart>
        <c:scatterStyle val="smoothMarker"/>
        <c:varyColors val="0"/>
        <c:ser>
          <c:idx val="0"/>
          <c:order val="0"/>
          <c:tx>
            <c:v>Hospital Case Distribution</c:v>
          </c:tx>
          <c:yVal>
            <c:numRef>
              <c:f>'Case Distribution'!$B$12:$M$12</c:f>
              <c:numCache>
                <c:formatCode>0.0%</c:formatCode>
                <c:ptCount val="12"/>
                <c:pt idx="0">
                  <c:v>1.8999999999999906E-2</c:v>
                </c:pt>
                <c:pt idx="1">
                  <c:v>3.6999999999999998E-2</c:v>
                </c:pt>
                <c:pt idx="2">
                  <c:v>6.5000000000000002E-2</c:v>
                </c:pt>
                <c:pt idx="3">
                  <c:v>9.9000000000000005E-2</c:v>
                </c:pt>
                <c:pt idx="4">
                  <c:v>0.13</c:v>
                </c:pt>
                <c:pt idx="5">
                  <c:v>0.15</c:v>
                </c:pt>
                <c:pt idx="6">
                  <c:v>0.15</c:v>
                </c:pt>
                <c:pt idx="7">
                  <c:v>0.13</c:v>
                </c:pt>
                <c:pt idx="8">
                  <c:v>9.9000000000000005E-2</c:v>
                </c:pt>
                <c:pt idx="9">
                  <c:v>6.5000000000000002E-2</c:v>
                </c:pt>
                <c:pt idx="10">
                  <c:v>3.6999999999999998E-2</c:v>
                </c:pt>
                <c:pt idx="11">
                  <c:v>1.9E-2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41-4A8A-ADCB-0DB90988F50E}"/>
            </c:ext>
          </c:extLst>
        </c:ser>
        <c:ser>
          <c:idx val="1"/>
          <c:order val="1"/>
          <c:tx>
            <c:strRef>
              <c:f>'Case Distribution'!$A$15</c:f>
              <c:strCache>
                <c:ptCount val="1"/>
                <c:pt idx="0">
                  <c:v>Outpatient Case Distribution</c:v>
                </c:pt>
              </c:strCache>
            </c:strRef>
          </c:tx>
          <c:xVal>
            <c:numRef>
              <c:f>'Case Distribution'!$B$15:$M$15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'Case Distribution'!$B$19:$M$19</c:f>
              <c:numCache>
                <c:formatCode>0.0%</c:formatCode>
                <c:ptCount val="12"/>
                <c:pt idx="0">
                  <c:v>7.3999999999999733E-2</c:v>
                </c:pt>
                <c:pt idx="1">
                  <c:v>0.25900000000000001</c:v>
                </c:pt>
                <c:pt idx="2">
                  <c:v>0.157</c:v>
                </c:pt>
                <c:pt idx="3">
                  <c:v>0.112</c:v>
                </c:pt>
                <c:pt idx="4">
                  <c:v>8.5999999999999993E-2</c:v>
                </c:pt>
                <c:pt idx="5">
                  <c:v>6.9000000000000006E-2</c:v>
                </c:pt>
                <c:pt idx="6">
                  <c:v>5.7000000000000002E-2</c:v>
                </c:pt>
                <c:pt idx="7">
                  <c:v>4.8000000000000001E-2</c:v>
                </c:pt>
                <c:pt idx="8">
                  <c:v>4.2000000000000003E-2</c:v>
                </c:pt>
                <c:pt idx="9">
                  <c:v>3.5999999999999997E-2</c:v>
                </c:pt>
                <c:pt idx="10">
                  <c:v>3.2000000000000001E-2</c:v>
                </c:pt>
                <c:pt idx="11">
                  <c:v>2.8000000000000001E-2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41-4A8A-ADCB-0DB90988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87416"/>
        <c:axId val="437478792"/>
      </c:scatterChart>
      <c:valAx>
        <c:axId val="43748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Scenario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478792"/>
        <c:crosses val="autoZero"/>
        <c:crossBetween val="midCat"/>
      </c:valAx>
      <c:valAx>
        <c:axId val="43747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Cases as Percentage of Total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37487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13415763348775"/>
          <c:y val="0.53076734511959589"/>
          <c:w val="0.26105362824341916"/>
          <c:h val="0.116009013024315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9</xdr:col>
      <xdr:colOff>257175</xdr:colOff>
      <xdr:row>55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H12" sqref="H12"/>
    </sheetView>
  </sheetViews>
  <sheetFormatPr defaultRowHeight="12.75"/>
  <sheetData>
    <row r="2" spans="1:1">
      <c r="A2" s="158" t="s">
        <v>425</v>
      </c>
    </row>
    <row r="3" spans="1:1">
      <c r="A3" s="158" t="s">
        <v>426</v>
      </c>
    </row>
    <row r="4" spans="1:1">
      <c r="A4" s="158" t="s">
        <v>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pageSetUpPr fitToPage="1"/>
  </sheetPr>
  <dimension ref="A1:R79"/>
  <sheetViews>
    <sheetView zoomScaleNormal="100" workbookViewId="0">
      <selection activeCell="H9" sqref="H9"/>
    </sheetView>
  </sheetViews>
  <sheetFormatPr defaultRowHeight="12.75"/>
  <cols>
    <col min="1" max="1" width="11" customWidth="1"/>
    <col min="2" max="12" width="12.7109375" customWidth="1"/>
    <col min="13" max="13" width="1.140625" customWidth="1"/>
    <col min="17" max="17" width="10.28515625" customWidth="1"/>
  </cols>
  <sheetData>
    <row r="1" spans="1:18">
      <c r="A1" s="402" t="str">
        <f>scenario</f>
        <v>Severe Scenario, V\ Curve</v>
      </c>
      <c r="M1" s="157" t="s">
        <v>260</v>
      </c>
    </row>
    <row r="2" spans="1:18" ht="15.75">
      <c r="A2" s="46" t="s">
        <v>51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8" ht="15">
      <c r="A3" s="121" t="s">
        <v>58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8" ht="6.95" customHeight="1">
      <c r="A4" s="46"/>
      <c r="B4" s="12"/>
      <c r="C4" s="12"/>
      <c r="D4" s="12"/>
      <c r="E4" s="12"/>
      <c r="F4" s="12"/>
      <c r="M4" s="12"/>
    </row>
    <row r="5" spans="1:18">
      <c r="B5" s="1"/>
      <c r="D5" s="38" t="str">
        <f>+Scenario!D10</f>
        <v>Seasonal</v>
      </c>
      <c r="E5" s="16" t="str">
        <f>+Scenario!E10</f>
        <v>Moderate</v>
      </c>
      <c r="F5" s="16" t="str">
        <f>+Scenario!F10</f>
        <v>Severe</v>
      </c>
      <c r="O5" s="12"/>
    </row>
    <row r="6" spans="1:18">
      <c r="B6" s="1" t="s">
        <v>27</v>
      </c>
      <c r="C6" s="119">
        <f>HLOOKUP(Severity,$D$5:$F$6,2,0)</f>
        <v>0.3</v>
      </c>
      <c r="D6" s="383">
        <v>8.4000000000000005E-2</v>
      </c>
      <c r="E6" s="383">
        <f>30%</f>
        <v>0.3</v>
      </c>
      <c r="F6" s="383">
        <f>30%</f>
        <v>0.3</v>
      </c>
      <c r="G6" s="37"/>
      <c r="O6" s="11"/>
      <c r="P6" s="11"/>
      <c r="Q6" s="45"/>
      <c r="R6" s="3"/>
    </row>
    <row r="7" spans="1:18">
      <c r="C7" s="52"/>
      <c r="O7" s="25"/>
      <c r="P7" s="36"/>
      <c r="Q7" s="5"/>
      <c r="R7" s="3"/>
    </row>
    <row r="8" spans="1:18">
      <c r="B8" s="2" t="s">
        <v>40</v>
      </c>
      <c r="C8" s="139" t="str">
        <f>+Curve</f>
        <v>V\</v>
      </c>
      <c r="D8" s="34" t="s">
        <v>168</v>
      </c>
      <c r="F8" s="40"/>
      <c r="O8" s="25"/>
      <c r="P8" s="29"/>
      <c r="Q8" s="5"/>
      <c r="R8" s="3"/>
    </row>
    <row r="9" spans="1:18">
      <c r="B9" s="47"/>
      <c r="C9" s="110"/>
      <c r="D9" s="61"/>
      <c r="E9" s="169"/>
      <c r="F9" s="169"/>
      <c r="G9" s="37"/>
      <c r="H9" s="168"/>
      <c r="J9" s="168"/>
      <c r="O9" s="29"/>
      <c r="P9" s="29"/>
    </row>
    <row r="10" spans="1:18">
      <c r="B10" s="214" t="s">
        <v>147</v>
      </c>
      <c r="C10" s="110"/>
      <c r="D10" s="61"/>
      <c r="E10" s="169"/>
      <c r="F10" s="169"/>
      <c r="G10" s="37"/>
      <c r="H10" s="176"/>
      <c r="J10" s="168"/>
      <c r="O10" s="29"/>
      <c r="P10" s="29"/>
    </row>
    <row r="11" spans="1:18">
      <c r="B11" s="214" t="s">
        <v>43</v>
      </c>
      <c r="C11" s="388">
        <v>0.92500000000000004</v>
      </c>
      <c r="D11" s="37"/>
      <c r="E11" s="168"/>
      <c r="F11" s="168"/>
      <c r="G11" s="168"/>
      <c r="H11" s="176"/>
      <c r="I11" s="168"/>
      <c r="J11" s="168"/>
      <c r="K11" s="168"/>
      <c r="M11" s="168"/>
    </row>
    <row r="12" spans="1:18">
      <c r="B12" s="42"/>
      <c r="C12" s="109"/>
      <c r="D12" s="168"/>
      <c r="E12" s="78"/>
      <c r="F12" s="79"/>
      <c r="G12" s="168"/>
      <c r="H12" s="168"/>
      <c r="I12" s="168"/>
      <c r="J12" s="168"/>
      <c r="K12" s="168"/>
      <c r="L12" s="168"/>
      <c r="M12" s="168"/>
      <c r="O12" s="29"/>
      <c r="P12" s="29"/>
    </row>
    <row r="13" spans="1:18">
      <c r="B13" s="214" t="s">
        <v>144</v>
      </c>
      <c r="C13" s="110"/>
      <c r="D13" s="38" t="str">
        <f>+Scenario!D10</f>
        <v>Seasonal</v>
      </c>
      <c r="E13" s="175" t="str">
        <f>+Scenario!E10</f>
        <v>Moderate</v>
      </c>
      <c r="F13" s="175" t="str">
        <f>+Scenario!F10</f>
        <v>Severe</v>
      </c>
      <c r="H13" s="168"/>
      <c r="I13" s="168"/>
      <c r="J13" s="168"/>
      <c r="K13" s="168"/>
      <c r="L13" s="37"/>
      <c r="M13" s="37"/>
      <c r="O13" s="29"/>
      <c r="P13" s="29"/>
    </row>
    <row r="14" spans="1:18">
      <c r="B14" s="214" t="s">
        <v>145</v>
      </c>
      <c r="C14" s="110">
        <f>HLOOKUP(Severity,$D$13:$F$14,2,0)</f>
        <v>0.97499999999999998</v>
      </c>
      <c r="D14" s="383">
        <v>1.075</v>
      </c>
      <c r="E14" s="389">
        <v>1.0249999999999999</v>
      </c>
      <c r="F14" s="389">
        <v>0.97499999999999998</v>
      </c>
      <c r="H14" s="37"/>
      <c r="I14" s="37"/>
      <c r="J14" s="37"/>
      <c r="K14" s="37"/>
      <c r="L14" s="37"/>
      <c r="M14" s="37"/>
      <c r="O14" s="29"/>
      <c r="P14" s="29"/>
    </row>
    <row r="15" spans="1:18">
      <c r="B15" s="47"/>
      <c r="C15" s="108"/>
      <c r="D15" s="61"/>
      <c r="E15" s="61"/>
      <c r="F15" s="61"/>
      <c r="G15" s="302" t="s">
        <v>158</v>
      </c>
      <c r="H15" s="168"/>
      <c r="I15" s="168"/>
      <c r="J15" s="168"/>
      <c r="K15" s="168"/>
      <c r="L15" s="168"/>
      <c r="M15" s="168"/>
      <c r="O15" s="29"/>
      <c r="P15" s="29"/>
    </row>
    <row r="16" spans="1:18">
      <c r="B16" s="214" t="s">
        <v>146</v>
      </c>
      <c r="C16" s="318">
        <f>HLOOKUP(Severity,$D$13:$F$16,4,0)</f>
        <v>12</v>
      </c>
      <c r="D16" s="458">
        <v>12</v>
      </c>
      <c r="E16" s="378">
        <v>12</v>
      </c>
      <c r="F16" s="378">
        <v>12</v>
      </c>
      <c r="G16" s="37" t="s">
        <v>174</v>
      </c>
      <c r="H16" s="168"/>
      <c r="I16" s="168"/>
      <c r="J16" s="168"/>
      <c r="K16" s="168"/>
      <c r="L16" s="168"/>
      <c r="M16" s="168"/>
      <c r="O16" s="29"/>
      <c r="P16" s="29"/>
    </row>
    <row r="17" spans="1:15">
      <c r="A17" s="42"/>
      <c r="B17" s="43"/>
      <c r="C17" s="43"/>
      <c r="G17" s="83"/>
      <c r="H17" s="44"/>
      <c r="I17" s="83"/>
      <c r="J17" s="44"/>
    </row>
    <row r="18" spans="1:15">
      <c r="C18" s="97" t="s">
        <v>31</v>
      </c>
      <c r="D18" s="103"/>
      <c r="E18" s="103"/>
      <c r="F18" s="103"/>
      <c r="G18" s="104"/>
      <c r="H18" s="105"/>
      <c r="I18" s="104"/>
      <c r="J18" s="105"/>
    </row>
    <row r="19" spans="1:15">
      <c r="A19" s="11"/>
      <c r="B19" s="84" t="s">
        <v>0</v>
      </c>
      <c r="C19" s="53" t="s">
        <v>382</v>
      </c>
      <c r="D19" s="54"/>
      <c r="E19" s="447" t="s">
        <v>166</v>
      </c>
      <c r="F19" s="54"/>
      <c r="G19" s="447" t="s">
        <v>383</v>
      </c>
      <c r="H19" s="54"/>
      <c r="I19" s="64" t="s">
        <v>384</v>
      </c>
      <c r="J19" s="64"/>
      <c r="K19" s="80" t="s">
        <v>30</v>
      </c>
      <c r="L19" s="86" t="s">
        <v>1</v>
      </c>
    </row>
    <row r="20" spans="1:15">
      <c r="A20" s="1" t="s">
        <v>2</v>
      </c>
      <c r="B20" s="185" t="s">
        <v>93</v>
      </c>
      <c r="C20" s="55" t="s">
        <v>26</v>
      </c>
      <c r="D20" s="82" t="s">
        <v>30</v>
      </c>
      <c r="E20" s="55" t="s">
        <v>26</v>
      </c>
      <c r="F20" s="82" t="s">
        <v>30</v>
      </c>
      <c r="G20" s="55" t="s">
        <v>26</v>
      </c>
      <c r="H20" s="82" t="s">
        <v>30</v>
      </c>
      <c r="I20" s="55" t="s">
        <v>26</v>
      </c>
      <c r="J20" s="82" t="s">
        <v>30</v>
      </c>
      <c r="K20" s="81" t="s">
        <v>3</v>
      </c>
      <c r="L20" s="59" t="s">
        <v>32</v>
      </c>
    </row>
    <row r="21" spans="1:15">
      <c r="A21" s="13"/>
      <c r="B21" s="57">
        <v>-6</v>
      </c>
      <c r="C21" s="57">
        <f t="shared" ref="C21:L21" si="0">+B21-1</f>
        <v>-7</v>
      </c>
      <c r="D21" s="58">
        <f t="shared" si="0"/>
        <v>-8</v>
      </c>
      <c r="E21" s="60">
        <f t="shared" si="0"/>
        <v>-9</v>
      </c>
      <c r="F21" s="58">
        <f t="shared" si="0"/>
        <v>-10</v>
      </c>
      <c r="G21" s="60">
        <f t="shared" si="0"/>
        <v>-11</v>
      </c>
      <c r="H21" s="58">
        <f t="shared" si="0"/>
        <v>-12</v>
      </c>
      <c r="I21" s="60">
        <f t="shared" si="0"/>
        <v>-13</v>
      </c>
      <c r="J21" s="58">
        <f t="shared" si="0"/>
        <v>-14</v>
      </c>
      <c r="K21" s="60">
        <f t="shared" si="0"/>
        <v>-15</v>
      </c>
      <c r="L21" s="58">
        <f t="shared" si="0"/>
        <v>-16</v>
      </c>
    </row>
    <row r="22" spans="1:15" ht="3.75" customHeight="1">
      <c r="A22" s="13"/>
      <c r="B22" s="81"/>
      <c r="C22" s="55"/>
      <c r="D22" s="56"/>
      <c r="E22" s="16"/>
      <c r="F22" s="59"/>
      <c r="G22" s="55"/>
      <c r="H22" s="16"/>
      <c r="I22" s="55"/>
      <c r="J22" s="16"/>
      <c r="K22" s="81"/>
      <c r="L22" s="85"/>
    </row>
    <row r="23" spans="1:15">
      <c r="A23" s="68" t="s">
        <v>9</v>
      </c>
      <c r="B23" s="303">
        <f>+'Pandemic Calculations'!B14-'Pandemic Calculations'!D14/Morbidity</f>
        <v>322393.66754255776</v>
      </c>
      <c r="C23" s="384">
        <v>2.4</v>
      </c>
      <c r="D23" s="117">
        <f t="shared" ref="D23:F40" si="1">ROUND(C23*Morbidity,3)</f>
        <v>0.72</v>
      </c>
      <c r="E23" s="384">
        <v>1.5</v>
      </c>
      <c r="F23" s="304">
        <f t="shared" si="1"/>
        <v>0.45</v>
      </c>
      <c r="G23" s="384">
        <v>1.5</v>
      </c>
      <c r="H23" s="117">
        <f t="shared" ref="H23:H40" si="2">ROUND(G23*Morbidity,3)</f>
        <v>0.45</v>
      </c>
      <c r="I23" s="384">
        <v>2</v>
      </c>
      <c r="J23" s="117">
        <f t="shared" ref="J23:J40" si="3">ROUND(I23*Morbidity,3)</f>
        <v>0.6</v>
      </c>
      <c r="K23" s="152">
        <f t="shared" ref="K23:K40" si="4">IF(MorbCurve="S",D23,IF(MorbCurve="M",F23,IF(MorbCurve="VV",H23,IF(MorbCurve="V\",J23,"N/A"))))</f>
        <v>0.6</v>
      </c>
      <c r="L23" s="87">
        <f t="shared" ref="L23:L40" si="5">ROUND(K23*B23,0)</f>
        <v>193436</v>
      </c>
      <c r="O23" s="327"/>
    </row>
    <row r="24" spans="1:15">
      <c r="A24" s="69" t="s">
        <v>10</v>
      </c>
      <c r="B24" s="303">
        <f>+'Pandemic Calculations'!B15-'Pandemic Calculations'!D15/Morbidity</f>
        <v>332817.07483032503</v>
      </c>
      <c r="C24" s="384">
        <v>1.35</v>
      </c>
      <c r="D24" s="117">
        <f t="shared" si="1"/>
        <v>0.40500000000000003</v>
      </c>
      <c r="E24" s="384">
        <v>1.25</v>
      </c>
      <c r="F24" s="304">
        <f t="shared" si="1"/>
        <v>0.375</v>
      </c>
      <c r="G24" s="384">
        <v>1</v>
      </c>
      <c r="H24" s="117">
        <f t="shared" si="2"/>
        <v>0.3</v>
      </c>
      <c r="I24" s="384">
        <v>0.75</v>
      </c>
      <c r="J24" s="117">
        <f t="shared" si="3"/>
        <v>0.22500000000000001</v>
      </c>
      <c r="K24" s="152">
        <f t="shared" si="4"/>
        <v>0.22500000000000001</v>
      </c>
      <c r="L24" s="87">
        <f t="shared" si="5"/>
        <v>74884</v>
      </c>
      <c r="O24" s="327"/>
    </row>
    <row r="25" spans="1:15">
      <c r="A25" s="69" t="s">
        <v>11</v>
      </c>
      <c r="B25" s="303">
        <f>+'Pandemic Calculations'!B16-'Pandemic Calculations'!D16/Morbidity</f>
        <v>335281.93466957542</v>
      </c>
      <c r="C25" s="384">
        <v>0.95</v>
      </c>
      <c r="D25" s="117">
        <f t="shared" si="1"/>
        <v>0.28499999999999998</v>
      </c>
      <c r="E25" s="384">
        <v>1</v>
      </c>
      <c r="F25" s="304">
        <f t="shared" si="1"/>
        <v>0.3</v>
      </c>
      <c r="G25" s="384">
        <v>0.75</v>
      </c>
      <c r="H25" s="117">
        <f t="shared" si="2"/>
        <v>0.22500000000000001</v>
      </c>
      <c r="I25" s="384">
        <v>0.75</v>
      </c>
      <c r="J25" s="117">
        <f t="shared" si="3"/>
        <v>0.22500000000000001</v>
      </c>
      <c r="K25" s="152">
        <f t="shared" si="4"/>
        <v>0.22500000000000001</v>
      </c>
      <c r="L25" s="87">
        <f t="shared" si="5"/>
        <v>75438</v>
      </c>
      <c r="O25" s="327"/>
    </row>
    <row r="26" spans="1:15">
      <c r="A26" s="69" t="s">
        <v>12</v>
      </c>
      <c r="B26" s="303">
        <f>+'Pandemic Calculations'!B17-'Pandemic Calculations'!D17/Morbidity</f>
        <v>341706.569341861</v>
      </c>
      <c r="C26" s="384">
        <v>0.85</v>
      </c>
      <c r="D26" s="117">
        <f t="shared" si="1"/>
        <v>0.255</v>
      </c>
      <c r="E26" s="384">
        <v>0.85</v>
      </c>
      <c r="F26" s="304">
        <f t="shared" si="1"/>
        <v>0.255</v>
      </c>
      <c r="G26" s="384">
        <v>0.75</v>
      </c>
      <c r="H26" s="117">
        <f t="shared" si="2"/>
        <v>0.22500000000000001</v>
      </c>
      <c r="I26" s="384">
        <v>0.75</v>
      </c>
      <c r="J26" s="117">
        <f t="shared" si="3"/>
        <v>0.22500000000000001</v>
      </c>
      <c r="K26" s="152">
        <f t="shared" si="4"/>
        <v>0.22500000000000001</v>
      </c>
      <c r="L26" s="87">
        <f t="shared" si="5"/>
        <v>76884</v>
      </c>
      <c r="O26" s="327"/>
    </row>
    <row r="27" spans="1:15">
      <c r="A27" s="69" t="s">
        <v>13</v>
      </c>
      <c r="B27" s="303">
        <f>+'Pandemic Calculations'!B18-'Pandemic Calculations'!D18/Morbidity</f>
        <v>371584.85525203618</v>
      </c>
      <c r="C27" s="384">
        <v>0.85</v>
      </c>
      <c r="D27" s="117">
        <f t="shared" si="1"/>
        <v>0.255</v>
      </c>
      <c r="E27" s="384">
        <v>0.85</v>
      </c>
      <c r="F27" s="304">
        <f t="shared" si="1"/>
        <v>0.255</v>
      </c>
      <c r="G27" s="384">
        <v>0.9</v>
      </c>
      <c r="H27" s="117">
        <f t="shared" si="2"/>
        <v>0.27</v>
      </c>
      <c r="I27" s="384">
        <v>1</v>
      </c>
      <c r="J27" s="117">
        <f t="shared" si="3"/>
        <v>0.3</v>
      </c>
      <c r="K27" s="152">
        <f t="shared" si="4"/>
        <v>0.3</v>
      </c>
      <c r="L27" s="87">
        <f t="shared" si="5"/>
        <v>111475</v>
      </c>
      <c r="O27" s="327"/>
    </row>
    <row r="28" spans="1:15">
      <c r="A28" s="68" t="s">
        <v>14</v>
      </c>
      <c r="B28" s="303">
        <f>+'Pandemic Calculations'!B19-'Pandemic Calculations'!D19/Morbidity</f>
        <v>356596.28130355501</v>
      </c>
      <c r="C28" s="384">
        <v>0.85</v>
      </c>
      <c r="D28" s="117">
        <f t="shared" si="1"/>
        <v>0.255</v>
      </c>
      <c r="E28" s="384">
        <v>0.85</v>
      </c>
      <c r="F28" s="304">
        <f t="shared" si="1"/>
        <v>0.255</v>
      </c>
      <c r="G28" s="384">
        <v>1.5</v>
      </c>
      <c r="H28" s="117">
        <f t="shared" si="2"/>
        <v>0.45</v>
      </c>
      <c r="I28" s="384">
        <v>1.5</v>
      </c>
      <c r="J28" s="117">
        <f t="shared" si="3"/>
        <v>0.45</v>
      </c>
      <c r="K28" s="152">
        <f t="shared" si="4"/>
        <v>0.45</v>
      </c>
      <c r="L28" s="87">
        <f t="shared" si="5"/>
        <v>160468</v>
      </c>
      <c r="O28" s="327"/>
    </row>
    <row r="29" spans="1:15">
      <c r="A29" s="68" t="s">
        <v>15</v>
      </c>
      <c r="B29" s="303">
        <f>+'Pandemic Calculations'!B20-'Pandemic Calculations'!D20/Morbidity</f>
        <v>349146.48712770734</v>
      </c>
      <c r="C29" s="384">
        <v>0.85</v>
      </c>
      <c r="D29" s="117">
        <f t="shared" si="1"/>
        <v>0.255</v>
      </c>
      <c r="E29" s="384">
        <v>0.85</v>
      </c>
      <c r="F29" s="304">
        <f t="shared" si="1"/>
        <v>0.255</v>
      </c>
      <c r="G29" s="384">
        <v>1.5</v>
      </c>
      <c r="H29" s="117">
        <f t="shared" si="2"/>
        <v>0.45</v>
      </c>
      <c r="I29" s="384">
        <v>1.75</v>
      </c>
      <c r="J29" s="117">
        <f t="shared" si="3"/>
        <v>0.52500000000000002</v>
      </c>
      <c r="K29" s="152">
        <f t="shared" si="4"/>
        <v>0.52500000000000002</v>
      </c>
      <c r="L29" s="87">
        <f t="shared" si="5"/>
        <v>183302</v>
      </c>
      <c r="O29" s="327"/>
    </row>
    <row r="30" spans="1:15">
      <c r="A30" s="68" t="s">
        <v>16</v>
      </c>
      <c r="B30" s="303">
        <f>+'Pandemic Calculations'!B21-'Pandemic Calculations'!D21/Morbidity</f>
        <v>323085.70532748313</v>
      </c>
      <c r="C30" s="384">
        <v>0.85</v>
      </c>
      <c r="D30" s="117">
        <f t="shared" si="1"/>
        <v>0.255</v>
      </c>
      <c r="E30" s="384">
        <v>0.85</v>
      </c>
      <c r="F30" s="304">
        <f t="shared" si="1"/>
        <v>0.255</v>
      </c>
      <c r="G30" s="384">
        <v>1.5</v>
      </c>
      <c r="H30" s="117">
        <f t="shared" si="2"/>
        <v>0.45</v>
      </c>
      <c r="I30" s="384">
        <v>1.75</v>
      </c>
      <c r="J30" s="117">
        <f t="shared" si="3"/>
        <v>0.52500000000000002</v>
      </c>
      <c r="K30" s="152">
        <f t="shared" si="4"/>
        <v>0.52500000000000002</v>
      </c>
      <c r="L30" s="87">
        <f t="shared" si="5"/>
        <v>169620</v>
      </c>
      <c r="O30" s="327"/>
    </row>
    <row r="31" spans="1:15">
      <c r="A31" s="68" t="s">
        <v>17</v>
      </c>
      <c r="B31" s="303">
        <f>+'Pandemic Calculations'!B22-'Pandemic Calculations'!D22/Morbidity</f>
        <v>333948.94700250466</v>
      </c>
      <c r="C31" s="384">
        <v>0.85</v>
      </c>
      <c r="D31" s="117">
        <f t="shared" si="1"/>
        <v>0.255</v>
      </c>
      <c r="E31" s="384">
        <v>0.85</v>
      </c>
      <c r="F31" s="304">
        <f t="shared" si="1"/>
        <v>0.255</v>
      </c>
      <c r="G31" s="384">
        <v>1.5</v>
      </c>
      <c r="H31" s="117">
        <f t="shared" si="2"/>
        <v>0.45</v>
      </c>
      <c r="I31" s="384">
        <v>1.5</v>
      </c>
      <c r="J31" s="117">
        <f t="shared" si="3"/>
        <v>0.45</v>
      </c>
      <c r="K31" s="152">
        <f t="shared" si="4"/>
        <v>0.45</v>
      </c>
      <c r="L31" s="87">
        <f t="shared" si="5"/>
        <v>150277</v>
      </c>
      <c r="O31" s="327"/>
    </row>
    <row r="32" spans="1:15">
      <c r="A32" s="68" t="s">
        <v>18</v>
      </c>
      <c r="B32" s="303">
        <f>+'Pandemic Calculations'!B23-'Pandemic Calculations'!D23/Morbidity</f>
        <v>338758.16858159838</v>
      </c>
      <c r="C32" s="384">
        <v>0.8</v>
      </c>
      <c r="D32" s="117">
        <f t="shared" si="1"/>
        <v>0.24</v>
      </c>
      <c r="E32" s="384">
        <v>0.85</v>
      </c>
      <c r="F32" s="304">
        <f t="shared" si="1"/>
        <v>0.255</v>
      </c>
      <c r="G32" s="384">
        <v>0.9</v>
      </c>
      <c r="H32" s="117">
        <f t="shared" si="2"/>
        <v>0.27</v>
      </c>
      <c r="I32" s="384">
        <v>1</v>
      </c>
      <c r="J32" s="117">
        <f t="shared" si="3"/>
        <v>0.3</v>
      </c>
      <c r="K32" s="152">
        <f t="shared" si="4"/>
        <v>0.3</v>
      </c>
      <c r="L32" s="87">
        <f t="shared" si="5"/>
        <v>101627</v>
      </c>
      <c r="O32" s="327"/>
    </row>
    <row r="33" spans="1:15">
      <c r="A33" s="68" t="s">
        <v>19</v>
      </c>
      <c r="B33" s="303">
        <f>+'Pandemic Calculations'!B24-'Pandemic Calculations'!D24/Morbidity</f>
        <v>366048.75132616464</v>
      </c>
      <c r="C33" s="384">
        <v>0.75</v>
      </c>
      <c r="D33" s="117">
        <f t="shared" si="1"/>
        <v>0.22500000000000001</v>
      </c>
      <c r="E33" s="384">
        <v>0.85</v>
      </c>
      <c r="F33" s="304">
        <f t="shared" si="1"/>
        <v>0.255</v>
      </c>
      <c r="G33" s="384">
        <v>0.75</v>
      </c>
      <c r="H33" s="117">
        <f t="shared" si="2"/>
        <v>0.22500000000000001</v>
      </c>
      <c r="I33" s="384">
        <v>0.75</v>
      </c>
      <c r="J33" s="117">
        <f t="shared" si="3"/>
        <v>0.22500000000000001</v>
      </c>
      <c r="K33" s="152">
        <f t="shared" si="4"/>
        <v>0.22500000000000001</v>
      </c>
      <c r="L33" s="87">
        <f t="shared" si="5"/>
        <v>82361</v>
      </c>
      <c r="O33" s="327"/>
    </row>
    <row r="34" spans="1:15">
      <c r="A34" s="68" t="s">
        <v>20</v>
      </c>
      <c r="B34" s="303">
        <f>+'Pandemic Calculations'!B25-'Pandemic Calculations'!D25/Morbidity</f>
        <v>348868.53211752267</v>
      </c>
      <c r="C34" s="384">
        <v>0.75</v>
      </c>
      <c r="D34" s="117">
        <f t="shared" si="1"/>
        <v>0.22500000000000001</v>
      </c>
      <c r="E34" s="384">
        <v>0.85</v>
      </c>
      <c r="F34" s="304">
        <f t="shared" si="1"/>
        <v>0.255</v>
      </c>
      <c r="G34" s="384">
        <v>0.5</v>
      </c>
      <c r="H34" s="117">
        <f t="shared" si="2"/>
        <v>0.15</v>
      </c>
      <c r="I34" s="384">
        <v>0.45</v>
      </c>
      <c r="J34" s="117">
        <f t="shared" si="3"/>
        <v>0.13500000000000001</v>
      </c>
      <c r="K34" s="152">
        <f t="shared" si="4"/>
        <v>0.13500000000000001</v>
      </c>
      <c r="L34" s="87">
        <f t="shared" si="5"/>
        <v>47097</v>
      </c>
      <c r="O34" s="327"/>
    </row>
    <row r="35" spans="1:15">
      <c r="A35" s="68" t="s">
        <v>21</v>
      </c>
      <c r="B35" s="303">
        <f>+'Pandemic Calculations'!B26-'Pandemic Calculations'!D26/Morbidity</f>
        <v>301102.26356874424</v>
      </c>
      <c r="C35" s="384">
        <v>0.75</v>
      </c>
      <c r="D35" s="117">
        <f t="shared" si="1"/>
        <v>0.22500000000000001</v>
      </c>
      <c r="E35" s="384">
        <v>1</v>
      </c>
      <c r="F35" s="304">
        <f t="shared" si="1"/>
        <v>0.3</v>
      </c>
      <c r="G35" s="384">
        <v>0.5</v>
      </c>
      <c r="H35" s="117">
        <f t="shared" si="2"/>
        <v>0.15</v>
      </c>
      <c r="I35" s="384">
        <v>0.25</v>
      </c>
      <c r="J35" s="117">
        <f t="shared" si="3"/>
        <v>7.4999999999999997E-2</v>
      </c>
      <c r="K35" s="152">
        <f t="shared" si="4"/>
        <v>7.4999999999999997E-2</v>
      </c>
      <c r="L35" s="87">
        <f t="shared" si="5"/>
        <v>22583</v>
      </c>
      <c r="O35" s="327"/>
    </row>
    <row r="36" spans="1:15">
      <c r="A36" s="68" t="s">
        <v>22</v>
      </c>
      <c r="B36" s="303">
        <f>+'Pandemic Calculations'!B27-'Pandemic Calculations'!D27/Morbidity</f>
        <v>248549.48785503308</v>
      </c>
      <c r="C36" s="384">
        <v>0.8</v>
      </c>
      <c r="D36" s="117">
        <f t="shared" si="1"/>
        <v>0.24</v>
      </c>
      <c r="E36" s="384">
        <v>1.25</v>
      </c>
      <c r="F36" s="304">
        <f t="shared" si="1"/>
        <v>0.375</v>
      </c>
      <c r="G36" s="384">
        <v>0.5</v>
      </c>
      <c r="H36" s="117">
        <f t="shared" si="2"/>
        <v>0.15</v>
      </c>
      <c r="I36" s="384">
        <v>0.15</v>
      </c>
      <c r="J36" s="117">
        <f t="shared" si="3"/>
        <v>4.4999999999999998E-2</v>
      </c>
      <c r="K36" s="152">
        <f t="shared" si="4"/>
        <v>4.4999999999999998E-2</v>
      </c>
      <c r="L36" s="87">
        <f t="shared" si="5"/>
        <v>11185</v>
      </c>
      <c r="O36" s="327"/>
    </row>
    <row r="37" spans="1:15">
      <c r="A37" s="68" t="s">
        <v>23</v>
      </c>
      <c r="B37" s="303">
        <f>+'Pandemic Calculations'!B28-'Pandemic Calculations'!D28/Morbidity</f>
        <v>179585.50886288885</v>
      </c>
      <c r="C37" s="384">
        <v>1</v>
      </c>
      <c r="D37" s="117">
        <f t="shared" si="1"/>
        <v>0.3</v>
      </c>
      <c r="E37" s="384">
        <v>1.25</v>
      </c>
      <c r="F37" s="304">
        <f t="shared" si="1"/>
        <v>0.375</v>
      </c>
      <c r="G37" s="384">
        <v>0.5</v>
      </c>
      <c r="H37" s="117">
        <f t="shared" si="2"/>
        <v>0.15</v>
      </c>
      <c r="I37" s="384">
        <v>0.1</v>
      </c>
      <c r="J37" s="117">
        <f t="shared" si="3"/>
        <v>0.03</v>
      </c>
      <c r="K37" s="152">
        <f t="shared" si="4"/>
        <v>0.03</v>
      </c>
      <c r="L37" s="87">
        <f t="shared" si="5"/>
        <v>5388</v>
      </c>
      <c r="O37" s="327"/>
    </row>
    <row r="38" spans="1:15">
      <c r="A38" s="68" t="s">
        <v>24</v>
      </c>
      <c r="B38" s="303">
        <f>+'Pandemic Calculations'!B29-'Pandemic Calculations'!D29/Morbidity</f>
        <v>128487.19290746382</v>
      </c>
      <c r="C38" s="384">
        <v>1.1499999999999999</v>
      </c>
      <c r="D38" s="117">
        <f t="shared" si="1"/>
        <v>0.34499999999999997</v>
      </c>
      <c r="E38" s="384">
        <v>1.4</v>
      </c>
      <c r="F38" s="304">
        <f t="shared" si="1"/>
        <v>0.42</v>
      </c>
      <c r="G38" s="384">
        <v>0.5</v>
      </c>
      <c r="H38" s="117">
        <f t="shared" si="2"/>
        <v>0.15</v>
      </c>
      <c r="I38" s="384">
        <v>0.1</v>
      </c>
      <c r="J38" s="117">
        <f t="shared" si="3"/>
        <v>0.03</v>
      </c>
      <c r="K38" s="152">
        <f t="shared" si="4"/>
        <v>0.03</v>
      </c>
      <c r="L38" s="87">
        <f t="shared" si="5"/>
        <v>3855</v>
      </c>
      <c r="O38" s="327"/>
    </row>
    <row r="39" spans="1:15">
      <c r="A39" s="68" t="s">
        <v>25</v>
      </c>
      <c r="B39" s="303">
        <f>+'Pandemic Calculations'!B30-'Pandemic Calculations'!D30/Morbidity</f>
        <v>93423.779466022766</v>
      </c>
      <c r="C39" s="384">
        <v>1.25</v>
      </c>
      <c r="D39" s="117">
        <f t="shared" si="1"/>
        <v>0.375</v>
      </c>
      <c r="E39" s="384">
        <v>1.5</v>
      </c>
      <c r="F39" s="304">
        <f t="shared" si="1"/>
        <v>0.45</v>
      </c>
      <c r="G39" s="384">
        <v>0.5</v>
      </c>
      <c r="H39" s="117">
        <f t="shared" si="2"/>
        <v>0.15</v>
      </c>
      <c r="I39" s="384">
        <v>0.1</v>
      </c>
      <c r="J39" s="117">
        <f t="shared" si="3"/>
        <v>0.03</v>
      </c>
      <c r="K39" s="152">
        <f t="shared" si="4"/>
        <v>0.03</v>
      </c>
      <c r="L39" s="87">
        <f t="shared" si="5"/>
        <v>2803</v>
      </c>
      <c r="O39" s="327"/>
    </row>
    <row r="40" spans="1:15">
      <c r="A40" s="70" t="s">
        <v>7</v>
      </c>
      <c r="B40" s="303">
        <f>+'Pandemic Calculations'!B31-'Pandemic Calculations'!D31/Morbidity</f>
        <v>99940.926974044691</v>
      </c>
      <c r="C40" s="385">
        <v>1.25</v>
      </c>
      <c r="D40" s="118">
        <f t="shared" si="1"/>
        <v>0.375</v>
      </c>
      <c r="E40" s="385">
        <v>1.5</v>
      </c>
      <c r="F40" s="305">
        <f t="shared" si="1"/>
        <v>0.45</v>
      </c>
      <c r="G40" s="385">
        <v>0.5</v>
      </c>
      <c r="H40" s="118">
        <f t="shared" si="2"/>
        <v>0.15</v>
      </c>
      <c r="I40" s="385">
        <v>0.1</v>
      </c>
      <c r="J40" s="118">
        <f t="shared" si="3"/>
        <v>0.03</v>
      </c>
      <c r="K40" s="153">
        <f t="shared" si="4"/>
        <v>0.03</v>
      </c>
      <c r="L40" s="88">
        <f t="shared" si="5"/>
        <v>2998</v>
      </c>
      <c r="O40" s="327"/>
    </row>
    <row r="41" spans="1:15">
      <c r="A41" s="2" t="s">
        <v>1</v>
      </c>
      <c r="B41" s="256">
        <f>SUM(B23:B40)</f>
        <v>5171326.1340570888</v>
      </c>
      <c r="C41" s="29"/>
      <c r="D41" s="67">
        <f>SUMPRODUCT(D23:D40,$B$23:$B$40)/$B$41</f>
        <v>0.29627622739601833</v>
      </c>
      <c r="E41" s="67"/>
      <c r="F41" s="67">
        <f>SUMPRODUCT(F23:F40,$B$23:$B$40)/$B$41</f>
        <v>0.30174329195192645</v>
      </c>
      <c r="G41" s="120"/>
      <c r="H41" s="67">
        <f>SUMPRODUCT(H23:H40,$B$23:$B$40)/$B$41</f>
        <v>0.2890248508968068</v>
      </c>
      <c r="I41" s="120"/>
      <c r="J41" s="67">
        <f>SUMPRODUCT(J23:J40,$B$23:$B$40)/$B$41</f>
        <v>0.28535840097667498</v>
      </c>
      <c r="K41" s="29"/>
      <c r="L41" s="14">
        <f>SUM(L23:L40)</f>
        <v>1475681</v>
      </c>
    </row>
    <row r="42" spans="1:15">
      <c r="A42" s="2"/>
      <c r="B42" s="66"/>
      <c r="C42" s="66"/>
      <c r="D42" s="154"/>
      <c r="E42" s="154"/>
      <c r="F42" s="154"/>
      <c r="G42" s="154"/>
      <c r="H42" s="154"/>
      <c r="I42" s="154"/>
      <c r="J42" s="154"/>
      <c r="K42" s="14"/>
      <c r="L42" s="65"/>
    </row>
    <row r="43" spans="1:15">
      <c r="A43" s="2"/>
      <c r="B43" s="66"/>
      <c r="C43" s="66"/>
      <c r="D43" s="154"/>
      <c r="E43" s="154"/>
      <c r="F43" s="154"/>
      <c r="G43" s="154"/>
      <c r="H43" s="154"/>
      <c r="I43" s="154"/>
      <c r="J43" s="154"/>
      <c r="K43" s="14"/>
      <c r="L43" s="65"/>
    </row>
    <row r="44" spans="1:15">
      <c r="A44" s="172"/>
      <c r="B44" s="39" t="s">
        <v>8</v>
      </c>
      <c r="C44" s="173"/>
      <c r="D44" s="173"/>
      <c r="E44" s="168"/>
      <c r="F44" s="168"/>
      <c r="G44" s="168"/>
      <c r="H44" s="168"/>
      <c r="I44" s="168"/>
      <c r="J44" s="168"/>
      <c r="K44" s="168"/>
      <c r="L44" s="248"/>
      <c r="M44" s="15"/>
    </row>
    <row r="45" spans="1:15">
      <c r="A45" s="174">
        <v>-1</v>
      </c>
      <c r="B45" s="176" t="s">
        <v>178</v>
      </c>
      <c r="C45" s="168"/>
      <c r="D45" s="168"/>
      <c r="E45" s="33"/>
      <c r="F45" s="33"/>
      <c r="G45" s="174"/>
      <c r="H45" s="23"/>
      <c r="I45" s="174">
        <f>+A52-1</f>
        <v>-9</v>
      </c>
      <c r="J45" s="180" t="s">
        <v>167</v>
      </c>
      <c r="K45" s="168"/>
      <c r="L45" s="175"/>
      <c r="M45" s="17"/>
    </row>
    <row r="46" spans="1:15">
      <c r="A46" s="174">
        <f t="shared" ref="A46:A52" si="6">+A45-1</f>
        <v>-2</v>
      </c>
      <c r="B46" s="168" t="s">
        <v>170</v>
      </c>
      <c r="C46" s="33"/>
      <c r="D46" s="168"/>
      <c r="E46" s="175"/>
      <c r="F46" s="175"/>
      <c r="G46" s="174"/>
      <c r="H46" s="23"/>
      <c r="I46" s="174">
        <f t="shared" ref="I46:I52" si="7">+I45-1</f>
        <v>-10</v>
      </c>
      <c r="J46" s="180" t="s">
        <v>63</v>
      </c>
      <c r="K46" s="33"/>
      <c r="L46" s="145"/>
      <c r="M46" s="16"/>
    </row>
    <row r="47" spans="1:15">
      <c r="A47" s="174">
        <f t="shared" si="6"/>
        <v>-3</v>
      </c>
      <c r="B47" s="176" t="s">
        <v>171</v>
      </c>
      <c r="C47" s="175"/>
      <c r="D47" s="33"/>
      <c r="E47" s="145"/>
      <c r="F47" s="145"/>
      <c r="G47" s="174"/>
      <c r="H47" s="180"/>
      <c r="I47" s="174">
        <f t="shared" si="7"/>
        <v>-11</v>
      </c>
      <c r="J47" s="180" t="s">
        <v>177</v>
      </c>
      <c r="K47" s="168"/>
      <c r="L47" s="177"/>
      <c r="M47" s="22"/>
    </row>
    <row r="48" spans="1:15">
      <c r="A48" s="174">
        <f t="shared" si="6"/>
        <v>-4</v>
      </c>
      <c r="B48" s="176" t="s">
        <v>173</v>
      </c>
      <c r="C48" s="175"/>
      <c r="D48" s="168"/>
      <c r="E48" s="177"/>
      <c r="F48" s="181"/>
      <c r="G48" s="174"/>
      <c r="H48" s="23"/>
      <c r="I48" s="174">
        <f t="shared" si="7"/>
        <v>-12</v>
      </c>
      <c r="J48" s="180" t="s">
        <v>64</v>
      </c>
      <c r="K48" s="145"/>
      <c r="L48" s="177"/>
      <c r="M48" s="22"/>
    </row>
    <row r="49" spans="1:13">
      <c r="A49" s="174">
        <f t="shared" si="6"/>
        <v>-5</v>
      </c>
      <c r="B49" s="176" t="s">
        <v>172</v>
      </c>
      <c r="C49" s="145"/>
      <c r="D49" s="168"/>
      <c r="E49" s="177"/>
      <c r="F49" s="181"/>
      <c r="G49" s="174"/>
      <c r="H49" s="180"/>
      <c r="I49" s="174">
        <f t="shared" si="7"/>
        <v>-13</v>
      </c>
      <c r="J49" s="180" t="s">
        <v>176</v>
      </c>
      <c r="K49" s="145"/>
      <c r="L49" s="177"/>
      <c r="M49" s="22"/>
    </row>
    <row r="50" spans="1:13">
      <c r="A50" s="174">
        <f t="shared" si="6"/>
        <v>-6</v>
      </c>
      <c r="B50" s="180" t="s">
        <v>175</v>
      </c>
      <c r="C50" s="178"/>
      <c r="D50" s="145"/>
      <c r="E50" s="177"/>
      <c r="F50" s="181"/>
      <c r="G50" s="174"/>
      <c r="H50" s="23"/>
      <c r="I50" s="174">
        <f t="shared" si="7"/>
        <v>-14</v>
      </c>
      <c r="J50" s="168" t="s">
        <v>169</v>
      </c>
      <c r="K50" s="178"/>
      <c r="L50" s="177"/>
      <c r="M50" s="22"/>
    </row>
    <row r="51" spans="1:13">
      <c r="A51" s="174">
        <f t="shared" si="6"/>
        <v>-7</v>
      </c>
      <c r="B51" s="23" t="s">
        <v>61</v>
      </c>
      <c r="C51" s="182"/>
      <c r="D51" s="178"/>
      <c r="E51" s="177"/>
      <c r="F51" s="181"/>
      <c r="G51" s="174"/>
      <c r="H51" s="23"/>
      <c r="I51" s="174">
        <f t="shared" si="7"/>
        <v>-15</v>
      </c>
      <c r="J51" s="180" t="s">
        <v>160</v>
      </c>
      <c r="K51" s="178"/>
      <c r="L51" s="177"/>
      <c r="M51" s="22"/>
    </row>
    <row r="52" spans="1:13">
      <c r="A52" s="174">
        <f t="shared" si="6"/>
        <v>-8</v>
      </c>
      <c r="B52" s="180" t="s">
        <v>62</v>
      </c>
      <c r="D52" s="178"/>
      <c r="E52" s="177"/>
      <c r="F52" s="181"/>
      <c r="G52" s="174"/>
      <c r="H52" s="168"/>
      <c r="I52" s="174">
        <f t="shared" si="7"/>
        <v>-16</v>
      </c>
      <c r="J52" s="180" t="s">
        <v>179</v>
      </c>
      <c r="K52" s="178"/>
      <c r="L52" s="177"/>
      <c r="M52" s="22"/>
    </row>
    <row r="53" spans="1:13">
      <c r="A53" s="168"/>
      <c r="B53" s="179"/>
      <c r="C53" s="179"/>
      <c r="D53" s="178"/>
      <c r="E53" s="178"/>
      <c r="F53" s="178"/>
      <c r="G53" s="178"/>
      <c r="H53" s="178"/>
      <c r="I53" s="178"/>
      <c r="J53" s="178"/>
      <c r="K53" s="178"/>
      <c r="L53" s="177"/>
      <c r="M53" s="22"/>
    </row>
    <row r="54" spans="1:13">
      <c r="B54" s="19"/>
      <c r="C54" s="19"/>
      <c r="D54" s="20"/>
      <c r="E54" s="20"/>
      <c r="F54" s="325"/>
      <c r="G54" s="328"/>
      <c r="H54" s="328"/>
      <c r="I54" s="325"/>
      <c r="J54" s="328"/>
      <c r="K54" s="328"/>
      <c r="L54" s="21"/>
      <c r="M54" s="22"/>
    </row>
    <row r="55" spans="1:13">
      <c r="B55" s="19"/>
      <c r="C55" s="19"/>
      <c r="D55" s="20"/>
      <c r="E55" s="19"/>
      <c r="F55" s="326"/>
      <c r="G55" s="328"/>
      <c r="H55" s="332"/>
      <c r="I55" s="326"/>
      <c r="J55" s="328"/>
      <c r="K55" s="332"/>
      <c r="L55" s="326"/>
      <c r="M55" s="20"/>
    </row>
    <row r="56" spans="1:13">
      <c r="A56" s="29"/>
      <c r="B56" s="321"/>
      <c r="C56" s="322"/>
      <c r="D56" s="323"/>
      <c r="E56" s="317"/>
      <c r="F56" s="315"/>
      <c r="G56" s="329"/>
      <c r="H56" s="330"/>
      <c r="I56" s="315"/>
      <c r="J56" s="329"/>
      <c r="K56" s="330"/>
      <c r="L56" s="315"/>
      <c r="M56" s="316"/>
    </row>
    <row r="57" spans="1:13">
      <c r="A57" s="29"/>
      <c r="B57" s="321"/>
      <c r="C57" s="322"/>
      <c r="D57" s="321"/>
      <c r="E57" s="317"/>
      <c r="F57" s="315"/>
      <c r="G57" s="330"/>
      <c r="H57" s="330"/>
      <c r="I57" s="315"/>
      <c r="J57" s="330"/>
      <c r="K57" s="330"/>
      <c r="L57" s="315"/>
      <c r="M57" s="317"/>
    </row>
    <row r="58" spans="1:13">
      <c r="A58" s="29"/>
      <c r="B58" s="266"/>
      <c r="C58" s="324"/>
      <c r="D58" s="266"/>
      <c r="E58" s="106"/>
      <c r="F58" s="154"/>
      <c r="G58" s="331"/>
      <c r="H58" s="331"/>
      <c r="I58" s="154"/>
      <c r="J58" s="331"/>
      <c r="K58" s="331"/>
      <c r="L58" s="154"/>
      <c r="M58" s="106"/>
    </row>
    <row r="59" spans="1:13">
      <c r="A59" s="29"/>
      <c r="B59" s="266"/>
      <c r="C59" s="324"/>
      <c r="D59" s="266"/>
      <c r="E59" s="106"/>
      <c r="F59" s="154"/>
      <c r="G59" s="331"/>
      <c r="H59" s="331"/>
      <c r="I59" s="154"/>
      <c r="J59" s="331"/>
      <c r="K59" s="331"/>
      <c r="L59" s="154"/>
      <c r="M59" s="106"/>
    </row>
    <row r="60" spans="1:13">
      <c r="A60" s="29"/>
      <c r="B60" s="266"/>
      <c r="C60" s="324"/>
      <c r="D60" s="266"/>
      <c r="E60" s="106"/>
      <c r="F60" s="154"/>
      <c r="G60" s="331"/>
      <c r="H60" s="331"/>
      <c r="I60" s="154"/>
      <c r="J60" s="331"/>
      <c r="K60" s="331"/>
      <c r="L60" s="154"/>
      <c r="M60" s="106"/>
    </row>
    <row r="61" spans="1:13">
      <c r="A61" s="29"/>
      <c r="B61" s="266"/>
      <c r="C61" s="324"/>
      <c r="D61" s="266"/>
      <c r="E61" s="106"/>
      <c r="F61" s="154"/>
      <c r="G61" s="331"/>
      <c r="H61" s="331"/>
      <c r="I61" s="154"/>
      <c r="J61" s="331"/>
      <c r="K61" s="331"/>
      <c r="L61" s="154"/>
      <c r="M61" s="106"/>
    </row>
    <row r="62" spans="1:13">
      <c r="A62" s="29"/>
      <c r="B62" s="266"/>
      <c r="C62" s="324"/>
      <c r="D62" s="266"/>
      <c r="E62" s="106"/>
      <c r="F62" s="154"/>
      <c r="G62" s="331"/>
      <c r="H62" s="331"/>
      <c r="I62" s="154"/>
      <c r="J62" s="331"/>
      <c r="K62" s="331"/>
      <c r="L62" s="154"/>
      <c r="M62" s="106"/>
    </row>
    <row r="63" spans="1:13">
      <c r="A63" s="29"/>
      <c r="B63" s="266"/>
      <c r="C63" s="324"/>
      <c r="D63" s="266"/>
      <c r="E63" s="106"/>
      <c r="F63" s="154"/>
      <c r="G63" s="331"/>
      <c r="H63" s="331"/>
      <c r="I63" s="154"/>
      <c r="J63" s="331"/>
      <c r="K63" s="331"/>
      <c r="L63" s="154"/>
      <c r="M63" s="106"/>
    </row>
    <row r="64" spans="1:13">
      <c r="A64" s="29"/>
      <c r="B64" s="266"/>
      <c r="C64" s="324"/>
      <c r="D64" s="266"/>
      <c r="E64" s="106"/>
      <c r="F64" s="154"/>
      <c r="G64" s="331"/>
      <c r="H64" s="331"/>
      <c r="I64" s="154"/>
      <c r="J64" s="331"/>
      <c r="K64" s="331"/>
      <c r="L64" s="154"/>
      <c r="M64" s="106"/>
    </row>
    <row r="65" spans="1:13">
      <c r="A65" s="29"/>
      <c r="B65" s="266"/>
      <c r="C65" s="324"/>
      <c r="D65" s="266"/>
      <c r="E65" s="106"/>
      <c r="F65" s="154"/>
      <c r="G65" s="331"/>
      <c r="H65" s="331"/>
      <c r="I65" s="154"/>
      <c r="J65" s="331"/>
      <c r="K65" s="331"/>
      <c r="L65" s="154"/>
      <c r="M65" s="106"/>
    </row>
    <row r="66" spans="1:13">
      <c r="A66" s="29"/>
      <c r="B66" s="266"/>
      <c r="C66" s="324"/>
      <c r="D66" s="266"/>
      <c r="E66" s="106"/>
      <c r="F66" s="154"/>
      <c r="G66" s="331"/>
      <c r="H66" s="331"/>
      <c r="I66" s="154"/>
      <c r="J66" s="331"/>
      <c r="K66" s="331"/>
      <c r="L66" s="154"/>
      <c r="M66" s="106"/>
    </row>
    <row r="67" spans="1:13">
      <c r="A67" s="29"/>
      <c r="B67" s="266"/>
      <c r="C67" s="324"/>
      <c r="D67" s="266"/>
      <c r="E67" s="106"/>
      <c r="F67" s="154"/>
      <c r="G67" s="331"/>
      <c r="H67" s="331"/>
      <c r="I67" s="154"/>
      <c r="J67" s="331"/>
      <c r="K67" s="331"/>
      <c r="L67" s="154"/>
      <c r="M67" s="106"/>
    </row>
    <row r="68" spans="1:13">
      <c r="A68" s="29"/>
      <c r="B68" s="266"/>
      <c r="C68" s="324"/>
      <c r="D68" s="266"/>
      <c r="E68" s="106"/>
      <c r="F68" s="154"/>
      <c r="G68" s="331"/>
      <c r="H68" s="331"/>
      <c r="I68" s="154"/>
      <c r="J68" s="331"/>
      <c r="K68" s="331"/>
      <c r="L68" s="154"/>
      <c r="M68" s="106"/>
    </row>
    <row r="69" spans="1:13">
      <c r="A69" s="29"/>
      <c r="B69" s="266"/>
      <c r="C69" s="324"/>
      <c r="D69" s="266"/>
      <c r="E69" s="106"/>
      <c r="F69" s="154"/>
      <c r="G69" s="331"/>
      <c r="H69" s="331"/>
      <c r="I69" s="154"/>
      <c r="J69" s="331"/>
      <c r="K69" s="331"/>
      <c r="L69" s="154"/>
      <c r="M69" s="106"/>
    </row>
    <row r="70" spans="1:13">
      <c r="A70" s="29"/>
      <c r="B70" s="266"/>
      <c r="C70" s="324"/>
      <c r="D70" s="266"/>
      <c r="E70" s="106"/>
      <c r="F70" s="154"/>
      <c r="G70" s="331"/>
      <c r="H70" s="331"/>
      <c r="I70" s="154"/>
      <c r="J70" s="331"/>
      <c r="K70" s="331"/>
      <c r="L70" s="154"/>
      <c r="M70" s="106"/>
    </row>
    <row r="71" spans="1:13">
      <c r="A71" s="29"/>
      <c r="B71" s="266"/>
      <c r="C71" s="324"/>
      <c r="D71" s="266"/>
      <c r="E71" s="106"/>
      <c r="F71" s="154"/>
      <c r="G71" s="331"/>
      <c r="H71" s="331"/>
      <c r="I71" s="154"/>
      <c r="J71" s="331"/>
      <c r="K71" s="331"/>
      <c r="L71" s="154"/>
      <c r="M71" s="106"/>
    </row>
    <row r="72" spans="1:13">
      <c r="A72" s="29"/>
      <c r="B72" s="266"/>
      <c r="C72" s="324"/>
      <c r="D72" s="266"/>
      <c r="E72" s="106"/>
      <c r="F72" s="154"/>
      <c r="G72" s="106"/>
      <c r="H72" s="106"/>
      <c r="I72" s="154"/>
      <c r="J72" s="106"/>
      <c r="K72" s="106"/>
      <c r="L72" s="154"/>
      <c r="M72" s="106"/>
    </row>
    <row r="73" spans="1:13">
      <c r="A73" s="29"/>
      <c r="B73" s="266"/>
      <c r="C73" s="324"/>
      <c r="D73" s="266"/>
      <c r="E73" s="106"/>
      <c r="F73" s="154"/>
      <c r="G73" s="106"/>
      <c r="H73" s="106"/>
      <c r="I73" s="154"/>
      <c r="J73" s="106"/>
      <c r="K73" s="106"/>
      <c r="L73" s="154"/>
      <c r="M73" s="106"/>
    </row>
    <row r="74" spans="1:13">
      <c r="A74" s="29"/>
      <c r="B74" s="319"/>
      <c r="C74" s="320"/>
      <c r="D74" s="320"/>
      <c r="E74" s="106"/>
      <c r="F74" s="327"/>
      <c r="H74" s="106"/>
      <c r="K74" s="106"/>
    </row>
    <row r="75" spans="1:13">
      <c r="A75" s="29"/>
      <c r="F75" s="327"/>
    </row>
    <row r="76" spans="1:13">
      <c r="F76" s="327"/>
    </row>
    <row r="77" spans="1:13">
      <c r="F77" s="327"/>
    </row>
    <row r="78" spans="1:13">
      <c r="F78" s="327"/>
    </row>
    <row r="79" spans="1:13">
      <c r="F79" s="327"/>
    </row>
  </sheetData>
  <phoneticPr fontId="0" type="noConversion"/>
  <printOptions horizontalCentered="1"/>
  <pageMargins left="0.5" right="0.5" top="0.5" bottom="0.75" header="0.5" footer="0.35"/>
  <pageSetup scale="81" orientation="landscape" r:id="rId1"/>
  <headerFooter alignWithMargins="0">
    <oddFooter>&amp;L&amp;8&amp;F  &amp;A&amp;C&amp;8MBA Actuaries, Inc.&amp;R&amp;8&amp;D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26"/>
  <sheetViews>
    <sheetView topLeftCell="A34" zoomScaleNormal="100" workbookViewId="0">
      <selection activeCell="K48" sqref="K48"/>
    </sheetView>
  </sheetViews>
  <sheetFormatPr defaultRowHeight="12.75"/>
  <cols>
    <col min="1" max="1" width="26.140625" customWidth="1"/>
    <col min="2" max="25" width="9.7109375" customWidth="1"/>
  </cols>
  <sheetData>
    <row r="1" spans="1:27" ht="15.75">
      <c r="A1" s="402" t="str">
        <f>scenario</f>
        <v>Severe Scenario, V\ Curve</v>
      </c>
      <c r="M1" s="157" t="s">
        <v>264</v>
      </c>
      <c r="N1" s="130"/>
      <c r="O1" s="12"/>
      <c r="P1" s="12"/>
      <c r="Q1" s="12"/>
      <c r="R1" s="12"/>
      <c r="S1" s="12"/>
      <c r="T1" s="12"/>
      <c r="U1" s="12"/>
      <c r="V1" s="12"/>
      <c r="W1" s="12"/>
      <c r="X1" s="12"/>
      <c r="Y1" s="157" t="s">
        <v>264</v>
      </c>
    </row>
    <row r="2" spans="1:27" ht="15.75">
      <c r="A2" s="402"/>
      <c r="M2" s="213"/>
      <c r="N2" s="130"/>
      <c r="O2" s="12"/>
      <c r="P2" s="12"/>
      <c r="Q2" s="12"/>
      <c r="R2" s="12"/>
      <c r="S2" s="12"/>
      <c r="T2" s="12"/>
      <c r="U2" s="12"/>
      <c r="V2" s="12"/>
      <c r="W2" s="12"/>
      <c r="X2" s="12"/>
      <c r="Y2" s="213"/>
    </row>
    <row r="3" spans="1:27" ht="15.75">
      <c r="A3" s="130" t="s">
        <v>113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263"/>
      <c r="N3" s="130" t="s">
        <v>113</v>
      </c>
      <c r="O3" s="12"/>
      <c r="P3" s="12"/>
      <c r="Q3" s="12"/>
      <c r="R3" s="12"/>
      <c r="S3" s="12"/>
      <c r="T3" s="12"/>
      <c r="U3" s="12"/>
      <c r="V3" s="263"/>
    </row>
    <row r="4" spans="1:27" ht="15">
      <c r="A4" s="218" t="s">
        <v>127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218" t="s">
        <v>127</v>
      </c>
      <c r="O4" s="12"/>
      <c r="P4" s="12"/>
      <c r="Q4" s="12"/>
      <c r="R4" s="12"/>
      <c r="S4" s="12"/>
      <c r="T4" s="12"/>
      <c r="U4" s="12"/>
      <c r="V4" s="12"/>
    </row>
    <row r="5" spans="1:27" ht="15">
      <c r="A5" s="21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27" ht="12" customHeight="1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3"/>
      <c r="Y6" s="193"/>
    </row>
    <row r="7" spans="1:27" s="15" customFormat="1">
      <c r="B7" s="197" t="s">
        <v>97</v>
      </c>
      <c r="J7" s="197"/>
      <c r="N7" s="197" t="s">
        <v>97</v>
      </c>
      <c r="S7" s="197"/>
    </row>
    <row r="8" spans="1:27" s="235" customFormat="1">
      <c r="A8" s="240" t="s">
        <v>119</v>
      </c>
      <c r="B8" s="236">
        <v>1</v>
      </c>
      <c r="C8" s="236">
        <v>2</v>
      </c>
      <c r="D8" s="236">
        <v>3</v>
      </c>
      <c r="E8" s="236">
        <v>4</v>
      </c>
      <c r="F8" s="236">
        <v>5</v>
      </c>
      <c r="G8" s="236">
        <v>6</v>
      </c>
      <c r="H8" s="236">
        <v>7</v>
      </c>
      <c r="I8" s="236">
        <v>8</v>
      </c>
      <c r="J8" s="236">
        <v>9</v>
      </c>
      <c r="K8" s="236">
        <v>10</v>
      </c>
      <c r="L8" s="236">
        <v>11</v>
      </c>
      <c r="M8" s="236">
        <v>12</v>
      </c>
      <c r="N8" s="236">
        <v>13</v>
      </c>
      <c r="O8" s="236">
        <v>14</v>
      </c>
      <c r="P8" s="236">
        <v>15</v>
      </c>
      <c r="Q8" s="236">
        <v>16</v>
      </c>
      <c r="R8" s="236">
        <v>17</v>
      </c>
      <c r="S8" s="236">
        <v>18</v>
      </c>
      <c r="T8" s="236">
        <v>19</v>
      </c>
      <c r="U8" s="236">
        <v>20</v>
      </c>
      <c r="V8" s="236">
        <v>21</v>
      </c>
      <c r="W8" s="236">
        <v>22</v>
      </c>
      <c r="X8" s="236">
        <v>23</v>
      </c>
      <c r="Y8" s="236">
        <v>24</v>
      </c>
      <c r="Z8" s="236">
        <v>25</v>
      </c>
      <c r="AA8" s="236">
        <v>26</v>
      </c>
    </row>
    <row r="9" spans="1:27" s="33" customFormat="1" ht="5.0999999999999996" customHeight="1">
      <c r="A9" s="237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196"/>
      <c r="AA9" s="196"/>
    </row>
    <row r="10" spans="1:27" s="33" customFormat="1">
      <c r="A10" s="201" t="s">
        <v>210</v>
      </c>
      <c r="B10" s="234">
        <f>1-SUM(C10:Y10)</f>
        <v>1.8999999999999906E-2</v>
      </c>
      <c r="C10" s="234">
        <f t="shared" ref="C10:Y10" si="0">ROUND(IF(C$8&gt;WaveDur,0,(NORMDIST(C$8,WaveDur/2,WaveDur/StdFactor,1)-NORMDIST(B$8,WaveDur/2,WaveDur/StdFactor,1))/(NORMDIST(WaveDur,WaveDur/2,WaveDur/StdFactor,1)-NORMDIST(0,WaveDur/2,WaveDur/StdFactor,1))),3)</f>
        <v>3.6999999999999998E-2</v>
      </c>
      <c r="D10" s="234">
        <f t="shared" si="0"/>
        <v>6.5000000000000002E-2</v>
      </c>
      <c r="E10" s="234">
        <f t="shared" si="0"/>
        <v>9.9000000000000005E-2</v>
      </c>
      <c r="F10" s="234">
        <f t="shared" si="0"/>
        <v>0.13</v>
      </c>
      <c r="G10" s="234">
        <f t="shared" si="0"/>
        <v>0.15</v>
      </c>
      <c r="H10" s="234">
        <f t="shared" si="0"/>
        <v>0.15</v>
      </c>
      <c r="I10" s="234">
        <f t="shared" si="0"/>
        <v>0.13</v>
      </c>
      <c r="J10" s="234">
        <f t="shared" si="0"/>
        <v>9.9000000000000005E-2</v>
      </c>
      <c r="K10" s="234">
        <f t="shared" si="0"/>
        <v>6.5000000000000002E-2</v>
      </c>
      <c r="L10" s="234">
        <f t="shared" si="0"/>
        <v>3.6999999999999998E-2</v>
      </c>
      <c r="M10" s="234">
        <f t="shared" si="0"/>
        <v>1.9E-2</v>
      </c>
      <c r="N10" s="234">
        <f t="shared" si="0"/>
        <v>0</v>
      </c>
      <c r="O10" s="234">
        <f t="shared" si="0"/>
        <v>0</v>
      </c>
      <c r="P10" s="234">
        <f t="shared" si="0"/>
        <v>0</v>
      </c>
      <c r="Q10" s="234">
        <f t="shared" si="0"/>
        <v>0</v>
      </c>
      <c r="R10" s="234">
        <f t="shared" si="0"/>
        <v>0</v>
      </c>
      <c r="S10" s="234">
        <f t="shared" si="0"/>
        <v>0</v>
      </c>
      <c r="T10" s="234">
        <f t="shared" si="0"/>
        <v>0</v>
      </c>
      <c r="U10" s="234">
        <f t="shared" si="0"/>
        <v>0</v>
      </c>
      <c r="V10" s="234">
        <f t="shared" si="0"/>
        <v>0</v>
      </c>
      <c r="W10" s="234">
        <f t="shared" si="0"/>
        <v>0</v>
      </c>
      <c r="X10" s="234">
        <f t="shared" si="0"/>
        <v>0</v>
      </c>
      <c r="Y10" s="234">
        <f t="shared" si="0"/>
        <v>0</v>
      </c>
      <c r="Z10" s="234">
        <v>0</v>
      </c>
      <c r="AA10" s="234">
        <v>0</v>
      </c>
    </row>
    <row r="11" spans="1:27" s="168" customFormat="1">
      <c r="A11" s="201" t="s">
        <v>211</v>
      </c>
      <c r="B11" s="192">
        <f>1-SUM(C11:Y11)</f>
        <v>7.3999999999999733E-2</v>
      </c>
      <c r="C11" s="192">
        <f t="shared" ref="C11:AA11" si="1">ROUND(IF(C$8&gt;WaveDur,0,(WEIBULL(C$8,Weibull_Alpha,Weibull_Beta,1)-WEIBULL(B$8,Weibull_Alpha,Weibull_Beta,1))/(WEIBULL(WaveDur,Weibull_Alpha,Weibull_Beta,1)-NORMDIST(0,Weibull_Alpha,Weibull_Beta,1))),3)</f>
        <v>0.25900000000000001</v>
      </c>
      <c r="D11" s="192">
        <f t="shared" si="1"/>
        <v>0.157</v>
      </c>
      <c r="E11" s="192">
        <f t="shared" si="1"/>
        <v>0.112</v>
      </c>
      <c r="F11" s="192">
        <f t="shared" si="1"/>
        <v>8.5999999999999993E-2</v>
      </c>
      <c r="G11" s="192">
        <f t="shared" si="1"/>
        <v>6.9000000000000006E-2</v>
      </c>
      <c r="H11" s="192">
        <f t="shared" si="1"/>
        <v>5.7000000000000002E-2</v>
      </c>
      <c r="I11" s="192">
        <f t="shared" si="1"/>
        <v>4.8000000000000001E-2</v>
      </c>
      <c r="J11" s="192">
        <f t="shared" si="1"/>
        <v>4.2000000000000003E-2</v>
      </c>
      <c r="K11" s="192">
        <f t="shared" si="1"/>
        <v>3.5999999999999997E-2</v>
      </c>
      <c r="L11" s="192">
        <f t="shared" si="1"/>
        <v>3.2000000000000001E-2</v>
      </c>
      <c r="M11" s="192">
        <f t="shared" si="1"/>
        <v>2.8000000000000001E-2</v>
      </c>
      <c r="N11" s="192">
        <f t="shared" si="1"/>
        <v>0</v>
      </c>
      <c r="O11" s="192">
        <f t="shared" si="1"/>
        <v>0</v>
      </c>
      <c r="P11" s="192">
        <f t="shared" si="1"/>
        <v>0</v>
      </c>
      <c r="Q11" s="192">
        <f t="shared" si="1"/>
        <v>0</v>
      </c>
      <c r="R11" s="192">
        <f t="shared" si="1"/>
        <v>0</v>
      </c>
      <c r="S11" s="192">
        <f t="shared" si="1"/>
        <v>0</v>
      </c>
      <c r="T11" s="192">
        <f t="shared" si="1"/>
        <v>0</v>
      </c>
      <c r="U11" s="192">
        <f t="shared" si="1"/>
        <v>0</v>
      </c>
      <c r="V11" s="192">
        <f t="shared" si="1"/>
        <v>0</v>
      </c>
      <c r="W11" s="192">
        <f t="shared" si="1"/>
        <v>0</v>
      </c>
      <c r="X11" s="192">
        <f t="shared" si="1"/>
        <v>0</v>
      </c>
      <c r="Y11" s="192">
        <f t="shared" si="1"/>
        <v>0</v>
      </c>
      <c r="Z11" s="192">
        <f t="shared" si="1"/>
        <v>0</v>
      </c>
      <c r="AA11" s="192">
        <f t="shared" si="1"/>
        <v>0</v>
      </c>
    </row>
    <row r="12" spans="1:27" s="168" customFormat="1">
      <c r="A12" s="264" t="s">
        <v>3</v>
      </c>
      <c r="B12" s="238">
        <f t="shared" ref="B12:AA12" si="2">+B10</f>
        <v>1.8999999999999906E-2</v>
      </c>
      <c r="C12" s="238">
        <f t="shared" si="2"/>
        <v>3.6999999999999998E-2</v>
      </c>
      <c r="D12" s="238">
        <f t="shared" si="2"/>
        <v>6.5000000000000002E-2</v>
      </c>
      <c r="E12" s="238">
        <f t="shared" si="2"/>
        <v>9.9000000000000005E-2</v>
      </c>
      <c r="F12" s="238">
        <f t="shared" si="2"/>
        <v>0.13</v>
      </c>
      <c r="G12" s="238">
        <f t="shared" si="2"/>
        <v>0.15</v>
      </c>
      <c r="H12" s="238">
        <f t="shared" si="2"/>
        <v>0.15</v>
      </c>
      <c r="I12" s="238">
        <f t="shared" si="2"/>
        <v>0.13</v>
      </c>
      <c r="J12" s="238">
        <f t="shared" si="2"/>
        <v>9.9000000000000005E-2</v>
      </c>
      <c r="K12" s="238">
        <f t="shared" si="2"/>
        <v>6.5000000000000002E-2</v>
      </c>
      <c r="L12" s="238">
        <f t="shared" si="2"/>
        <v>3.6999999999999998E-2</v>
      </c>
      <c r="M12" s="238">
        <f t="shared" si="2"/>
        <v>1.9E-2</v>
      </c>
      <c r="N12" s="238">
        <f t="shared" si="2"/>
        <v>0</v>
      </c>
      <c r="O12" s="238">
        <f t="shared" si="2"/>
        <v>0</v>
      </c>
      <c r="P12" s="238">
        <f t="shared" si="2"/>
        <v>0</v>
      </c>
      <c r="Q12" s="238">
        <f t="shared" si="2"/>
        <v>0</v>
      </c>
      <c r="R12" s="238">
        <f t="shared" si="2"/>
        <v>0</v>
      </c>
      <c r="S12" s="238">
        <f t="shared" si="2"/>
        <v>0</v>
      </c>
      <c r="T12" s="238">
        <f t="shared" si="2"/>
        <v>0</v>
      </c>
      <c r="U12" s="238">
        <f t="shared" si="2"/>
        <v>0</v>
      </c>
      <c r="V12" s="238">
        <f t="shared" si="2"/>
        <v>0</v>
      </c>
      <c r="W12" s="238">
        <f t="shared" si="2"/>
        <v>0</v>
      </c>
      <c r="X12" s="238">
        <f t="shared" si="2"/>
        <v>0</v>
      </c>
      <c r="Y12" s="238">
        <f t="shared" si="2"/>
        <v>0</v>
      </c>
      <c r="Z12" s="238">
        <f t="shared" si="2"/>
        <v>0</v>
      </c>
      <c r="AA12" s="238">
        <f t="shared" si="2"/>
        <v>0</v>
      </c>
    </row>
    <row r="14" spans="1:27" s="15" customFormat="1">
      <c r="B14" s="197" t="s">
        <v>97</v>
      </c>
      <c r="J14" s="197"/>
      <c r="N14" s="197" t="s">
        <v>97</v>
      </c>
      <c r="S14" s="197"/>
    </row>
    <row r="15" spans="1:27" s="235" customFormat="1">
      <c r="A15" s="157" t="s">
        <v>120</v>
      </c>
      <c r="B15" s="236">
        <v>1</v>
      </c>
      <c r="C15" s="236">
        <v>2</v>
      </c>
      <c r="D15" s="236">
        <v>3</v>
      </c>
      <c r="E15" s="236">
        <v>4</v>
      </c>
      <c r="F15" s="236">
        <v>5</v>
      </c>
      <c r="G15" s="236">
        <v>6</v>
      </c>
      <c r="H15" s="236">
        <v>7</v>
      </c>
      <c r="I15" s="236">
        <v>8</v>
      </c>
      <c r="J15" s="236">
        <v>9</v>
      </c>
      <c r="K15" s="236">
        <v>10</v>
      </c>
      <c r="L15" s="236">
        <v>11</v>
      </c>
      <c r="M15" s="236">
        <v>12</v>
      </c>
      <c r="N15" s="236">
        <v>13</v>
      </c>
      <c r="O15" s="236">
        <v>14</v>
      </c>
      <c r="P15" s="236">
        <v>15</v>
      </c>
      <c r="Q15" s="236">
        <v>16</v>
      </c>
      <c r="R15" s="236">
        <v>17</v>
      </c>
      <c r="S15" s="236">
        <v>18</v>
      </c>
      <c r="T15" s="236">
        <v>19</v>
      </c>
      <c r="U15" s="236">
        <v>20</v>
      </c>
      <c r="V15" s="236">
        <v>21</v>
      </c>
      <c r="W15" s="236">
        <v>22</v>
      </c>
      <c r="X15" s="236">
        <v>23</v>
      </c>
      <c r="Y15" s="236">
        <v>24</v>
      </c>
      <c r="Z15" s="236">
        <v>25</v>
      </c>
      <c r="AA15" s="236">
        <v>26</v>
      </c>
    </row>
    <row r="16" spans="1:27" s="33" customFormat="1" ht="5.0999999999999996" customHeight="1">
      <c r="A16" s="237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196"/>
      <c r="AA16" s="196"/>
    </row>
    <row r="17" spans="1:27" s="33" customFormat="1">
      <c r="A17" s="201" t="s">
        <v>210</v>
      </c>
      <c r="B17" s="234">
        <f t="shared" ref="B17:AA17" si="3">+B10</f>
        <v>1.8999999999999906E-2</v>
      </c>
      <c r="C17" s="234">
        <f t="shared" si="3"/>
        <v>3.6999999999999998E-2</v>
      </c>
      <c r="D17" s="234">
        <f t="shared" si="3"/>
        <v>6.5000000000000002E-2</v>
      </c>
      <c r="E17" s="234">
        <f t="shared" si="3"/>
        <v>9.9000000000000005E-2</v>
      </c>
      <c r="F17" s="234">
        <f t="shared" si="3"/>
        <v>0.13</v>
      </c>
      <c r="G17" s="234">
        <f t="shared" si="3"/>
        <v>0.15</v>
      </c>
      <c r="H17" s="234">
        <f t="shared" si="3"/>
        <v>0.15</v>
      </c>
      <c r="I17" s="234">
        <f t="shared" si="3"/>
        <v>0.13</v>
      </c>
      <c r="J17" s="234">
        <f t="shared" si="3"/>
        <v>9.9000000000000005E-2</v>
      </c>
      <c r="K17" s="234">
        <f t="shared" si="3"/>
        <v>6.5000000000000002E-2</v>
      </c>
      <c r="L17" s="234">
        <f t="shared" si="3"/>
        <v>3.6999999999999998E-2</v>
      </c>
      <c r="M17" s="234">
        <f t="shared" si="3"/>
        <v>1.9E-2</v>
      </c>
      <c r="N17" s="234">
        <f t="shared" si="3"/>
        <v>0</v>
      </c>
      <c r="O17" s="234">
        <f t="shared" si="3"/>
        <v>0</v>
      </c>
      <c r="P17" s="234">
        <f t="shared" si="3"/>
        <v>0</v>
      </c>
      <c r="Q17" s="234">
        <f t="shared" si="3"/>
        <v>0</v>
      </c>
      <c r="R17" s="234">
        <f t="shared" si="3"/>
        <v>0</v>
      </c>
      <c r="S17" s="234">
        <f t="shared" si="3"/>
        <v>0</v>
      </c>
      <c r="T17" s="234">
        <f t="shared" si="3"/>
        <v>0</v>
      </c>
      <c r="U17" s="234">
        <f t="shared" si="3"/>
        <v>0</v>
      </c>
      <c r="V17" s="234">
        <f t="shared" si="3"/>
        <v>0</v>
      </c>
      <c r="W17" s="234">
        <f t="shared" si="3"/>
        <v>0</v>
      </c>
      <c r="X17" s="234">
        <f t="shared" si="3"/>
        <v>0</v>
      </c>
      <c r="Y17" s="234">
        <f t="shared" si="3"/>
        <v>0</v>
      </c>
      <c r="Z17" s="234">
        <f t="shared" si="3"/>
        <v>0</v>
      </c>
      <c r="AA17" s="234">
        <f t="shared" si="3"/>
        <v>0</v>
      </c>
    </row>
    <row r="18" spans="1:27">
      <c r="A18" s="201" t="s">
        <v>211</v>
      </c>
      <c r="B18" s="192">
        <f>1-SUM(C18:Y18)</f>
        <v>7.3999999999999733E-2</v>
      </c>
      <c r="C18" s="192">
        <f t="shared" ref="C18:AA18" si="4">ROUND(IF(C$15&gt;WaveDur,0,(WEIBULL(C$15,Weibull_Alpha,Weibull_Beta,1)-WEIBULL(B$15,Weibull_Alpha,Weibull_Beta,1))/(WEIBULL(WaveDur,Weibull_Alpha,Weibull_Beta,1)-NORMDIST(0,Weibull_Alpha,Weibull_Beta,1))),3)</f>
        <v>0.25900000000000001</v>
      </c>
      <c r="D18" s="192">
        <f t="shared" si="4"/>
        <v>0.157</v>
      </c>
      <c r="E18" s="192">
        <f t="shared" si="4"/>
        <v>0.112</v>
      </c>
      <c r="F18" s="192">
        <f t="shared" si="4"/>
        <v>8.5999999999999993E-2</v>
      </c>
      <c r="G18" s="192">
        <f t="shared" si="4"/>
        <v>6.9000000000000006E-2</v>
      </c>
      <c r="H18" s="192">
        <f t="shared" si="4"/>
        <v>5.7000000000000002E-2</v>
      </c>
      <c r="I18" s="192">
        <f t="shared" si="4"/>
        <v>4.8000000000000001E-2</v>
      </c>
      <c r="J18" s="192">
        <f t="shared" si="4"/>
        <v>4.2000000000000003E-2</v>
      </c>
      <c r="K18" s="192">
        <f t="shared" si="4"/>
        <v>3.5999999999999997E-2</v>
      </c>
      <c r="L18" s="192">
        <f t="shared" si="4"/>
        <v>3.2000000000000001E-2</v>
      </c>
      <c r="M18" s="192">
        <f t="shared" si="4"/>
        <v>2.8000000000000001E-2</v>
      </c>
      <c r="N18" s="192">
        <f t="shared" si="4"/>
        <v>0</v>
      </c>
      <c r="O18" s="192">
        <f t="shared" si="4"/>
        <v>0</v>
      </c>
      <c r="P18" s="192">
        <f t="shared" si="4"/>
        <v>0</v>
      </c>
      <c r="Q18" s="192">
        <f t="shared" si="4"/>
        <v>0</v>
      </c>
      <c r="R18" s="192">
        <f t="shared" si="4"/>
        <v>0</v>
      </c>
      <c r="S18" s="192">
        <f t="shared" si="4"/>
        <v>0</v>
      </c>
      <c r="T18" s="192">
        <f t="shared" si="4"/>
        <v>0</v>
      </c>
      <c r="U18" s="192">
        <f t="shared" si="4"/>
        <v>0</v>
      </c>
      <c r="V18" s="192">
        <f t="shared" si="4"/>
        <v>0</v>
      </c>
      <c r="W18" s="192">
        <f t="shared" si="4"/>
        <v>0</v>
      </c>
      <c r="X18" s="192">
        <f t="shared" si="4"/>
        <v>0</v>
      </c>
      <c r="Y18" s="192">
        <f t="shared" si="4"/>
        <v>0</v>
      </c>
      <c r="Z18" s="192">
        <f t="shared" si="4"/>
        <v>0</v>
      </c>
      <c r="AA18" s="192">
        <f t="shared" si="4"/>
        <v>0</v>
      </c>
    </row>
    <row r="19" spans="1:27">
      <c r="A19" s="264" t="s">
        <v>3</v>
      </c>
      <c r="B19" s="239">
        <f t="shared" ref="B19:AA19" si="5">+B18</f>
        <v>7.3999999999999733E-2</v>
      </c>
      <c r="C19" s="239">
        <f t="shared" si="5"/>
        <v>0.25900000000000001</v>
      </c>
      <c r="D19" s="239">
        <f t="shared" si="5"/>
        <v>0.157</v>
      </c>
      <c r="E19" s="239">
        <f t="shared" si="5"/>
        <v>0.112</v>
      </c>
      <c r="F19" s="239">
        <f t="shared" si="5"/>
        <v>8.5999999999999993E-2</v>
      </c>
      <c r="G19" s="239">
        <f t="shared" si="5"/>
        <v>6.9000000000000006E-2</v>
      </c>
      <c r="H19" s="239">
        <f t="shared" si="5"/>
        <v>5.7000000000000002E-2</v>
      </c>
      <c r="I19" s="239">
        <f t="shared" si="5"/>
        <v>4.8000000000000001E-2</v>
      </c>
      <c r="J19" s="239">
        <f t="shared" si="5"/>
        <v>4.2000000000000003E-2</v>
      </c>
      <c r="K19" s="239">
        <f t="shared" si="5"/>
        <v>3.5999999999999997E-2</v>
      </c>
      <c r="L19" s="239">
        <f t="shared" si="5"/>
        <v>3.2000000000000001E-2</v>
      </c>
      <c r="M19" s="239">
        <f t="shared" si="5"/>
        <v>2.8000000000000001E-2</v>
      </c>
      <c r="N19" s="239">
        <f t="shared" si="5"/>
        <v>0</v>
      </c>
      <c r="O19" s="239">
        <f t="shared" si="5"/>
        <v>0</v>
      </c>
      <c r="P19" s="239">
        <f t="shared" si="5"/>
        <v>0</v>
      </c>
      <c r="Q19" s="239">
        <f t="shared" si="5"/>
        <v>0</v>
      </c>
      <c r="R19" s="239">
        <f t="shared" si="5"/>
        <v>0</v>
      </c>
      <c r="S19" s="239">
        <f t="shared" si="5"/>
        <v>0</v>
      </c>
      <c r="T19" s="239">
        <f t="shared" si="5"/>
        <v>0</v>
      </c>
      <c r="U19" s="239">
        <f t="shared" si="5"/>
        <v>0</v>
      </c>
      <c r="V19" s="239">
        <f t="shared" si="5"/>
        <v>0</v>
      </c>
      <c r="W19" s="239">
        <f t="shared" si="5"/>
        <v>0</v>
      </c>
      <c r="X19" s="239">
        <f t="shared" si="5"/>
        <v>0</v>
      </c>
      <c r="Y19" s="239">
        <f t="shared" si="5"/>
        <v>0</v>
      </c>
      <c r="Z19" s="239">
        <f t="shared" si="5"/>
        <v>0</v>
      </c>
      <c r="AA19" s="239">
        <f t="shared" si="5"/>
        <v>0</v>
      </c>
    </row>
    <row r="21" spans="1:27">
      <c r="A21" s="12"/>
      <c r="B21" s="12"/>
      <c r="D21" s="12"/>
      <c r="E21" s="12"/>
      <c r="F21" s="12"/>
      <c r="G21" s="12"/>
      <c r="I21" s="12"/>
      <c r="J21" s="12"/>
    </row>
    <row r="22" spans="1:27">
      <c r="F22" s="157" t="s">
        <v>125</v>
      </c>
    </row>
    <row r="23" spans="1:27">
      <c r="G23" s="157"/>
    </row>
    <row r="24" spans="1:27">
      <c r="D24" s="159" t="s">
        <v>214</v>
      </c>
      <c r="E24" s="453">
        <v>4.5</v>
      </c>
      <c r="F24" s="34" t="s">
        <v>212</v>
      </c>
      <c r="G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</row>
    <row r="25" spans="1:27">
      <c r="D25" s="162" t="s">
        <v>123</v>
      </c>
      <c r="E25" s="453">
        <v>0.4</v>
      </c>
      <c r="F25" s="34" t="s">
        <v>213</v>
      </c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</row>
    <row r="26" spans="1:27">
      <c r="D26" s="192" t="s">
        <v>124</v>
      </c>
      <c r="E26" s="453">
        <v>3</v>
      </c>
      <c r="F26" s="34" t="s">
        <v>213</v>
      </c>
      <c r="G26" s="198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3"/>
      <c r="Y26" s="193"/>
    </row>
  </sheetData>
  <phoneticPr fontId="19" type="noConversion"/>
  <printOptions horizontalCentered="1"/>
  <pageMargins left="0.5" right="0.5" top="0.75" bottom="0.75" header="0.5" footer="0.35"/>
  <pageSetup scale="85" orientation="landscape" r:id="rId1"/>
  <headerFooter alignWithMargins="0">
    <oddFooter xml:space="preserve">&amp;L&amp;F
&amp;A&amp;CMBA Actuaries, Inc.&amp;R&amp;T
&amp;D </oddFooter>
  </headerFooter>
  <colBreaks count="1" manualBreakCount="1">
    <brk id="13" max="29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  <pageSetUpPr fitToPage="1"/>
  </sheetPr>
  <dimension ref="A1:N50"/>
  <sheetViews>
    <sheetView topLeftCell="A19" zoomScaleNormal="100" workbookViewId="0">
      <selection activeCell="J35" sqref="J35"/>
    </sheetView>
  </sheetViews>
  <sheetFormatPr defaultRowHeight="12.75"/>
  <cols>
    <col min="1" max="1" width="6" style="3" customWidth="1"/>
    <col min="2" max="2" width="2.5703125" style="3" customWidth="1"/>
    <col min="3" max="3" width="20" style="3" customWidth="1"/>
    <col min="4" max="4" width="12.85546875" style="3" bestFit="1" customWidth="1"/>
    <col min="5" max="7" width="12.7109375" style="3" customWidth="1"/>
    <col min="8" max="9" width="9.7109375" style="189" customWidth="1"/>
    <col min="10" max="10" width="1.5703125" style="23" customWidth="1"/>
    <col min="11" max="11" width="16.28515625" style="3" customWidth="1"/>
    <col min="12" max="12" width="10.28515625" style="3" bestFit="1" customWidth="1"/>
    <col min="13" max="16384" width="9.140625" style="3"/>
  </cols>
  <sheetData>
    <row r="1" spans="1:12">
      <c r="A1" s="402" t="str">
        <f>scenario</f>
        <v>Severe Scenario, V\ Curve</v>
      </c>
      <c r="J1" s="157" t="s">
        <v>267</v>
      </c>
    </row>
    <row r="2" spans="1:12">
      <c r="I2" s="222"/>
      <c r="J2" s="172"/>
    </row>
    <row r="3" spans="1:12" ht="18">
      <c r="A3" s="31"/>
      <c r="B3" s="24"/>
      <c r="C3" s="31"/>
      <c r="D3" s="31"/>
      <c r="E3" s="31"/>
      <c r="F3" s="31"/>
      <c r="G3" s="31"/>
      <c r="H3" s="223"/>
      <c r="I3" s="223"/>
      <c r="J3" s="3"/>
    </row>
    <row r="4" spans="1:12" ht="18">
      <c r="A4" s="121"/>
      <c r="B4" s="24"/>
      <c r="C4" s="24"/>
      <c r="D4" s="31"/>
      <c r="E4" s="31"/>
      <c r="F4" s="31"/>
      <c r="G4" s="31"/>
      <c r="H4" s="223"/>
      <c r="I4" s="223"/>
      <c r="J4" s="3"/>
    </row>
    <row r="5" spans="1:12" ht="12.75" customHeight="1">
      <c r="B5" s="31"/>
      <c r="C5" s="31"/>
      <c r="D5" s="31"/>
      <c r="E5" s="31"/>
      <c r="F5" s="31"/>
      <c r="G5" s="31"/>
      <c r="H5" s="223"/>
      <c r="I5" s="223"/>
      <c r="J5" s="183"/>
    </row>
    <row r="6" spans="1:12" ht="15.75">
      <c r="C6" s="49" t="s">
        <v>69</v>
      </c>
      <c r="D6" s="73"/>
      <c r="H6" s="634" t="s">
        <v>112</v>
      </c>
      <c r="I6" s="635"/>
    </row>
    <row r="7" spans="1:12" ht="5.0999999999999996" customHeight="1">
      <c r="C7" s="157"/>
      <c r="D7" s="73"/>
      <c r="H7" s="224"/>
      <c r="I7" s="225"/>
    </row>
    <row r="8" spans="1:12">
      <c r="C8" s="157" t="s">
        <v>68</v>
      </c>
      <c r="D8" s="161" t="s">
        <v>3</v>
      </c>
      <c r="E8" s="198" t="str">
        <f>+Scenario!D10</f>
        <v>Seasonal</v>
      </c>
      <c r="F8" s="198" t="str">
        <f>+Scenario!E10</f>
        <v>Moderate</v>
      </c>
      <c r="G8" s="198" t="str">
        <f>+Scenario!F10</f>
        <v>Severe</v>
      </c>
      <c r="H8" s="226" t="s">
        <v>5</v>
      </c>
      <c r="I8" s="227" t="s">
        <v>4</v>
      </c>
    </row>
    <row r="9" spans="1:12">
      <c r="A9" s="174"/>
      <c r="C9" s="159" t="s">
        <v>66</v>
      </c>
      <c r="D9" s="150">
        <f>IF(Severity="Seasonal",E9,IF(Severity="Moderate",F9,IF(Severity="Severe",G9,"N/A")))</f>
        <v>1183750</v>
      </c>
      <c r="E9" s="367">
        <v>947000</v>
      </c>
      <c r="F9" s="91">
        <f>E9*H9</f>
        <v>1041700.0000000001</v>
      </c>
      <c r="G9" s="91">
        <f>E9*I9</f>
        <v>1183750</v>
      </c>
      <c r="H9" s="372">
        <v>1.1000000000000001</v>
      </c>
      <c r="I9" s="373">
        <v>1.25</v>
      </c>
      <c r="J9" s="167"/>
      <c r="K9" s="34"/>
    </row>
    <row r="10" spans="1:12">
      <c r="A10" s="335"/>
      <c r="C10" s="159" t="s">
        <v>199</v>
      </c>
      <c r="D10" s="150">
        <f>IF(Severity="Seasonal",E10,IF(Severity="Moderate",F10,IF(Severity="Severe",G10,"N/A")))</f>
        <v>99000.000000000015</v>
      </c>
      <c r="E10" s="368">
        <v>90000</v>
      </c>
      <c r="F10" s="91">
        <f>E10*H10</f>
        <v>94500</v>
      </c>
      <c r="G10" s="91">
        <f>E10*I10</f>
        <v>99000.000000000015</v>
      </c>
      <c r="H10" s="372">
        <v>1.05</v>
      </c>
      <c r="I10" s="373">
        <v>1.1000000000000001</v>
      </c>
      <c r="J10" s="167"/>
      <c r="K10" s="34"/>
    </row>
    <row r="11" spans="1:12">
      <c r="A11" s="335"/>
      <c r="C11" s="159" t="s">
        <v>70</v>
      </c>
      <c r="D11" s="150">
        <f>IF(Severity="Seasonal",E11,IF(Severity="Moderate",F11,IF(Severity="Severe",G11,"N/A")))</f>
        <v>1084750</v>
      </c>
      <c r="E11" s="30">
        <f>+E9-E10</f>
        <v>857000</v>
      </c>
      <c r="F11" s="91">
        <f>+F9-F10</f>
        <v>947200.00000000012</v>
      </c>
      <c r="G11" s="91">
        <f>+G9-G10</f>
        <v>1084750</v>
      </c>
      <c r="H11" s="339"/>
      <c r="I11" s="340"/>
    </row>
    <row r="12" spans="1:12">
      <c r="A12" s="344"/>
      <c r="C12" s="159" t="s">
        <v>71</v>
      </c>
      <c r="D12" s="150">
        <f>IF(Severity="Seasonal",E12,IF(Severity="Moderate",F12,IF(Severity="Severe",G12,"N/A")))</f>
        <v>110000</v>
      </c>
      <c r="E12" s="368">
        <f>110000</f>
        <v>110000</v>
      </c>
      <c r="F12" s="91">
        <f>+E12</f>
        <v>110000</v>
      </c>
      <c r="G12" s="91">
        <f>+F12</f>
        <v>110000</v>
      </c>
      <c r="H12" s="339"/>
      <c r="I12" s="340"/>
      <c r="K12" s="34"/>
      <c r="L12" s="166"/>
    </row>
    <row r="13" spans="1:12" ht="5.0999999999999996" customHeight="1">
      <c r="C13" s="159"/>
      <c r="D13" s="111"/>
      <c r="E13" s="50"/>
      <c r="F13" s="91"/>
      <c r="G13" s="91"/>
      <c r="H13" s="339"/>
      <c r="I13" s="340"/>
      <c r="K13" s="34"/>
    </row>
    <row r="14" spans="1:12" ht="12.75" customHeight="1">
      <c r="C14" s="157" t="s">
        <v>75</v>
      </c>
      <c r="D14" s="111"/>
      <c r="E14" s="50"/>
      <c r="F14" s="91"/>
      <c r="G14" s="91"/>
      <c r="H14" s="339"/>
      <c r="I14" s="340"/>
      <c r="K14" s="34"/>
    </row>
    <row r="15" spans="1:12">
      <c r="A15" s="344"/>
      <c r="C15" s="162" t="s">
        <v>76</v>
      </c>
      <c r="D15" s="150">
        <f>IF(Severity="Seasonal",E15,IF(Severity="Moderate",F15,IF(Severity="Severe",G15,"N/A")))</f>
        <v>555050</v>
      </c>
      <c r="E15" s="367">
        <v>653000</v>
      </c>
      <c r="F15" s="91">
        <f>E15*H15</f>
        <v>620350</v>
      </c>
      <c r="G15" s="91">
        <f>E15*I15</f>
        <v>555050</v>
      </c>
      <c r="H15" s="374">
        <v>0.95</v>
      </c>
      <c r="I15" s="375">
        <v>0.85</v>
      </c>
      <c r="J15" s="163"/>
      <c r="K15" s="314"/>
      <c r="L15" s="23"/>
    </row>
    <row r="16" spans="1:12">
      <c r="A16" s="344"/>
      <c r="C16" s="159" t="s">
        <v>72</v>
      </c>
      <c r="D16" s="150">
        <f>IF(Severity="Seasonal",E16,IF(Severity="Moderate",F16,IF(Severity="Severe",G16,"N/A")))</f>
        <v>60750</v>
      </c>
      <c r="E16" s="254">
        <f>+E10*0.75</f>
        <v>67500</v>
      </c>
      <c r="F16" s="91">
        <f>E16*H16</f>
        <v>64125</v>
      </c>
      <c r="G16" s="91">
        <f>E16*I16</f>
        <v>60750</v>
      </c>
      <c r="H16" s="374">
        <v>0.95</v>
      </c>
      <c r="I16" s="375">
        <v>0.9</v>
      </c>
      <c r="J16" s="163"/>
      <c r="K16" s="160"/>
    </row>
    <row r="17" spans="1:11">
      <c r="A17" s="344"/>
      <c r="B17" s="28"/>
      <c r="C17" s="162" t="s">
        <v>73</v>
      </c>
      <c r="D17" s="150">
        <f>IF(Severity="Seasonal",E17,IF(Severity="Moderate",F17,IF(Severity="Severe",G17,"N/A")))</f>
        <v>494300</v>
      </c>
      <c r="E17" s="164">
        <f>+E15-E16</f>
        <v>585500</v>
      </c>
      <c r="F17" s="91">
        <f>+F15-F16</f>
        <v>556225</v>
      </c>
      <c r="G17" s="137">
        <f>+G15-G16</f>
        <v>494300</v>
      </c>
      <c r="H17" s="341"/>
      <c r="I17" s="342"/>
      <c r="J17" s="163"/>
    </row>
    <row r="18" spans="1:11">
      <c r="A18" s="344"/>
      <c r="C18" s="159" t="s">
        <v>74</v>
      </c>
      <c r="D18" s="150">
        <f>IF(Severity="Seasonal",E18,IF(Severity="Moderate",F18,IF(Severity="Severe",G18,"N/A")))</f>
        <v>76500</v>
      </c>
      <c r="E18" s="369">
        <v>85000</v>
      </c>
      <c r="F18" s="91">
        <f>E18*H18</f>
        <v>80750</v>
      </c>
      <c r="G18" s="91">
        <f>E18*I18</f>
        <v>76500</v>
      </c>
      <c r="H18" s="374">
        <v>0.95</v>
      </c>
      <c r="I18" s="375">
        <v>0.9</v>
      </c>
      <c r="J18" s="163"/>
      <c r="K18" s="160"/>
    </row>
    <row r="19" spans="1:11" ht="5.0999999999999996" customHeight="1">
      <c r="B19" s="28"/>
      <c r="C19" s="162"/>
      <c r="D19" s="150"/>
      <c r="E19" s="164"/>
      <c r="F19" s="91"/>
      <c r="G19" s="137"/>
      <c r="H19" s="341"/>
      <c r="I19" s="342"/>
      <c r="J19" s="163"/>
    </row>
    <row r="20" spans="1:11">
      <c r="C20" s="157" t="s">
        <v>262</v>
      </c>
      <c r="E20" s="28"/>
      <c r="F20" s="28"/>
      <c r="G20" s="28"/>
      <c r="H20" s="339"/>
      <c r="I20" s="340"/>
    </row>
    <row r="21" spans="1:11">
      <c r="A21" s="344"/>
      <c r="C21" s="159" t="s">
        <v>80</v>
      </c>
      <c r="D21" s="150">
        <f>IF(Severity="Seasonal",E21,IF(Severity="Moderate",F21,IF(Severity="Severe",G21,"N/A")))</f>
        <v>628700</v>
      </c>
      <c r="E21" s="137">
        <f t="shared" ref="E21:G24" si="0">+E9-E15</f>
        <v>294000</v>
      </c>
      <c r="F21" s="137">
        <f t="shared" si="0"/>
        <v>421350.00000000012</v>
      </c>
      <c r="G21" s="137">
        <f t="shared" si="0"/>
        <v>628700</v>
      </c>
      <c r="H21" s="339"/>
      <c r="I21" s="340"/>
    </row>
    <row r="22" spans="1:11">
      <c r="A22" s="344"/>
      <c r="C22" s="214" t="s">
        <v>200</v>
      </c>
      <c r="D22" s="150">
        <f>IF(Severity="Seasonal",E22,IF(Severity="Moderate",F22,IF(Severity="Severe",G22,"N/A")))</f>
        <v>38250.000000000015</v>
      </c>
      <c r="E22" s="228">
        <f t="shared" si="0"/>
        <v>22500</v>
      </c>
      <c r="F22" s="228">
        <f t="shared" si="0"/>
        <v>30375</v>
      </c>
      <c r="G22" s="228">
        <f t="shared" si="0"/>
        <v>38250.000000000015</v>
      </c>
      <c r="H22" s="339"/>
      <c r="I22" s="340"/>
    </row>
    <row r="23" spans="1:11">
      <c r="A23" s="344"/>
      <c r="C23" s="162" t="s">
        <v>81</v>
      </c>
      <c r="D23" s="150">
        <f>IF(Severity="Seasonal",E23,IF(Severity="Moderate",F23,IF(Severity="Severe",G23,"N/A")))</f>
        <v>590450</v>
      </c>
      <c r="E23" s="137">
        <f t="shared" si="0"/>
        <v>271500</v>
      </c>
      <c r="F23" s="137">
        <f t="shared" si="0"/>
        <v>390975.00000000012</v>
      </c>
      <c r="G23" s="137">
        <f t="shared" si="0"/>
        <v>590450</v>
      </c>
      <c r="H23" s="339"/>
      <c r="I23" s="340"/>
    </row>
    <row r="24" spans="1:11">
      <c r="A24" s="344"/>
      <c r="C24" s="159" t="s">
        <v>82</v>
      </c>
      <c r="D24" s="150">
        <f>IF(Severity="Seasonal",E24,IF(Severity="Moderate",F24,IF(Severity="Severe",G24,"N/A")))</f>
        <v>33500</v>
      </c>
      <c r="E24" s="137">
        <f t="shared" si="0"/>
        <v>25000</v>
      </c>
      <c r="F24" s="137">
        <f t="shared" si="0"/>
        <v>29250</v>
      </c>
      <c r="G24" s="137">
        <f t="shared" si="0"/>
        <v>33500</v>
      </c>
      <c r="H24" s="339"/>
      <c r="I24" s="340"/>
    </row>
    <row r="25" spans="1:11">
      <c r="A25" s="158"/>
      <c r="C25" s="159"/>
      <c r="D25" s="150"/>
      <c r="E25" s="137"/>
      <c r="F25" s="137"/>
      <c r="G25" s="137"/>
      <c r="H25" s="339"/>
      <c r="I25" s="340"/>
    </row>
    <row r="26" spans="1:11" ht="15.75">
      <c r="C26" s="49" t="s">
        <v>77</v>
      </c>
      <c r="E26" s="28"/>
      <c r="F26" s="28"/>
      <c r="G26" s="28"/>
      <c r="H26" s="339"/>
      <c r="I26" s="340"/>
    </row>
    <row r="27" spans="1:11" ht="5.0999999999999996" customHeight="1">
      <c r="C27" s="49"/>
      <c r="E27" s="28"/>
      <c r="F27" s="28"/>
      <c r="G27" s="241"/>
      <c r="H27" s="339"/>
      <c r="I27" s="340"/>
    </row>
    <row r="28" spans="1:11">
      <c r="A28" s="335"/>
      <c r="C28" s="8" t="s">
        <v>37</v>
      </c>
      <c r="D28" s="91">
        <f>IF(Severity="Seasonal",E28,IF(Severity="Moderate",F28,IF(Severity="Severe",G28,"N/A")))</f>
        <v>225000</v>
      </c>
      <c r="E28" s="367">
        <f>(115000+110000)</f>
        <v>225000</v>
      </c>
      <c r="F28" s="91">
        <f>E28*H28</f>
        <v>247500.00000000003</v>
      </c>
      <c r="G28" s="91">
        <f>E28*I28</f>
        <v>225000</v>
      </c>
      <c r="H28" s="372">
        <v>1.1000000000000001</v>
      </c>
      <c r="I28" s="373">
        <v>1</v>
      </c>
      <c r="J28" s="167"/>
      <c r="K28" s="34"/>
    </row>
    <row r="29" spans="1:11">
      <c r="A29" s="344"/>
      <c r="C29" s="159" t="s">
        <v>78</v>
      </c>
      <c r="D29" s="229">
        <f>IF(Severity="Seasonal",E29,IF(Severity="Moderate",F29,IF(Severity="Severe",G29,"N/A")))</f>
        <v>0.19</v>
      </c>
      <c r="E29" s="229">
        <f>ROUND(E28/E9,2)</f>
        <v>0.24</v>
      </c>
      <c r="F29" s="229">
        <f>ROUND(F28/F9,2)</f>
        <v>0.24</v>
      </c>
      <c r="G29" s="229">
        <f>ROUND(G28/G9,2)</f>
        <v>0.19</v>
      </c>
      <c r="H29" s="337"/>
      <c r="I29" s="338"/>
      <c r="J29" s="167"/>
      <c r="K29" s="34"/>
    </row>
    <row r="30" spans="1:11">
      <c r="A30" s="344"/>
      <c r="C30" s="8" t="s">
        <v>38</v>
      </c>
      <c r="D30" s="91">
        <f>IF(Severity="Seasonal",E30,IF(Severity="Moderate",F30,IF(Severity="Severe",G30,"N/A")))</f>
        <v>1370000</v>
      </c>
      <c r="E30" s="367">
        <f>(140000+1230000)</f>
        <v>1370000</v>
      </c>
      <c r="F30" s="91">
        <f>E30*H30</f>
        <v>1507000.0000000002</v>
      </c>
      <c r="G30" s="91">
        <f>E30*I30</f>
        <v>1370000</v>
      </c>
      <c r="H30" s="372">
        <v>1.1000000000000001</v>
      </c>
      <c r="I30" s="373">
        <v>1</v>
      </c>
      <c r="J30" s="167"/>
      <c r="K30" s="34"/>
    </row>
    <row r="31" spans="1:11">
      <c r="A31" s="344"/>
      <c r="C31" s="159" t="s">
        <v>79</v>
      </c>
      <c r="D31" s="229">
        <f>IF(Severity="Seasonal",E31,IF(Severity="Moderate",F31,IF(Severity="Severe",G31,"N/A")))</f>
        <v>1.1599999999999999</v>
      </c>
      <c r="E31" s="229">
        <f>ROUND(E30/E9,2)</f>
        <v>1.45</v>
      </c>
      <c r="F31" s="229">
        <f>ROUND(F30/F9,2)</f>
        <v>1.45</v>
      </c>
      <c r="G31" s="229">
        <f>ROUND(G30/G9,2)</f>
        <v>1.1599999999999999</v>
      </c>
      <c r="H31" s="337"/>
      <c r="I31" s="338"/>
      <c r="J31" s="167"/>
    </row>
    <row r="32" spans="1:11">
      <c r="A32" s="402"/>
      <c r="H32" s="339"/>
      <c r="I32" s="340"/>
      <c r="J32" s="157"/>
      <c r="K32" s="34"/>
    </row>
    <row r="33" spans="1:14" ht="15.75">
      <c r="C33" s="49" t="s">
        <v>83</v>
      </c>
      <c r="E33" s="28"/>
      <c r="F33" s="28"/>
      <c r="G33" s="28"/>
      <c r="H33" s="339"/>
      <c r="I33" s="340"/>
    </row>
    <row r="34" spans="1:14" ht="5.0999999999999996" customHeight="1">
      <c r="E34" s="28"/>
      <c r="F34" s="28"/>
      <c r="G34" s="28"/>
      <c r="H34" s="339"/>
      <c r="I34" s="340"/>
    </row>
    <row r="35" spans="1:14">
      <c r="A35" s="335"/>
      <c r="C35" s="159" t="s">
        <v>203</v>
      </c>
      <c r="D35" s="230">
        <f>IF(Severity="Seasonal",E35,IF(Severity="Moderate",F35,IF(Severity="Severe",G35,"N/A")))</f>
        <v>6</v>
      </c>
      <c r="E35" s="370">
        <v>5</v>
      </c>
      <c r="F35" s="230">
        <f t="shared" ref="F35:G37" si="1">+$E35*H35</f>
        <v>5</v>
      </c>
      <c r="G35" s="243">
        <f t="shared" si="1"/>
        <v>6</v>
      </c>
      <c r="H35" s="372">
        <v>1</v>
      </c>
      <c r="I35" s="373">
        <v>1.2</v>
      </c>
      <c r="J35" s="167"/>
      <c r="K35" s="313"/>
      <c r="L35" s="23"/>
      <c r="M35" s="23"/>
      <c r="N35" s="23"/>
    </row>
    <row r="36" spans="1:14">
      <c r="A36" s="344"/>
      <c r="C36" s="159" t="s">
        <v>204</v>
      </c>
      <c r="D36" s="230">
        <f>IF(Severity="Seasonal",E36,IF(Severity="Moderate",F36,IF(Severity="Severe",G36,"N/A")))</f>
        <v>12</v>
      </c>
      <c r="E36" s="370">
        <v>10</v>
      </c>
      <c r="F36" s="230">
        <f t="shared" si="1"/>
        <v>10</v>
      </c>
      <c r="G36" s="243">
        <f t="shared" si="1"/>
        <v>12</v>
      </c>
      <c r="H36" s="372">
        <v>1</v>
      </c>
      <c r="I36" s="373">
        <v>1.2</v>
      </c>
      <c r="J36" s="167"/>
      <c r="K36" s="158"/>
    </row>
    <row r="37" spans="1:14">
      <c r="A37" s="344"/>
      <c r="C37" s="159" t="s">
        <v>84</v>
      </c>
      <c r="D37" s="230">
        <f>IF(Severity="Seasonal",E37,IF(Severity="Moderate",F37,IF(Severity="Severe",G37,"N/A")))</f>
        <v>12</v>
      </c>
      <c r="E37" s="370">
        <v>10</v>
      </c>
      <c r="F37" s="230">
        <f t="shared" si="1"/>
        <v>10</v>
      </c>
      <c r="G37" s="243">
        <f t="shared" si="1"/>
        <v>12</v>
      </c>
      <c r="H37" s="372">
        <v>1</v>
      </c>
      <c r="I37" s="373">
        <v>1.2</v>
      </c>
      <c r="J37" s="167"/>
    </row>
    <row r="38" spans="1:14">
      <c r="A38" s="344"/>
      <c r="C38" s="159" t="s">
        <v>205</v>
      </c>
      <c r="D38" s="306">
        <f>IF(Severity="Seasonal",E38,IF(Severity="Moderate",F38,IF(Severity="Severe",G38,"N/A")))</f>
        <v>0.5</v>
      </c>
      <c r="E38" s="371">
        <v>0</v>
      </c>
      <c r="F38" s="371">
        <v>0.1</v>
      </c>
      <c r="G38" s="371">
        <v>0.5</v>
      </c>
      <c r="H38" s="337"/>
      <c r="I38" s="338"/>
      <c r="J38" s="167"/>
    </row>
    <row r="39" spans="1:14">
      <c r="C39" s="159"/>
      <c r="D39" s="151"/>
      <c r="E39" s="242"/>
      <c r="F39" s="231"/>
      <c r="G39" s="244"/>
      <c r="H39" s="337"/>
      <c r="I39" s="338"/>
      <c r="J39" s="167"/>
    </row>
    <row r="40" spans="1:14">
      <c r="A40" s="344"/>
      <c r="C40" s="159" t="s">
        <v>90</v>
      </c>
      <c r="D40" s="401">
        <f>IF(Severity="Seasonal",E40,IF(Severity="Moderate",F40,IF(Severity="Severe",G40,"N/A")))</f>
        <v>0.15</v>
      </c>
      <c r="E40" s="376">
        <v>7.4999999999999997E-2</v>
      </c>
      <c r="F40" s="376">
        <v>0.15</v>
      </c>
      <c r="G40" s="376">
        <v>0.15</v>
      </c>
      <c r="H40" s="337"/>
      <c r="I40" s="338"/>
      <c r="J40" s="167"/>
      <c r="K40" s="34"/>
    </row>
    <row r="41" spans="1:14">
      <c r="A41" s="344"/>
      <c r="C41" s="159" t="s">
        <v>91</v>
      </c>
      <c r="D41" s="401">
        <f>IF(Severity="Seasonal",E41,IF(Severity="Moderate",F41,IF(Severity="Severe",G41,"N/A")))</f>
        <v>0.15</v>
      </c>
      <c r="E41" s="401">
        <f t="shared" ref="E41:G41" si="2">+E40</f>
        <v>7.4999999999999997E-2</v>
      </c>
      <c r="F41" s="401">
        <f t="shared" si="2"/>
        <v>0.15</v>
      </c>
      <c r="G41" s="401">
        <f t="shared" si="2"/>
        <v>0.15</v>
      </c>
      <c r="H41" s="337"/>
      <c r="I41" s="338"/>
      <c r="J41" s="167"/>
    </row>
    <row r="42" spans="1:14">
      <c r="A42" s="344"/>
      <c r="C42" s="159" t="s">
        <v>85</v>
      </c>
      <c r="D42" s="306">
        <f>IF(Severity="Seasonal",E42,IF(Severity="Moderate",F42,IF(Severity="Severe",G42,"N/A")))</f>
        <v>0.85</v>
      </c>
      <c r="E42" s="371">
        <v>1</v>
      </c>
      <c r="F42" s="306">
        <f>+$E42*H42</f>
        <v>0.95</v>
      </c>
      <c r="G42" s="306">
        <f>+$E42*I42</f>
        <v>0.85</v>
      </c>
      <c r="H42" s="372">
        <v>0.95</v>
      </c>
      <c r="I42" s="373">
        <v>0.85</v>
      </c>
      <c r="K42" s="313"/>
      <c r="L42" s="23"/>
    </row>
    <row r="43" spans="1:14">
      <c r="A43" s="402"/>
      <c r="H43" s="339"/>
      <c r="I43" s="340"/>
      <c r="J43" s="157"/>
      <c r="K43" s="34"/>
    </row>
    <row r="44" spans="1:14" ht="15.75">
      <c r="C44" s="49" t="s">
        <v>114</v>
      </c>
      <c r="E44" s="28"/>
      <c r="F44" s="28"/>
      <c r="G44" s="28"/>
      <c r="H44" s="339"/>
      <c r="I44" s="340"/>
    </row>
    <row r="45" spans="1:14" ht="5.0999999999999996" customHeight="1">
      <c r="C45" s="49"/>
      <c r="E45" s="28"/>
      <c r="F45" s="28"/>
      <c r="G45" s="28"/>
      <c r="H45" s="339"/>
      <c r="I45" s="340"/>
    </row>
    <row r="46" spans="1:14">
      <c r="A46" s="344"/>
      <c r="C46" s="201" t="s">
        <v>115</v>
      </c>
      <c r="D46" s="91">
        <f>IF(Severity="Seasonal",E46,IF(Severity="Moderate",F46,IF(Severity="Severe",G46,"N/A")))</f>
        <v>966000</v>
      </c>
      <c r="E46" s="377">
        <v>920000</v>
      </c>
      <c r="F46" s="91">
        <f>E46*H46</f>
        <v>920000</v>
      </c>
      <c r="G46" s="91">
        <f>E46*I46</f>
        <v>966000</v>
      </c>
      <c r="H46" s="372">
        <v>1</v>
      </c>
      <c r="I46" s="373">
        <v>1.05</v>
      </c>
      <c r="K46" s="34"/>
    </row>
    <row r="47" spans="1:14">
      <c r="A47" s="344"/>
      <c r="C47" s="201" t="s">
        <v>116</v>
      </c>
      <c r="D47" s="91">
        <f>IF(Severity="Seasonal",E47,IF(Severity="Moderate",F47,IF(Severity="Severe",G47,"N/A")))</f>
        <v>2750000</v>
      </c>
      <c r="E47" s="377">
        <v>2500000</v>
      </c>
      <c r="F47" s="91">
        <f>E47*H47</f>
        <v>2500000</v>
      </c>
      <c r="G47" s="91">
        <f>E47*I47</f>
        <v>2750000</v>
      </c>
      <c r="H47" s="372">
        <v>1</v>
      </c>
      <c r="I47" s="373">
        <v>1.1000000000000001</v>
      </c>
      <c r="K47" s="34"/>
    </row>
    <row r="48" spans="1:14">
      <c r="A48" s="344"/>
      <c r="C48" s="162" t="s">
        <v>65</v>
      </c>
      <c r="D48" s="230">
        <f>IF(Severity="Seasonal",E48,IF(Severity="Moderate",F48,IF(Severity="Severe",G48,"N/A")))</f>
        <v>1.5</v>
      </c>
      <c r="E48" s="378">
        <v>0.5</v>
      </c>
      <c r="F48" s="230">
        <f>+$E48*H48</f>
        <v>1</v>
      </c>
      <c r="G48" s="243">
        <f>+$E48*I48</f>
        <v>1.5</v>
      </c>
      <c r="H48" s="379">
        <v>2</v>
      </c>
      <c r="I48" s="380">
        <v>3</v>
      </c>
    </row>
    <row r="49" spans="1:7">
      <c r="C49" s="162"/>
      <c r="D49" s="151"/>
      <c r="E49" s="211"/>
      <c r="F49" s="211"/>
      <c r="G49" s="211"/>
    </row>
    <row r="50" spans="1:7">
      <c r="A50" s="158"/>
      <c r="B50" s="158" t="s">
        <v>206</v>
      </c>
      <c r="C50" s="159"/>
    </row>
  </sheetData>
  <mergeCells count="1">
    <mergeCell ref="H6:I6"/>
  </mergeCells>
  <phoneticPr fontId="0" type="noConversion"/>
  <printOptions horizontalCentered="1"/>
  <pageMargins left="0.5" right="0.5" top="0.75" bottom="0.75" header="0.5" footer="0.35"/>
  <pageSetup scale="97" orientation="portrait" r:id="rId1"/>
  <headerFooter alignWithMargins="0">
    <oddFooter>&amp;L&amp;8&amp;F 
&amp;A&amp;C&amp;8MBA Actuaries, Inc.&amp;R&amp;8&amp;D 
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57"/>
  <sheetViews>
    <sheetView workbookViewId="0">
      <pane xSplit="3" ySplit="8" topLeftCell="D9" activePane="bottomRight" state="frozen"/>
      <selection activeCell="L19" sqref="L19"/>
      <selection pane="topRight" activeCell="L19" sqref="L19"/>
      <selection pane="bottomLeft" activeCell="L19" sqref="L19"/>
      <selection pane="bottomRight" activeCell="A41" sqref="A41:XFD41"/>
    </sheetView>
  </sheetViews>
  <sheetFormatPr defaultRowHeight="12.75"/>
  <cols>
    <col min="1" max="1" width="4.140625" customWidth="1"/>
    <col min="2" max="2" width="1.7109375" customWidth="1"/>
    <col min="3" max="3" width="28.42578125" customWidth="1"/>
    <col min="4" max="4" width="13.28515625" bestFit="1" customWidth="1"/>
    <col min="5" max="5" width="10.7109375" customWidth="1"/>
    <col min="6" max="8" width="11.7109375" customWidth="1"/>
    <col min="9" max="10" width="10.7109375" customWidth="1"/>
    <col min="11" max="18" width="10.28515625" customWidth="1"/>
    <col min="19" max="30" width="10.7109375" customWidth="1"/>
  </cols>
  <sheetData>
    <row r="1" spans="1:30">
      <c r="A1" s="402" t="str">
        <f>scenario</f>
        <v>Severe Scenario, V\ Curve</v>
      </c>
      <c r="F1" s="202"/>
      <c r="G1" s="188"/>
      <c r="J1" s="157" t="s">
        <v>265</v>
      </c>
      <c r="R1" s="157" t="s">
        <v>265</v>
      </c>
      <c r="AD1" s="213" t="s">
        <v>118</v>
      </c>
    </row>
    <row r="2" spans="1:30">
      <c r="A2" s="402"/>
      <c r="F2" s="202"/>
      <c r="G2" s="188"/>
      <c r="J2" s="213"/>
      <c r="R2" s="213"/>
      <c r="AD2" s="213"/>
    </row>
    <row r="3" spans="1:30" ht="15.75">
      <c r="D3" s="130" t="s">
        <v>113</v>
      </c>
      <c r="E3" s="12"/>
      <c r="F3" s="12"/>
      <c r="G3" s="217"/>
      <c r="H3" s="12"/>
      <c r="I3" s="349"/>
      <c r="J3" s="349"/>
      <c r="K3" s="130" t="s">
        <v>113</v>
      </c>
      <c r="L3" s="263"/>
      <c r="M3" s="12"/>
      <c r="N3" s="12"/>
      <c r="O3" s="12"/>
      <c r="P3" s="217"/>
      <c r="Q3" s="349"/>
      <c r="R3" s="349"/>
      <c r="S3" s="349"/>
      <c r="T3" s="349"/>
      <c r="U3" s="213"/>
      <c r="V3" s="130" t="s">
        <v>113</v>
      </c>
      <c r="W3" s="12"/>
      <c r="X3" s="12"/>
      <c r="Y3" s="217"/>
      <c r="Z3" s="12"/>
      <c r="AA3" s="12"/>
      <c r="AB3" s="12"/>
      <c r="AD3" s="213"/>
    </row>
    <row r="4" spans="1:30" ht="18">
      <c r="D4" s="218" t="s">
        <v>95</v>
      </c>
      <c r="E4" s="132"/>
      <c r="F4" s="12"/>
      <c r="G4" s="12"/>
      <c r="H4" s="219"/>
      <c r="I4" s="216"/>
      <c r="J4" s="216"/>
      <c r="K4" s="218" t="s">
        <v>95</v>
      </c>
      <c r="L4" s="219"/>
      <c r="M4" s="12"/>
      <c r="N4" s="132"/>
      <c r="O4" s="12"/>
      <c r="P4" s="12"/>
      <c r="Q4" s="216"/>
      <c r="R4" s="216"/>
      <c r="S4" s="216"/>
      <c r="T4" s="216"/>
      <c r="U4" s="216"/>
      <c r="V4" s="218" t="s">
        <v>95</v>
      </c>
      <c r="W4" s="132"/>
      <c r="X4" s="12"/>
      <c r="Y4" s="12"/>
      <c r="Z4" s="219"/>
      <c r="AA4" s="219"/>
      <c r="AB4" s="219"/>
      <c r="AC4" s="216"/>
      <c r="AD4" s="216"/>
    </row>
    <row r="5" spans="1:30" s="15" customFormat="1"/>
    <row r="6" spans="1:30" s="15" customFormat="1">
      <c r="E6" s="197" t="s">
        <v>97</v>
      </c>
      <c r="K6" s="197" t="s">
        <v>97</v>
      </c>
      <c r="V6" s="197" t="s">
        <v>97</v>
      </c>
    </row>
    <row r="7" spans="1:30" s="194" customFormat="1">
      <c r="C7" s="200" t="s">
        <v>96</v>
      </c>
      <c r="D7" s="198" t="s">
        <v>1</v>
      </c>
      <c r="E7" s="198">
        <v>1</v>
      </c>
      <c r="F7" s="198">
        <v>2</v>
      </c>
      <c r="G7" s="198">
        <v>3</v>
      </c>
      <c r="H7" s="198">
        <v>4</v>
      </c>
      <c r="I7" s="198">
        <v>5</v>
      </c>
      <c r="J7" s="198">
        <v>6</v>
      </c>
      <c r="K7" s="198">
        <v>7</v>
      </c>
      <c r="L7" s="198">
        <v>8</v>
      </c>
      <c r="M7" s="198">
        <v>9</v>
      </c>
      <c r="N7" s="198">
        <v>10</v>
      </c>
      <c r="O7" s="198">
        <v>11</v>
      </c>
      <c r="P7" s="198">
        <v>12</v>
      </c>
      <c r="Q7" s="198">
        <v>13</v>
      </c>
      <c r="R7" s="198">
        <v>14</v>
      </c>
      <c r="S7" s="198">
        <v>15</v>
      </c>
      <c r="T7" s="198">
        <v>16</v>
      </c>
      <c r="U7" s="198">
        <v>17</v>
      </c>
      <c r="V7" s="198">
        <v>18</v>
      </c>
      <c r="W7" s="198">
        <v>19</v>
      </c>
      <c r="X7" s="198">
        <v>20</v>
      </c>
      <c r="Y7" s="198">
        <v>21</v>
      </c>
      <c r="Z7" s="198">
        <v>22</v>
      </c>
      <c r="AA7" s="198">
        <v>23</v>
      </c>
      <c r="AB7" s="198">
        <v>24</v>
      </c>
      <c r="AC7" s="198">
        <v>25</v>
      </c>
      <c r="AD7" s="198">
        <v>26</v>
      </c>
    </row>
    <row r="8" spans="1:30" s="15" customFormat="1" ht="5.0999999999999996" customHeight="1">
      <c r="C8" s="190"/>
      <c r="D8" s="190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3"/>
      <c r="AD8" s="193"/>
    </row>
    <row r="9" spans="1:30" s="33" customFormat="1">
      <c r="A9" s="174">
        <v>-1</v>
      </c>
      <c r="C9" s="201" t="s">
        <v>119</v>
      </c>
      <c r="D9" s="196"/>
      <c r="E9" s="234">
        <f>+'Case Distribution'!B12</f>
        <v>1.8999999999999906E-2</v>
      </c>
      <c r="F9" s="234">
        <f>+'Case Distribution'!C12</f>
        <v>3.6999999999999998E-2</v>
      </c>
      <c r="G9" s="234">
        <f>+'Case Distribution'!D12</f>
        <v>6.5000000000000002E-2</v>
      </c>
      <c r="H9" s="234">
        <f>+'Case Distribution'!E12</f>
        <v>9.9000000000000005E-2</v>
      </c>
      <c r="I9" s="234">
        <f>+'Case Distribution'!F12</f>
        <v>0.13</v>
      </c>
      <c r="J9" s="234">
        <f>+'Case Distribution'!G12</f>
        <v>0.15</v>
      </c>
      <c r="K9" s="234">
        <f>+'Case Distribution'!H12</f>
        <v>0.15</v>
      </c>
      <c r="L9" s="234">
        <f>+'Case Distribution'!I12</f>
        <v>0.13</v>
      </c>
      <c r="M9" s="234">
        <f>+'Case Distribution'!J12</f>
        <v>9.9000000000000005E-2</v>
      </c>
      <c r="N9" s="234">
        <f>+'Case Distribution'!K12</f>
        <v>6.5000000000000002E-2</v>
      </c>
      <c r="O9" s="234">
        <f>+'Case Distribution'!L12</f>
        <v>3.6999999999999998E-2</v>
      </c>
      <c r="P9" s="234">
        <f>+'Case Distribution'!M12</f>
        <v>1.9E-2</v>
      </c>
      <c r="Q9" s="234">
        <f>+'Case Distribution'!N12</f>
        <v>0</v>
      </c>
      <c r="R9" s="234">
        <f>+'Case Distribution'!O12</f>
        <v>0</v>
      </c>
      <c r="S9" s="234">
        <f>+'Case Distribution'!P12</f>
        <v>0</v>
      </c>
      <c r="T9" s="234">
        <f>+'Case Distribution'!Q12</f>
        <v>0</v>
      </c>
      <c r="U9" s="234">
        <f>+'Case Distribution'!R12</f>
        <v>0</v>
      </c>
      <c r="V9" s="234">
        <f>+'Case Distribution'!S12</f>
        <v>0</v>
      </c>
      <c r="W9" s="234">
        <f>+'Case Distribution'!T12</f>
        <v>0</v>
      </c>
      <c r="X9" s="234">
        <f>+'Case Distribution'!U12</f>
        <v>0</v>
      </c>
      <c r="Y9" s="234">
        <f>+'Case Distribution'!V12</f>
        <v>0</v>
      </c>
      <c r="Z9" s="234">
        <f>+'Case Distribution'!W12</f>
        <v>0</v>
      </c>
      <c r="AA9" s="234">
        <f>+'Case Distribution'!X12</f>
        <v>0</v>
      </c>
      <c r="AB9" s="234">
        <f>+'Case Distribution'!Y12</f>
        <v>0</v>
      </c>
      <c r="AC9" s="234">
        <f>+'Case Distribution'!Z12</f>
        <v>0</v>
      </c>
      <c r="AD9" s="234">
        <f>+'Case Distribution'!AA12</f>
        <v>0</v>
      </c>
    </row>
    <row r="10" spans="1:30" s="33" customFormat="1">
      <c r="A10" s="335">
        <f>+A9-1</f>
        <v>-2</v>
      </c>
      <c r="C10" s="201" t="s">
        <v>106</v>
      </c>
      <c r="D10" s="196">
        <f>(HospAdmits+XSDths*DthHospPct)*(1-ICUPct)</f>
        <v>4004.3873116898185</v>
      </c>
      <c r="E10" s="196">
        <f t="shared" ref="E10:AD11" si="0">ROUND(E$9*$D10,0)</f>
        <v>76</v>
      </c>
      <c r="F10" s="196">
        <f t="shared" si="0"/>
        <v>148</v>
      </c>
      <c r="G10" s="196">
        <f t="shared" si="0"/>
        <v>260</v>
      </c>
      <c r="H10" s="196">
        <f t="shared" si="0"/>
        <v>396</v>
      </c>
      <c r="I10" s="196">
        <f t="shared" si="0"/>
        <v>521</v>
      </c>
      <c r="J10" s="196">
        <f t="shared" si="0"/>
        <v>601</v>
      </c>
      <c r="K10" s="196">
        <f t="shared" si="0"/>
        <v>601</v>
      </c>
      <c r="L10" s="196">
        <f t="shared" si="0"/>
        <v>521</v>
      </c>
      <c r="M10" s="196">
        <f t="shared" si="0"/>
        <v>396</v>
      </c>
      <c r="N10" s="196">
        <f t="shared" si="0"/>
        <v>260</v>
      </c>
      <c r="O10" s="196">
        <f t="shared" si="0"/>
        <v>148</v>
      </c>
      <c r="P10" s="196">
        <f t="shared" si="0"/>
        <v>76</v>
      </c>
      <c r="Q10" s="196">
        <f t="shared" si="0"/>
        <v>0</v>
      </c>
      <c r="R10" s="196">
        <f t="shared" si="0"/>
        <v>0</v>
      </c>
      <c r="S10" s="196">
        <f t="shared" si="0"/>
        <v>0</v>
      </c>
      <c r="T10" s="196">
        <f t="shared" si="0"/>
        <v>0</v>
      </c>
      <c r="U10" s="196">
        <f t="shared" si="0"/>
        <v>0</v>
      </c>
      <c r="V10" s="196">
        <f t="shared" si="0"/>
        <v>0</v>
      </c>
      <c r="W10" s="196">
        <f t="shared" si="0"/>
        <v>0</v>
      </c>
      <c r="X10" s="196">
        <f t="shared" si="0"/>
        <v>0</v>
      </c>
      <c r="Y10" s="196">
        <f t="shared" si="0"/>
        <v>0</v>
      </c>
      <c r="Z10" s="196">
        <f t="shared" si="0"/>
        <v>0</v>
      </c>
      <c r="AA10" s="196">
        <f t="shared" si="0"/>
        <v>0</v>
      </c>
      <c r="AB10" s="196">
        <f t="shared" si="0"/>
        <v>0</v>
      </c>
      <c r="AC10" s="196">
        <f t="shared" si="0"/>
        <v>0</v>
      </c>
      <c r="AD10" s="196">
        <f t="shared" si="0"/>
        <v>0</v>
      </c>
    </row>
    <row r="11" spans="1:30" s="33" customFormat="1">
      <c r="A11" s="335">
        <f>+A10-1</f>
        <v>-3</v>
      </c>
      <c r="C11" s="210" t="s">
        <v>107</v>
      </c>
      <c r="D11" s="212">
        <f>(HospAdmits+XSDths*DthHospPct)*ICUPct</f>
        <v>706.65658441585026</v>
      </c>
      <c r="E11" s="212">
        <f t="shared" si="0"/>
        <v>13</v>
      </c>
      <c r="F11" s="212">
        <f t="shared" si="0"/>
        <v>26</v>
      </c>
      <c r="G11" s="212">
        <f t="shared" si="0"/>
        <v>46</v>
      </c>
      <c r="H11" s="212">
        <f t="shared" si="0"/>
        <v>70</v>
      </c>
      <c r="I11" s="212">
        <f t="shared" si="0"/>
        <v>92</v>
      </c>
      <c r="J11" s="212">
        <f t="shared" si="0"/>
        <v>106</v>
      </c>
      <c r="K11" s="212">
        <f t="shared" si="0"/>
        <v>106</v>
      </c>
      <c r="L11" s="212">
        <f t="shared" si="0"/>
        <v>92</v>
      </c>
      <c r="M11" s="212">
        <f t="shared" si="0"/>
        <v>70</v>
      </c>
      <c r="N11" s="212">
        <f t="shared" si="0"/>
        <v>46</v>
      </c>
      <c r="O11" s="212">
        <f t="shared" si="0"/>
        <v>26</v>
      </c>
      <c r="P11" s="212">
        <f t="shared" si="0"/>
        <v>13</v>
      </c>
      <c r="Q11" s="212">
        <f t="shared" si="0"/>
        <v>0</v>
      </c>
      <c r="R11" s="212">
        <f t="shared" si="0"/>
        <v>0</v>
      </c>
      <c r="S11" s="212">
        <f t="shared" si="0"/>
        <v>0</v>
      </c>
      <c r="T11" s="212">
        <f t="shared" si="0"/>
        <v>0</v>
      </c>
      <c r="U11" s="212">
        <f t="shared" si="0"/>
        <v>0</v>
      </c>
      <c r="V11" s="212">
        <f t="shared" si="0"/>
        <v>0</v>
      </c>
      <c r="W11" s="212">
        <f t="shared" si="0"/>
        <v>0</v>
      </c>
      <c r="X11" s="212">
        <f t="shared" si="0"/>
        <v>0</v>
      </c>
      <c r="Y11" s="212">
        <f t="shared" si="0"/>
        <v>0</v>
      </c>
      <c r="Z11" s="212">
        <f t="shared" si="0"/>
        <v>0</v>
      </c>
      <c r="AA11" s="212">
        <f t="shared" si="0"/>
        <v>0</v>
      </c>
      <c r="AB11" s="212">
        <f t="shared" si="0"/>
        <v>0</v>
      </c>
      <c r="AC11" s="212">
        <f t="shared" si="0"/>
        <v>0</v>
      </c>
      <c r="AD11" s="212">
        <f t="shared" si="0"/>
        <v>0</v>
      </c>
    </row>
    <row r="12" spans="1:30" s="33" customFormat="1">
      <c r="A12" s="344">
        <f>+A11-1</f>
        <v>-4</v>
      </c>
      <c r="C12" s="201" t="s">
        <v>163</v>
      </c>
      <c r="D12" s="196">
        <f>D10+D11</f>
        <v>4711.0438961056689</v>
      </c>
      <c r="E12" s="346">
        <f t="shared" ref="E12:AD12" si="1">E10+E11</f>
        <v>89</v>
      </c>
      <c r="F12" s="346">
        <f t="shared" si="1"/>
        <v>174</v>
      </c>
      <c r="G12" s="346">
        <f t="shared" si="1"/>
        <v>306</v>
      </c>
      <c r="H12" s="346">
        <f t="shared" si="1"/>
        <v>466</v>
      </c>
      <c r="I12" s="346">
        <f t="shared" si="1"/>
        <v>613</v>
      </c>
      <c r="J12" s="346">
        <f t="shared" si="1"/>
        <v>707</v>
      </c>
      <c r="K12" s="346">
        <f t="shared" si="1"/>
        <v>707</v>
      </c>
      <c r="L12" s="346">
        <f t="shared" si="1"/>
        <v>613</v>
      </c>
      <c r="M12" s="346">
        <f t="shared" si="1"/>
        <v>466</v>
      </c>
      <c r="N12" s="346">
        <f t="shared" si="1"/>
        <v>306</v>
      </c>
      <c r="O12" s="346">
        <f t="shared" si="1"/>
        <v>174</v>
      </c>
      <c r="P12" s="346">
        <f t="shared" si="1"/>
        <v>89</v>
      </c>
      <c r="Q12" s="346">
        <f t="shared" si="1"/>
        <v>0</v>
      </c>
      <c r="R12" s="346">
        <f t="shared" si="1"/>
        <v>0</v>
      </c>
      <c r="S12" s="346">
        <f t="shared" si="1"/>
        <v>0</v>
      </c>
      <c r="T12" s="346">
        <f t="shared" si="1"/>
        <v>0</v>
      </c>
      <c r="U12" s="346">
        <f t="shared" si="1"/>
        <v>0</v>
      </c>
      <c r="V12" s="346">
        <f t="shared" si="1"/>
        <v>0</v>
      </c>
      <c r="W12" s="346">
        <f t="shared" si="1"/>
        <v>0</v>
      </c>
      <c r="X12" s="346">
        <f t="shared" si="1"/>
        <v>0</v>
      </c>
      <c r="Y12" s="346">
        <f t="shared" si="1"/>
        <v>0</v>
      </c>
      <c r="Z12" s="346">
        <f t="shared" si="1"/>
        <v>0</v>
      </c>
      <c r="AA12" s="346">
        <f t="shared" si="1"/>
        <v>0</v>
      </c>
      <c r="AB12" s="346">
        <f t="shared" si="1"/>
        <v>0</v>
      </c>
      <c r="AC12" s="346">
        <f t="shared" si="1"/>
        <v>0</v>
      </c>
      <c r="AD12" s="346">
        <f t="shared" si="1"/>
        <v>0</v>
      </c>
    </row>
    <row r="13" spans="1:30" s="15" customFormat="1">
      <c r="C13" s="199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</row>
    <row r="14" spans="1:30" s="33" customFormat="1">
      <c r="A14" s="347">
        <f>+A12-1</f>
        <v>-5</v>
      </c>
      <c r="C14" s="201" t="s">
        <v>120</v>
      </c>
      <c r="D14" s="196"/>
      <c r="E14" s="234">
        <f>+'Case Distribution'!B19</f>
        <v>7.3999999999999733E-2</v>
      </c>
      <c r="F14" s="234">
        <f>+'Case Distribution'!C19</f>
        <v>0.25900000000000001</v>
      </c>
      <c r="G14" s="234">
        <f>+'Case Distribution'!D19</f>
        <v>0.157</v>
      </c>
      <c r="H14" s="234">
        <f>+'Case Distribution'!E19</f>
        <v>0.112</v>
      </c>
      <c r="I14" s="234">
        <f>+'Case Distribution'!F19</f>
        <v>8.5999999999999993E-2</v>
      </c>
      <c r="J14" s="234">
        <f>+'Case Distribution'!G19</f>
        <v>6.9000000000000006E-2</v>
      </c>
      <c r="K14" s="234">
        <f>+'Case Distribution'!H19</f>
        <v>5.7000000000000002E-2</v>
      </c>
      <c r="L14" s="234">
        <f>+'Case Distribution'!I19</f>
        <v>4.8000000000000001E-2</v>
      </c>
      <c r="M14" s="234">
        <f>+'Case Distribution'!J19</f>
        <v>4.2000000000000003E-2</v>
      </c>
      <c r="N14" s="234">
        <f>+'Case Distribution'!K19</f>
        <v>3.5999999999999997E-2</v>
      </c>
      <c r="O14" s="234">
        <f>+'Case Distribution'!L19</f>
        <v>3.2000000000000001E-2</v>
      </c>
      <c r="P14" s="234">
        <f>+'Case Distribution'!M19</f>
        <v>2.8000000000000001E-2</v>
      </c>
      <c r="Q14" s="234">
        <f>+'Case Distribution'!N19</f>
        <v>0</v>
      </c>
      <c r="R14" s="234">
        <f>+'Case Distribution'!O19</f>
        <v>0</v>
      </c>
      <c r="S14" s="234">
        <f>+'Case Distribution'!P19</f>
        <v>0</v>
      </c>
      <c r="T14" s="234">
        <f>+'Case Distribution'!Q19</f>
        <v>0</v>
      </c>
      <c r="U14" s="234">
        <f>+'Case Distribution'!R19</f>
        <v>0</v>
      </c>
      <c r="V14" s="234">
        <f>+'Case Distribution'!S19</f>
        <v>0</v>
      </c>
      <c r="W14" s="234">
        <f>+'Case Distribution'!T19</f>
        <v>0</v>
      </c>
      <c r="X14" s="234">
        <f>+'Case Distribution'!U19</f>
        <v>0</v>
      </c>
      <c r="Y14" s="234">
        <f>+'Case Distribution'!V19</f>
        <v>0</v>
      </c>
      <c r="Z14" s="234">
        <f>+'Case Distribution'!W19</f>
        <v>0</v>
      </c>
      <c r="AA14" s="234">
        <f>+'Case Distribution'!X19</f>
        <v>0</v>
      </c>
      <c r="AB14" s="234">
        <f>+'Case Distribution'!Y19</f>
        <v>0</v>
      </c>
      <c r="AC14" s="234">
        <f>+'Case Distribution'!Z19</f>
        <v>0</v>
      </c>
      <c r="AD14" s="234">
        <f>+'Case Distribution'!AA19</f>
        <v>0</v>
      </c>
    </row>
    <row r="15" spans="1:30" s="33" customFormat="1">
      <c r="A15" s="347">
        <f>+A14-1</f>
        <v>-6</v>
      </c>
      <c r="C15" s="201" t="s">
        <v>94</v>
      </c>
      <c r="D15" s="196">
        <f>OutPt</f>
        <v>7863.5447297057699</v>
      </c>
      <c r="E15" s="196">
        <f t="shared" ref="E15:AD15" si="2">ROUND(E$14*$D15,0)</f>
        <v>582</v>
      </c>
      <c r="F15" s="196">
        <f t="shared" si="2"/>
        <v>2037</v>
      </c>
      <c r="G15" s="196">
        <f t="shared" si="2"/>
        <v>1235</v>
      </c>
      <c r="H15" s="196">
        <f t="shared" si="2"/>
        <v>881</v>
      </c>
      <c r="I15" s="196">
        <f t="shared" si="2"/>
        <v>676</v>
      </c>
      <c r="J15" s="196">
        <f t="shared" si="2"/>
        <v>543</v>
      </c>
      <c r="K15" s="196">
        <f t="shared" si="2"/>
        <v>448</v>
      </c>
      <c r="L15" s="196">
        <f t="shared" si="2"/>
        <v>377</v>
      </c>
      <c r="M15" s="196">
        <f t="shared" si="2"/>
        <v>330</v>
      </c>
      <c r="N15" s="196">
        <f t="shared" si="2"/>
        <v>283</v>
      </c>
      <c r="O15" s="196">
        <f t="shared" si="2"/>
        <v>252</v>
      </c>
      <c r="P15" s="196">
        <f t="shared" si="2"/>
        <v>220</v>
      </c>
      <c r="Q15" s="196">
        <f t="shared" si="2"/>
        <v>0</v>
      </c>
      <c r="R15" s="196">
        <f t="shared" si="2"/>
        <v>0</v>
      </c>
      <c r="S15" s="196">
        <f t="shared" si="2"/>
        <v>0</v>
      </c>
      <c r="T15" s="196">
        <f t="shared" si="2"/>
        <v>0</v>
      </c>
      <c r="U15" s="196">
        <f t="shared" si="2"/>
        <v>0</v>
      </c>
      <c r="V15" s="196">
        <f t="shared" si="2"/>
        <v>0</v>
      </c>
      <c r="W15" s="196">
        <f t="shared" si="2"/>
        <v>0</v>
      </c>
      <c r="X15" s="196">
        <f t="shared" si="2"/>
        <v>0</v>
      </c>
      <c r="Y15" s="196">
        <f t="shared" si="2"/>
        <v>0</v>
      </c>
      <c r="Z15" s="196">
        <f t="shared" si="2"/>
        <v>0</v>
      </c>
      <c r="AA15" s="196">
        <f t="shared" si="2"/>
        <v>0</v>
      </c>
      <c r="AB15" s="196">
        <f t="shared" si="2"/>
        <v>0</v>
      </c>
      <c r="AC15" s="196">
        <f t="shared" si="2"/>
        <v>0</v>
      </c>
      <c r="AD15" s="196">
        <f t="shared" si="2"/>
        <v>0</v>
      </c>
    </row>
    <row r="16" spans="1:30" s="15" customFormat="1">
      <c r="C16" s="199"/>
      <c r="D16" s="193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</row>
    <row r="17" spans="1:30" s="15" customFormat="1">
      <c r="A17" s="347">
        <f>+A15-1</f>
        <v>-7</v>
      </c>
      <c r="C17" s="199" t="s">
        <v>127</v>
      </c>
      <c r="D17" s="350"/>
      <c r="E17" s="192">
        <f t="shared" ref="E17:AD17" si="3">+E9</f>
        <v>1.8999999999999906E-2</v>
      </c>
      <c r="F17" s="192">
        <f t="shared" si="3"/>
        <v>3.6999999999999998E-2</v>
      </c>
      <c r="G17" s="192">
        <f t="shared" si="3"/>
        <v>6.5000000000000002E-2</v>
      </c>
      <c r="H17" s="192">
        <f t="shared" si="3"/>
        <v>9.9000000000000005E-2</v>
      </c>
      <c r="I17" s="192">
        <f t="shared" si="3"/>
        <v>0.13</v>
      </c>
      <c r="J17" s="192">
        <f t="shared" si="3"/>
        <v>0.15</v>
      </c>
      <c r="K17" s="192">
        <f t="shared" si="3"/>
        <v>0.15</v>
      </c>
      <c r="L17" s="192">
        <f t="shared" si="3"/>
        <v>0.13</v>
      </c>
      <c r="M17" s="192">
        <f t="shared" si="3"/>
        <v>9.9000000000000005E-2</v>
      </c>
      <c r="N17" s="192">
        <f t="shared" si="3"/>
        <v>6.5000000000000002E-2</v>
      </c>
      <c r="O17" s="192">
        <f t="shared" si="3"/>
        <v>3.6999999999999998E-2</v>
      </c>
      <c r="P17" s="192">
        <f t="shared" si="3"/>
        <v>1.9E-2</v>
      </c>
      <c r="Q17" s="192">
        <f t="shared" si="3"/>
        <v>0</v>
      </c>
      <c r="R17" s="192">
        <f t="shared" si="3"/>
        <v>0</v>
      </c>
      <c r="S17" s="192">
        <f t="shared" si="3"/>
        <v>0</v>
      </c>
      <c r="T17" s="192">
        <f t="shared" si="3"/>
        <v>0</v>
      </c>
      <c r="U17" s="192">
        <f t="shared" si="3"/>
        <v>0</v>
      </c>
      <c r="V17" s="192">
        <f t="shared" si="3"/>
        <v>0</v>
      </c>
      <c r="W17" s="192">
        <f t="shared" si="3"/>
        <v>0</v>
      </c>
      <c r="X17" s="192">
        <f t="shared" si="3"/>
        <v>0</v>
      </c>
      <c r="Y17" s="192">
        <f t="shared" si="3"/>
        <v>0</v>
      </c>
      <c r="Z17" s="192">
        <f t="shared" si="3"/>
        <v>0</v>
      </c>
      <c r="AA17" s="192">
        <f t="shared" si="3"/>
        <v>0</v>
      </c>
      <c r="AB17" s="192">
        <f t="shared" si="3"/>
        <v>0</v>
      </c>
      <c r="AC17" s="192">
        <f t="shared" si="3"/>
        <v>0</v>
      </c>
      <c r="AD17" s="192">
        <f t="shared" si="3"/>
        <v>0</v>
      </c>
    </row>
    <row r="18" spans="1:30" s="15" customFormat="1">
      <c r="A18" s="347">
        <f>+A17-1</f>
        <v>-8</v>
      </c>
      <c r="C18" s="199" t="s">
        <v>110</v>
      </c>
      <c r="D18" s="193">
        <f>(DthPct+HospPct+OutPct)*Physicians</f>
        <v>2354.2818184594366</v>
      </c>
      <c r="E18" s="193">
        <f t="shared" ref="E18:N19" si="4">ROUND(E$17*$D18,0)</f>
        <v>45</v>
      </c>
      <c r="F18" s="193">
        <f t="shared" si="4"/>
        <v>87</v>
      </c>
      <c r="G18" s="193">
        <f t="shared" si="4"/>
        <v>153</v>
      </c>
      <c r="H18" s="193">
        <f t="shared" si="4"/>
        <v>233</v>
      </c>
      <c r="I18" s="193">
        <f t="shared" si="4"/>
        <v>306</v>
      </c>
      <c r="J18" s="193">
        <f t="shared" si="4"/>
        <v>353</v>
      </c>
      <c r="K18" s="193">
        <f t="shared" si="4"/>
        <v>353</v>
      </c>
      <c r="L18" s="193">
        <f t="shared" si="4"/>
        <v>306</v>
      </c>
      <c r="M18" s="193">
        <f t="shared" si="4"/>
        <v>233</v>
      </c>
      <c r="N18" s="193">
        <f t="shared" si="4"/>
        <v>153</v>
      </c>
      <c r="O18" s="193">
        <f t="shared" ref="O18:X19" si="5">ROUND(O$17*$D18,0)</f>
        <v>87</v>
      </c>
      <c r="P18" s="193">
        <f t="shared" si="5"/>
        <v>45</v>
      </c>
      <c r="Q18" s="193">
        <f t="shared" si="5"/>
        <v>0</v>
      </c>
      <c r="R18" s="193">
        <f t="shared" si="5"/>
        <v>0</v>
      </c>
      <c r="S18" s="193">
        <f t="shared" si="5"/>
        <v>0</v>
      </c>
      <c r="T18" s="193">
        <f t="shared" si="5"/>
        <v>0</v>
      </c>
      <c r="U18" s="193">
        <f t="shared" si="5"/>
        <v>0</v>
      </c>
      <c r="V18" s="193">
        <f t="shared" si="5"/>
        <v>0</v>
      </c>
      <c r="W18" s="193">
        <f t="shared" si="5"/>
        <v>0</v>
      </c>
      <c r="X18" s="193">
        <f t="shared" si="5"/>
        <v>0</v>
      </c>
      <c r="Y18" s="193">
        <f t="shared" ref="Y18:AD19" si="6">ROUND(Y$17*$D18,0)</f>
        <v>0</v>
      </c>
      <c r="Z18" s="193">
        <f t="shared" si="6"/>
        <v>0</v>
      </c>
      <c r="AA18" s="193">
        <f t="shared" si="6"/>
        <v>0</v>
      </c>
      <c r="AB18" s="193">
        <f t="shared" si="6"/>
        <v>0</v>
      </c>
      <c r="AC18" s="193">
        <f t="shared" si="6"/>
        <v>0</v>
      </c>
      <c r="AD18" s="193">
        <f t="shared" si="6"/>
        <v>0</v>
      </c>
    </row>
    <row r="19" spans="1:30" s="15" customFormat="1">
      <c r="A19" s="347">
        <f>+A18-1</f>
        <v>-9</v>
      </c>
      <c r="C19" s="199" t="s">
        <v>111</v>
      </c>
      <c r="D19" s="193">
        <f>(DthPct+HospPct+OutPct)*Nurses</f>
        <v>6702.1480339166164</v>
      </c>
      <c r="E19" s="193">
        <f t="shared" si="4"/>
        <v>127</v>
      </c>
      <c r="F19" s="193">
        <f t="shared" si="4"/>
        <v>248</v>
      </c>
      <c r="G19" s="193">
        <f t="shared" si="4"/>
        <v>436</v>
      </c>
      <c r="H19" s="193">
        <f t="shared" si="4"/>
        <v>664</v>
      </c>
      <c r="I19" s="193">
        <f t="shared" si="4"/>
        <v>871</v>
      </c>
      <c r="J19" s="193">
        <f t="shared" si="4"/>
        <v>1005</v>
      </c>
      <c r="K19" s="193">
        <f t="shared" si="4"/>
        <v>1005</v>
      </c>
      <c r="L19" s="193">
        <f t="shared" si="4"/>
        <v>871</v>
      </c>
      <c r="M19" s="193">
        <f t="shared" si="4"/>
        <v>664</v>
      </c>
      <c r="N19" s="193">
        <f t="shared" si="4"/>
        <v>436</v>
      </c>
      <c r="O19" s="193">
        <f t="shared" si="5"/>
        <v>248</v>
      </c>
      <c r="P19" s="193">
        <f t="shared" si="5"/>
        <v>127</v>
      </c>
      <c r="Q19" s="193">
        <f t="shared" si="5"/>
        <v>0</v>
      </c>
      <c r="R19" s="193">
        <f t="shared" si="5"/>
        <v>0</v>
      </c>
      <c r="S19" s="193">
        <f t="shared" si="5"/>
        <v>0</v>
      </c>
      <c r="T19" s="193">
        <f t="shared" si="5"/>
        <v>0</v>
      </c>
      <c r="U19" s="193">
        <f t="shared" si="5"/>
        <v>0</v>
      </c>
      <c r="V19" s="193">
        <f t="shared" si="5"/>
        <v>0</v>
      </c>
      <c r="W19" s="193">
        <f t="shared" si="5"/>
        <v>0</v>
      </c>
      <c r="X19" s="193">
        <f t="shared" si="5"/>
        <v>0</v>
      </c>
      <c r="Y19" s="193">
        <f t="shared" si="6"/>
        <v>0</v>
      </c>
      <c r="Z19" s="193">
        <f t="shared" si="6"/>
        <v>0</v>
      </c>
      <c r="AA19" s="193">
        <f t="shared" si="6"/>
        <v>0</v>
      </c>
      <c r="AB19" s="193">
        <f t="shared" si="6"/>
        <v>0</v>
      </c>
      <c r="AC19" s="193">
        <f t="shared" si="6"/>
        <v>0</v>
      </c>
      <c r="AD19" s="193">
        <f t="shared" si="6"/>
        <v>0</v>
      </c>
    </row>
    <row r="20" spans="1:30" s="15" customFormat="1">
      <c r="C20" s="199"/>
      <c r="D20" s="192"/>
      <c r="E20" s="192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</row>
    <row r="21" spans="1:30" s="15" customFormat="1">
      <c r="C21" s="204" t="s">
        <v>215</v>
      </c>
      <c r="D21" s="208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</row>
    <row r="22" spans="1:30" s="168" customFormat="1">
      <c r="A22" s="347">
        <f>+A19-1</f>
        <v>-10</v>
      </c>
      <c r="C22" s="201" t="s">
        <v>207</v>
      </c>
      <c r="D22" s="173"/>
      <c r="E22" s="196">
        <f>MIN(ROUND(E10/7*NonICUStay,0),E10)</f>
        <v>65</v>
      </c>
      <c r="F22" s="196">
        <f>IF(NonICUStay&lt;7,ROUND(F10/7*NonICUStay,0), ROUND((F10+(NonICUStay-7)*E10/7),0))</f>
        <v>127</v>
      </c>
      <c r="G22" s="196">
        <f t="shared" ref="G22:AD22" si="7">IF(NonICUStay&lt;7,ROUND(G10/7*NonICUStay,0), IF(NonICUStay&lt;14,ROUND(G10+ (NonICUStay-7)*F10/7,0), ROUND(G10+F10+ (NonICUStay-7)*E10/7,0)))</f>
        <v>223</v>
      </c>
      <c r="H22" s="196">
        <f t="shared" si="7"/>
        <v>339</v>
      </c>
      <c r="I22" s="196">
        <f t="shared" si="7"/>
        <v>447</v>
      </c>
      <c r="J22" s="196">
        <f t="shared" si="7"/>
        <v>515</v>
      </c>
      <c r="K22" s="196">
        <f t="shared" si="7"/>
        <v>515</v>
      </c>
      <c r="L22" s="196">
        <f t="shared" si="7"/>
        <v>447</v>
      </c>
      <c r="M22" s="196">
        <f t="shared" si="7"/>
        <v>339</v>
      </c>
      <c r="N22" s="196">
        <f t="shared" si="7"/>
        <v>223</v>
      </c>
      <c r="O22" s="196">
        <f t="shared" si="7"/>
        <v>127</v>
      </c>
      <c r="P22" s="196">
        <f t="shared" si="7"/>
        <v>65</v>
      </c>
      <c r="Q22" s="196">
        <f t="shared" si="7"/>
        <v>0</v>
      </c>
      <c r="R22" s="196">
        <f t="shared" si="7"/>
        <v>0</v>
      </c>
      <c r="S22" s="196">
        <f t="shared" si="7"/>
        <v>0</v>
      </c>
      <c r="T22" s="196">
        <f t="shared" si="7"/>
        <v>0</v>
      </c>
      <c r="U22" s="196">
        <f t="shared" si="7"/>
        <v>0</v>
      </c>
      <c r="V22" s="196">
        <f t="shared" si="7"/>
        <v>0</v>
      </c>
      <c r="W22" s="196">
        <f t="shared" si="7"/>
        <v>0</v>
      </c>
      <c r="X22" s="196">
        <f t="shared" si="7"/>
        <v>0</v>
      </c>
      <c r="Y22" s="196">
        <f t="shared" si="7"/>
        <v>0</v>
      </c>
      <c r="Z22" s="196">
        <f t="shared" si="7"/>
        <v>0</v>
      </c>
      <c r="AA22" s="196">
        <f t="shared" si="7"/>
        <v>0</v>
      </c>
      <c r="AB22" s="196">
        <f t="shared" si="7"/>
        <v>0</v>
      </c>
      <c r="AC22" s="196">
        <f t="shared" si="7"/>
        <v>0</v>
      </c>
      <c r="AD22" s="196">
        <f t="shared" si="7"/>
        <v>0</v>
      </c>
    </row>
    <row r="23" spans="1:30" s="168" customFormat="1">
      <c r="A23" s="347">
        <f>+A22-1</f>
        <v>-11</v>
      </c>
      <c r="C23" s="210" t="s">
        <v>208</v>
      </c>
      <c r="D23" s="255"/>
      <c r="E23" s="212">
        <f>ROUND(MIN(E11*ICUStay/7,E11),0)</f>
        <v>13</v>
      </c>
      <c r="F23" s="212">
        <f>IF(ICUStay&lt;7,ROUND(F11/7*ICUStay,0), ROUND((F11+ (ICUStay-7)*E11/7),0))</f>
        <v>35</v>
      </c>
      <c r="G23" s="212">
        <f t="shared" ref="G23:AD23" si="8">IF(ICUStay&lt;7,ROUND(G11/7*ICUStay,0), IF(ICUStay&lt;14, ROUND((G11+ (ICUStay-7)*F11/7),0), ROUND((G11+F11+E11*(ICUStay-7)/7),0)))</f>
        <v>65</v>
      </c>
      <c r="H23" s="212">
        <f t="shared" si="8"/>
        <v>103</v>
      </c>
      <c r="I23" s="212">
        <f t="shared" si="8"/>
        <v>142</v>
      </c>
      <c r="J23" s="212">
        <f t="shared" si="8"/>
        <v>172</v>
      </c>
      <c r="K23" s="212">
        <f t="shared" si="8"/>
        <v>182</v>
      </c>
      <c r="L23" s="212">
        <f t="shared" si="8"/>
        <v>168</v>
      </c>
      <c r="M23" s="212">
        <f t="shared" si="8"/>
        <v>136</v>
      </c>
      <c r="N23" s="212">
        <f t="shared" si="8"/>
        <v>96</v>
      </c>
      <c r="O23" s="212">
        <f t="shared" si="8"/>
        <v>59</v>
      </c>
      <c r="P23" s="212">
        <f t="shared" si="8"/>
        <v>32</v>
      </c>
      <c r="Q23" s="212">
        <f t="shared" si="8"/>
        <v>9</v>
      </c>
      <c r="R23" s="212">
        <f t="shared" si="8"/>
        <v>0</v>
      </c>
      <c r="S23" s="212">
        <f t="shared" si="8"/>
        <v>0</v>
      </c>
      <c r="T23" s="212">
        <f t="shared" si="8"/>
        <v>0</v>
      </c>
      <c r="U23" s="212">
        <f t="shared" si="8"/>
        <v>0</v>
      </c>
      <c r="V23" s="212">
        <f t="shared" si="8"/>
        <v>0</v>
      </c>
      <c r="W23" s="212">
        <f t="shared" si="8"/>
        <v>0</v>
      </c>
      <c r="X23" s="212">
        <f t="shared" si="8"/>
        <v>0</v>
      </c>
      <c r="Y23" s="212">
        <f t="shared" si="8"/>
        <v>0</v>
      </c>
      <c r="Z23" s="212">
        <f t="shared" si="8"/>
        <v>0</v>
      </c>
      <c r="AA23" s="212">
        <f t="shared" si="8"/>
        <v>0</v>
      </c>
      <c r="AB23" s="212">
        <f t="shared" si="8"/>
        <v>0</v>
      </c>
      <c r="AC23" s="212">
        <f t="shared" si="8"/>
        <v>0</v>
      </c>
      <c r="AD23" s="212">
        <f t="shared" si="8"/>
        <v>0</v>
      </c>
    </row>
    <row r="24" spans="1:30">
      <c r="A24" s="347">
        <f>+A23-1</f>
        <v>-12</v>
      </c>
      <c r="C24" s="201" t="s">
        <v>108</v>
      </c>
      <c r="D24" s="14"/>
      <c r="E24" s="193">
        <f t="shared" ref="E24:AD24" si="9">+E22+E23</f>
        <v>78</v>
      </c>
      <c r="F24" s="193">
        <f t="shared" si="9"/>
        <v>162</v>
      </c>
      <c r="G24" s="193">
        <f t="shared" si="9"/>
        <v>288</v>
      </c>
      <c r="H24" s="193">
        <f t="shared" si="9"/>
        <v>442</v>
      </c>
      <c r="I24" s="193">
        <f t="shared" si="9"/>
        <v>589</v>
      </c>
      <c r="J24" s="193">
        <f t="shared" si="9"/>
        <v>687</v>
      </c>
      <c r="K24" s="193">
        <f t="shared" si="9"/>
        <v>697</v>
      </c>
      <c r="L24" s="193">
        <f t="shared" si="9"/>
        <v>615</v>
      </c>
      <c r="M24" s="193">
        <f t="shared" si="9"/>
        <v>475</v>
      </c>
      <c r="N24" s="193">
        <f t="shared" si="9"/>
        <v>319</v>
      </c>
      <c r="O24" s="193">
        <f t="shared" si="9"/>
        <v>186</v>
      </c>
      <c r="P24" s="193">
        <f t="shared" si="9"/>
        <v>97</v>
      </c>
      <c r="Q24" s="193">
        <f t="shared" si="9"/>
        <v>9</v>
      </c>
      <c r="R24" s="193">
        <f t="shared" si="9"/>
        <v>0</v>
      </c>
      <c r="S24" s="193">
        <f t="shared" si="9"/>
        <v>0</v>
      </c>
      <c r="T24" s="193">
        <f t="shared" si="9"/>
        <v>0</v>
      </c>
      <c r="U24" s="193">
        <f t="shared" si="9"/>
        <v>0</v>
      </c>
      <c r="V24" s="193">
        <f t="shared" si="9"/>
        <v>0</v>
      </c>
      <c r="W24" s="193">
        <f t="shared" si="9"/>
        <v>0</v>
      </c>
      <c r="X24" s="193">
        <f t="shared" si="9"/>
        <v>0</v>
      </c>
      <c r="Y24" s="193">
        <f t="shared" si="9"/>
        <v>0</v>
      </c>
      <c r="Z24" s="193">
        <f t="shared" si="9"/>
        <v>0</v>
      </c>
      <c r="AA24" s="193">
        <f t="shared" si="9"/>
        <v>0</v>
      </c>
      <c r="AB24" s="193">
        <f t="shared" si="9"/>
        <v>0</v>
      </c>
      <c r="AC24" s="193">
        <f t="shared" si="9"/>
        <v>0</v>
      </c>
      <c r="AD24" s="193">
        <f t="shared" si="9"/>
        <v>0</v>
      </c>
    </row>
    <row r="25" spans="1:30">
      <c r="C25" s="201"/>
      <c r="D25" s="14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</row>
    <row r="26" spans="1:30">
      <c r="A26" s="348">
        <f>+A24-1</f>
        <v>-13</v>
      </c>
      <c r="C26" s="201" t="s">
        <v>86</v>
      </c>
      <c r="D26" s="193"/>
      <c r="E26" s="193">
        <f t="shared" ref="E26:AD26" si="10">IF(E22+E23&gt;0,HospCap,0)</f>
        <v>628700</v>
      </c>
      <c r="F26" s="193">
        <f t="shared" si="10"/>
        <v>628700</v>
      </c>
      <c r="G26" s="193">
        <f t="shared" si="10"/>
        <v>628700</v>
      </c>
      <c r="H26" s="193">
        <f t="shared" si="10"/>
        <v>628700</v>
      </c>
      <c r="I26" s="193">
        <f t="shared" si="10"/>
        <v>628700</v>
      </c>
      <c r="J26" s="193">
        <f t="shared" si="10"/>
        <v>628700</v>
      </c>
      <c r="K26" s="193">
        <f t="shared" si="10"/>
        <v>628700</v>
      </c>
      <c r="L26" s="193">
        <f t="shared" si="10"/>
        <v>628700</v>
      </c>
      <c r="M26" s="193">
        <f t="shared" si="10"/>
        <v>628700</v>
      </c>
      <c r="N26" s="193">
        <f t="shared" si="10"/>
        <v>628700</v>
      </c>
      <c r="O26" s="193">
        <f t="shared" si="10"/>
        <v>628700</v>
      </c>
      <c r="P26" s="193">
        <f t="shared" si="10"/>
        <v>628700</v>
      </c>
      <c r="Q26" s="193">
        <f t="shared" si="10"/>
        <v>628700</v>
      </c>
      <c r="R26" s="193">
        <f t="shared" si="10"/>
        <v>0</v>
      </c>
      <c r="S26" s="193">
        <f t="shared" si="10"/>
        <v>0</v>
      </c>
      <c r="T26" s="193">
        <f t="shared" si="10"/>
        <v>0</v>
      </c>
      <c r="U26" s="193">
        <f t="shared" si="10"/>
        <v>0</v>
      </c>
      <c r="V26" s="193">
        <f t="shared" si="10"/>
        <v>0</v>
      </c>
      <c r="W26" s="193">
        <f t="shared" si="10"/>
        <v>0</v>
      </c>
      <c r="X26" s="193">
        <f t="shared" si="10"/>
        <v>0</v>
      </c>
      <c r="Y26" s="193">
        <f t="shared" si="10"/>
        <v>0</v>
      </c>
      <c r="Z26" s="193">
        <f t="shared" si="10"/>
        <v>0</v>
      </c>
      <c r="AA26" s="193">
        <f t="shared" si="10"/>
        <v>0</v>
      </c>
      <c r="AB26" s="193">
        <f t="shared" si="10"/>
        <v>0</v>
      </c>
      <c r="AC26" s="193">
        <f t="shared" si="10"/>
        <v>0</v>
      </c>
      <c r="AD26" s="193">
        <f t="shared" si="10"/>
        <v>0</v>
      </c>
    </row>
    <row r="27" spans="1:30">
      <c r="C27" s="157" t="s">
        <v>99</v>
      </c>
    </row>
    <row r="28" spans="1:30">
      <c r="A28" s="348" t="e">
        <f>+#REF!-1</f>
        <v>#REF!</v>
      </c>
      <c r="C28" s="159" t="s">
        <v>100</v>
      </c>
      <c r="D28" s="106">
        <f>Physicians</f>
        <v>966000</v>
      </c>
      <c r="E28" s="14">
        <f t="shared" ref="E28:N29" si="11">+$D28</f>
        <v>966000</v>
      </c>
      <c r="F28" s="14">
        <f t="shared" si="11"/>
        <v>966000</v>
      </c>
      <c r="G28" s="14">
        <f t="shared" si="11"/>
        <v>966000</v>
      </c>
      <c r="H28" s="14">
        <f t="shared" si="11"/>
        <v>966000</v>
      </c>
      <c r="I28" s="14">
        <f t="shared" si="11"/>
        <v>966000</v>
      </c>
      <c r="J28" s="14">
        <f t="shared" si="11"/>
        <v>966000</v>
      </c>
      <c r="K28" s="14">
        <f t="shared" si="11"/>
        <v>966000</v>
      </c>
      <c r="L28" s="14">
        <f t="shared" si="11"/>
        <v>966000</v>
      </c>
      <c r="M28" s="14">
        <f t="shared" si="11"/>
        <v>966000</v>
      </c>
      <c r="N28" s="14">
        <f t="shared" si="11"/>
        <v>966000</v>
      </c>
      <c r="O28" s="14">
        <f t="shared" ref="O28:X29" si="12">+$D28</f>
        <v>966000</v>
      </c>
      <c r="P28" s="14">
        <f t="shared" si="12"/>
        <v>966000</v>
      </c>
      <c r="Q28" s="14">
        <f t="shared" si="12"/>
        <v>966000</v>
      </c>
      <c r="R28" s="14">
        <f t="shared" si="12"/>
        <v>966000</v>
      </c>
      <c r="S28" s="14">
        <f t="shared" si="12"/>
        <v>966000</v>
      </c>
      <c r="T28" s="14">
        <f t="shared" si="12"/>
        <v>966000</v>
      </c>
      <c r="U28" s="14">
        <f t="shared" si="12"/>
        <v>966000</v>
      </c>
      <c r="V28" s="14">
        <f t="shared" si="12"/>
        <v>966000</v>
      </c>
      <c r="W28" s="14">
        <f t="shared" si="12"/>
        <v>966000</v>
      </c>
      <c r="X28" s="14">
        <f t="shared" si="12"/>
        <v>966000</v>
      </c>
      <c r="Y28" s="14">
        <f t="shared" ref="Y28:AD29" si="13">+$D28</f>
        <v>966000</v>
      </c>
      <c r="Z28" s="14">
        <f t="shared" si="13"/>
        <v>966000</v>
      </c>
      <c r="AA28" s="14">
        <f t="shared" si="13"/>
        <v>966000</v>
      </c>
      <c r="AB28" s="14">
        <f t="shared" si="13"/>
        <v>966000</v>
      </c>
      <c r="AC28" s="14">
        <f t="shared" si="13"/>
        <v>966000</v>
      </c>
      <c r="AD28" s="14">
        <f t="shared" si="13"/>
        <v>966000</v>
      </c>
    </row>
    <row r="29" spans="1:30">
      <c r="A29" s="348" t="e">
        <f t="shared" ref="A29:A33" si="14">+A28-1</f>
        <v>#REF!</v>
      </c>
      <c r="C29" s="159" t="s">
        <v>209</v>
      </c>
      <c r="D29" s="106">
        <f>PhysHosp</f>
        <v>225000</v>
      </c>
      <c r="E29" s="14">
        <f t="shared" si="11"/>
        <v>225000</v>
      </c>
      <c r="F29" s="14">
        <f t="shared" si="11"/>
        <v>225000</v>
      </c>
      <c r="G29" s="14">
        <f t="shared" si="11"/>
        <v>225000</v>
      </c>
      <c r="H29" s="14">
        <f t="shared" si="11"/>
        <v>225000</v>
      </c>
      <c r="I29" s="14">
        <f t="shared" si="11"/>
        <v>225000</v>
      </c>
      <c r="J29" s="14">
        <f t="shared" si="11"/>
        <v>225000</v>
      </c>
      <c r="K29" s="14">
        <f t="shared" si="11"/>
        <v>225000</v>
      </c>
      <c r="L29" s="14">
        <f t="shared" si="11"/>
        <v>225000</v>
      </c>
      <c r="M29" s="14">
        <f t="shared" si="11"/>
        <v>225000</v>
      </c>
      <c r="N29" s="14">
        <f t="shared" si="11"/>
        <v>225000</v>
      </c>
      <c r="O29" s="14">
        <f t="shared" si="12"/>
        <v>225000</v>
      </c>
      <c r="P29" s="14">
        <f t="shared" si="12"/>
        <v>225000</v>
      </c>
      <c r="Q29" s="14">
        <f t="shared" si="12"/>
        <v>225000</v>
      </c>
      <c r="R29" s="14">
        <f t="shared" si="12"/>
        <v>225000</v>
      </c>
      <c r="S29" s="14">
        <f t="shared" si="12"/>
        <v>225000</v>
      </c>
      <c r="T29" s="14">
        <f t="shared" si="12"/>
        <v>225000</v>
      </c>
      <c r="U29" s="14">
        <f t="shared" si="12"/>
        <v>225000</v>
      </c>
      <c r="V29" s="14">
        <f t="shared" si="12"/>
        <v>225000</v>
      </c>
      <c r="W29" s="14">
        <f t="shared" si="12"/>
        <v>225000</v>
      </c>
      <c r="X29" s="14">
        <f t="shared" si="12"/>
        <v>225000</v>
      </c>
      <c r="Y29" s="14">
        <f t="shared" si="13"/>
        <v>225000</v>
      </c>
      <c r="Z29" s="14">
        <f t="shared" si="13"/>
        <v>225000</v>
      </c>
      <c r="AA29" s="14">
        <f t="shared" si="13"/>
        <v>225000</v>
      </c>
      <c r="AB29" s="14">
        <f t="shared" si="13"/>
        <v>225000</v>
      </c>
      <c r="AC29" s="14">
        <f t="shared" si="13"/>
        <v>225000</v>
      </c>
      <c r="AD29" s="14">
        <f t="shared" si="13"/>
        <v>225000</v>
      </c>
    </row>
    <row r="30" spans="1:30">
      <c r="A30" s="348" t="e">
        <f>+#REF!-1</f>
        <v>#REF!</v>
      </c>
      <c r="C30" s="159" t="s">
        <v>128</v>
      </c>
      <c r="D30" s="106"/>
      <c r="E30" s="14">
        <f>+E18</f>
        <v>45</v>
      </c>
      <c r="F30" s="14">
        <f>+F18</f>
        <v>87</v>
      </c>
      <c r="G30" s="14">
        <f>+G18</f>
        <v>153</v>
      </c>
      <c r="H30" s="14">
        <f>+H18</f>
        <v>233</v>
      </c>
      <c r="I30" s="14">
        <f>+I18</f>
        <v>306</v>
      </c>
      <c r="J30" s="14">
        <f>+J18</f>
        <v>353</v>
      </c>
      <c r="K30" s="14">
        <f>+K18</f>
        <v>353</v>
      </c>
      <c r="L30" s="14">
        <f>+L18</f>
        <v>306</v>
      </c>
      <c r="M30" s="14">
        <f>+M18</f>
        <v>233</v>
      </c>
      <c r="N30" s="14">
        <f>+N18</f>
        <v>153</v>
      </c>
      <c r="O30" s="14">
        <f>+O18</f>
        <v>87</v>
      </c>
      <c r="P30" s="14">
        <f>+P18</f>
        <v>45</v>
      </c>
      <c r="Q30" s="14">
        <f>+Q18</f>
        <v>0</v>
      </c>
      <c r="R30" s="14">
        <f>+R18</f>
        <v>0</v>
      </c>
      <c r="S30" s="14">
        <f>+S18</f>
        <v>0</v>
      </c>
      <c r="T30" s="14">
        <f>+T18</f>
        <v>0</v>
      </c>
      <c r="U30" s="14">
        <f>+U18</f>
        <v>0</v>
      </c>
      <c r="V30" s="14">
        <f>+V18</f>
        <v>0</v>
      </c>
      <c r="W30" s="14">
        <f>+W18</f>
        <v>0</v>
      </c>
      <c r="X30" s="14">
        <f>+X18</f>
        <v>0</v>
      </c>
      <c r="Y30" s="14">
        <f>+Y18</f>
        <v>0</v>
      </c>
      <c r="Z30" s="14">
        <f>+Z18</f>
        <v>0</v>
      </c>
      <c r="AA30" s="14">
        <f>+AA18</f>
        <v>0</v>
      </c>
      <c r="AB30" s="14">
        <f>+AB18</f>
        <v>0</v>
      </c>
      <c r="AC30" s="14">
        <f>+AC18</f>
        <v>0</v>
      </c>
      <c r="AD30" s="14">
        <f>+AD18</f>
        <v>0</v>
      </c>
    </row>
    <row r="31" spans="1:30">
      <c r="A31" s="348" t="e">
        <f t="shared" si="14"/>
        <v>#REF!</v>
      </c>
      <c r="C31" s="159" t="s">
        <v>117</v>
      </c>
      <c r="D31" s="203">
        <f>CareFactor</f>
        <v>1.5</v>
      </c>
      <c r="E31" s="14">
        <f t="shared" ref="E31:AD31" si="15">+$D$31*E30</f>
        <v>67.5</v>
      </c>
      <c r="F31" s="14">
        <f t="shared" si="15"/>
        <v>130.5</v>
      </c>
      <c r="G31" s="14">
        <f t="shared" si="15"/>
        <v>229.5</v>
      </c>
      <c r="H31" s="14">
        <f t="shared" si="15"/>
        <v>349.5</v>
      </c>
      <c r="I31" s="14">
        <f t="shared" si="15"/>
        <v>459</v>
      </c>
      <c r="J31" s="14">
        <f t="shared" si="15"/>
        <v>529.5</v>
      </c>
      <c r="K31" s="14">
        <f t="shared" si="15"/>
        <v>529.5</v>
      </c>
      <c r="L31" s="14">
        <f t="shared" si="15"/>
        <v>459</v>
      </c>
      <c r="M31" s="14">
        <f t="shared" si="15"/>
        <v>349.5</v>
      </c>
      <c r="N31" s="14">
        <f t="shared" si="15"/>
        <v>229.5</v>
      </c>
      <c r="O31" s="14">
        <f t="shared" si="15"/>
        <v>130.5</v>
      </c>
      <c r="P31" s="14">
        <f t="shared" si="15"/>
        <v>67.5</v>
      </c>
      <c r="Q31" s="14">
        <f t="shared" si="15"/>
        <v>0</v>
      </c>
      <c r="R31" s="14">
        <f t="shared" si="15"/>
        <v>0</v>
      </c>
      <c r="S31" s="14">
        <f t="shared" si="15"/>
        <v>0</v>
      </c>
      <c r="T31" s="14">
        <f t="shared" si="15"/>
        <v>0</v>
      </c>
      <c r="U31" s="14">
        <f t="shared" si="15"/>
        <v>0</v>
      </c>
      <c r="V31" s="14">
        <f t="shared" si="15"/>
        <v>0</v>
      </c>
      <c r="W31" s="14">
        <f t="shared" si="15"/>
        <v>0</v>
      </c>
      <c r="X31" s="14">
        <f t="shared" si="15"/>
        <v>0</v>
      </c>
      <c r="Y31" s="14">
        <f t="shared" si="15"/>
        <v>0</v>
      </c>
      <c r="Z31" s="14">
        <f t="shared" si="15"/>
        <v>0</v>
      </c>
      <c r="AA31" s="14">
        <f t="shared" si="15"/>
        <v>0</v>
      </c>
      <c r="AB31" s="14">
        <f t="shared" si="15"/>
        <v>0</v>
      </c>
      <c r="AC31" s="14">
        <f t="shared" si="15"/>
        <v>0</v>
      </c>
      <c r="AD31" s="14">
        <f t="shared" si="15"/>
        <v>0</v>
      </c>
    </row>
    <row r="32" spans="1:30">
      <c r="A32" s="348" t="e">
        <f t="shared" si="14"/>
        <v>#REF!</v>
      </c>
      <c r="C32" s="159" t="s">
        <v>102</v>
      </c>
      <c r="D32" s="106"/>
      <c r="E32" s="14">
        <f>E28-SUM(E29:E31)</f>
        <v>740887.5</v>
      </c>
      <c r="F32" s="14">
        <f>F28-SUM(F29:F31)</f>
        <v>740782.5</v>
      </c>
      <c r="G32" s="14">
        <f>G28-SUM(G29:G31)</f>
        <v>740617.5</v>
      </c>
      <c r="H32" s="14">
        <f>H28-SUM(H29:H31)</f>
        <v>740417.5</v>
      </c>
      <c r="I32" s="14">
        <f>I28-SUM(I29:I31)</f>
        <v>740235</v>
      </c>
      <c r="J32" s="14">
        <f>J28-SUM(J29:J31)</f>
        <v>740117.5</v>
      </c>
      <c r="K32" s="14">
        <f>K28-SUM(K29:K31)</f>
        <v>740117.5</v>
      </c>
      <c r="L32" s="14">
        <f>L28-SUM(L29:L31)</f>
        <v>740235</v>
      </c>
      <c r="M32" s="14">
        <f>M28-SUM(M29:M31)</f>
        <v>740417.5</v>
      </c>
      <c r="N32" s="14">
        <f>N28-SUM(N29:N31)</f>
        <v>740617.5</v>
      </c>
      <c r="O32" s="14">
        <f>O28-SUM(O29:O31)</f>
        <v>740782.5</v>
      </c>
      <c r="P32" s="14">
        <f>P28-SUM(P29:P31)</f>
        <v>740887.5</v>
      </c>
      <c r="Q32" s="14">
        <f>Q28-SUM(Q29:Q31)</f>
        <v>741000</v>
      </c>
      <c r="R32" s="14">
        <f>R28-SUM(R29:R31)</f>
        <v>741000</v>
      </c>
      <c r="S32" s="14">
        <f>S28-SUM(S29:S31)</f>
        <v>741000</v>
      </c>
      <c r="T32" s="14">
        <f>T28-SUM(T29:T31)</f>
        <v>741000</v>
      </c>
      <c r="U32" s="14">
        <f>U28-SUM(U29:U31)</f>
        <v>741000</v>
      </c>
      <c r="V32" s="14">
        <f>V28-SUM(V29:V31)</f>
        <v>741000</v>
      </c>
      <c r="W32" s="14">
        <f>W28-SUM(W29:W31)</f>
        <v>741000</v>
      </c>
      <c r="X32" s="14">
        <f>X28-SUM(X29:X31)</f>
        <v>741000</v>
      </c>
      <c r="Y32" s="14">
        <f>Y28-SUM(Y29:Y31)</f>
        <v>741000</v>
      </c>
      <c r="Z32" s="14">
        <f>Z28-SUM(Z29:Z31)</f>
        <v>741000</v>
      </c>
      <c r="AA32" s="14">
        <f>AA28-SUM(AA29:AA31)</f>
        <v>741000</v>
      </c>
      <c r="AB32" s="14">
        <f>AB28-SUM(AB29:AB31)</f>
        <v>741000</v>
      </c>
      <c r="AC32" s="14">
        <f>AC28-SUM(AC29:AC31)</f>
        <v>741000</v>
      </c>
      <c r="AD32" s="14">
        <f>AD28-SUM(AD29:AD31)</f>
        <v>741000</v>
      </c>
    </row>
    <row r="33" spans="1:30">
      <c r="A33" s="348" t="e">
        <f t="shared" si="14"/>
        <v>#REF!</v>
      </c>
      <c r="C33" s="159" t="s">
        <v>109</v>
      </c>
      <c r="D33" s="106"/>
      <c r="E33" s="205">
        <f>ROUND(E15/E32,1)</f>
        <v>0</v>
      </c>
      <c r="F33" s="310">
        <f>ROUND(F15/F32,1)</f>
        <v>0</v>
      </c>
      <c r="G33" s="310">
        <f>ROUND(G15/G32,1)</f>
        <v>0</v>
      </c>
      <c r="H33" s="310">
        <f>ROUND(H15/H32,1)</f>
        <v>0</v>
      </c>
      <c r="I33" s="205">
        <f>ROUND(I15/I32,1)</f>
        <v>0</v>
      </c>
      <c r="J33" s="205">
        <f>ROUND(J15/J32,1)</f>
        <v>0</v>
      </c>
      <c r="K33" s="205">
        <f>ROUND(K15/K32,1)</f>
        <v>0</v>
      </c>
      <c r="L33" s="205">
        <f>ROUND(L15/L32,1)</f>
        <v>0</v>
      </c>
      <c r="M33" s="205">
        <f>ROUND(M15/M32,1)</f>
        <v>0</v>
      </c>
      <c r="N33" s="205">
        <f>ROUND(N15/N32,1)</f>
        <v>0</v>
      </c>
      <c r="O33" s="205">
        <f>ROUND(O15/O32,1)</f>
        <v>0</v>
      </c>
      <c r="P33" s="205">
        <f>ROUND(P15/P32,1)</f>
        <v>0</v>
      </c>
      <c r="Q33" s="205">
        <f>ROUND(Q15/Q32,1)</f>
        <v>0</v>
      </c>
      <c r="R33" s="205">
        <f>ROUND(R15/R32,1)</f>
        <v>0</v>
      </c>
      <c r="S33" s="205">
        <f>ROUND(S15/S32,1)</f>
        <v>0</v>
      </c>
      <c r="T33" s="205">
        <f>ROUND(T15/T32,1)</f>
        <v>0</v>
      </c>
      <c r="U33" s="205">
        <f>ROUND(U15/U32,1)</f>
        <v>0</v>
      </c>
      <c r="V33" s="205">
        <f>ROUND(V15/V32,1)</f>
        <v>0</v>
      </c>
      <c r="W33" s="205">
        <f>ROUND(W15/W32,1)</f>
        <v>0</v>
      </c>
      <c r="X33" s="205">
        <f>ROUND(X15/X32,1)</f>
        <v>0</v>
      </c>
      <c r="Y33" s="205">
        <f>ROUND(Y15/Y32,1)</f>
        <v>0</v>
      </c>
      <c r="Z33" s="205">
        <f>ROUND(Z15/Z32,1)</f>
        <v>0</v>
      </c>
      <c r="AA33" s="205">
        <f>ROUND(AA15/AA32,1)</f>
        <v>0</v>
      </c>
      <c r="AB33" s="205">
        <f>ROUND(AB15/AB32,1)</f>
        <v>0</v>
      </c>
      <c r="AC33" s="205">
        <f>ROUND(AC15/AC32,1)</f>
        <v>0</v>
      </c>
      <c r="AD33" s="205">
        <f>ROUND(AD15/AD32,1)</f>
        <v>0</v>
      </c>
    </row>
    <row r="34" spans="1:30">
      <c r="C34" s="159"/>
      <c r="D34" s="106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</row>
    <row r="35" spans="1:30">
      <c r="C35" s="157" t="s">
        <v>98</v>
      </c>
      <c r="D35" s="106"/>
    </row>
    <row r="36" spans="1:30">
      <c r="A36" s="348" t="e">
        <f>+A33-1</f>
        <v>#REF!</v>
      </c>
      <c r="C36" s="159" t="s">
        <v>103</v>
      </c>
      <c r="D36" s="106">
        <f>Nurses</f>
        <v>2750000</v>
      </c>
      <c r="E36" s="14">
        <f t="shared" ref="E36:N37" si="16">+$D36</f>
        <v>2750000</v>
      </c>
      <c r="F36" s="14">
        <f t="shared" si="16"/>
        <v>2750000</v>
      </c>
      <c r="G36" s="14">
        <f t="shared" si="16"/>
        <v>2750000</v>
      </c>
      <c r="H36" s="14">
        <f t="shared" si="16"/>
        <v>2750000</v>
      </c>
      <c r="I36" s="14">
        <f t="shared" si="16"/>
        <v>2750000</v>
      </c>
      <c r="J36" s="14">
        <f t="shared" si="16"/>
        <v>2750000</v>
      </c>
      <c r="K36" s="14">
        <f t="shared" si="16"/>
        <v>2750000</v>
      </c>
      <c r="L36" s="14">
        <f t="shared" si="16"/>
        <v>2750000</v>
      </c>
      <c r="M36" s="14">
        <f t="shared" si="16"/>
        <v>2750000</v>
      </c>
      <c r="N36" s="14">
        <f t="shared" si="16"/>
        <v>2750000</v>
      </c>
      <c r="O36" s="14">
        <f t="shared" ref="O36:X37" si="17">+$D36</f>
        <v>2750000</v>
      </c>
      <c r="P36" s="14">
        <f t="shared" si="17"/>
        <v>2750000</v>
      </c>
      <c r="Q36" s="14">
        <f t="shared" si="17"/>
        <v>2750000</v>
      </c>
      <c r="R36" s="14">
        <f t="shared" si="17"/>
        <v>2750000</v>
      </c>
      <c r="S36" s="14">
        <f t="shared" si="17"/>
        <v>2750000</v>
      </c>
      <c r="T36" s="14">
        <f t="shared" si="17"/>
        <v>2750000</v>
      </c>
      <c r="U36" s="14">
        <f t="shared" si="17"/>
        <v>2750000</v>
      </c>
      <c r="V36" s="14">
        <f t="shared" si="17"/>
        <v>2750000</v>
      </c>
      <c r="W36" s="14">
        <f t="shared" si="17"/>
        <v>2750000</v>
      </c>
      <c r="X36" s="14">
        <f t="shared" si="17"/>
        <v>2750000</v>
      </c>
      <c r="Y36" s="14">
        <f t="shared" ref="Y36:AD37" si="18">+$D36</f>
        <v>2750000</v>
      </c>
      <c r="Z36" s="14">
        <f t="shared" si="18"/>
        <v>2750000</v>
      </c>
      <c r="AA36" s="14">
        <f t="shared" si="18"/>
        <v>2750000</v>
      </c>
      <c r="AB36" s="14">
        <f t="shared" si="18"/>
        <v>2750000</v>
      </c>
      <c r="AC36" s="14">
        <f t="shared" si="18"/>
        <v>2750000</v>
      </c>
      <c r="AD36" s="14">
        <f t="shared" si="18"/>
        <v>2750000</v>
      </c>
    </row>
    <row r="37" spans="1:30">
      <c r="A37" s="348" t="e">
        <f t="shared" ref="A37:A41" si="19">+A36-1</f>
        <v>#REF!</v>
      </c>
      <c r="C37" s="159" t="s">
        <v>101</v>
      </c>
      <c r="D37" s="106">
        <f>NurseHosp</f>
        <v>1370000</v>
      </c>
      <c r="E37" s="14">
        <f t="shared" si="16"/>
        <v>1370000</v>
      </c>
      <c r="F37" s="14">
        <f t="shared" si="16"/>
        <v>1370000</v>
      </c>
      <c r="G37" s="14">
        <f t="shared" si="16"/>
        <v>1370000</v>
      </c>
      <c r="H37" s="14">
        <f t="shared" si="16"/>
        <v>1370000</v>
      </c>
      <c r="I37" s="14">
        <f t="shared" si="16"/>
        <v>1370000</v>
      </c>
      <c r="J37" s="14">
        <f t="shared" si="16"/>
        <v>1370000</v>
      </c>
      <c r="K37" s="14">
        <f t="shared" si="16"/>
        <v>1370000</v>
      </c>
      <c r="L37" s="14">
        <f t="shared" si="16"/>
        <v>1370000</v>
      </c>
      <c r="M37" s="14">
        <f t="shared" si="16"/>
        <v>1370000</v>
      </c>
      <c r="N37" s="14">
        <f t="shared" si="16"/>
        <v>1370000</v>
      </c>
      <c r="O37" s="14">
        <f t="shared" si="17"/>
        <v>1370000</v>
      </c>
      <c r="P37" s="14">
        <f t="shared" si="17"/>
        <v>1370000</v>
      </c>
      <c r="Q37" s="14">
        <f t="shared" si="17"/>
        <v>1370000</v>
      </c>
      <c r="R37" s="14">
        <f t="shared" si="17"/>
        <v>1370000</v>
      </c>
      <c r="S37" s="14">
        <f t="shared" si="17"/>
        <v>1370000</v>
      </c>
      <c r="T37" s="14">
        <f t="shared" si="17"/>
        <v>1370000</v>
      </c>
      <c r="U37" s="14">
        <f t="shared" si="17"/>
        <v>1370000</v>
      </c>
      <c r="V37" s="14">
        <f t="shared" si="17"/>
        <v>1370000</v>
      </c>
      <c r="W37" s="14">
        <f t="shared" si="17"/>
        <v>1370000</v>
      </c>
      <c r="X37" s="14">
        <f t="shared" si="17"/>
        <v>1370000</v>
      </c>
      <c r="Y37" s="14">
        <f t="shared" si="18"/>
        <v>1370000</v>
      </c>
      <c r="Z37" s="14">
        <f t="shared" si="18"/>
        <v>1370000</v>
      </c>
      <c r="AA37" s="14">
        <f t="shared" si="18"/>
        <v>1370000</v>
      </c>
      <c r="AB37" s="14">
        <f t="shared" si="18"/>
        <v>1370000</v>
      </c>
      <c r="AC37" s="14">
        <f t="shared" si="18"/>
        <v>1370000</v>
      </c>
      <c r="AD37" s="14">
        <f t="shared" si="18"/>
        <v>1370000</v>
      </c>
    </row>
    <row r="38" spans="1:30">
      <c r="A38" s="348" t="e">
        <f>+#REF!-1</f>
        <v>#REF!</v>
      </c>
      <c r="C38" s="159" t="s">
        <v>129</v>
      </c>
      <c r="D38" s="106"/>
      <c r="E38" s="14">
        <f>+E19</f>
        <v>127</v>
      </c>
      <c r="F38" s="14">
        <f>+F19</f>
        <v>248</v>
      </c>
      <c r="G38" s="14">
        <f>+G19</f>
        <v>436</v>
      </c>
      <c r="H38" s="14">
        <f>+H19</f>
        <v>664</v>
      </c>
      <c r="I38" s="14">
        <f>+I19</f>
        <v>871</v>
      </c>
      <c r="J38" s="14">
        <f>+J19</f>
        <v>1005</v>
      </c>
      <c r="K38" s="14">
        <f>+K19</f>
        <v>1005</v>
      </c>
      <c r="L38" s="14">
        <f>+L19</f>
        <v>871</v>
      </c>
      <c r="M38" s="14">
        <f>+M19</f>
        <v>664</v>
      </c>
      <c r="N38" s="14">
        <f>+N19</f>
        <v>436</v>
      </c>
      <c r="O38" s="14">
        <f>+O19</f>
        <v>248</v>
      </c>
      <c r="P38" s="14">
        <f>+P19</f>
        <v>127</v>
      </c>
      <c r="Q38" s="14">
        <f>+Q19</f>
        <v>0</v>
      </c>
      <c r="R38" s="14">
        <f>+R19</f>
        <v>0</v>
      </c>
      <c r="S38" s="14">
        <f>+S19</f>
        <v>0</v>
      </c>
      <c r="T38" s="14">
        <f>+T19</f>
        <v>0</v>
      </c>
      <c r="U38" s="14">
        <f>+U19</f>
        <v>0</v>
      </c>
      <c r="V38" s="14">
        <f>+V19</f>
        <v>0</v>
      </c>
      <c r="W38" s="14">
        <f>+W19</f>
        <v>0</v>
      </c>
      <c r="X38" s="14">
        <f>+X19</f>
        <v>0</v>
      </c>
      <c r="Y38" s="14">
        <f>+Y19</f>
        <v>0</v>
      </c>
      <c r="Z38" s="14">
        <f>+Z19</f>
        <v>0</v>
      </c>
      <c r="AA38" s="14">
        <f>+AA19</f>
        <v>0</v>
      </c>
      <c r="AB38" s="14">
        <f>+AB19</f>
        <v>0</v>
      </c>
      <c r="AC38" s="14">
        <f>+AC19</f>
        <v>0</v>
      </c>
      <c r="AD38" s="14">
        <f>+AD19</f>
        <v>0</v>
      </c>
    </row>
    <row r="39" spans="1:30">
      <c r="A39" s="348" t="e">
        <f t="shared" si="19"/>
        <v>#REF!</v>
      </c>
      <c r="C39" s="159" t="s">
        <v>117</v>
      </c>
      <c r="D39" s="203">
        <f>CareFactor</f>
        <v>1.5</v>
      </c>
      <c r="E39" s="14">
        <f t="shared" ref="E39:AD39" si="20">ROUND(E38*$D$39,0)</f>
        <v>191</v>
      </c>
      <c r="F39" s="14">
        <f t="shared" si="20"/>
        <v>372</v>
      </c>
      <c r="G39" s="14">
        <f t="shared" si="20"/>
        <v>654</v>
      </c>
      <c r="H39" s="14">
        <f t="shared" si="20"/>
        <v>996</v>
      </c>
      <c r="I39" s="14">
        <f t="shared" si="20"/>
        <v>1307</v>
      </c>
      <c r="J39" s="14">
        <f t="shared" si="20"/>
        <v>1508</v>
      </c>
      <c r="K39" s="14">
        <f t="shared" si="20"/>
        <v>1508</v>
      </c>
      <c r="L39" s="14">
        <f t="shared" si="20"/>
        <v>1307</v>
      </c>
      <c r="M39" s="14">
        <f t="shared" si="20"/>
        <v>996</v>
      </c>
      <c r="N39" s="14">
        <f t="shared" si="20"/>
        <v>654</v>
      </c>
      <c r="O39" s="14">
        <f t="shared" si="20"/>
        <v>372</v>
      </c>
      <c r="P39" s="14">
        <f t="shared" si="20"/>
        <v>191</v>
      </c>
      <c r="Q39" s="14">
        <f t="shared" si="20"/>
        <v>0</v>
      </c>
      <c r="R39" s="14">
        <f t="shared" si="20"/>
        <v>0</v>
      </c>
      <c r="S39" s="14">
        <f t="shared" si="20"/>
        <v>0</v>
      </c>
      <c r="T39" s="14">
        <f t="shared" si="20"/>
        <v>0</v>
      </c>
      <c r="U39" s="14">
        <f t="shared" si="20"/>
        <v>0</v>
      </c>
      <c r="V39" s="14">
        <f t="shared" si="20"/>
        <v>0</v>
      </c>
      <c r="W39" s="14">
        <f t="shared" si="20"/>
        <v>0</v>
      </c>
      <c r="X39" s="14">
        <f t="shared" si="20"/>
        <v>0</v>
      </c>
      <c r="Y39" s="14">
        <f t="shared" si="20"/>
        <v>0</v>
      </c>
      <c r="Z39" s="14">
        <f t="shared" si="20"/>
        <v>0</v>
      </c>
      <c r="AA39" s="14">
        <f t="shared" si="20"/>
        <v>0</v>
      </c>
      <c r="AB39" s="14">
        <f t="shared" si="20"/>
        <v>0</v>
      </c>
      <c r="AC39" s="14">
        <f t="shared" si="20"/>
        <v>0</v>
      </c>
      <c r="AD39" s="14">
        <f t="shared" si="20"/>
        <v>0</v>
      </c>
    </row>
    <row r="40" spans="1:30">
      <c r="A40" s="348" t="e">
        <f t="shared" si="19"/>
        <v>#REF!</v>
      </c>
      <c r="C40" s="159" t="s">
        <v>104</v>
      </c>
      <c r="D40" s="106"/>
      <c r="E40" s="14">
        <f>E36-SUM(E37:E39)</f>
        <v>1379682</v>
      </c>
      <c r="F40" s="14">
        <f>F36-SUM(F37:F39)</f>
        <v>1379380</v>
      </c>
      <c r="G40" s="14">
        <f>G36-SUM(G37:G39)</f>
        <v>1378910</v>
      </c>
      <c r="H40" s="14">
        <f>H36-SUM(H37:H39)</f>
        <v>1378340</v>
      </c>
      <c r="I40" s="14">
        <f>I36-SUM(I37:I39)</f>
        <v>1377822</v>
      </c>
      <c r="J40" s="14">
        <f>J36-SUM(J37:J39)</f>
        <v>1377487</v>
      </c>
      <c r="K40" s="14">
        <f>K36-SUM(K37:K39)</f>
        <v>1377487</v>
      </c>
      <c r="L40" s="14">
        <f>L36-SUM(L37:L39)</f>
        <v>1377822</v>
      </c>
      <c r="M40" s="14">
        <f>M36-SUM(M37:M39)</f>
        <v>1378340</v>
      </c>
      <c r="N40" s="14">
        <f>N36-SUM(N37:N39)</f>
        <v>1378910</v>
      </c>
      <c r="O40" s="14">
        <f>O36-SUM(O37:O39)</f>
        <v>1379380</v>
      </c>
      <c r="P40" s="14">
        <f>P36-SUM(P37:P39)</f>
        <v>1379682</v>
      </c>
      <c r="Q40" s="14">
        <f>Q36-SUM(Q37:Q39)</f>
        <v>1380000</v>
      </c>
      <c r="R40" s="14">
        <f>R36-SUM(R37:R39)</f>
        <v>1380000</v>
      </c>
      <c r="S40" s="14">
        <f>S36-SUM(S37:S39)</f>
        <v>1380000</v>
      </c>
      <c r="T40" s="14">
        <f>T36-SUM(T37:T39)</f>
        <v>1380000</v>
      </c>
      <c r="U40" s="14">
        <f>U36-SUM(U37:U39)</f>
        <v>1380000</v>
      </c>
      <c r="V40" s="14">
        <f>V36-SUM(V37:V39)</f>
        <v>1380000</v>
      </c>
      <c r="W40" s="14">
        <f>W36-SUM(W37:W39)</f>
        <v>1380000</v>
      </c>
      <c r="X40" s="14">
        <f>X36-SUM(X37:X39)</f>
        <v>1380000</v>
      </c>
      <c r="Y40" s="14">
        <f>Y36-SUM(Y37:Y39)</f>
        <v>1380000</v>
      </c>
      <c r="Z40" s="14">
        <f>Z36-SUM(Z37:Z39)</f>
        <v>1380000</v>
      </c>
      <c r="AA40" s="14">
        <f>AA36-SUM(AA37:AA39)</f>
        <v>1380000</v>
      </c>
      <c r="AB40" s="14">
        <f>AB36-SUM(AB37:AB39)</f>
        <v>1380000</v>
      </c>
      <c r="AC40" s="14">
        <f>AC36-SUM(AC37:AC39)</f>
        <v>1380000</v>
      </c>
      <c r="AD40" s="14">
        <f>AD36-SUM(AD37:AD39)</f>
        <v>1380000</v>
      </c>
    </row>
    <row r="41" spans="1:30">
      <c r="A41" s="348" t="e">
        <f t="shared" si="19"/>
        <v>#REF!</v>
      </c>
      <c r="C41" s="159" t="s">
        <v>109</v>
      </c>
      <c r="D41" s="106"/>
      <c r="E41" s="205">
        <f>ROUND(E15/E40,1)</f>
        <v>0</v>
      </c>
      <c r="F41" s="205">
        <f>ROUND(F15/F40,1)</f>
        <v>0</v>
      </c>
      <c r="G41" s="205">
        <f>ROUND(G15/G40,1)</f>
        <v>0</v>
      </c>
      <c r="H41" s="205">
        <f>ROUND(H15/H40,1)</f>
        <v>0</v>
      </c>
      <c r="I41" s="205">
        <f>ROUND(I15/I40,1)</f>
        <v>0</v>
      </c>
      <c r="J41" s="205">
        <f>ROUND(J15/J40,1)</f>
        <v>0</v>
      </c>
      <c r="K41" s="205">
        <f>ROUND(K15/K40,1)</f>
        <v>0</v>
      </c>
      <c r="L41" s="205">
        <f>ROUND(L15/L40,1)</f>
        <v>0</v>
      </c>
      <c r="M41" s="205">
        <f>ROUND(M15/M40,1)</f>
        <v>0</v>
      </c>
      <c r="N41" s="205">
        <f>ROUND(N15/N40,1)</f>
        <v>0</v>
      </c>
      <c r="O41" s="205">
        <f>ROUND(O15/O40,1)</f>
        <v>0</v>
      </c>
      <c r="P41" s="205">
        <f>ROUND(P15/P40,1)</f>
        <v>0</v>
      </c>
      <c r="Q41" s="205">
        <f>ROUND(Q15/Q40,1)</f>
        <v>0</v>
      </c>
      <c r="R41" s="205">
        <f>ROUND(R15/R40,1)</f>
        <v>0</v>
      </c>
      <c r="S41" s="205">
        <f>ROUND(S15/S40,1)</f>
        <v>0</v>
      </c>
      <c r="T41" s="205">
        <f>ROUND(T15/T40,1)</f>
        <v>0</v>
      </c>
      <c r="U41" s="205">
        <f>ROUND(U15/U40,1)</f>
        <v>0</v>
      </c>
      <c r="V41" s="205">
        <f>ROUND(V15/V40,1)</f>
        <v>0</v>
      </c>
      <c r="W41" s="205">
        <f>ROUND(W15/W40,1)</f>
        <v>0</v>
      </c>
      <c r="X41" s="205">
        <f>ROUND(X15/X40,1)</f>
        <v>0</v>
      </c>
      <c r="Y41" s="205">
        <f>ROUND(Y15/Y40,1)</f>
        <v>0</v>
      </c>
      <c r="Z41" s="205">
        <f>ROUND(Z15/Z40,1)</f>
        <v>0</v>
      </c>
      <c r="AA41" s="205">
        <f>ROUND(AA15/AA40,1)</f>
        <v>0</v>
      </c>
      <c r="AB41" s="205">
        <f>ROUND(AB15/AB40,1)</f>
        <v>0</v>
      </c>
      <c r="AC41" s="205">
        <f>ROUND(AC15/AC40,1)</f>
        <v>0</v>
      </c>
      <c r="AD41" s="205">
        <f>ROUND(AD15/AD40,1)</f>
        <v>0</v>
      </c>
    </row>
    <row r="43" spans="1:30" s="15" customFormat="1">
      <c r="C43" s="206" t="s">
        <v>87</v>
      </c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</row>
    <row r="44" spans="1:30" s="15" customFormat="1">
      <c r="A44" s="348" t="e">
        <f>+A41-1</f>
        <v>#REF!</v>
      </c>
      <c r="C44" s="199" t="s">
        <v>105</v>
      </c>
      <c r="D44" s="311">
        <f>SUM(E44:AD44)</f>
        <v>497250.00000000006</v>
      </c>
      <c r="E44" s="193">
        <f>IF(E23&gt;0,ICUCap,0)</f>
        <v>38250.000000000015</v>
      </c>
      <c r="F44" s="193">
        <f>IF(F23&gt;0,ICUCap,0)</f>
        <v>38250.000000000015</v>
      </c>
      <c r="G44" s="193">
        <f>IF(G23&gt;0,ICUCap,0)</f>
        <v>38250.000000000015</v>
      </c>
      <c r="H44" s="193">
        <f>IF(H23&gt;0,ICUCap,0)</f>
        <v>38250.000000000015</v>
      </c>
      <c r="I44" s="193">
        <f>IF(I23&gt;0,ICUCap,0)</f>
        <v>38250.000000000015</v>
      </c>
      <c r="J44" s="193">
        <f>IF(J23&gt;0,ICUCap,0)</f>
        <v>38250.000000000015</v>
      </c>
      <c r="K44" s="193">
        <f>IF(K23&gt;0,ICUCap,0)</f>
        <v>38250.000000000015</v>
      </c>
      <c r="L44" s="193">
        <f>IF(L23&gt;0,ICUCap,0)</f>
        <v>38250.000000000015</v>
      </c>
      <c r="M44" s="193">
        <f>IF(M23&gt;0,ICUCap,0)</f>
        <v>38250.000000000015</v>
      </c>
      <c r="N44" s="193">
        <f>IF(N23&gt;0,ICUCap,0)</f>
        <v>38250.000000000015</v>
      </c>
      <c r="O44" s="193">
        <f>IF(O23&gt;0,ICUCap,0)</f>
        <v>38250.000000000015</v>
      </c>
      <c r="P44" s="193">
        <f>IF(P23&gt;0,ICUCap,0)</f>
        <v>38250.000000000015</v>
      </c>
      <c r="Q44" s="193">
        <f>IF(Q23&gt;0,ICUCap,0)</f>
        <v>38250.000000000015</v>
      </c>
      <c r="R44" s="193">
        <f>IF(R23&gt;0,ICUCap,0)</f>
        <v>0</v>
      </c>
      <c r="S44" s="193">
        <f>IF(S23&gt;0,ICUCap,0)</f>
        <v>0</v>
      </c>
      <c r="T44" s="193">
        <f>IF(T23&gt;0,ICUCap,0)</f>
        <v>0</v>
      </c>
      <c r="U44" s="193">
        <f>IF(U23&gt;0,ICUCap,0)</f>
        <v>0</v>
      </c>
      <c r="V44" s="193">
        <f>IF(V23&gt;0,ICUCap,0)</f>
        <v>0</v>
      </c>
      <c r="W44" s="193">
        <f>IF(W23&gt;0,ICUCap,0)</f>
        <v>0</v>
      </c>
      <c r="X44" s="193">
        <f>IF(X23&gt;0,ICUCap,0)</f>
        <v>0</v>
      </c>
      <c r="Y44" s="193">
        <f>IF(Y23&gt;0,ICUCap,0)</f>
        <v>0</v>
      </c>
      <c r="Z44" s="193">
        <f>IF(Z23&gt;0,ICUCap,0)</f>
        <v>0</v>
      </c>
      <c r="AA44" s="193">
        <f>IF(AA23&gt;0,ICUCap,0)</f>
        <v>0</v>
      </c>
      <c r="AB44" s="193">
        <f>IF(AB23&gt;0,ICUCap,0)</f>
        <v>0</v>
      </c>
      <c r="AC44" s="193">
        <f>IF(AC23&gt;0,ICUCap,0)</f>
        <v>0</v>
      </c>
      <c r="AD44" s="193">
        <f>IF(AD23&gt;0,ICUCap,0)</f>
        <v>0</v>
      </c>
    </row>
    <row r="45" spans="1:30" s="15" customFormat="1">
      <c r="A45" s="348" t="e">
        <f t="shared" ref="A45:A46" si="21">+A44-1</f>
        <v>#REF!</v>
      </c>
      <c r="C45" s="199" t="s">
        <v>130</v>
      </c>
      <c r="D45" s="311">
        <f>SUM(E45:AD45)</f>
        <v>1212</v>
      </c>
      <c r="E45" s="193">
        <f>+E23</f>
        <v>13</v>
      </c>
      <c r="F45" s="193">
        <f>+F23</f>
        <v>35</v>
      </c>
      <c r="G45" s="193">
        <f>+G23</f>
        <v>65</v>
      </c>
      <c r="H45" s="193">
        <f>+H23</f>
        <v>103</v>
      </c>
      <c r="I45" s="193">
        <f>+I23</f>
        <v>142</v>
      </c>
      <c r="J45" s="193">
        <f>+J23</f>
        <v>172</v>
      </c>
      <c r="K45" s="193">
        <f>+K23</f>
        <v>182</v>
      </c>
      <c r="L45" s="193">
        <f>+L23</f>
        <v>168</v>
      </c>
      <c r="M45" s="193">
        <f>+M23</f>
        <v>136</v>
      </c>
      <c r="N45" s="193">
        <f>+N23</f>
        <v>96</v>
      </c>
      <c r="O45" s="193">
        <f>+O23</f>
        <v>59</v>
      </c>
      <c r="P45" s="193">
        <f>+P23</f>
        <v>32</v>
      </c>
      <c r="Q45" s="193">
        <f>+Q23</f>
        <v>9</v>
      </c>
      <c r="R45" s="193">
        <f>+R23</f>
        <v>0</v>
      </c>
      <c r="S45" s="193">
        <f>+S23</f>
        <v>0</v>
      </c>
      <c r="T45" s="193">
        <f>+T23</f>
        <v>0</v>
      </c>
      <c r="U45" s="193">
        <f>+U23</f>
        <v>0</v>
      </c>
      <c r="V45" s="193">
        <f>+V23</f>
        <v>0</v>
      </c>
      <c r="W45" s="193">
        <f>+W23</f>
        <v>0</v>
      </c>
      <c r="X45" s="193">
        <f>+X23</f>
        <v>0</v>
      </c>
      <c r="Y45" s="193">
        <f>+Y23</f>
        <v>0</v>
      </c>
      <c r="Z45" s="193">
        <f>+Z23</f>
        <v>0</v>
      </c>
      <c r="AA45" s="193">
        <f>+AA23</f>
        <v>0</v>
      </c>
      <c r="AB45" s="193">
        <f>+AB23</f>
        <v>0</v>
      </c>
      <c r="AC45" s="193">
        <f>+AC23</f>
        <v>0</v>
      </c>
      <c r="AD45" s="193">
        <f>+AD23</f>
        <v>0</v>
      </c>
    </row>
    <row r="46" spans="1:30" s="33" customFormat="1">
      <c r="A46" s="348" t="e">
        <f t="shared" si="21"/>
        <v>#REF!</v>
      </c>
      <c r="C46" s="199" t="s">
        <v>202</v>
      </c>
      <c r="D46" s="312">
        <f>SUM(E46:AD46)</f>
        <v>0</v>
      </c>
      <c r="E46" s="196">
        <f t="shared" ref="E46:AD46" si="22">MAX(0,E45-E44)</f>
        <v>0</v>
      </c>
      <c r="F46" s="196">
        <f t="shared" si="22"/>
        <v>0</v>
      </c>
      <c r="G46" s="196">
        <f t="shared" si="22"/>
        <v>0</v>
      </c>
      <c r="H46" s="196">
        <f t="shared" si="22"/>
        <v>0</v>
      </c>
      <c r="I46" s="196">
        <f t="shared" si="22"/>
        <v>0</v>
      </c>
      <c r="J46" s="196">
        <f t="shared" si="22"/>
        <v>0</v>
      </c>
      <c r="K46" s="196">
        <f t="shared" si="22"/>
        <v>0</v>
      </c>
      <c r="L46" s="196">
        <f t="shared" si="22"/>
        <v>0</v>
      </c>
      <c r="M46" s="196">
        <f t="shared" si="22"/>
        <v>0</v>
      </c>
      <c r="N46" s="196">
        <f t="shared" si="22"/>
        <v>0</v>
      </c>
      <c r="O46" s="196">
        <f t="shared" si="22"/>
        <v>0</v>
      </c>
      <c r="P46" s="196">
        <f t="shared" si="22"/>
        <v>0</v>
      </c>
      <c r="Q46" s="196">
        <f t="shared" si="22"/>
        <v>0</v>
      </c>
      <c r="R46" s="196">
        <f t="shared" si="22"/>
        <v>0</v>
      </c>
      <c r="S46" s="196">
        <f t="shared" si="22"/>
        <v>0</v>
      </c>
      <c r="T46" s="196">
        <f t="shared" si="22"/>
        <v>0</v>
      </c>
      <c r="U46" s="196">
        <f t="shared" si="22"/>
        <v>0</v>
      </c>
      <c r="V46" s="196">
        <f t="shared" si="22"/>
        <v>0</v>
      </c>
      <c r="W46" s="196">
        <f t="shared" si="22"/>
        <v>0</v>
      </c>
      <c r="X46" s="196">
        <f t="shared" si="22"/>
        <v>0</v>
      </c>
      <c r="Y46" s="196">
        <f t="shared" si="22"/>
        <v>0</v>
      </c>
      <c r="Z46" s="196">
        <f t="shared" si="22"/>
        <v>0</v>
      </c>
      <c r="AA46" s="196">
        <f t="shared" si="22"/>
        <v>0</v>
      </c>
      <c r="AB46" s="196">
        <f t="shared" si="22"/>
        <v>0</v>
      </c>
      <c r="AC46" s="196">
        <f t="shared" si="22"/>
        <v>0</v>
      </c>
      <c r="AD46" s="196">
        <f t="shared" si="22"/>
        <v>0</v>
      </c>
    </row>
    <row r="47" spans="1:30" s="15" customFormat="1">
      <c r="C47" s="199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</row>
    <row r="48" spans="1:30" s="15" customFormat="1">
      <c r="C48" s="206" t="s">
        <v>88</v>
      </c>
      <c r="D48" s="190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</row>
    <row r="49" spans="1:30" s="15" customFormat="1">
      <c r="A49" s="348" t="e">
        <f>+A46-1</f>
        <v>#REF!</v>
      </c>
      <c r="C49" s="199" t="s">
        <v>88</v>
      </c>
      <c r="D49" s="311">
        <f>SUM(E49:AD49)</f>
        <v>402000</v>
      </c>
      <c r="E49" s="193">
        <f t="shared" ref="E49:AD49" si="23">IF(E50&gt;0,VentCap,0)</f>
        <v>33500</v>
      </c>
      <c r="F49" s="193">
        <f t="shared" si="23"/>
        <v>33500</v>
      </c>
      <c r="G49" s="193">
        <f t="shared" si="23"/>
        <v>33500</v>
      </c>
      <c r="H49" s="193">
        <f t="shared" si="23"/>
        <v>33500</v>
      </c>
      <c r="I49" s="193">
        <f t="shared" si="23"/>
        <v>33500</v>
      </c>
      <c r="J49" s="193">
        <f t="shared" si="23"/>
        <v>33500</v>
      </c>
      <c r="K49" s="193">
        <f t="shared" si="23"/>
        <v>33500</v>
      </c>
      <c r="L49" s="193">
        <f t="shared" si="23"/>
        <v>33500</v>
      </c>
      <c r="M49" s="193">
        <f t="shared" si="23"/>
        <v>33500</v>
      </c>
      <c r="N49" s="193">
        <f t="shared" si="23"/>
        <v>33500</v>
      </c>
      <c r="O49" s="193">
        <f t="shared" si="23"/>
        <v>33500</v>
      </c>
      <c r="P49" s="193">
        <f t="shared" si="23"/>
        <v>33500</v>
      </c>
      <c r="Q49" s="193">
        <f t="shared" si="23"/>
        <v>0</v>
      </c>
      <c r="R49" s="193">
        <f t="shared" si="23"/>
        <v>0</v>
      </c>
      <c r="S49" s="193">
        <f t="shared" si="23"/>
        <v>0</v>
      </c>
      <c r="T49" s="193">
        <f t="shared" si="23"/>
        <v>0</v>
      </c>
      <c r="U49" s="193">
        <f t="shared" si="23"/>
        <v>0</v>
      </c>
      <c r="V49" s="193">
        <f t="shared" si="23"/>
        <v>0</v>
      </c>
      <c r="W49" s="193">
        <f t="shared" si="23"/>
        <v>0</v>
      </c>
      <c r="X49" s="193">
        <f t="shared" si="23"/>
        <v>0</v>
      </c>
      <c r="Y49" s="193">
        <f t="shared" si="23"/>
        <v>0</v>
      </c>
      <c r="Z49" s="193">
        <f t="shared" si="23"/>
        <v>0</v>
      </c>
      <c r="AA49" s="193">
        <f t="shared" si="23"/>
        <v>0</v>
      </c>
      <c r="AB49" s="193">
        <f t="shared" si="23"/>
        <v>0</v>
      </c>
      <c r="AC49" s="193">
        <f t="shared" si="23"/>
        <v>0</v>
      </c>
      <c r="AD49" s="193">
        <f t="shared" si="23"/>
        <v>0</v>
      </c>
    </row>
    <row r="50" spans="1:30" s="33" customFormat="1">
      <c r="A50" s="348" t="e">
        <f t="shared" ref="A50:A51" si="24">+A49-1</f>
        <v>#REF!</v>
      </c>
      <c r="C50" s="201" t="s">
        <v>268</v>
      </c>
      <c r="D50" s="312">
        <f>SUM(E50:AD50)</f>
        <v>706</v>
      </c>
      <c r="E50" s="196">
        <f>ROUND(MIN(VentPCT*E12*VentStay/7,E12*VentPCT),0)</f>
        <v>13</v>
      </c>
      <c r="F50" s="196">
        <f>ROUND(MIN(VentPCT*F12*VentStay/7,F12*VentPCT),0)</f>
        <v>26</v>
      </c>
      <c r="G50" s="196">
        <f>ROUND(MIN(VentPCT*G12*VentStay/7,G12*VentPCT),0)</f>
        <v>46</v>
      </c>
      <c r="H50" s="196">
        <f>ROUND(MIN(VentPCT*H12*VentStay/7,H12*VentPCT),0)</f>
        <v>70</v>
      </c>
      <c r="I50" s="196">
        <f>ROUND(MIN(VentPCT*I12*VentStay/7,I12*VentPCT),0)</f>
        <v>92</v>
      </c>
      <c r="J50" s="196">
        <f>ROUND(MIN(VentPCT*J12*VentStay/7,J12*VentPCT),0)</f>
        <v>106</v>
      </c>
      <c r="K50" s="196">
        <f>ROUND(MIN(VentPCT*K12*VentStay/7,K12*VentPCT),0)</f>
        <v>106</v>
      </c>
      <c r="L50" s="196">
        <f>ROUND(MIN(VentPCT*L12*VentStay/7,L12*VentPCT),0)</f>
        <v>92</v>
      </c>
      <c r="M50" s="196">
        <f>ROUND(MIN(VentPCT*M12*VentStay/7,M12*VentPCT),0)</f>
        <v>70</v>
      </c>
      <c r="N50" s="196">
        <f>ROUND(MIN(VentPCT*N12*VentStay/7,N12*VentPCT),0)</f>
        <v>46</v>
      </c>
      <c r="O50" s="196">
        <f>ROUND(MIN(VentPCT*O12*VentStay/7,O12*VentPCT),0)</f>
        <v>26</v>
      </c>
      <c r="P50" s="196">
        <f>ROUND(MIN(VentPCT*P12*VentStay/7,P12*VentPCT),0)</f>
        <v>13</v>
      </c>
      <c r="Q50" s="196">
        <f>ROUND(MIN(VentPCT*Q12*VentStay/7,Q12*VentPCT),0)</f>
        <v>0</v>
      </c>
      <c r="R50" s="196">
        <f>ROUND(MIN(VentPCT*R12*VentStay/7,R12*VentPCT),0)</f>
        <v>0</v>
      </c>
      <c r="S50" s="196">
        <f>ROUND(MIN(VentPCT*S12*VentStay/7,S12*VentPCT),0)</f>
        <v>0</v>
      </c>
      <c r="T50" s="196">
        <f>ROUND(MIN(VentPCT*T12*VentStay/7,T12*VentPCT),0)</f>
        <v>0</v>
      </c>
      <c r="U50" s="196">
        <f>ROUND(MIN(VentPCT*U12*VentStay/7,U12*VentPCT),0)</f>
        <v>0</v>
      </c>
      <c r="V50" s="196">
        <f>ROUND(MIN(VentPCT*V12*VentStay/7,V12*VentPCT),0)</f>
        <v>0</v>
      </c>
      <c r="W50" s="196">
        <f>ROUND(MIN(VentPCT*W12*VentStay/7,W12*VentPCT),0)</f>
        <v>0</v>
      </c>
      <c r="X50" s="196">
        <f>ROUND(MIN(VentPCT*X12*VentStay/7,X12*VentPCT),0)</f>
        <v>0</v>
      </c>
      <c r="Y50" s="196">
        <f>ROUND(MIN(VentPCT*Y12*VentStay/7,Y12*VentPCT),0)</f>
        <v>0</v>
      </c>
      <c r="Z50" s="196">
        <f>ROUND(MIN(VentPCT*Z12*VentStay/7,Z12*VentPCT),0)</f>
        <v>0</v>
      </c>
      <c r="AA50" s="196">
        <f>ROUND(MIN(VentPCT*AA12*VentStay/7,AA12*VentPCT),0)</f>
        <v>0</v>
      </c>
      <c r="AB50" s="196">
        <f>ROUND(MIN(VentPCT*AB12*VentStay/7,AB12*VentPCT),0)</f>
        <v>0</v>
      </c>
      <c r="AC50" s="196">
        <f>ROUND(MIN(VentPCT*AC12*VentStay/7,AC12*VentPCT),0)</f>
        <v>0</v>
      </c>
      <c r="AD50" s="196">
        <f>ROUND(MIN(VentPCT*AD12*VentStay/7,AD12*VentPCT),0)</f>
        <v>0</v>
      </c>
    </row>
    <row r="51" spans="1:30" s="15" customFormat="1">
      <c r="A51" s="348" t="e">
        <f t="shared" si="24"/>
        <v>#REF!</v>
      </c>
      <c r="C51" s="199" t="s">
        <v>92</v>
      </c>
      <c r="D51" s="311">
        <f>SUM(E51:AD51)</f>
        <v>0</v>
      </c>
      <c r="E51" s="193">
        <f t="shared" ref="E51:AD51" si="25">MAX(0,E50-E49)</f>
        <v>0</v>
      </c>
      <c r="F51" s="193">
        <f t="shared" si="25"/>
        <v>0</v>
      </c>
      <c r="G51" s="193">
        <f t="shared" si="25"/>
        <v>0</v>
      </c>
      <c r="H51" s="193">
        <f t="shared" si="25"/>
        <v>0</v>
      </c>
      <c r="I51" s="193">
        <f t="shared" si="25"/>
        <v>0</v>
      </c>
      <c r="J51" s="193">
        <f t="shared" si="25"/>
        <v>0</v>
      </c>
      <c r="K51" s="193">
        <f t="shared" si="25"/>
        <v>0</v>
      </c>
      <c r="L51" s="193">
        <f t="shared" si="25"/>
        <v>0</v>
      </c>
      <c r="M51" s="193">
        <f t="shared" si="25"/>
        <v>0</v>
      </c>
      <c r="N51" s="193">
        <f t="shared" si="25"/>
        <v>0</v>
      </c>
      <c r="O51" s="193">
        <f t="shared" si="25"/>
        <v>0</v>
      </c>
      <c r="P51" s="193">
        <f t="shared" si="25"/>
        <v>0</v>
      </c>
      <c r="Q51" s="193">
        <f t="shared" si="25"/>
        <v>0</v>
      </c>
      <c r="R51" s="193">
        <f t="shared" si="25"/>
        <v>0</v>
      </c>
      <c r="S51" s="193">
        <f t="shared" si="25"/>
        <v>0</v>
      </c>
      <c r="T51" s="193">
        <f t="shared" si="25"/>
        <v>0</v>
      </c>
      <c r="U51" s="193">
        <f t="shared" si="25"/>
        <v>0</v>
      </c>
      <c r="V51" s="193">
        <f t="shared" si="25"/>
        <v>0</v>
      </c>
      <c r="W51" s="193">
        <f t="shared" si="25"/>
        <v>0</v>
      </c>
      <c r="X51" s="193">
        <f t="shared" si="25"/>
        <v>0</v>
      </c>
      <c r="Y51" s="193">
        <f t="shared" si="25"/>
        <v>0</v>
      </c>
      <c r="Z51" s="193">
        <f t="shared" si="25"/>
        <v>0</v>
      </c>
      <c r="AA51" s="193">
        <f t="shared" si="25"/>
        <v>0</v>
      </c>
      <c r="AB51" s="193">
        <f t="shared" si="25"/>
        <v>0</v>
      </c>
      <c r="AC51" s="193">
        <f t="shared" si="25"/>
        <v>0</v>
      </c>
      <c r="AD51" s="193">
        <f t="shared" si="25"/>
        <v>0</v>
      </c>
    </row>
    <row r="52" spans="1:30" s="15" customFormat="1">
      <c r="C52" s="199"/>
      <c r="D52" s="190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</row>
    <row r="53" spans="1:30" s="15" customFormat="1">
      <c r="C53" s="206" t="s">
        <v>36</v>
      </c>
      <c r="D53" s="190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</row>
    <row r="54" spans="1:30" s="15" customFormat="1">
      <c r="A54" s="348" t="e">
        <f>+A51-1</f>
        <v>#REF!</v>
      </c>
      <c r="C54" s="199" t="s">
        <v>135</v>
      </c>
      <c r="D54" s="311">
        <f>SUM(E54:AD54)</f>
        <v>200</v>
      </c>
      <c r="E54" s="193">
        <v>0</v>
      </c>
      <c r="F54" s="193">
        <f>ROUND(D9*XSDths,0)</f>
        <v>0</v>
      </c>
      <c r="G54" s="193">
        <f>ROUND(E9*XSDths,0)</f>
        <v>4</v>
      </c>
      <c r="H54" s="193">
        <f>ROUND(F9*XSDths,0)</f>
        <v>7</v>
      </c>
      <c r="I54" s="193">
        <f>ROUND(G9*XSDths,0)</f>
        <v>13</v>
      </c>
      <c r="J54" s="193">
        <f>ROUND(H9*XSDths,0)</f>
        <v>20</v>
      </c>
      <c r="K54" s="193">
        <f>ROUND(I9*XSDths,0)</f>
        <v>26</v>
      </c>
      <c r="L54" s="193">
        <f>ROUND(J9*XSDths,0)</f>
        <v>30</v>
      </c>
      <c r="M54" s="193">
        <f>ROUND(K9*XSDths,0)</f>
        <v>30</v>
      </c>
      <c r="N54" s="193">
        <f>ROUND(L9*XSDths,0)</f>
        <v>26</v>
      </c>
      <c r="O54" s="193">
        <f>ROUND(M9*XSDths,0)</f>
        <v>20</v>
      </c>
      <c r="P54" s="193">
        <f>ROUND(N9*XSDths,0)</f>
        <v>13</v>
      </c>
      <c r="Q54" s="193">
        <f>ROUND(O9*XSDths,0)</f>
        <v>7</v>
      </c>
      <c r="R54" s="193">
        <f>ROUND(P9*XSDths,0)</f>
        <v>4</v>
      </c>
      <c r="S54" s="193">
        <f>ROUND(Q9*XSDths,0)</f>
        <v>0</v>
      </c>
      <c r="T54" s="193">
        <f>ROUND(R9*XSDths,0)</f>
        <v>0</v>
      </c>
      <c r="U54" s="193">
        <f>ROUND(S9*XSDths,0)</f>
        <v>0</v>
      </c>
      <c r="V54" s="193">
        <f>ROUND(T9*XSDths,0)</f>
        <v>0</v>
      </c>
      <c r="W54" s="193">
        <f>ROUND(U9*XSDths,0)</f>
        <v>0</v>
      </c>
      <c r="X54" s="193">
        <f>ROUND(V9*XSDths,0)</f>
        <v>0</v>
      </c>
      <c r="Y54" s="193">
        <f>ROUND(W9*XSDths,0)</f>
        <v>0</v>
      </c>
      <c r="Z54" s="193">
        <f>ROUND(X9*XSDths,0)</f>
        <v>0</v>
      </c>
      <c r="AA54" s="193">
        <f>ROUND(Y9*XSDths,0)</f>
        <v>0</v>
      </c>
      <c r="AB54" s="193">
        <f>ROUND(Z9*XSDths,0)</f>
        <v>0</v>
      </c>
      <c r="AC54" s="193">
        <f>ROUND(AA9*XSDths,0)</f>
        <v>0</v>
      </c>
      <c r="AD54" s="193">
        <f>ROUND(AB9*XSDths,0)</f>
        <v>0</v>
      </c>
    </row>
    <row r="55" spans="1:30" s="15" customFormat="1">
      <c r="A55" s="348" t="e">
        <f t="shared" ref="A55" si="26">+A54-1</f>
        <v>#REF!</v>
      </c>
      <c r="C55" s="199" t="s">
        <v>89</v>
      </c>
      <c r="D55" s="311">
        <f>SUM(E55:AD55)</f>
        <v>170</v>
      </c>
      <c r="E55" s="193">
        <v>0</v>
      </c>
      <c r="F55" s="193">
        <f>ROUND(F54*DthHospPct,0)</f>
        <v>0</v>
      </c>
      <c r="G55" s="193">
        <f t="shared" ref="G55:AD55" si="27">ROUND(G54*DthHospPct,0)</f>
        <v>3</v>
      </c>
      <c r="H55" s="193">
        <f t="shared" si="27"/>
        <v>6</v>
      </c>
      <c r="I55" s="193">
        <f t="shared" si="27"/>
        <v>11</v>
      </c>
      <c r="J55" s="193">
        <f t="shared" si="27"/>
        <v>17</v>
      </c>
      <c r="K55" s="193">
        <f t="shared" si="27"/>
        <v>22</v>
      </c>
      <c r="L55" s="193">
        <f t="shared" si="27"/>
        <v>26</v>
      </c>
      <c r="M55" s="193">
        <f t="shared" si="27"/>
        <v>26</v>
      </c>
      <c r="N55" s="193">
        <f t="shared" si="27"/>
        <v>22</v>
      </c>
      <c r="O55" s="193">
        <f t="shared" si="27"/>
        <v>17</v>
      </c>
      <c r="P55" s="193">
        <f t="shared" si="27"/>
        <v>11</v>
      </c>
      <c r="Q55" s="193">
        <f t="shared" si="27"/>
        <v>6</v>
      </c>
      <c r="R55" s="193">
        <f t="shared" si="27"/>
        <v>3</v>
      </c>
      <c r="S55" s="193">
        <f t="shared" si="27"/>
        <v>0</v>
      </c>
      <c r="T55" s="193">
        <f t="shared" si="27"/>
        <v>0</v>
      </c>
      <c r="U55" s="193">
        <f t="shared" si="27"/>
        <v>0</v>
      </c>
      <c r="V55" s="193">
        <f t="shared" si="27"/>
        <v>0</v>
      </c>
      <c r="W55" s="193">
        <f t="shared" si="27"/>
        <v>0</v>
      </c>
      <c r="X55" s="193">
        <f t="shared" si="27"/>
        <v>0</v>
      </c>
      <c r="Y55" s="193">
        <f t="shared" si="27"/>
        <v>0</v>
      </c>
      <c r="Z55" s="193">
        <f t="shared" si="27"/>
        <v>0</v>
      </c>
      <c r="AA55" s="193">
        <f t="shared" si="27"/>
        <v>0</v>
      </c>
      <c r="AB55" s="193">
        <f t="shared" si="27"/>
        <v>0</v>
      </c>
      <c r="AC55" s="193">
        <f t="shared" si="27"/>
        <v>0</v>
      </c>
      <c r="AD55" s="193">
        <f t="shared" si="27"/>
        <v>0</v>
      </c>
    </row>
    <row r="56" spans="1:30" s="15" customFormat="1" ht="15">
      <c r="M56" s="191"/>
      <c r="N56" s="191"/>
      <c r="O56" s="191"/>
      <c r="P56" s="191"/>
    </row>
    <row r="57" spans="1:30">
      <c r="A57" s="348" t="e">
        <f>+A55-1</f>
        <v>#REF!</v>
      </c>
      <c r="C57" s="474" t="s">
        <v>232</v>
      </c>
      <c r="D57" s="475">
        <f>ROUND(MIN(1,'Weekly Distributions'!D46/'Weekly Distributions'!D45),2)</f>
        <v>0</v>
      </c>
    </row>
  </sheetData>
  <phoneticPr fontId="19" type="noConversion"/>
  <dataValidations disablePrompts="1" count="1">
    <dataValidation type="whole" allowBlank="1" showInputMessage="1" showErrorMessage="1" sqref="G1:G3 P3 Y3">
      <formula1>6</formula1>
      <formula2>24</formula2>
    </dataValidation>
  </dataValidations>
  <printOptions horizontalCentered="1"/>
  <pageMargins left="0.5" right="0.5" top="0.75" bottom="0.75" header="0.35" footer="0.35"/>
  <pageSetup scale="81" fitToWidth="3" fitToHeight="3" orientation="portrait" r:id="rId1"/>
  <headerFooter alignWithMargins="0">
    <oddFooter>&amp;L&amp;F
&amp;A&amp;CMBA Actuaries, Inc.&amp;R&amp;T
&amp;D</oddFooter>
  </headerFooter>
  <colBreaks count="2" manualBreakCount="2">
    <brk id="10" max="59" man="1"/>
    <brk id="18" max="59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82"/>
  <sheetViews>
    <sheetView workbookViewId="0">
      <selection activeCell="G1" sqref="G1"/>
    </sheetView>
  </sheetViews>
  <sheetFormatPr defaultRowHeight="12.75"/>
  <cols>
    <col min="1" max="1" width="9.42578125" style="3" customWidth="1"/>
    <col min="2" max="13" width="12.7109375" style="3" customWidth="1"/>
    <col min="14" max="14" width="1.7109375" style="3" customWidth="1"/>
    <col min="15" max="16384" width="9.140625" style="3"/>
  </cols>
  <sheetData>
    <row r="1" spans="1:14">
      <c r="C1" s="402" t="str">
        <f>scenario</f>
        <v>Severe Scenario, V\ Curve</v>
      </c>
      <c r="K1" s="157" t="s">
        <v>261</v>
      </c>
    </row>
    <row r="2" spans="1:14" customFormat="1" ht="15.75">
      <c r="A2" s="46" t="s">
        <v>51</v>
      </c>
      <c r="B2" s="24"/>
      <c r="C2" s="12"/>
      <c r="D2" s="48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customFormat="1" ht="15">
      <c r="A3" s="121" t="s">
        <v>56</v>
      </c>
      <c r="B3" s="24"/>
      <c r="C3" s="12"/>
      <c r="D3" s="48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customFormat="1" ht="15.75">
      <c r="A4" s="46"/>
      <c r="B4" s="3"/>
      <c r="C4" s="12"/>
      <c r="D4" s="12"/>
      <c r="E4" s="12"/>
      <c r="F4" s="12"/>
      <c r="G4" s="12"/>
      <c r="L4" s="12"/>
      <c r="M4" s="12"/>
      <c r="N4" s="12"/>
    </row>
    <row r="5" spans="1:14">
      <c r="C5" s="32" t="s">
        <v>34</v>
      </c>
      <c r="D5" s="521" t="s">
        <v>0</v>
      </c>
      <c r="E5" s="77" t="s">
        <v>1</v>
      </c>
      <c r="F5" s="98" t="s">
        <v>56</v>
      </c>
      <c r="G5" s="98"/>
      <c r="H5" s="98"/>
      <c r="I5" s="97" t="s">
        <v>57</v>
      </c>
      <c r="J5" s="98"/>
      <c r="K5" s="99"/>
      <c r="N5" s="32"/>
    </row>
    <row r="6" spans="1:14">
      <c r="C6" s="32" t="s">
        <v>35</v>
      </c>
      <c r="D6" s="187" t="s">
        <v>93</v>
      </c>
      <c r="E6" s="123" t="s">
        <v>32</v>
      </c>
      <c r="F6" s="18" t="str">
        <f>_PR1</f>
        <v>Not Seeking</v>
      </c>
      <c r="G6" s="145" t="str">
        <f>_PR2</f>
        <v>Outpatient</v>
      </c>
      <c r="H6" s="18" t="str">
        <f>_PR3</f>
        <v>Hospital</v>
      </c>
      <c r="I6" s="81" t="str">
        <f>_PR1</f>
        <v>Not Seeking</v>
      </c>
      <c r="J6" s="145" t="str">
        <f>_PR2</f>
        <v>Outpatient</v>
      </c>
      <c r="K6" s="82" t="str">
        <f>_PR3</f>
        <v>Hospital</v>
      </c>
      <c r="N6" s="18"/>
    </row>
    <row r="7" spans="1:14">
      <c r="C7" s="60"/>
      <c r="D7" s="57">
        <v>-1</v>
      </c>
      <c r="E7" s="58">
        <f t="shared" ref="E7:K7" si="0">+D7-1</f>
        <v>-2</v>
      </c>
      <c r="F7" s="142">
        <f t="shared" si="0"/>
        <v>-3</v>
      </c>
      <c r="G7" s="142">
        <f t="shared" si="0"/>
        <v>-4</v>
      </c>
      <c r="H7" s="142">
        <f t="shared" si="0"/>
        <v>-5</v>
      </c>
      <c r="I7" s="141">
        <f t="shared" si="0"/>
        <v>-6</v>
      </c>
      <c r="J7" s="142">
        <f t="shared" si="0"/>
        <v>-7</v>
      </c>
      <c r="K7" s="143">
        <f t="shared" si="0"/>
        <v>-8</v>
      </c>
      <c r="L7" s="60"/>
      <c r="N7" s="28"/>
    </row>
    <row r="8" spans="1:14">
      <c r="C8" s="28"/>
      <c r="D8" s="26"/>
      <c r="E8" s="51"/>
      <c r="F8" s="18"/>
      <c r="G8" s="18"/>
      <c r="H8" s="18"/>
      <c r="I8" s="26"/>
      <c r="J8" s="28"/>
      <c r="K8" s="51"/>
      <c r="N8" s="28"/>
    </row>
    <row r="9" spans="1:14">
      <c r="C9" s="122" t="str">
        <f>+'Morbidity Distribution'!A23</f>
        <v>0 - 4</v>
      </c>
      <c r="D9" s="90">
        <f>+'Morbidity Distribution'!B23</f>
        <v>322393.66754255776</v>
      </c>
      <c r="E9" s="92">
        <f>+'Morbidity Distribution'!L23</f>
        <v>193436</v>
      </c>
      <c r="F9" s="472">
        <f t="shared" ref="F9:H26" si="1">IF(Curve="S",B34,IF(Curve="M",E34,IF(Curve="VV",H34,IF(Curve="V\",K34,"N/A"))))</f>
        <v>0.29999999999999993</v>
      </c>
      <c r="G9" s="472">
        <f t="shared" si="1"/>
        <v>0.55000000000000004</v>
      </c>
      <c r="H9" s="522">
        <f t="shared" si="1"/>
        <v>0.15</v>
      </c>
      <c r="I9" s="91">
        <f>'Pandemic Calculations'!L14</f>
        <v>80661.688042450041</v>
      </c>
      <c r="J9" s="91">
        <f>'Pandemic Calculations'!J14</f>
        <v>1245.4222086174668</v>
      </c>
      <c r="K9" s="92">
        <f>'Pandemic Calculations'!H14</f>
        <v>372.42315118916179</v>
      </c>
      <c r="N9" s="91"/>
    </row>
    <row r="10" spans="1:14">
      <c r="C10" s="122" t="str">
        <f>+'Morbidity Distribution'!A24</f>
        <v>5 - 9</v>
      </c>
      <c r="D10" s="90">
        <f>+'Morbidity Distribution'!B24</f>
        <v>332817.07483032503</v>
      </c>
      <c r="E10" s="92">
        <f>+'Morbidity Distribution'!L24</f>
        <v>74884</v>
      </c>
      <c r="F10" s="472">
        <f t="shared" si="1"/>
        <v>0.56499999999999995</v>
      </c>
      <c r="G10" s="472">
        <f t="shared" si="1"/>
        <v>0.4</v>
      </c>
      <c r="H10" s="522">
        <f t="shared" si="1"/>
        <v>3.5000000000000003E-2</v>
      </c>
      <c r="I10" s="91">
        <f>'Pandemic Calculations'!L15</f>
        <v>83269.585503321519</v>
      </c>
      <c r="J10" s="91">
        <f>'Pandemic Calculations'!J15</f>
        <v>1285.6883311644826</v>
      </c>
      <c r="K10" s="92">
        <f>'Pandemic Calculations'!H15</f>
        <v>384.46407686189053</v>
      </c>
      <c r="N10" s="91"/>
    </row>
    <row r="11" spans="1:14">
      <c r="C11" s="122" t="str">
        <f>+'Morbidity Distribution'!A25</f>
        <v>10 - 14</v>
      </c>
      <c r="D11" s="90">
        <f>+'Morbidity Distribution'!B25</f>
        <v>335281.93466957542</v>
      </c>
      <c r="E11" s="92">
        <f>+'Morbidity Distribution'!L25</f>
        <v>75438</v>
      </c>
      <c r="F11" s="472">
        <f t="shared" si="1"/>
        <v>0.56499999999999995</v>
      </c>
      <c r="G11" s="472">
        <f t="shared" si="1"/>
        <v>0.4</v>
      </c>
      <c r="H11" s="522">
        <f t="shared" si="1"/>
        <v>3.4999999999999996E-2</v>
      </c>
      <c r="I11" s="91">
        <f>'Pandemic Calculations'!L16</f>
        <v>83886.284202577881</v>
      </c>
      <c r="J11" s="91">
        <f>'Pandemic Calculations'!J16</f>
        <v>1295.2102030062319</v>
      </c>
      <c r="K11" s="92">
        <f>'Pandemic Calculations'!H16</f>
        <v>387.31143697156784</v>
      </c>
      <c r="N11" s="91"/>
    </row>
    <row r="12" spans="1:14">
      <c r="C12" s="122" t="str">
        <f>+'Morbidity Distribution'!A26</f>
        <v>15 - 19</v>
      </c>
      <c r="D12" s="90">
        <f>+'Morbidity Distribution'!B26</f>
        <v>341706.569341861</v>
      </c>
      <c r="E12" s="92">
        <f>+'Morbidity Distribution'!L26</f>
        <v>76884</v>
      </c>
      <c r="F12" s="472">
        <f t="shared" si="1"/>
        <v>0.53</v>
      </c>
      <c r="G12" s="472">
        <f t="shared" si="1"/>
        <v>0.4</v>
      </c>
      <c r="H12" s="522">
        <f t="shared" si="1"/>
        <v>7.0000000000000007E-2</v>
      </c>
      <c r="I12" s="91">
        <f>'Pandemic Calculations'!L17</f>
        <v>85493.703733093935</v>
      </c>
      <c r="J12" s="91">
        <f>'Pandemic Calculations'!J17</f>
        <v>1320.0288750481138</v>
      </c>
      <c r="K12" s="92">
        <f>'Pandemic Calculations'!H17</f>
        <v>394.73305510733934</v>
      </c>
      <c r="N12" s="91"/>
    </row>
    <row r="13" spans="1:14">
      <c r="C13" s="122" t="str">
        <f>+'Morbidity Distribution'!A27</f>
        <v>20 - 24</v>
      </c>
      <c r="D13" s="90">
        <f>+'Morbidity Distribution'!B27</f>
        <v>371584.85525203618</v>
      </c>
      <c r="E13" s="92">
        <f>+'Morbidity Distribution'!L27</f>
        <v>111475</v>
      </c>
      <c r="F13" s="472">
        <f t="shared" si="1"/>
        <v>0.45000000000000007</v>
      </c>
      <c r="G13" s="472">
        <f t="shared" si="1"/>
        <v>0.45</v>
      </c>
      <c r="H13" s="522">
        <f t="shared" si="1"/>
        <v>0.1</v>
      </c>
      <c r="I13" s="91">
        <f>'Pandemic Calculations'!L18</f>
        <v>66456.798094865633</v>
      </c>
      <c r="J13" s="91">
        <f>'Pandemic Calculations'!J18</f>
        <v>280.88689098673552</v>
      </c>
      <c r="K13" s="92">
        <f>'Pandemic Calculations'!H18</f>
        <v>302.6391776523929</v>
      </c>
      <c r="N13" s="91"/>
    </row>
    <row r="14" spans="1:14">
      <c r="C14" s="122" t="str">
        <f>+'Morbidity Distribution'!A28</f>
        <v>25 - 29</v>
      </c>
      <c r="D14" s="90">
        <f>+'Morbidity Distribution'!B28</f>
        <v>356596.28130355501</v>
      </c>
      <c r="E14" s="92">
        <f>+'Morbidity Distribution'!L28</f>
        <v>160468</v>
      </c>
      <c r="F14" s="472">
        <f t="shared" si="1"/>
        <v>0.42000000000000004</v>
      </c>
      <c r="G14" s="472">
        <f t="shared" si="1"/>
        <v>0.45</v>
      </c>
      <c r="H14" s="522">
        <f t="shared" si="1"/>
        <v>0.13</v>
      </c>
      <c r="I14" s="91">
        <f>'Pandemic Calculations'!L19</f>
        <v>63776.138163371514</v>
      </c>
      <c r="J14" s="91">
        <f>'Pandemic Calculations'!J19</f>
        <v>269.55678999578407</v>
      </c>
      <c r="K14" s="92">
        <f>'Pandemic Calculations'!H19</f>
        <v>290.43165727088092</v>
      </c>
      <c r="N14" s="91"/>
    </row>
    <row r="15" spans="1:14">
      <c r="C15" s="122" t="str">
        <f>+'Morbidity Distribution'!A29</f>
        <v>30 - 34</v>
      </c>
      <c r="D15" s="90">
        <f>+'Morbidity Distribution'!B29</f>
        <v>349146.48712770734</v>
      </c>
      <c r="E15" s="92">
        <f>+'Morbidity Distribution'!L29</f>
        <v>183302</v>
      </c>
      <c r="F15" s="472">
        <f t="shared" si="1"/>
        <v>0.42000000000000004</v>
      </c>
      <c r="G15" s="472">
        <f t="shared" si="1"/>
        <v>0.45</v>
      </c>
      <c r="H15" s="522">
        <f t="shared" si="1"/>
        <v>0.13</v>
      </c>
      <c r="I15" s="91">
        <f>'Pandemic Calculations'!L20</f>
        <v>62443.765596527228</v>
      </c>
      <c r="J15" s="91">
        <f>'Pandemic Calculations'!J20</f>
        <v>263.92537231293574</v>
      </c>
      <c r="K15" s="92">
        <f>'Pandemic Calculations'!H20</f>
        <v>284.36413446635515</v>
      </c>
      <c r="N15" s="91"/>
    </row>
    <row r="16" spans="1:14">
      <c r="C16" s="122" t="str">
        <f>+'Morbidity Distribution'!A30</f>
        <v>35 - 39</v>
      </c>
      <c r="D16" s="90">
        <f>+'Morbidity Distribution'!B30</f>
        <v>323085.70532748313</v>
      </c>
      <c r="E16" s="92">
        <f>+'Morbidity Distribution'!L30</f>
        <v>169620</v>
      </c>
      <c r="F16" s="472">
        <f t="shared" si="1"/>
        <v>0.45000000000000007</v>
      </c>
      <c r="G16" s="472">
        <f t="shared" si="1"/>
        <v>0.45</v>
      </c>
      <c r="H16" s="522">
        <f t="shared" si="1"/>
        <v>0.1</v>
      </c>
      <c r="I16" s="91">
        <f>'Pandemic Calculations'!L21</f>
        <v>57782.875654935997</v>
      </c>
      <c r="J16" s="91">
        <f>'Pandemic Calculations'!J21</f>
        <v>244.22561363578615</v>
      </c>
      <c r="K16" s="92">
        <f>'Pandemic Calculations'!H21</f>
        <v>263.1387980148769</v>
      </c>
      <c r="N16" s="91"/>
    </row>
    <row r="17" spans="1:14">
      <c r="C17" s="122" t="str">
        <f>+'Morbidity Distribution'!A31</f>
        <v>40 - 44</v>
      </c>
      <c r="D17" s="90">
        <f>+'Morbidity Distribution'!B31</f>
        <v>333948.94700250466</v>
      </c>
      <c r="E17" s="92">
        <f>+'Morbidity Distribution'!L31</f>
        <v>150277</v>
      </c>
      <c r="F17" s="472">
        <f t="shared" si="1"/>
        <v>0.48000000000000004</v>
      </c>
      <c r="G17" s="472">
        <f t="shared" si="1"/>
        <v>0.45</v>
      </c>
      <c r="H17" s="522">
        <f t="shared" si="1"/>
        <v>7.0000000000000007E-2</v>
      </c>
      <c r="I17" s="91">
        <f>'Pandemic Calculations'!L22</f>
        <v>59725.732712883007</v>
      </c>
      <c r="J17" s="91">
        <f>'Pandemic Calculations'!J22</f>
        <v>252.43731047166685</v>
      </c>
      <c r="K17" s="92">
        <f>'Pandemic Calculations'!H22</f>
        <v>271.98642051805399</v>
      </c>
      <c r="N17" s="91"/>
    </row>
    <row r="18" spans="1:14">
      <c r="C18" s="122" t="str">
        <f>+'Morbidity Distribution'!A32</f>
        <v>45 - 49</v>
      </c>
      <c r="D18" s="90">
        <f>+'Morbidity Distribution'!B32</f>
        <v>338758.16858159838</v>
      </c>
      <c r="E18" s="92">
        <f>+'Morbidity Distribution'!L32</f>
        <v>101627</v>
      </c>
      <c r="F18" s="472">
        <f t="shared" si="1"/>
        <v>0.5</v>
      </c>
      <c r="G18" s="472">
        <f t="shared" si="1"/>
        <v>0.45</v>
      </c>
      <c r="H18" s="522">
        <f t="shared" si="1"/>
        <v>0.05</v>
      </c>
      <c r="I18" s="91">
        <f>'Pandemic Calculations'!L23</f>
        <v>60585.847066194103</v>
      </c>
      <c r="J18" s="91">
        <f>'Pandemic Calculations'!J23</f>
        <v>256.07267740959469</v>
      </c>
      <c r="K18" s="92">
        <f>'Pandemic Calculations'!H23</f>
        <v>275.90331552406246</v>
      </c>
      <c r="N18" s="91"/>
    </row>
    <row r="19" spans="1:14">
      <c r="C19" s="122" t="str">
        <f>+'Morbidity Distribution'!A33</f>
        <v>50 - 54</v>
      </c>
      <c r="D19" s="90">
        <f>+'Morbidity Distribution'!B33</f>
        <v>366048.75132616464</v>
      </c>
      <c r="E19" s="92">
        <f>+'Morbidity Distribution'!L33</f>
        <v>82361</v>
      </c>
      <c r="F19" s="472">
        <f t="shared" si="1"/>
        <v>0.51500000000000001</v>
      </c>
      <c r="G19" s="472">
        <f t="shared" si="1"/>
        <v>0.45</v>
      </c>
      <c r="H19" s="522">
        <f t="shared" si="1"/>
        <v>3.5000000000000003E-2</v>
      </c>
      <c r="I19" s="91">
        <f>'Pandemic Calculations'!L24</f>
        <v>65466.683089817074</v>
      </c>
      <c r="J19" s="91">
        <f>'Pandemic Calculations'!J24</f>
        <v>276.70206214363645</v>
      </c>
      <c r="K19" s="92">
        <f>'Pandemic Calculations'!H24</f>
        <v>298.13026961740979</v>
      </c>
      <c r="N19" s="91"/>
    </row>
    <row r="20" spans="1:14">
      <c r="C20" s="122" t="str">
        <f>+'Morbidity Distribution'!A34</f>
        <v>55 - 59</v>
      </c>
      <c r="D20" s="90">
        <f>+'Morbidity Distribution'!B34</f>
        <v>348868.53211752267</v>
      </c>
      <c r="E20" s="92">
        <f>+'Morbidity Distribution'!L34</f>
        <v>47097</v>
      </c>
      <c r="F20" s="472">
        <f t="shared" si="1"/>
        <v>0.625</v>
      </c>
      <c r="G20" s="472">
        <f t="shared" si="1"/>
        <v>0.35</v>
      </c>
      <c r="H20" s="522">
        <f t="shared" si="1"/>
        <v>2.5000000000000001E-2</v>
      </c>
      <c r="I20" s="91">
        <f>'Pandemic Calculations'!L25</f>
        <v>62394.054205629</v>
      </c>
      <c r="J20" s="91">
        <f>'Pandemic Calculations'!J25</f>
        <v>263.71526170820727</v>
      </c>
      <c r="K20" s="92">
        <f>'Pandemic Calculations'!H25</f>
        <v>284.13775259282698</v>
      </c>
      <c r="N20" s="91"/>
    </row>
    <row r="21" spans="1:14">
      <c r="C21" s="122" t="str">
        <f>+'Morbidity Distribution'!A35</f>
        <v>60 - 64</v>
      </c>
      <c r="D21" s="90">
        <f>+'Morbidity Distribution'!B35</f>
        <v>301102.26356874424</v>
      </c>
      <c r="E21" s="92">
        <f>+'Morbidity Distribution'!L35</f>
        <v>22583</v>
      </c>
      <c r="F21" s="472">
        <f t="shared" si="1"/>
        <v>0.73499999999999999</v>
      </c>
      <c r="G21" s="472">
        <f t="shared" si="1"/>
        <v>0.25</v>
      </c>
      <c r="H21" s="522">
        <f t="shared" si="1"/>
        <v>1.4999999999999999E-2</v>
      </c>
      <c r="I21" s="91">
        <f>'Pandemic Calculations'!L26</f>
        <v>53851.205325154056</v>
      </c>
      <c r="J21" s="91">
        <f>'Pandemic Calculations'!J26</f>
        <v>227.60798102368227</v>
      </c>
      <c r="K21" s="92">
        <f>'Pandemic Calculations'!H26</f>
        <v>245.23427192400212</v>
      </c>
      <c r="N21" s="91"/>
    </row>
    <row r="22" spans="1:14">
      <c r="C22" s="122" t="str">
        <f>+'Morbidity Distribution'!A36</f>
        <v>65 - 69</v>
      </c>
      <c r="D22" s="90">
        <f>+'Morbidity Distribution'!B36</f>
        <v>248549.48785503308</v>
      </c>
      <c r="E22" s="92">
        <f>+'Morbidity Distribution'!L36</f>
        <v>11185</v>
      </c>
      <c r="F22" s="472">
        <f t="shared" si="1"/>
        <v>0.84</v>
      </c>
      <c r="G22" s="472">
        <f t="shared" si="1"/>
        <v>0.15</v>
      </c>
      <c r="H22" s="522">
        <f t="shared" si="1"/>
        <v>0.01</v>
      </c>
      <c r="I22" s="91">
        <f>'Pandemic Calculations'!L27</f>
        <v>36752.031157010497</v>
      </c>
      <c r="J22" s="91">
        <f>'Pandemic Calculations'!J27</f>
        <v>126.61834280057329</v>
      </c>
      <c r="K22" s="92">
        <f>'Pandemic Calculations'!H27</f>
        <v>160.50299414045659</v>
      </c>
      <c r="N22" s="91"/>
    </row>
    <row r="23" spans="1:14">
      <c r="C23" s="122" t="str">
        <f>+'Morbidity Distribution'!A37</f>
        <v>70 - 74</v>
      </c>
      <c r="D23" s="90">
        <f>+'Morbidity Distribution'!B37</f>
        <v>179585.50886288885</v>
      </c>
      <c r="E23" s="92">
        <f>+'Morbidity Distribution'!L37</f>
        <v>5388</v>
      </c>
      <c r="F23" s="472">
        <f t="shared" si="1"/>
        <v>0.84</v>
      </c>
      <c r="G23" s="472">
        <f t="shared" si="1"/>
        <v>0.15</v>
      </c>
      <c r="H23" s="522">
        <f t="shared" si="1"/>
        <v>0.01</v>
      </c>
      <c r="I23" s="91">
        <f>'Pandemic Calculations'!L28</f>
        <v>26554.599947218616</v>
      </c>
      <c r="J23" s="91">
        <f>'Pandemic Calculations'!J28</f>
        <v>91.486084801265449</v>
      </c>
      <c r="K23" s="92">
        <f>'Pandemic Calculations'!H28</f>
        <v>115.96890472589837</v>
      </c>
      <c r="N23" s="91"/>
    </row>
    <row r="24" spans="1:14">
      <c r="C24" s="122" t="str">
        <f>+'Morbidity Distribution'!A38</f>
        <v>75 - 79</v>
      </c>
      <c r="D24" s="90">
        <f>+'Morbidity Distribution'!B38</f>
        <v>128487.19290746382</v>
      </c>
      <c r="E24" s="92">
        <f>+'Morbidity Distribution'!L38</f>
        <v>3855</v>
      </c>
      <c r="F24" s="472">
        <f t="shared" si="1"/>
        <v>0.84</v>
      </c>
      <c r="G24" s="472">
        <f t="shared" si="1"/>
        <v>0.15</v>
      </c>
      <c r="H24" s="522">
        <f t="shared" si="1"/>
        <v>0.01</v>
      </c>
      <c r="I24" s="91">
        <f>'Pandemic Calculations'!L29</f>
        <v>18998.893772680553</v>
      </c>
      <c r="J24" s="91">
        <f>'Pandemic Calculations'!J29</f>
        <v>65.45511550814166</v>
      </c>
      <c r="K24" s="92">
        <f>'Pandemic Calculations'!H29</f>
        <v>82.971722646954461</v>
      </c>
      <c r="N24" s="91"/>
    </row>
    <row r="25" spans="1:14">
      <c r="C25" s="122" t="str">
        <f>+'Morbidity Distribution'!A39</f>
        <v>80 - 84</v>
      </c>
      <c r="D25" s="90">
        <f>+'Morbidity Distribution'!B39</f>
        <v>93423.779466022766</v>
      </c>
      <c r="E25" s="144">
        <f>+'Morbidity Distribution'!L39</f>
        <v>2803</v>
      </c>
      <c r="F25" s="472">
        <f t="shared" si="1"/>
        <v>0.84</v>
      </c>
      <c r="G25" s="472">
        <f t="shared" si="1"/>
        <v>0.15</v>
      </c>
      <c r="H25" s="522">
        <f t="shared" si="1"/>
        <v>0.01</v>
      </c>
      <c r="I25" s="91">
        <f>'Pandemic Calculations'!L30</f>
        <v>13814.205305237036</v>
      </c>
      <c r="J25" s="91">
        <f>'Pandemic Calculations'!J30</f>
        <v>47.592792229181377</v>
      </c>
      <c r="K25" s="92">
        <f>'Pandemic Calculations'!H30</f>
        <v>60.32921836861761</v>
      </c>
      <c r="N25" s="91"/>
    </row>
    <row r="26" spans="1:14">
      <c r="C26" s="122" t="str">
        <f>+'Morbidity Distribution'!A40</f>
        <v>85+</v>
      </c>
      <c r="D26" s="93">
        <f>+'Morbidity Distribution'!B40</f>
        <v>99940.926974044691</v>
      </c>
      <c r="E26" s="94">
        <f>+'Morbidity Distribution'!L40</f>
        <v>2998</v>
      </c>
      <c r="F26" s="473">
        <f t="shared" si="1"/>
        <v>0.84</v>
      </c>
      <c r="G26" s="473">
        <f t="shared" si="1"/>
        <v>0.15</v>
      </c>
      <c r="H26" s="523">
        <f t="shared" si="1"/>
        <v>0.01</v>
      </c>
      <c r="I26" s="27">
        <f>'Pandemic Calculations'!L31</f>
        <v>14777.870168667994</v>
      </c>
      <c r="J26" s="27">
        <f>'Pandemic Calculations'!J31</f>
        <v>50.912816842283441</v>
      </c>
      <c r="K26" s="94">
        <f>'Pandemic Calculations'!H31</f>
        <v>64.537723070516762</v>
      </c>
      <c r="N26" s="91"/>
    </row>
    <row r="27" spans="1:14">
      <c r="C27" s="4" t="s">
        <v>1</v>
      </c>
      <c r="D27" s="6">
        <f>SUM(D9:D26)</f>
        <v>5171326.1340570888</v>
      </c>
      <c r="E27" s="6">
        <f>SUM(E9:E26)</f>
        <v>1475681</v>
      </c>
      <c r="F27" s="6"/>
      <c r="I27" s="6">
        <f>SUM(I9:I26)</f>
        <v>996691.96174163569</v>
      </c>
      <c r="J27" s="6">
        <f>SUM(J9:J26)</f>
        <v>7863.5447297057699</v>
      </c>
      <c r="K27" s="334">
        <f>SUM(K9:K26)</f>
        <v>4539.2080806632657</v>
      </c>
      <c r="N27" s="6"/>
    </row>
    <row r="28" spans="1:14">
      <c r="B28" s="4"/>
      <c r="C28" s="6"/>
      <c r="D28" s="6"/>
      <c r="E28" s="6"/>
      <c r="G28" s="10"/>
      <c r="H28" s="10"/>
      <c r="I28" s="10"/>
      <c r="J28" s="10"/>
      <c r="M28" s="157"/>
      <c r="N28" s="6"/>
    </row>
    <row r="29" spans="1:14">
      <c r="A29" s="4"/>
      <c r="G29" s="95"/>
      <c r="I29" s="95"/>
      <c r="J29" s="95"/>
      <c r="K29" s="95"/>
      <c r="L29" s="95"/>
    </row>
    <row r="30" spans="1:14" s="28" customFormat="1">
      <c r="B30" s="97" t="str">
        <f>+Scenario!D10</f>
        <v>Seasonal</v>
      </c>
      <c r="C30" s="98"/>
      <c r="D30" s="99"/>
      <c r="E30" s="97" t="s">
        <v>166</v>
      </c>
      <c r="F30" s="98"/>
      <c r="G30" s="99"/>
      <c r="H30" s="98" t="s">
        <v>239</v>
      </c>
      <c r="I30" s="98"/>
      <c r="J30" s="98"/>
      <c r="K30" s="333" t="s">
        <v>164</v>
      </c>
      <c r="L30" s="98"/>
      <c r="M30" s="99"/>
    </row>
    <row r="31" spans="1:14" s="28" customFormat="1">
      <c r="A31" s="122" t="str">
        <f>+C6</f>
        <v>Range</v>
      </c>
      <c r="B31" s="81" t="str">
        <f>+F6</f>
        <v>Not Seeking</v>
      </c>
      <c r="C31" s="18" t="str">
        <f>+G6</f>
        <v>Outpatient</v>
      </c>
      <c r="D31" s="82" t="str">
        <f>+H6</f>
        <v>Hospital</v>
      </c>
      <c r="E31" s="81" t="str">
        <f t="shared" ref="E31:J31" si="2">+F6</f>
        <v>Not Seeking</v>
      </c>
      <c r="F31" s="18" t="str">
        <f t="shared" si="2"/>
        <v>Outpatient</v>
      </c>
      <c r="G31" s="82" t="str">
        <f t="shared" si="2"/>
        <v>Hospital</v>
      </c>
      <c r="H31" s="81" t="str">
        <f t="shared" si="2"/>
        <v>Not Seeking</v>
      </c>
      <c r="I31" s="18" t="str">
        <f t="shared" si="2"/>
        <v>Outpatient</v>
      </c>
      <c r="J31" s="82" t="str">
        <f t="shared" si="2"/>
        <v>Hospital</v>
      </c>
      <c r="K31" s="18" t="str">
        <f>+F6</f>
        <v>Not Seeking</v>
      </c>
      <c r="L31" s="18" t="str">
        <f>+G6</f>
        <v>Outpatient</v>
      </c>
      <c r="M31" s="82" t="str">
        <f>+H6</f>
        <v>Hospital</v>
      </c>
      <c r="N31" s="18"/>
    </row>
    <row r="32" spans="1:14" s="28" customFormat="1">
      <c r="A32" s="122"/>
      <c r="B32" s="141">
        <f>+K7-1</f>
        <v>-9</v>
      </c>
      <c r="C32" s="142">
        <f t="shared" ref="C32:M32" si="3">+B32-1</f>
        <v>-10</v>
      </c>
      <c r="D32" s="143">
        <f t="shared" si="3"/>
        <v>-11</v>
      </c>
      <c r="E32" s="141">
        <f t="shared" si="3"/>
        <v>-12</v>
      </c>
      <c r="F32" s="142">
        <f t="shared" si="3"/>
        <v>-13</v>
      </c>
      <c r="G32" s="143">
        <f t="shared" si="3"/>
        <v>-14</v>
      </c>
      <c r="H32" s="142">
        <f t="shared" si="3"/>
        <v>-15</v>
      </c>
      <c r="I32" s="142">
        <f t="shared" si="3"/>
        <v>-16</v>
      </c>
      <c r="J32" s="143">
        <f t="shared" si="3"/>
        <v>-17</v>
      </c>
      <c r="K32" s="142">
        <f t="shared" si="3"/>
        <v>-18</v>
      </c>
      <c r="L32" s="142">
        <f t="shared" si="3"/>
        <v>-19</v>
      </c>
      <c r="M32" s="143">
        <f t="shared" si="3"/>
        <v>-20</v>
      </c>
      <c r="N32" s="18"/>
    </row>
    <row r="33" spans="1:14" s="28" customFormat="1" ht="5.0999999999999996" customHeight="1">
      <c r="A33" s="122"/>
      <c r="B33" s="81"/>
      <c r="C33" s="18"/>
      <c r="D33" s="82"/>
      <c r="E33" s="81"/>
      <c r="F33" s="18"/>
      <c r="G33" s="82"/>
      <c r="H33" s="18"/>
      <c r="I33" s="18"/>
      <c r="J33" s="82"/>
      <c r="K33" s="18"/>
      <c r="L33" s="18"/>
      <c r="M33" s="82"/>
      <c r="N33" s="18"/>
    </row>
    <row r="34" spans="1:14" s="28" customFormat="1">
      <c r="A34" s="122" t="str">
        <f t="shared" ref="A34:A51" si="4">+C9</f>
        <v>0 - 4</v>
      </c>
      <c r="B34" s="101">
        <f t="shared" ref="B34:B51" si="5">1-C34-D34</f>
        <v>0.51100000000000001</v>
      </c>
      <c r="C34" s="390">
        <v>0.47499999999999998</v>
      </c>
      <c r="D34" s="391">
        <v>1.4E-2</v>
      </c>
      <c r="E34" s="101">
        <f t="shared" ref="E34:E51" si="6">1-F34-G34</f>
        <v>0.43499999999999994</v>
      </c>
      <c r="F34" s="389">
        <v>0.55000000000000004</v>
      </c>
      <c r="G34" s="394">
        <v>1.4999999999999999E-2</v>
      </c>
      <c r="H34" s="170">
        <f t="shared" ref="H34:H51" si="7">1-I34-J34</f>
        <v>0.29999999999999993</v>
      </c>
      <c r="I34" s="267">
        <f t="shared" ref="I34:I51" si="8">+F34</f>
        <v>0.55000000000000004</v>
      </c>
      <c r="J34" s="394">
        <v>0.15</v>
      </c>
      <c r="K34" s="170">
        <f t="shared" ref="K34:K51" si="9">1-L34-M34</f>
        <v>0.29999999999999993</v>
      </c>
      <c r="L34" s="397">
        <v>0.55000000000000004</v>
      </c>
      <c r="M34" s="394">
        <v>0.15</v>
      </c>
      <c r="N34" s="100"/>
    </row>
    <row r="35" spans="1:14" s="28" customFormat="1">
      <c r="A35" s="122" t="str">
        <f t="shared" si="4"/>
        <v>5 - 9</v>
      </c>
      <c r="B35" s="101">
        <f t="shared" si="5"/>
        <v>0.62439999999999996</v>
      </c>
      <c r="C35" s="392">
        <v>0.375</v>
      </c>
      <c r="D35" s="393">
        <v>5.9999999999999995E-4</v>
      </c>
      <c r="E35" s="101">
        <f t="shared" si="6"/>
        <v>0.54880000000000007</v>
      </c>
      <c r="F35" s="389">
        <v>0.45</v>
      </c>
      <c r="G35" s="394">
        <v>1.1999999999999999E-3</v>
      </c>
      <c r="H35" s="170">
        <f t="shared" si="7"/>
        <v>0.51500000000000001</v>
      </c>
      <c r="I35" s="267">
        <f t="shared" si="8"/>
        <v>0.45</v>
      </c>
      <c r="J35" s="394">
        <v>3.4999999999999996E-2</v>
      </c>
      <c r="K35" s="170">
        <f t="shared" si="9"/>
        <v>0.56499999999999995</v>
      </c>
      <c r="L35" s="397">
        <v>0.4</v>
      </c>
      <c r="M35" s="394">
        <v>3.5000000000000003E-2</v>
      </c>
      <c r="N35" s="100"/>
    </row>
    <row r="36" spans="1:14" s="28" customFormat="1">
      <c r="A36" s="122" t="str">
        <f t="shared" si="4"/>
        <v>10 - 14</v>
      </c>
      <c r="B36" s="101">
        <f t="shared" si="5"/>
        <v>0.64939999999999998</v>
      </c>
      <c r="C36" s="392">
        <v>0.35</v>
      </c>
      <c r="D36" s="393">
        <v>5.9999999999999995E-4</v>
      </c>
      <c r="E36" s="101">
        <f t="shared" si="6"/>
        <v>0.5988</v>
      </c>
      <c r="F36" s="389">
        <v>0.4</v>
      </c>
      <c r="G36" s="394">
        <v>1.1999999999999999E-3</v>
      </c>
      <c r="H36" s="170">
        <f t="shared" si="7"/>
        <v>0.56499999999999995</v>
      </c>
      <c r="I36" s="267">
        <f t="shared" si="8"/>
        <v>0.4</v>
      </c>
      <c r="J36" s="394">
        <v>3.4999999999999996E-2</v>
      </c>
      <c r="K36" s="170">
        <f t="shared" si="9"/>
        <v>0.56499999999999995</v>
      </c>
      <c r="L36" s="397">
        <f>+F36</f>
        <v>0.4</v>
      </c>
      <c r="M36" s="394">
        <v>3.4999999999999996E-2</v>
      </c>
      <c r="N36" s="100"/>
    </row>
    <row r="37" spans="1:14" s="28" customFormat="1">
      <c r="A37" s="122" t="str">
        <f t="shared" si="4"/>
        <v>15 - 19</v>
      </c>
      <c r="B37" s="101">
        <f t="shared" si="5"/>
        <v>0.64939999999999998</v>
      </c>
      <c r="C37" s="392">
        <v>0.35</v>
      </c>
      <c r="D37" s="393">
        <v>5.9999999999999995E-4</v>
      </c>
      <c r="E37" s="101">
        <f t="shared" si="6"/>
        <v>0.5988</v>
      </c>
      <c r="F37" s="389">
        <v>0.4</v>
      </c>
      <c r="G37" s="394">
        <v>1.1999999999999999E-3</v>
      </c>
      <c r="H37" s="170">
        <f t="shared" si="7"/>
        <v>0.53</v>
      </c>
      <c r="I37" s="267">
        <f t="shared" si="8"/>
        <v>0.4</v>
      </c>
      <c r="J37" s="394">
        <v>7.0000000000000007E-2</v>
      </c>
      <c r="K37" s="170">
        <f t="shared" si="9"/>
        <v>0.53</v>
      </c>
      <c r="L37" s="397">
        <f>+F37</f>
        <v>0.4</v>
      </c>
      <c r="M37" s="394">
        <v>7.0000000000000007E-2</v>
      </c>
      <c r="N37" s="100"/>
    </row>
    <row r="38" spans="1:14" s="28" customFormat="1">
      <c r="A38" s="122" t="str">
        <f t="shared" si="4"/>
        <v>20 - 24</v>
      </c>
      <c r="B38" s="101">
        <f t="shared" si="5"/>
        <v>0.64900000000000002</v>
      </c>
      <c r="C38" s="392">
        <v>0.35</v>
      </c>
      <c r="D38" s="391">
        <v>1E-3</v>
      </c>
      <c r="E38" s="101">
        <f t="shared" si="6"/>
        <v>0.59799999999999998</v>
      </c>
      <c r="F38" s="389">
        <v>0.4</v>
      </c>
      <c r="G38" s="394">
        <v>2E-3</v>
      </c>
      <c r="H38" s="170">
        <f t="shared" si="7"/>
        <v>0.49</v>
      </c>
      <c r="I38" s="267">
        <f t="shared" si="8"/>
        <v>0.4</v>
      </c>
      <c r="J38" s="394">
        <v>0.11</v>
      </c>
      <c r="K38" s="170">
        <f t="shared" si="9"/>
        <v>0.45000000000000007</v>
      </c>
      <c r="L38" s="397">
        <v>0.45</v>
      </c>
      <c r="M38" s="394">
        <v>0.1</v>
      </c>
      <c r="N38" s="100"/>
    </row>
    <row r="39" spans="1:14" s="28" customFormat="1">
      <c r="A39" s="122" t="str">
        <f t="shared" si="4"/>
        <v>25 - 29</v>
      </c>
      <c r="B39" s="101">
        <f t="shared" si="5"/>
        <v>0.64800000000000002</v>
      </c>
      <c r="C39" s="392">
        <v>0.35</v>
      </c>
      <c r="D39" s="391">
        <v>2E-3</v>
      </c>
      <c r="E39" s="101">
        <f t="shared" si="6"/>
        <v>0.59699999999999998</v>
      </c>
      <c r="F39" s="389">
        <v>0.4</v>
      </c>
      <c r="G39" s="394">
        <v>3.0000000000000001E-3</v>
      </c>
      <c r="H39" s="170">
        <f t="shared" si="7"/>
        <v>0.45999999999999996</v>
      </c>
      <c r="I39" s="267">
        <f t="shared" si="8"/>
        <v>0.4</v>
      </c>
      <c r="J39" s="394">
        <v>0.14000000000000001</v>
      </c>
      <c r="K39" s="170">
        <f t="shared" si="9"/>
        <v>0.42000000000000004</v>
      </c>
      <c r="L39" s="397">
        <v>0.45</v>
      </c>
      <c r="M39" s="394">
        <v>0.13</v>
      </c>
      <c r="N39" s="100"/>
    </row>
    <row r="40" spans="1:14" s="28" customFormat="1">
      <c r="A40" s="122" t="str">
        <f t="shared" si="4"/>
        <v>30 - 34</v>
      </c>
      <c r="B40" s="101">
        <f t="shared" si="5"/>
        <v>0.64700000000000002</v>
      </c>
      <c r="C40" s="392">
        <v>0.35</v>
      </c>
      <c r="D40" s="391">
        <v>3.0000000000000001E-3</v>
      </c>
      <c r="E40" s="101">
        <f t="shared" si="6"/>
        <v>0.59599999999999997</v>
      </c>
      <c r="F40" s="389">
        <v>0.4</v>
      </c>
      <c r="G40" s="394">
        <v>4.0000000000000001E-3</v>
      </c>
      <c r="H40" s="170">
        <f t="shared" si="7"/>
        <v>0.45999999999999996</v>
      </c>
      <c r="I40" s="267">
        <f t="shared" si="8"/>
        <v>0.4</v>
      </c>
      <c r="J40" s="394">
        <v>0.14000000000000001</v>
      </c>
      <c r="K40" s="170">
        <f t="shared" si="9"/>
        <v>0.42000000000000004</v>
      </c>
      <c r="L40" s="397">
        <v>0.45</v>
      </c>
      <c r="M40" s="394">
        <v>0.13</v>
      </c>
      <c r="N40" s="100"/>
    </row>
    <row r="41" spans="1:14" s="28" customFormat="1">
      <c r="A41" s="122" t="str">
        <f t="shared" si="4"/>
        <v>35 - 39</v>
      </c>
      <c r="B41" s="101">
        <f t="shared" si="5"/>
        <v>0.64600000000000002</v>
      </c>
      <c r="C41" s="392">
        <v>0.35</v>
      </c>
      <c r="D41" s="391">
        <v>4.0000000000000001E-3</v>
      </c>
      <c r="E41" s="101">
        <f t="shared" si="6"/>
        <v>0.59499999999999997</v>
      </c>
      <c r="F41" s="389">
        <v>0.4</v>
      </c>
      <c r="G41" s="394">
        <v>5.0000000000000001E-3</v>
      </c>
      <c r="H41" s="170">
        <f t="shared" si="7"/>
        <v>0.49</v>
      </c>
      <c r="I41" s="267">
        <f t="shared" si="8"/>
        <v>0.4</v>
      </c>
      <c r="J41" s="394">
        <v>0.11</v>
      </c>
      <c r="K41" s="170">
        <f t="shared" si="9"/>
        <v>0.45000000000000007</v>
      </c>
      <c r="L41" s="397">
        <v>0.45</v>
      </c>
      <c r="M41" s="394">
        <v>0.1</v>
      </c>
      <c r="N41" s="100"/>
    </row>
    <row r="42" spans="1:14" s="28" customFormat="1">
      <c r="A42" s="122" t="str">
        <f t="shared" si="4"/>
        <v>40 - 44</v>
      </c>
      <c r="B42" s="101">
        <f t="shared" si="5"/>
        <v>0.64400000000000002</v>
      </c>
      <c r="C42" s="392">
        <v>0.35</v>
      </c>
      <c r="D42" s="391">
        <v>6.0000000000000001E-3</v>
      </c>
      <c r="E42" s="101">
        <f t="shared" si="6"/>
        <v>0.59399999999999997</v>
      </c>
      <c r="F42" s="389">
        <v>0.4</v>
      </c>
      <c r="G42" s="394">
        <v>6.0000000000000001E-3</v>
      </c>
      <c r="H42" s="170">
        <f t="shared" si="7"/>
        <v>0.53</v>
      </c>
      <c r="I42" s="267">
        <f t="shared" si="8"/>
        <v>0.4</v>
      </c>
      <c r="J42" s="394">
        <v>7.0000000000000007E-2</v>
      </c>
      <c r="K42" s="170">
        <f t="shared" si="9"/>
        <v>0.48000000000000004</v>
      </c>
      <c r="L42" s="397">
        <v>0.45</v>
      </c>
      <c r="M42" s="394">
        <v>7.0000000000000007E-2</v>
      </c>
      <c r="N42" s="100"/>
    </row>
    <row r="43" spans="1:14" s="28" customFormat="1">
      <c r="A43" s="122" t="str">
        <f t="shared" si="4"/>
        <v>45 - 49</v>
      </c>
      <c r="B43" s="101">
        <f t="shared" si="5"/>
        <v>0.64100000000000001</v>
      </c>
      <c r="C43" s="392">
        <v>0.35</v>
      </c>
      <c r="D43" s="391">
        <v>8.9999999999999993E-3</v>
      </c>
      <c r="E43" s="101">
        <f t="shared" si="6"/>
        <v>0.59199999999999997</v>
      </c>
      <c r="F43" s="389">
        <v>0.4</v>
      </c>
      <c r="G43" s="394">
        <v>8.0000000000000002E-3</v>
      </c>
      <c r="H43" s="170">
        <f t="shared" si="7"/>
        <v>0.54999999999999993</v>
      </c>
      <c r="I43" s="267">
        <f t="shared" si="8"/>
        <v>0.4</v>
      </c>
      <c r="J43" s="394">
        <v>0.05</v>
      </c>
      <c r="K43" s="170">
        <f t="shared" si="9"/>
        <v>0.5</v>
      </c>
      <c r="L43" s="397">
        <v>0.45</v>
      </c>
      <c r="M43" s="394">
        <v>0.05</v>
      </c>
      <c r="N43" s="100"/>
    </row>
    <row r="44" spans="1:14" s="28" customFormat="1">
      <c r="A44" s="122" t="str">
        <f t="shared" si="4"/>
        <v>50 - 54</v>
      </c>
      <c r="B44" s="101">
        <f t="shared" si="5"/>
        <v>0.55999999999999994</v>
      </c>
      <c r="C44" s="392">
        <v>0.42499999999999999</v>
      </c>
      <c r="D44" s="391">
        <v>1.4999999999999999E-2</v>
      </c>
      <c r="E44" s="101">
        <f t="shared" si="6"/>
        <v>0.53850000000000009</v>
      </c>
      <c r="F44" s="389">
        <v>0.45</v>
      </c>
      <c r="G44" s="394">
        <v>1.15E-2</v>
      </c>
      <c r="H44" s="170">
        <f t="shared" si="7"/>
        <v>0.51500000000000001</v>
      </c>
      <c r="I44" s="267">
        <f t="shared" si="8"/>
        <v>0.45</v>
      </c>
      <c r="J44" s="394">
        <v>3.4999999999999996E-2</v>
      </c>
      <c r="K44" s="170">
        <f t="shared" si="9"/>
        <v>0.51500000000000001</v>
      </c>
      <c r="L44" s="397">
        <v>0.45</v>
      </c>
      <c r="M44" s="394">
        <v>3.5000000000000003E-2</v>
      </c>
      <c r="N44" s="100"/>
    </row>
    <row r="45" spans="1:14" s="28" customFormat="1">
      <c r="A45" s="122" t="str">
        <f t="shared" si="4"/>
        <v>55 - 59</v>
      </c>
      <c r="B45" s="101">
        <f t="shared" si="5"/>
        <v>0.55499999999999994</v>
      </c>
      <c r="C45" s="392">
        <v>0.42499999999999999</v>
      </c>
      <c r="D45" s="391">
        <v>0.02</v>
      </c>
      <c r="E45" s="101">
        <f t="shared" si="6"/>
        <v>0.48499999999999999</v>
      </c>
      <c r="F45" s="389">
        <v>0.5</v>
      </c>
      <c r="G45" s="394">
        <v>1.4999999999999999E-2</v>
      </c>
      <c r="H45" s="170">
        <f t="shared" si="7"/>
        <v>0.46500000000000002</v>
      </c>
      <c r="I45" s="267">
        <f t="shared" si="8"/>
        <v>0.5</v>
      </c>
      <c r="J45" s="394">
        <v>3.4999999999999996E-2</v>
      </c>
      <c r="K45" s="170">
        <f t="shared" si="9"/>
        <v>0.625</v>
      </c>
      <c r="L45" s="397">
        <v>0.35</v>
      </c>
      <c r="M45" s="394">
        <v>2.5000000000000001E-2</v>
      </c>
      <c r="N45" s="100"/>
    </row>
    <row r="46" spans="1:14" s="28" customFormat="1">
      <c r="A46" s="122" t="str">
        <f t="shared" si="4"/>
        <v>60 - 64</v>
      </c>
      <c r="B46" s="101">
        <f t="shared" si="5"/>
        <v>0.54999999999999993</v>
      </c>
      <c r="C46" s="389">
        <v>0.42499999999999999</v>
      </c>
      <c r="D46" s="394">
        <v>2.5000000000000001E-2</v>
      </c>
      <c r="E46" s="101">
        <f t="shared" si="6"/>
        <v>0.42999999999999994</v>
      </c>
      <c r="F46" s="389">
        <v>0.55000000000000004</v>
      </c>
      <c r="G46" s="394">
        <v>0.02</v>
      </c>
      <c r="H46" s="170">
        <f t="shared" si="7"/>
        <v>0.39999999999999997</v>
      </c>
      <c r="I46" s="267">
        <f t="shared" si="8"/>
        <v>0.55000000000000004</v>
      </c>
      <c r="J46" s="394">
        <v>0.05</v>
      </c>
      <c r="K46" s="170">
        <f t="shared" si="9"/>
        <v>0.73499999999999999</v>
      </c>
      <c r="L46" s="397">
        <v>0.25</v>
      </c>
      <c r="M46" s="394">
        <v>1.4999999999999999E-2</v>
      </c>
      <c r="N46" s="100"/>
    </row>
    <row r="47" spans="1:14" s="28" customFormat="1">
      <c r="A47" s="122" t="str">
        <f t="shared" si="4"/>
        <v>65 - 69</v>
      </c>
      <c r="B47" s="101">
        <f t="shared" si="5"/>
        <v>0.36499999999999999</v>
      </c>
      <c r="C47" s="389">
        <v>0.6</v>
      </c>
      <c r="D47" s="394">
        <v>3.5000000000000003E-2</v>
      </c>
      <c r="E47" s="101">
        <f t="shared" si="6"/>
        <v>0.375</v>
      </c>
      <c r="F47" s="389">
        <f>+C47</f>
        <v>0.6</v>
      </c>
      <c r="G47" s="394">
        <v>2.5000000000000001E-2</v>
      </c>
      <c r="H47" s="170">
        <f t="shared" si="7"/>
        <v>0.33</v>
      </c>
      <c r="I47" s="267">
        <f t="shared" si="8"/>
        <v>0.6</v>
      </c>
      <c r="J47" s="394">
        <v>7.0000000000000007E-2</v>
      </c>
      <c r="K47" s="170">
        <f t="shared" si="9"/>
        <v>0.84</v>
      </c>
      <c r="L47" s="397">
        <v>0.15</v>
      </c>
      <c r="M47" s="394">
        <v>0.01</v>
      </c>
      <c r="N47" s="100"/>
    </row>
    <row r="48" spans="1:14" s="28" customFormat="1">
      <c r="A48" s="122" t="str">
        <f t="shared" si="4"/>
        <v>70 - 74</v>
      </c>
      <c r="B48" s="101">
        <f t="shared" si="5"/>
        <v>0.25500000000000006</v>
      </c>
      <c r="C48" s="389">
        <v>0.7</v>
      </c>
      <c r="D48" s="394">
        <v>4.4999999999999998E-2</v>
      </c>
      <c r="E48" s="101">
        <f t="shared" si="6"/>
        <v>0.27500000000000002</v>
      </c>
      <c r="F48" s="389">
        <f>+C48</f>
        <v>0.7</v>
      </c>
      <c r="G48" s="394">
        <v>2.5000000000000001E-2</v>
      </c>
      <c r="H48" s="170">
        <f t="shared" si="7"/>
        <v>0.23000000000000004</v>
      </c>
      <c r="I48" s="267">
        <f t="shared" si="8"/>
        <v>0.7</v>
      </c>
      <c r="J48" s="394">
        <v>7.0000000000000007E-2</v>
      </c>
      <c r="K48" s="170">
        <f t="shared" si="9"/>
        <v>0.84</v>
      </c>
      <c r="L48" s="397">
        <v>0.15</v>
      </c>
      <c r="M48" s="394">
        <v>0.01</v>
      </c>
      <c r="N48" s="100"/>
    </row>
    <row r="49" spans="1:14" s="28" customFormat="1">
      <c r="A49" s="122" t="str">
        <f t="shared" si="4"/>
        <v>75 - 79</v>
      </c>
      <c r="B49" s="101">
        <f t="shared" si="5"/>
        <v>0.15499999999999997</v>
      </c>
      <c r="C49" s="389">
        <v>0.8</v>
      </c>
      <c r="D49" s="394">
        <v>4.4999999999999998E-2</v>
      </c>
      <c r="E49" s="101">
        <f t="shared" si="6"/>
        <v>0.17499999999999996</v>
      </c>
      <c r="F49" s="389">
        <v>0.8</v>
      </c>
      <c r="G49" s="394">
        <v>2.5000000000000001E-2</v>
      </c>
      <c r="H49" s="170">
        <f t="shared" si="7"/>
        <v>0.12999999999999995</v>
      </c>
      <c r="I49" s="267">
        <f t="shared" si="8"/>
        <v>0.8</v>
      </c>
      <c r="J49" s="394">
        <v>6.9999999999999993E-2</v>
      </c>
      <c r="K49" s="170">
        <f t="shared" si="9"/>
        <v>0.84</v>
      </c>
      <c r="L49" s="397">
        <v>0.15</v>
      </c>
      <c r="M49" s="394">
        <v>0.01</v>
      </c>
      <c r="N49" s="100"/>
    </row>
    <row r="50" spans="1:14" s="28" customFormat="1">
      <c r="A50" s="122" t="str">
        <f t="shared" si="4"/>
        <v>80 - 84</v>
      </c>
      <c r="B50" s="101">
        <f t="shared" si="5"/>
        <v>0.15499999999999997</v>
      </c>
      <c r="C50" s="389">
        <v>0.8</v>
      </c>
      <c r="D50" s="394">
        <v>4.4999999999999998E-2</v>
      </c>
      <c r="E50" s="101">
        <f t="shared" si="6"/>
        <v>0.17499999999999996</v>
      </c>
      <c r="F50" s="389">
        <f>+C50</f>
        <v>0.8</v>
      </c>
      <c r="G50" s="394">
        <v>2.5000000000000001E-2</v>
      </c>
      <c r="H50" s="170">
        <f t="shared" si="7"/>
        <v>0.12999999999999995</v>
      </c>
      <c r="I50" s="267">
        <f t="shared" si="8"/>
        <v>0.8</v>
      </c>
      <c r="J50" s="394">
        <v>6.9999999999999993E-2</v>
      </c>
      <c r="K50" s="170">
        <f t="shared" si="9"/>
        <v>0.84</v>
      </c>
      <c r="L50" s="397">
        <v>0.15</v>
      </c>
      <c r="M50" s="394">
        <v>0.01</v>
      </c>
      <c r="N50" s="100"/>
    </row>
    <row r="51" spans="1:14" s="28" customFormat="1">
      <c r="A51" s="122" t="str">
        <f t="shared" si="4"/>
        <v>85+</v>
      </c>
      <c r="B51" s="102">
        <f t="shared" si="5"/>
        <v>0.15499999999999997</v>
      </c>
      <c r="C51" s="395">
        <v>0.8</v>
      </c>
      <c r="D51" s="396">
        <v>4.4999999999999998E-2</v>
      </c>
      <c r="E51" s="102">
        <f t="shared" si="6"/>
        <v>0.17499999999999996</v>
      </c>
      <c r="F51" s="395">
        <f>+C51</f>
        <v>0.8</v>
      </c>
      <c r="G51" s="396">
        <v>2.5000000000000001E-2</v>
      </c>
      <c r="H51" s="171">
        <f t="shared" si="7"/>
        <v>0.12999999999999995</v>
      </c>
      <c r="I51" s="268">
        <f t="shared" si="8"/>
        <v>0.8</v>
      </c>
      <c r="J51" s="396">
        <v>6.9999999999999993E-2</v>
      </c>
      <c r="K51" s="171">
        <f t="shared" si="9"/>
        <v>0.84</v>
      </c>
      <c r="L51" s="398">
        <v>0.15</v>
      </c>
      <c r="M51" s="396">
        <v>0.01</v>
      </c>
      <c r="N51" s="100"/>
    </row>
    <row r="52" spans="1:14" s="28" customFormat="1"/>
    <row r="53" spans="1:14" customFormat="1">
      <c r="A53" s="172"/>
      <c r="B53" s="39" t="s">
        <v>8</v>
      </c>
      <c r="C53" s="173"/>
      <c r="D53" s="173"/>
      <c r="E53" s="168"/>
      <c r="F53" s="168"/>
      <c r="G53" s="168"/>
      <c r="H53" s="168"/>
      <c r="I53" s="168"/>
      <c r="J53" s="168"/>
      <c r="K53" s="168"/>
      <c r="L53" s="33"/>
      <c r="M53" s="23"/>
      <c r="N53" s="168"/>
    </row>
    <row r="54" spans="1:14" s="28" customFormat="1">
      <c r="A54" s="174">
        <v>-1</v>
      </c>
      <c r="B54" s="194" t="s">
        <v>181</v>
      </c>
      <c r="D54" s="174">
        <f>+A61-1</f>
        <v>-9</v>
      </c>
      <c r="E54" s="158" t="s">
        <v>186</v>
      </c>
      <c r="G54" s="174"/>
      <c r="H54" s="174">
        <f>+D60-1</f>
        <v>-15</v>
      </c>
      <c r="I54" s="158" t="s">
        <v>192</v>
      </c>
      <c r="J54" s="156"/>
      <c r="K54" s="174"/>
      <c r="L54" s="158"/>
      <c r="M54" s="258"/>
    </row>
    <row r="55" spans="1:14">
      <c r="A55" s="174">
        <f t="shared" ref="A55:A61" si="10">+A54-1</f>
        <v>-2</v>
      </c>
      <c r="B55" s="194" t="s">
        <v>180</v>
      </c>
      <c r="D55" s="174">
        <f>+D54-1</f>
        <v>-10</v>
      </c>
      <c r="E55" s="158" t="s">
        <v>187</v>
      </c>
      <c r="H55" s="174">
        <f>+H54-1</f>
        <v>-16</v>
      </c>
      <c r="I55" s="158" t="s">
        <v>193</v>
      </c>
      <c r="K55" s="174"/>
      <c r="L55" s="158"/>
      <c r="M55" s="270"/>
    </row>
    <row r="56" spans="1:14">
      <c r="A56" s="174">
        <f t="shared" si="10"/>
        <v>-3</v>
      </c>
      <c r="B56" s="158" t="s">
        <v>182</v>
      </c>
      <c r="D56" s="174">
        <f>+D55-1</f>
        <v>-11</v>
      </c>
      <c r="E56" s="158" t="s">
        <v>187</v>
      </c>
      <c r="H56" s="174">
        <f>+H55-1</f>
        <v>-17</v>
      </c>
      <c r="I56" s="158" t="s">
        <v>194</v>
      </c>
      <c r="J56" s="9"/>
      <c r="K56" s="174"/>
      <c r="L56" s="158"/>
      <c r="M56" s="271"/>
    </row>
    <row r="57" spans="1:14">
      <c r="A57" s="174">
        <f t="shared" si="10"/>
        <v>-4</v>
      </c>
      <c r="B57" s="158" t="s">
        <v>182</v>
      </c>
      <c r="D57" s="174">
        <f>+D56-1</f>
        <v>-12</v>
      </c>
      <c r="E57" s="158" t="s">
        <v>188</v>
      </c>
      <c r="H57" s="174">
        <f>+H56-1</f>
        <v>-18</v>
      </c>
      <c r="I57" s="158" t="s">
        <v>195</v>
      </c>
      <c r="J57" s="9"/>
      <c r="K57" s="9"/>
      <c r="L57" s="269"/>
      <c r="M57" s="271"/>
    </row>
    <row r="58" spans="1:14">
      <c r="A58" s="174">
        <f t="shared" si="10"/>
        <v>-5</v>
      </c>
      <c r="B58" s="158" t="s">
        <v>182</v>
      </c>
      <c r="D58" s="174">
        <f>+D57-1</f>
        <v>-13</v>
      </c>
      <c r="E58" s="158" t="s">
        <v>189</v>
      </c>
      <c r="H58" s="174">
        <f>+H57-1</f>
        <v>-19</v>
      </c>
      <c r="I58" s="158" t="s">
        <v>196</v>
      </c>
      <c r="J58" s="9"/>
      <c r="K58" s="9"/>
      <c r="L58" s="269"/>
      <c r="M58" s="271"/>
    </row>
    <row r="59" spans="1:14">
      <c r="A59" s="174">
        <f t="shared" si="10"/>
        <v>-6</v>
      </c>
      <c r="B59" s="194" t="s">
        <v>183</v>
      </c>
      <c r="E59" s="3" t="s">
        <v>190</v>
      </c>
      <c r="H59" s="174">
        <f>+H58-1</f>
        <v>-20</v>
      </c>
      <c r="I59" s="158" t="s">
        <v>197</v>
      </c>
      <c r="J59" s="9"/>
      <c r="K59" s="9"/>
      <c r="L59" s="269"/>
      <c r="M59" s="271"/>
    </row>
    <row r="60" spans="1:14">
      <c r="A60" s="174">
        <f t="shared" si="10"/>
        <v>-7</v>
      </c>
      <c r="B60" s="194" t="s">
        <v>184</v>
      </c>
      <c r="D60" s="174">
        <f>+D58-1</f>
        <v>-14</v>
      </c>
      <c r="E60" s="158" t="s">
        <v>189</v>
      </c>
      <c r="I60" s="9"/>
      <c r="J60" s="9"/>
      <c r="K60" s="9"/>
      <c r="L60" s="269"/>
      <c r="M60" s="271"/>
    </row>
    <row r="61" spans="1:14">
      <c r="A61" s="174">
        <f t="shared" si="10"/>
        <v>-8</v>
      </c>
      <c r="B61" s="194" t="s">
        <v>185</v>
      </c>
      <c r="E61" s="158" t="s">
        <v>191</v>
      </c>
      <c r="G61" s="9"/>
      <c r="H61" s="9"/>
      <c r="I61" s="9"/>
      <c r="J61" s="9"/>
      <c r="K61" s="9"/>
      <c r="L61" s="269"/>
      <c r="M61" s="271"/>
    </row>
    <row r="62" spans="1:14">
      <c r="D62" s="9"/>
      <c r="G62" s="9"/>
      <c r="H62" s="9"/>
      <c r="I62" s="9"/>
      <c r="J62" s="9"/>
      <c r="K62" s="9"/>
      <c r="L62" s="269"/>
      <c r="M62" s="271"/>
    </row>
    <row r="63" spans="1:14">
      <c r="D63" s="9"/>
      <c r="G63" s="9"/>
      <c r="H63" s="9"/>
      <c r="I63" s="9"/>
      <c r="J63" s="9"/>
      <c r="K63" s="9"/>
      <c r="L63" s="269"/>
      <c r="M63" s="271"/>
    </row>
    <row r="64" spans="1:14">
      <c r="D64" s="9"/>
      <c r="G64" s="9"/>
      <c r="H64" s="9"/>
      <c r="I64" s="9"/>
      <c r="J64" s="9"/>
      <c r="K64" s="9"/>
      <c r="L64" s="269"/>
      <c r="M64" s="271"/>
    </row>
    <row r="65" spans="4:13">
      <c r="D65" s="9"/>
      <c r="G65" s="9"/>
      <c r="H65" s="9"/>
      <c r="I65" s="9"/>
      <c r="J65" s="9"/>
      <c r="K65" s="9"/>
      <c r="L65" s="269"/>
      <c r="M65" s="271"/>
    </row>
    <row r="66" spans="4:13">
      <c r="D66" s="9"/>
      <c r="G66" s="9"/>
      <c r="H66" s="9"/>
      <c r="I66" s="9"/>
      <c r="J66" s="9"/>
      <c r="K66" s="9"/>
      <c r="L66" s="269"/>
      <c r="M66" s="271"/>
    </row>
    <row r="67" spans="4:13">
      <c r="D67" s="9"/>
      <c r="G67" s="9"/>
      <c r="H67" s="9"/>
      <c r="I67" s="9"/>
      <c r="J67" s="9"/>
      <c r="K67" s="9"/>
      <c r="L67" s="269"/>
      <c r="M67" s="271"/>
    </row>
    <row r="68" spans="4:13">
      <c r="G68" s="9"/>
      <c r="H68" s="9"/>
      <c r="I68" s="9"/>
      <c r="J68" s="9"/>
      <c r="K68" s="9"/>
      <c r="L68" s="269"/>
      <c r="M68" s="271"/>
    </row>
    <row r="69" spans="4:13">
      <c r="G69" s="9"/>
      <c r="H69" s="9"/>
      <c r="I69" s="9"/>
      <c r="J69" s="9"/>
      <c r="K69" s="9"/>
      <c r="L69" s="269"/>
      <c r="M69" s="271"/>
    </row>
    <row r="70" spans="4:13">
      <c r="G70" s="9"/>
      <c r="H70" s="9"/>
      <c r="I70" s="9"/>
      <c r="J70" s="9"/>
      <c r="K70" s="9"/>
      <c r="L70" s="269"/>
      <c r="M70" s="271"/>
    </row>
    <row r="71" spans="4:13">
      <c r="G71" s="9"/>
      <c r="H71" s="9"/>
      <c r="I71" s="9"/>
      <c r="J71" s="9"/>
      <c r="K71" s="9"/>
      <c r="L71" s="269"/>
      <c r="M71" s="271"/>
    </row>
    <row r="72" spans="4:13">
      <c r="G72" s="9"/>
      <c r="H72" s="9"/>
      <c r="I72" s="9"/>
      <c r="J72" s="9"/>
      <c r="K72" s="9"/>
      <c r="L72" s="269"/>
      <c r="M72" s="271"/>
    </row>
    <row r="73" spans="4:13">
      <c r="G73" s="184"/>
      <c r="H73" s="184"/>
      <c r="I73" s="184"/>
      <c r="J73" s="184"/>
      <c r="K73" s="9"/>
      <c r="L73" s="257"/>
      <c r="M73" s="271"/>
    </row>
    <row r="74" spans="4:13">
      <c r="K74" s="184"/>
      <c r="M74" s="184"/>
    </row>
    <row r="75" spans="4:13">
      <c r="L75" s="184"/>
      <c r="M75" s="184"/>
    </row>
    <row r="76" spans="4:13">
      <c r="L76" s="184"/>
      <c r="M76" s="184"/>
    </row>
    <row r="77" spans="4:13">
      <c r="L77" s="184"/>
      <c r="M77" s="184"/>
    </row>
    <row r="78" spans="4:13">
      <c r="L78" s="184"/>
      <c r="M78" s="184"/>
    </row>
    <row r="79" spans="4:13">
      <c r="L79" s="184"/>
      <c r="M79" s="184"/>
    </row>
    <row r="80" spans="4:13">
      <c r="L80" s="184"/>
      <c r="M80" s="184"/>
    </row>
    <row r="81" spans="12:13">
      <c r="L81" s="184"/>
      <c r="M81" s="184"/>
    </row>
    <row r="82" spans="12:13">
      <c r="L82" s="184"/>
      <c r="M82" s="184"/>
    </row>
  </sheetData>
  <printOptions horizontalCentered="1"/>
  <pageMargins left="0.5" right="0.5" top="0.5" bottom="0.75" header="0.5" footer="0.35"/>
  <pageSetup scale="69" orientation="landscape" r:id="rId1"/>
  <headerFooter alignWithMargins="0">
    <oddFooter>&amp;L&amp;8&amp;F 
&amp;A&amp;C&amp;8MBA Actuaries, Inc.&amp;R&amp;8&amp;D 
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51"/>
  <sheetViews>
    <sheetView topLeftCell="A22" zoomScaleNormal="100" workbookViewId="0">
      <selection activeCell="M10" sqref="M10"/>
    </sheetView>
  </sheetViews>
  <sheetFormatPr defaultRowHeight="12.75"/>
  <cols>
    <col min="1" max="1" width="9.140625" style="158"/>
    <col min="2" max="2" width="9.28515625" style="158" bestFit="1" customWidth="1"/>
    <col min="3" max="3" width="8.28515625" style="158" customWidth="1"/>
    <col min="4" max="4" width="9" style="158" customWidth="1"/>
    <col min="5" max="5" width="8.140625" style="158" customWidth="1"/>
    <col min="6" max="6" width="9.28515625" style="158" customWidth="1"/>
    <col min="7" max="9" width="9.7109375" style="158" customWidth="1"/>
    <col min="10" max="10" width="9.140625" style="158" customWidth="1"/>
    <col min="11" max="13" width="9.7109375" style="158" customWidth="1"/>
    <col min="14" max="14" width="1" style="158" customWidth="1"/>
    <col min="15" max="16384" width="9.140625" style="158"/>
  </cols>
  <sheetData>
    <row r="1" spans="1:14">
      <c r="A1" s="402" t="str">
        <f>scenario</f>
        <v>Severe Scenario, V\ Curve</v>
      </c>
      <c r="N1" s="157" t="s">
        <v>266</v>
      </c>
    </row>
    <row r="2" spans="1:14">
      <c r="A2" s="403"/>
      <c r="N2" s="162"/>
    </row>
    <row r="3" spans="1:14" ht="15.75">
      <c r="A3" s="46" t="s">
        <v>113</v>
      </c>
      <c r="B3" s="46"/>
      <c r="C3" s="17"/>
      <c r="D3" s="17"/>
      <c r="E3" s="17"/>
      <c r="F3" s="17"/>
      <c r="G3" s="17"/>
      <c r="H3" s="17"/>
      <c r="I3" s="17"/>
      <c r="J3" s="17"/>
      <c r="K3" s="17"/>
      <c r="L3" s="233"/>
      <c r="M3" s="233"/>
    </row>
    <row r="4" spans="1:14" ht="15">
      <c r="A4" s="121" t="s">
        <v>139</v>
      </c>
      <c r="B4" s="121"/>
      <c r="C4" s="17"/>
      <c r="D4" s="17"/>
      <c r="E4" s="17"/>
      <c r="F4" s="17"/>
      <c r="G4" s="17"/>
      <c r="H4" s="17"/>
      <c r="I4" s="17"/>
      <c r="J4" s="17"/>
      <c r="K4" s="17"/>
      <c r="L4" s="233"/>
      <c r="M4" s="233"/>
    </row>
    <row r="5" spans="1:14">
      <c r="A5" s="28"/>
      <c r="B5" s="28"/>
      <c r="C5" s="28"/>
      <c r="D5" s="28"/>
      <c r="E5" s="28"/>
      <c r="F5" s="28"/>
      <c r="G5" s="91"/>
      <c r="H5" s="91"/>
      <c r="I5" s="91"/>
      <c r="J5" s="91"/>
      <c r="K5" s="28"/>
    </row>
    <row r="6" spans="1:14">
      <c r="A6" s="32" t="s">
        <v>34</v>
      </c>
      <c r="B6" s="131" t="s">
        <v>48</v>
      </c>
      <c r="C6" s="233"/>
      <c r="D6" s="131"/>
      <c r="E6" s="131"/>
      <c r="F6" s="131" t="s">
        <v>54</v>
      </c>
      <c r="G6" s="233"/>
      <c r="H6" s="134"/>
      <c r="I6" s="134"/>
      <c r="J6" s="75" t="s">
        <v>49</v>
      </c>
      <c r="K6" s="233"/>
      <c r="L6" s="233"/>
      <c r="M6" s="75"/>
    </row>
    <row r="7" spans="1:14">
      <c r="A7" s="32" t="s">
        <v>35</v>
      </c>
      <c r="B7" s="220" t="s">
        <v>3</v>
      </c>
      <c r="C7" s="220" t="s">
        <v>33</v>
      </c>
      <c r="D7" s="220" t="s">
        <v>5</v>
      </c>
      <c r="E7" s="220" t="s">
        <v>4</v>
      </c>
      <c r="F7" s="220" t="s">
        <v>3</v>
      </c>
      <c r="G7" s="220" t="s">
        <v>33</v>
      </c>
      <c r="H7" s="220" t="s">
        <v>198</v>
      </c>
      <c r="I7" s="220" t="s">
        <v>201</v>
      </c>
      <c r="J7" s="260" t="s">
        <v>3</v>
      </c>
      <c r="K7" s="220" t="s">
        <v>33</v>
      </c>
      <c r="L7" s="220" t="s">
        <v>198</v>
      </c>
      <c r="M7" s="220" t="s">
        <v>201</v>
      </c>
      <c r="N7" s="220"/>
    </row>
    <row r="8" spans="1:14">
      <c r="A8" s="32"/>
      <c r="B8" s="360">
        <v>-1</v>
      </c>
      <c r="C8" s="361">
        <f>B8-1</f>
        <v>-2</v>
      </c>
      <c r="D8" s="361">
        <f t="shared" ref="D8:E8" si="0">C8-1</f>
        <v>-3</v>
      </c>
      <c r="E8" s="361">
        <f t="shared" si="0"/>
        <v>-4</v>
      </c>
      <c r="F8" s="360">
        <f>E8-1</f>
        <v>-5</v>
      </c>
      <c r="G8" s="361">
        <f>F8-1</f>
        <v>-6</v>
      </c>
      <c r="H8" s="361">
        <f t="shared" ref="H8:I8" si="1">G8-1</f>
        <v>-7</v>
      </c>
      <c r="I8" s="361">
        <f t="shared" si="1"/>
        <v>-8</v>
      </c>
      <c r="J8" s="360">
        <f>I8-1</f>
        <v>-9</v>
      </c>
      <c r="K8" s="361">
        <f>J8-1</f>
        <v>-10</v>
      </c>
      <c r="L8" s="361">
        <f t="shared" ref="L8:M8" si="2">K8-1</f>
        <v>-11</v>
      </c>
      <c r="M8" s="361">
        <f t="shared" si="2"/>
        <v>-12</v>
      </c>
      <c r="N8" s="220"/>
    </row>
    <row r="9" spans="1:14" ht="5.0999999999999996" customHeight="1">
      <c r="A9" s="32"/>
      <c r="B9" s="32"/>
      <c r="C9" s="220"/>
      <c r="D9" s="220"/>
      <c r="E9" s="220"/>
      <c r="F9" s="220"/>
      <c r="G9" s="220"/>
      <c r="H9" s="220"/>
      <c r="I9" s="220"/>
      <c r="J9" s="136"/>
      <c r="K9" s="220"/>
      <c r="L9" s="220"/>
      <c r="M9" s="220"/>
      <c r="N9" s="220"/>
    </row>
    <row r="10" spans="1:14">
      <c r="A10" s="35" t="str">
        <f>+'Total Costs'!A9</f>
        <v>0 - 4</v>
      </c>
      <c r="B10" s="150">
        <f t="shared" ref="B10:B27" si="3">IF(Severity="Seasonal",C10,IF(Severity="Moderate",D10,IF(Severity="Severe",E10,"N/A")))</f>
        <v>180</v>
      </c>
      <c r="C10" s="454">
        <v>180</v>
      </c>
      <c r="D10" s="194">
        <f t="shared" ref="D10:E27" si="4">+C10</f>
        <v>180</v>
      </c>
      <c r="E10" s="194">
        <f t="shared" si="4"/>
        <v>180</v>
      </c>
      <c r="F10" s="150">
        <f t="shared" ref="F10:F27" si="5">IF(Severity="Seasonal",G10,IF(Severity="Moderate",H10,IF(Severity="Severe",I10,"N/A")))</f>
        <v>12100.000000000002</v>
      </c>
      <c r="G10" s="455">
        <v>11000</v>
      </c>
      <c r="H10" s="254">
        <f>G10*(1-(1-Capacity!$H$35)*Capacity!$F$38)</f>
        <v>11000</v>
      </c>
      <c r="I10" s="254">
        <f>G10*(1-(1-Capacity!$I$35)*Capacity!$G$38)</f>
        <v>12100.000000000002</v>
      </c>
      <c r="J10" s="150">
        <f t="shared" ref="J10:J27" si="6">IF(Severity="Seasonal",K10,IF(Severity="Moderate",L10,IF(Severity="Severe",M10,"N/A")))</f>
        <v>38500</v>
      </c>
      <c r="K10" s="455">
        <v>35000</v>
      </c>
      <c r="L10" s="254">
        <f>K10*(1-(1-Capacity!$H$35)*Capacity!$F$38)</f>
        <v>35000</v>
      </c>
      <c r="M10" s="254">
        <f>K10*(1-(1-Capacity!$I$35)*Capacity!$G$38)</f>
        <v>38500</v>
      </c>
    </row>
    <row r="11" spans="1:14">
      <c r="A11" s="35" t="str">
        <f>+'Total Costs'!A10</f>
        <v>5 - 9</v>
      </c>
      <c r="B11" s="150">
        <f t="shared" si="3"/>
        <v>150</v>
      </c>
      <c r="C11" s="454">
        <v>150</v>
      </c>
      <c r="D11" s="194">
        <f t="shared" si="4"/>
        <v>150</v>
      </c>
      <c r="E11" s="194">
        <f t="shared" si="4"/>
        <v>150</v>
      </c>
      <c r="F11" s="150">
        <f t="shared" si="5"/>
        <v>15950.000000000002</v>
      </c>
      <c r="G11" s="455">
        <v>14500</v>
      </c>
      <c r="H11" s="254">
        <f>G11*(1-(1-Capacity!$H$35)*Capacity!$F$38)</f>
        <v>14500</v>
      </c>
      <c r="I11" s="254">
        <f>G11*(1-(1-Capacity!$I$35)*Capacity!$G$38)</f>
        <v>15950.000000000002</v>
      </c>
      <c r="J11" s="150">
        <f t="shared" si="6"/>
        <v>27500.000000000004</v>
      </c>
      <c r="K11" s="455">
        <v>25000</v>
      </c>
      <c r="L11" s="254">
        <f>K11*(1-(1-Capacity!$H$35)*Capacity!$F$38)</f>
        <v>25000</v>
      </c>
      <c r="M11" s="254">
        <f>K11*(1-(1-Capacity!$I$35)*Capacity!$G$38)</f>
        <v>27500.000000000004</v>
      </c>
    </row>
    <row r="12" spans="1:14">
      <c r="A12" s="35" t="str">
        <f>+'Total Costs'!A11</f>
        <v>10 - 14</v>
      </c>
      <c r="B12" s="150">
        <f t="shared" si="3"/>
        <v>150</v>
      </c>
      <c r="C12" s="454">
        <v>150</v>
      </c>
      <c r="D12" s="194">
        <f t="shared" si="4"/>
        <v>150</v>
      </c>
      <c r="E12" s="194">
        <f t="shared" si="4"/>
        <v>150</v>
      </c>
      <c r="F12" s="150">
        <f t="shared" si="5"/>
        <v>15950.000000000002</v>
      </c>
      <c r="G12" s="455">
        <v>14500</v>
      </c>
      <c r="H12" s="254">
        <f>G12*(1-(1-Capacity!$H$35)*Capacity!$F$38)</f>
        <v>14500</v>
      </c>
      <c r="I12" s="254">
        <f>G12*(1-(1-Capacity!$I$35)*Capacity!$G$38)</f>
        <v>15950.000000000002</v>
      </c>
      <c r="J12" s="150">
        <f t="shared" si="6"/>
        <v>27500.000000000004</v>
      </c>
      <c r="K12" s="455">
        <v>25000</v>
      </c>
      <c r="L12" s="254">
        <f>K12*(1-(1-Capacity!$H$35)*Capacity!$F$38)</f>
        <v>25000</v>
      </c>
      <c r="M12" s="254">
        <f>K12*(1-(1-Capacity!$I$35)*Capacity!$G$38)</f>
        <v>27500.000000000004</v>
      </c>
    </row>
    <row r="13" spans="1:14">
      <c r="A13" s="35" t="str">
        <f>+'Total Costs'!A12</f>
        <v>15 - 19</v>
      </c>
      <c r="B13" s="150">
        <f t="shared" si="3"/>
        <v>150</v>
      </c>
      <c r="C13" s="454">
        <v>150</v>
      </c>
      <c r="D13" s="194">
        <f t="shared" si="4"/>
        <v>150</v>
      </c>
      <c r="E13" s="194">
        <f t="shared" si="4"/>
        <v>150</v>
      </c>
      <c r="F13" s="150">
        <f t="shared" si="5"/>
        <v>15950.000000000002</v>
      </c>
      <c r="G13" s="455">
        <v>14500</v>
      </c>
      <c r="H13" s="254">
        <f>G13*(1-(1-Capacity!$H$35)*Capacity!$F$38)</f>
        <v>14500</v>
      </c>
      <c r="I13" s="254">
        <f>G13*(1-(1-Capacity!$I$35)*Capacity!$G$38)</f>
        <v>15950.000000000002</v>
      </c>
      <c r="J13" s="150">
        <f t="shared" si="6"/>
        <v>27500.000000000004</v>
      </c>
      <c r="K13" s="455">
        <v>25000</v>
      </c>
      <c r="L13" s="254">
        <f>K13*(1-(1-Capacity!$H$35)*Capacity!$F$38)</f>
        <v>25000</v>
      </c>
      <c r="M13" s="254">
        <f>K13*(1-(1-Capacity!$I$35)*Capacity!$G$38)</f>
        <v>27500.000000000004</v>
      </c>
    </row>
    <row r="14" spans="1:14">
      <c r="A14" s="35" t="str">
        <f>+'Total Costs'!A13</f>
        <v>20 - 24</v>
      </c>
      <c r="B14" s="150">
        <f t="shared" si="3"/>
        <v>180</v>
      </c>
      <c r="C14" s="454">
        <v>180</v>
      </c>
      <c r="D14" s="194">
        <f t="shared" si="4"/>
        <v>180</v>
      </c>
      <c r="E14" s="194">
        <f t="shared" si="4"/>
        <v>180</v>
      </c>
      <c r="F14" s="150">
        <f t="shared" si="5"/>
        <v>20350</v>
      </c>
      <c r="G14" s="455">
        <v>18500</v>
      </c>
      <c r="H14" s="254">
        <f>G14*(1-(1-Capacity!$H$35)*Capacity!$F$38)</f>
        <v>18500</v>
      </c>
      <c r="I14" s="254">
        <f>G14*(1-(1-Capacity!$I$35)*Capacity!$G$38)</f>
        <v>20350</v>
      </c>
      <c r="J14" s="150">
        <f t="shared" si="6"/>
        <v>82500</v>
      </c>
      <c r="K14" s="455">
        <v>75000</v>
      </c>
      <c r="L14" s="254">
        <f>K14*(1-(1-Capacity!$H$35)*Capacity!$F$38)</f>
        <v>75000</v>
      </c>
      <c r="M14" s="254">
        <f>K14*(1-(1-Capacity!$I$35)*Capacity!$G$38)</f>
        <v>82500</v>
      </c>
    </row>
    <row r="15" spans="1:14">
      <c r="A15" s="35" t="str">
        <f>+'Total Costs'!A14</f>
        <v>25 - 29</v>
      </c>
      <c r="B15" s="150">
        <f t="shared" si="3"/>
        <v>180</v>
      </c>
      <c r="C15" s="454">
        <v>180</v>
      </c>
      <c r="D15" s="194">
        <f t="shared" si="4"/>
        <v>180</v>
      </c>
      <c r="E15" s="194">
        <f t="shared" si="4"/>
        <v>180</v>
      </c>
      <c r="F15" s="150">
        <f t="shared" si="5"/>
        <v>20350</v>
      </c>
      <c r="G15" s="455">
        <v>18500</v>
      </c>
      <c r="H15" s="254">
        <f>G15*(1-(1-Capacity!$H$35)*Capacity!$F$38)</f>
        <v>18500</v>
      </c>
      <c r="I15" s="254">
        <f>G15*(1-(1-Capacity!$I$35)*Capacity!$G$38)</f>
        <v>20350</v>
      </c>
      <c r="J15" s="150">
        <f t="shared" si="6"/>
        <v>82500</v>
      </c>
      <c r="K15" s="455">
        <v>75000</v>
      </c>
      <c r="L15" s="254">
        <f>K15*(1-(1-Capacity!$H$35)*Capacity!$F$38)</f>
        <v>75000</v>
      </c>
      <c r="M15" s="254">
        <f>K15*(1-(1-Capacity!$I$35)*Capacity!$G$38)</f>
        <v>82500</v>
      </c>
    </row>
    <row r="16" spans="1:14">
      <c r="A16" s="35" t="str">
        <f>+'Total Costs'!A15</f>
        <v>30 - 34</v>
      </c>
      <c r="B16" s="150">
        <f t="shared" si="3"/>
        <v>180</v>
      </c>
      <c r="C16" s="454">
        <v>180</v>
      </c>
      <c r="D16" s="194">
        <f t="shared" si="4"/>
        <v>180</v>
      </c>
      <c r="E16" s="194">
        <f t="shared" si="4"/>
        <v>180</v>
      </c>
      <c r="F16" s="150">
        <f t="shared" si="5"/>
        <v>20350</v>
      </c>
      <c r="G16" s="455">
        <v>18500</v>
      </c>
      <c r="H16" s="254">
        <f>G16*(1-(1-Capacity!$H$35)*Capacity!$F$38)</f>
        <v>18500</v>
      </c>
      <c r="I16" s="254">
        <f>G16*(1-(1-Capacity!$I$35)*Capacity!$G$38)</f>
        <v>20350</v>
      </c>
      <c r="J16" s="150">
        <f t="shared" si="6"/>
        <v>82500</v>
      </c>
      <c r="K16" s="455">
        <v>75000</v>
      </c>
      <c r="L16" s="254">
        <f>K16*(1-(1-Capacity!$H$35)*Capacity!$F$38)</f>
        <v>75000</v>
      </c>
      <c r="M16" s="254">
        <f>K16*(1-(1-Capacity!$I$35)*Capacity!$G$38)</f>
        <v>82500</v>
      </c>
    </row>
    <row r="17" spans="1:14">
      <c r="A17" s="35" t="str">
        <f>+'Total Costs'!A16</f>
        <v>35 - 39</v>
      </c>
      <c r="B17" s="150">
        <f t="shared" si="3"/>
        <v>180</v>
      </c>
      <c r="C17" s="454">
        <v>180</v>
      </c>
      <c r="D17" s="194">
        <f t="shared" si="4"/>
        <v>180</v>
      </c>
      <c r="E17" s="194">
        <f t="shared" si="4"/>
        <v>180</v>
      </c>
      <c r="F17" s="150">
        <f t="shared" si="5"/>
        <v>20350</v>
      </c>
      <c r="G17" s="455">
        <v>18500</v>
      </c>
      <c r="H17" s="254">
        <f>G17*(1-(1-Capacity!$H$35)*Capacity!$F$38)</f>
        <v>18500</v>
      </c>
      <c r="I17" s="254">
        <f>G17*(1-(1-Capacity!$I$35)*Capacity!$G$38)</f>
        <v>20350</v>
      </c>
      <c r="J17" s="150">
        <f t="shared" si="6"/>
        <v>82500</v>
      </c>
      <c r="K17" s="455">
        <v>75000</v>
      </c>
      <c r="L17" s="254">
        <f>K17*(1-(1-Capacity!$H$35)*Capacity!$F$38)</f>
        <v>75000</v>
      </c>
      <c r="M17" s="254">
        <f>K17*(1-(1-Capacity!$I$35)*Capacity!$G$38)</f>
        <v>82500</v>
      </c>
    </row>
    <row r="18" spans="1:14">
      <c r="A18" s="35" t="str">
        <f>+'Total Costs'!A17</f>
        <v>40 - 44</v>
      </c>
      <c r="B18" s="150">
        <f t="shared" si="3"/>
        <v>180</v>
      </c>
      <c r="C18" s="454">
        <v>180</v>
      </c>
      <c r="D18" s="194">
        <f t="shared" si="4"/>
        <v>180</v>
      </c>
      <c r="E18" s="194">
        <f t="shared" si="4"/>
        <v>180</v>
      </c>
      <c r="F18" s="150">
        <f t="shared" si="5"/>
        <v>20350</v>
      </c>
      <c r="G18" s="455">
        <v>18500</v>
      </c>
      <c r="H18" s="254">
        <f>G18*(1-(1-Capacity!$H$35)*Capacity!$F$38)</f>
        <v>18500</v>
      </c>
      <c r="I18" s="254">
        <f>G18*(1-(1-Capacity!$I$35)*Capacity!$G$38)</f>
        <v>20350</v>
      </c>
      <c r="J18" s="150">
        <f t="shared" si="6"/>
        <v>82500</v>
      </c>
      <c r="K18" s="455">
        <v>75000</v>
      </c>
      <c r="L18" s="254">
        <f>K18*(1-(1-Capacity!$H$35)*Capacity!$F$38)</f>
        <v>75000</v>
      </c>
      <c r="M18" s="254">
        <f>K18*(1-(1-Capacity!$I$35)*Capacity!$G$38)</f>
        <v>82500</v>
      </c>
    </row>
    <row r="19" spans="1:14">
      <c r="A19" s="35" t="str">
        <f>+'Total Costs'!A18</f>
        <v>45 - 49</v>
      </c>
      <c r="B19" s="150">
        <f t="shared" si="3"/>
        <v>180</v>
      </c>
      <c r="C19" s="454">
        <v>180</v>
      </c>
      <c r="D19" s="194">
        <f t="shared" si="4"/>
        <v>180</v>
      </c>
      <c r="E19" s="194">
        <f t="shared" si="4"/>
        <v>180</v>
      </c>
      <c r="F19" s="150">
        <f t="shared" si="5"/>
        <v>20350</v>
      </c>
      <c r="G19" s="455">
        <v>18500</v>
      </c>
      <c r="H19" s="254">
        <f>G19*(1-(1-Capacity!$H$35)*Capacity!$F$38)</f>
        <v>18500</v>
      </c>
      <c r="I19" s="254">
        <f>G19*(1-(1-Capacity!$I$35)*Capacity!$G$38)</f>
        <v>20350</v>
      </c>
      <c r="J19" s="150">
        <f t="shared" si="6"/>
        <v>99000.000000000015</v>
      </c>
      <c r="K19" s="455">
        <v>90000</v>
      </c>
      <c r="L19" s="254">
        <f>K19*(1-(1-Capacity!$H$35)*Capacity!$F$38)</f>
        <v>90000</v>
      </c>
      <c r="M19" s="254">
        <f>K19*(1-(1-Capacity!$I$35)*Capacity!$G$38)</f>
        <v>99000.000000000015</v>
      </c>
    </row>
    <row r="20" spans="1:14">
      <c r="A20" s="35" t="str">
        <f>+'Total Costs'!A19</f>
        <v>50 - 54</v>
      </c>
      <c r="B20" s="150">
        <f t="shared" si="3"/>
        <v>250</v>
      </c>
      <c r="C20" s="454">
        <v>250</v>
      </c>
      <c r="D20" s="194">
        <f t="shared" si="4"/>
        <v>250</v>
      </c>
      <c r="E20" s="194">
        <f t="shared" si="4"/>
        <v>250</v>
      </c>
      <c r="F20" s="150">
        <f t="shared" si="5"/>
        <v>24750.000000000004</v>
      </c>
      <c r="G20" s="455">
        <v>22500</v>
      </c>
      <c r="H20" s="254">
        <f>G20*(1-(1-Capacity!$H$35)*Capacity!$F$38)</f>
        <v>22500</v>
      </c>
      <c r="I20" s="254">
        <f>G20*(1-(1-Capacity!$I$35)*Capacity!$G$38)</f>
        <v>24750.000000000004</v>
      </c>
      <c r="J20" s="150">
        <f t="shared" si="6"/>
        <v>132000</v>
      </c>
      <c r="K20" s="455">
        <v>120000</v>
      </c>
      <c r="L20" s="254">
        <f>K20*(1-(1-Capacity!$H$35)*Capacity!$F$38)</f>
        <v>120000</v>
      </c>
      <c r="M20" s="254">
        <f>K20*(1-(1-Capacity!$I$35)*Capacity!$G$38)</f>
        <v>132000</v>
      </c>
    </row>
    <row r="21" spans="1:14">
      <c r="A21" s="35" t="str">
        <f>+'Total Costs'!A20</f>
        <v>55 - 59</v>
      </c>
      <c r="B21" s="150">
        <f t="shared" si="3"/>
        <v>250</v>
      </c>
      <c r="C21" s="454">
        <v>250</v>
      </c>
      <c r="D21" s="194">
        <f t="shared" si="4"/>
        <v>250</v>
      </c>
      <c r="E21" s="194">
        <f t="shared" si="4"/>
        <v>250</v>
      </c>
      <c r="F21" s="150">
        <f t="shared" si="5"/>
        <v>24750.000000000004</v>
      </c>
      <c r="G21" s="455">
        <v>22500</v>
      </c>
      <c r="H21" s="254">
        <f>G21*(1-(1-Capacity!$H$35)*Capacity!$F$38)</f>
        <v>22500</v>
      </c>
      <c r="I21" s="254">
        <f>G21*(1-(1-Capacity!$I$35)*Capacity!$G$38)</f>
        <v>24750.000000000004</v>
      </c>
      <c r="J21" s="150">
        <f t="shared" si="6"/>
        <v>132000</v>
      </c>
      <c r="K21" s="455">
        <v>120000</v>
      </c>
      <c r="L21" s="254">
        <f>K21*(1-(1-Capacity!$H$35)*Capacity!$F$38)</f>
        <v>120000</v>
      </c>
      <c r="M21" s="254">
        <f>K21*(1-(1-Capacity!$I$35)*Capacity!$G$38)</f>
        <v>132000</v>
      </c>
    </row>
    <row r="22" spans="1:14">
      <c r="A22" s="35" t="str">
        <f>+'Total Costs'!A21</f>
        <v>60 - 64</v>
      </c>
      <c r="B22" s="150">
        <f t="shared" si="3"/>
        <v>250</v>
      </c>
      <c r="C22" s="454">
        <v>250</v>
      </c>
      <c r="D22" s="194">
        <f t="shared" si="4"/>
        <v>250</v>
      </c>
      <c r="E22" s="194">
        <f t="shared" si="4"/>
        <v>250</v>
      </c>
      <c r="F22" s="150">
        <f t="shared" si="5"/>
        <v>24750.000000000004</v>
      </c>
      <c r="G22" s="455">
        <v>22500</v>
      </c>
      <c r="H22" s="254">
        <f>G22*(1-(1-Capacity!$H$35)*Capacity!$F$38)</f>
        <v>22500</v>
      </c>
      <c r="I22" s="254">
        <f>G22*(1-(1-Capacity!$I$35)*Capacity!$G$38)</f>
        <v>24750.000000000004</v>
      </c>
      <c r="J22" s="150">
        <f t="shared" si="6"/>
        <v>132000</v>
      </c>
      <c r="K22" s="455">
        <v>120000</v>
      </c>
      <c r="L22" s="254">
        <f>K22*(1-(1-Capacity!$H$35)*Capacity!$F$38)</f>
        <v>120000</v>
      </c>
      <c r="M22" s="254">
        <f>K22*(1-(1-Capacity!$I$35)*Capacity!$G$38)</f>
        <v>132000</v>
      </c>
    </row>
    <row r="23" spans="1:14">
      <c r="A23" s="35" t="str">
        <f>+'Total Costs'!A22</f>
        <v>65 - 69</v>
      </c>
      <c r="B23" s="150">
        <f t="shared" si="3"/>
        <v>225</v>
      </c>
      <c r="C23" s="454">
        <v>225</v>
      </c>
      <c r="D23" s="194">
        <f t="shared" si="4"/>
        <v>225</v>
      </c>
      <c r="E23" s="194">
        <f t="shared" si="4"/>
        <v>225</v>
      </c>
      <c r="F23" s="150">
        <f t="shared" si="5"/>
        <v>13750.000000000002</v>
      </c>
      <c r="G23" s="455">
        <v>12500</v>
      </c>
      <c r="H23" s="254">
        <f>G23*(1-(1-Capacity!$H$35)*Capacity!$F$38)</f>
        <v>12500</v>
      </c>
      <c r="I23" s="254">
        <f>G23*(1-(1-Capacity!$I$35)*Capacity!$G$38)</f>
        <v>13750.000000000002</v>
      </c>
      <c r="J23" s="150">
        <f t="shared" si="6"/>
        <v>66000</v>
      </c>
      <c r="K23" s="455">
        <v>60000</v>
      </c>
      <c r="L23" s="254">
        <f>K23*(1-(1-Capacity!$H$35)*Capacity!$F$38)</f>
        <v>60000</v>
      </c>
      <c r="M23" s="254">
        <f>K23*(1-(1-Capacity!$I$35)*Capacity!$G$38)</f>
        <v>66000</v>
      </c>
    </row>
    <row r="24" spans="1:14">
      <c r="A24" s="35" t="str">
        <f>+'Total Costs'!A23</f>
        <v>70 - 74</v>
      </c>
      <c r="B24" s="150">
        <f t="shared" si="3"/>
        <v>225</v>
      </c>
      <c r="C24" s="454">
        <v>225</v>
      </c>
      <c r="D24" s="194">
        <f t="shared" si="4"/>
        <v>225</v>
      </c>
      <c r="E24" s="194">
        <f t="shared" si="4"/>
        <v>225</v>
      </c>
      <c r="F24" s="150">
        <f t="shared" si="5"/>
        <v>12650.000000000002</v>
      </c>
      <c r="G24" s="455">
        <v>11500</v>
      </c>
      <c r="H24" s="254">
        <f>G24*(1-(1-Capacity!$H$35)*Capacity!$F$38)</f>
        <v>11500</v>
      </c>
      <c r="I24" s="254">
        <f>G24*(1-(1-Capacity!$I$35)*Capacity!$G$38)</f>
        <v>12650.000000000002</v>
      </c>
      <c r="J24" s="150">
        <f t="shared" si="6"/>
        <v>39050</v>
      </c>
      <c r="K24" s="455">
        <v>35500</v>
      </c>
      <c r="L24" s="254">
        <f>K24*(1-(1-Capacity!$H$35)*Capacity!$F$38)</f>
        <v>35500</v>
      </c>
      <c r="M24" s="254">
        <f>K24*(1-(1-Capacity!$I$35)*Capacity!$G$38)</f>
        <v>39050</v>
      </c>
    </row>
    <row r="25" spans="1:14">
      <c r="A25" s="35" t="str">
        <f>+'Total Costs'!A24</f>
        <v>75 - 79</v>
      </c>
      <c r="B25" s="150">
        <f t="shared" si="3"/>
        <v>225</v>
      </c>
      <c r="C25" s="454">
        <v>225</v>
      </c>
      <c r="D25" s="194">
        <f t="shared" si="4"/>
        <v>225</v>
      </c>
      <c r="E25" s="194">
        <f t="shared" si="4"/>
        <v>225</v>
      </c>
      <c r="F25" s="150">
        <f t="shared" si="5"/>
        <v>12650.000000000002</v>
      </c>
      <c r="G25" s="455">
        <v>11500</v>
      </c>
      <c r="H25" s="254">
        <f>G25*(1-(1-Capacity!$H$35)*Capacity!$F$38)</f>
        <v>11500</v>
      </c>
      <c r="I25" s="254">
        <f>G25*(1-(1-Capacity!$I$35)*Capacity!$G$38)</f>
        <v>12650.000000000002</v>
      </c>
      <c r="J25" s="150">
        <f t="shared" si="6"/>
        <v>39050</v>
      </c>
      <c r="K25" s="455">
        <v>35500</v>
      </c>
      <c r="L25" s="254">
        <f>K25*(1-(1-Capacity!$H$35)*Capacity!$F$38)</f>
        <v>35500</v>
      </c>
      <c r="M25" s="254">
        <f>K25*(1-(1-Capacity!$I$35)*Capacity!$G$38)</f>
        <v>39050</v>
      </c>
    </row>
    <row r="26" spans="1:14">
      <c r="A26" s="35" t="str">
        <f>+'Total Costs'!A25</f>
        <v>80 - 84</v>
      </c>
      <c r="B26" s="150">
        <f t="shared" si="3"/>
        <v>225</v>
      </c>
      <c r="C26" s="454">
        <v>225</v>
      </c>
      <c r="D26" s="194">
        <f t="shared" si="4"/>
        <v>225</v>
      </c>
      <c r="E26" s="194">
        <f t="shared" si="4"/>
        <v>225</v>
      </c>
      <c r="F26" s="150">
        <f t="shared" si="5"/>
        <v>12650.000000000002</v>
      </c>
      <c r="G26" s="455">
        <v>11500</v>
      </c>
      <c r="H26" s="254">
        <f>G26*(1-(1-Capacity!$H$35)*Capacity!$F$38)</f>
        <v>11500</v>
      </c>
      <c r="I26" s="254">
        <f>G26*(1-(1-Capacity!$I$35)*Capacity!$G$38)</f>
        <v>12650.000000000002</v>
      </c>
      <c r="J26" s="150">
        <f t="shared" si="6"/>
        <v>39050</v>
      </c>
      <c r="K26" s="455">
        <v>35500</v>
      </c>
      <c r="L26" s="254">
        <f>K26*(1-(1-Capacity!$H$35)*Capacity!$F$38)</f>
        <v>35500</v>
      </c>
      <c r="M26" s="254">
        <f>K26*(1-(1-Capacity!$I$35)*Capacity!$G$38)</f>
        <v>39050</v>
      </c>
    </row>
    <row r="27" spans="1:14">
      <c r="A27" s="35" t="str">
        <f>+'Total Costs'!A26</f>
        <v>85+</v>
      </c>
      <c r="B27" s="150">
        <f t="shared" si="3"/>
        <v>225</v>
      </c>
      <c r="C27" s="454">
        <v>225</v>
      </c>
      <c r="D27" s="194">
        <f t="shared" si="4"/>
        <v>225</v>
      </c>
      <c r="E27" s="194">
        <f t="shared" si="4"/>
        <v>225</v>
      </c>
      <c r="F27" s="150">
        <f t="shared" si="5"/>
        <v>12650.000000000002</v>
      </c>
      <c r="G27" s="455">
        <v>11500</v>
      </c>
      <c r="H27" s="254">
        <f>G27*(1-(1-Capacity!$H$35)*Capacity!$F$38)</f>
        <v>11500</v>
      </c>
      <c r="I27" s="254">
        <f>G27*(1-(1-Capacity!$I$35)*Capacity!$G$38)</f>
        <v>12650.000000000002</v>
      </c>
      <c r="J27" s="150">
        <f t="shared" si="6"/>
        <v>39050</v>
      </c>
      <c r="K27" s="455">
        <v>35500</v>
      </c>
      <c r="L27" s="254">
        <f>K27*(1-(1-Capacity!$H$35)*Capacity!$F$38)</f>
        <v>35500</v>
      </c>
      <c r="M27" s="254">
        <f>K27*(1-(1-Capacity!$I$35)*Capacity!$G$38)</f>
        <v>39050</v>
      </c>
    </row>
    <row r="28" spans="1:14">
      <c r="A28" s="72"/>
      <c r="B28" s="72"/>
      <c r="C28" s="19"/>
      <c r="D28" s="194"/>
      <c r="E28" s="194"/>
      <c r="F28" s="19"/>
      <c r="G28" s="50"/>
      <c r="H28" s="254"/>
      <c r="I28" s="254"/>
      <c r="J28" s="50"/>
      <c r="K28" s="50"/>
      <c r="M28" s="180"/>
    </row>
    <row r="29" spans="1:14">
      <c r="A29" s="32" t="s">
        <v>34</v>
      </c>
      <c r="B29" s="165" t="s">
        <v>52</v>
      </c>
      <c r="C29" s="233"/>
      <c r="D29" s="131"/>
      <c r="E29" s="131"/>
      <c r="F29" s="165" t="s">
        <v>67</v>
      </c>
      <c r="G29" s="233"/>
      <c r="H29" s="134"/>
      <c r="I29" s="336"/>
      <c r="J29" s="75" t="s">
        <v>53</v>
      </c>
      <c r="K29" s="233"/>
      <c r="L29" s="233"/>
      <c r="M29" s="75"/>
    </row>
    <row r="30" spans="1:14">
      <c r="A30" s="32" t="s">
        <v>35</v>
      </c>
      <c r="B30" s="220" t="s">
        <v>3</v>
      </c>
      <c r="C30" s="220" t="s">
        <v>33</v>
      </c>
      <c r="D30" s="220" t="s">
        <v>5</v>
      </c>
      <c r="E30" s="220" t="s">
        <v>4</v>
      </c>
      <c r="F30" s="220" t="s">
        <v>3</v>
      </c>
      <c r="G30" s="220" t="s">
        <v>33</v>
      </c>
      <c r="H30" s="220" t="s">
        <v>198</v>
      </c>
      <c r="I30" s="220" t="s">
        <v>201</v>
      </c>
      <c r="J30" s="260" t="s">
        <v>3</v>
      </c>
      <c r="K30" s="220" t="s">
        <v>33</v>
      </c>
      <c r="L30" s="220" t="s">
        <v>198</v>
      </c>
      <c r="M30" s="220" t="s">
        <v>201</v>
      </c>
    </row>
    <row r="31" spans="1:14">
      <c r="A31" s="32"/>
      <c r="B31" s="360">
        <f>M8-1</f>
        <v>-13</v>
      </c>
      <c r="C31" s="361">
        <f>B31-1</f>
        <v>-14</v>
      </c>
      <c r="D31" s="361">
        <f t="shared" ref="D31:E31" si="7">C31-1</f>
        <v>-15</v>
      </c>
      <c r="E31" s="361">
        <f t="shared" si="7"/>
        <v>-16</v>
      </c>
      <c r="F31" s="360">
        <f>E31-1</f>
        <v>-17</v>
      </c>
      <c r="G31" s="361">
        <f>F31-1</f>
        <v>-18</v>
      </c>
      <c r="H31" s="361">
        <f t="shared" ref="H31:I31" si="8">G31-1</f>
        <v>-19</v>
      </c>
      <c r="I31" s="361">
        <f t="shared" si="8"/>
        <v>-20</v>
      </c>
      <c r="J31" s="360">
        <f>I31-1</f>
        <v>-21</v>
      </c>
      <c r="K31" s="361">
        <f>J31-1</f>
        <v>-22</v>
      </c>
      <c r="L31" s="361">
        <f t="shared" ref="L31:M31" si="9">K31-1</f>
        <v>-23</v>
      </c>
      <c r="M31" s="361">
        <f t="shared" si="9"/>
        <v>-24</v>
      </c>
    </row>
    <row r="32" spans="1:14" ht="5.0999999999999996" customHeight="1">
      <c r="A32" s="32"/>
      <c r="B32" s="32"/>
      <c r="C32" s="220"/>
      <c r="D32" s="220"/>
      <c r="E32" s="220"/>
      <c r="F32" s="220"/>
      <c r="G32" s="220"/>
      <c r="H32" s="220"/>
      <c r="I32" s="221"/>
      <c r="J32" s="136"/>
      <c r="K32" s="220"/>
      <c r="L32" s="220"/>
      <c r="M32" s="221"/>
      <c r="N32" s="220"/>
    </row>
    <row r="33" spans="1:13">
      <c r="A33" s="35" t="str">
        <f t="shared" ref="A33:A50" si="10">+A10</f>
        <v>0 - 4</v>
      </c>
      <c r="B33" s="150">
        <f t="shared" ref="B33:B50" si="11">IF(Severity="Seasonal",C33,IF(Severity="Moderate",D33,IF(Severity="Severe",E33,"N/A")))</f>
        <v>625</v>
      </c>
      <c r="C33" s="455">
        <v>625</v>
      </c>
      <c r="D33" s="194">
        <f t="shared" ref="D33:E50" si="12">+C33</f>
        <v>625</v>
      </c>
      <c r="E33" s="194">
        <f t="shared" si="12"/>
        <v>625</v>
      </c>
      <c r="F33" s="150">
        <f t="shared" ref="F33:F50" si="13">IF(Severity="Seasonal",G33,IF(Severity="Moderate",H33,IF(Severity="Severe",I33,"N/A")))</f>
        <v>85250</v>
      </c>
      <c r="G33" s="455">
        <v>77500</v>
      </c>
      <c r="H33" s="254">
        <f>G33*(1-(1-Capacity!$H$35)*Capacity!$F$38)</f>
        <v>77500</v>
      </c>
      <c r="I33" s="254">
        <f>G33*(1-(1-Capacity!$I$35)*Capacity!$G$38)</f>
        <v>85250</v>
      </c>
      <c r="J33" s="150">
        <f t="shared" ref="J33:J50" si="14">IF(Severity="Seasonal",K33,IF(Severity="Moderate",L33,IF(Severity="Severe",M33,"N/A")))</f>
        <v>275000</v>
      </c>
      <c r="K33" s="455">
        <v>250000</v>
      </c>
      <c r="L33" s="254">
        <f>K33*(1-(1-Capacity!$H$35)*Capacity!$F$38)</f>
        <v>250000</v>
      </c>
      <c r="M33" s="254">
        <f>K33*(1-(1-Capacity!$I$35)*Capacity!$G$38)</f>
        <v>275000</v>
      </c>
    </row>
    <row r="34" spans="1:13">
      <c r="A34" s="35" t="str">
        <f t="shared" si="10"/>
        <v>5 - 9</v>
      </c>
      <c r="B34" s="150">
        <f t="shared" si="11"/>
        <v>625</v>
      </c>
      <c r="C34" s="455">
        <v>625</v>
      </c>
      <c r="D34" s="194">
        <f t="shared" si="12"/>
        <v>625</v>
      </c>
      <c r="E34" s="194">
        <f t="shared" si="12"/>
        <v>625</v>
      </c>
      <c r="F34" s="150">
        <f t="shared" si="13"/>
        <v>44000</v>
      </c>
      <c r="G34" s="455">
        <v>40000</v>
      </c>
      <c r="H34" s="254">
        <f>G34*(1-(1-Capacity!$H$35)*Capacity!$F$38)</f>
        <v>40000</v>
      </c>
      <c r="I34" s="254">
        <f>G34*(1-(1-Capacity!$I$35)*Capacity!$G$38)</f>
        <v>44000</v>
      </c>
      <c r="J34" s="150">
        <f t="shared" si="14"/>
        <v>165000</v>
      </c>
      <c r="K34" s="455">
        <v>150000</v>
      </c>
      <c r="L34" s="254">
        <f>K34*(1-(1-Capacity!$H$35)*Capacity!$F$38)</f>
        <v>150000</v>
      </c>
      <c r="M34" s="254">
        <f>K34*(1-(1-Capacity!$I$35)*Capacity!$G$38)</f>
        <v>165000</v>
      </c>
    </row>
    <row r="35" spans="1:13">
      <c r="A35" s="35" t="str">
        <f t="shared" si="10"/>
        <v>10 - 14</v>
      </c>
      <c r="B35" s="150">
        <f t="shared" si="11"/>
        <v>625</v>
      </c>
      <c r="C35" s="455">
        <v>625</v>
      </c>
      <c r="D35" s="194">
        <f t="shared" si="12"/>
        <v>625</v>
      </c>
      <c r="E35" s="194">
        <f t="shared" si="12"/>
        <v>625</v>
      </c>
      <c r="F35" s="150">
        <f t="shared" si="13"/>
        <v>44000</v>
      </c>
      <c r="G35" s="455">
        <v>40000</v>
      </c>
      <c r="H35" s="254">
        <f>G35*(1-(1-Capacity!$H$35)*Capacity!$F$38)</f>
        <v>40000</v>
      </c>
      <c r="I35" s="254">
        <f>G35*(1-(1-Capacity!$I$35)*Capacity!$G$38)</f>
        <v>44000</v>
      </c>
      <c r="J35" s="150">
        <f t="shared" si="14"/>
        <v>165000</v>
      </c>
      <c r="K35" s="455">
        <v>150000</v>
      </c>
      <c r="L35" s="254">
        <f>K35*(1-(1-Capacity!$H$35)*Capacity!$F$38)</f>
        <v>150000</v>
      </c>
      <c r="M35" s="254">
        <f>K35*(1-(1-Capacity!$I$35)*Capacity!$G$38)</f>
        <v>165000</v>
      </c>
    </row>
    <row r="36" spans="1:13">
      <c r="A36" s="35" t="str">
        <f t="shared" si="10"/>
        <v>15 - 19</v>
      </c>
      <c r="B36" s="150">
        <f t="shared" si="11"/>
        <v>625</v>
      </c>
      <c r="C36" s="455">
        <v>625</v>
      </c>
      <c r="D36" s="194">
        <f t="shared" si="12"/>
        <v>625</v>
      </c>
      <c r="E36" s="194">
        <f t="shared" si="12"/>
        <v>625</v>
      </c>
      <c r="F36" s="150">
        <f t="shared" si="13"/>
        <v>44000</v>
      </c>
      <c r="G36" s="455">
        <v>40000</v>
      </c>
      <c r="H36" s="254">
        <f>G36*(1-(1-Capacity!$H$35)*Capacity!$F$38)</f>
        <v>40000</v>
      </c>
      <c r="I36" s="254">
        <f>G36*(1-(1-Capacity!$I$35)*Capacity!$G$38)</f>
        <v>44000</v>
      </c>
      <c r="J36" s="150">
        <f t="shared" si="14"/>
        <v>165000</v>
      </c>
      <c r="K36" s="455">
        <v>150000</v>
      </c>
      <c r="L36" s="254">
        <f>K36*(1-(1-Capacity!$H$35)*Capacity!$F$38)</f>
        <v>150000</v>
      </c>
      <c r="M36" s="254">
        <f>K36*(1-(1-Capacity!$I$35)*Capacity!$G$38)</f>
        <v>165000</v>
      </c>
    </row>
    <row r="37" spans="1:13">
      <c r="A37" s="35" t="str">
        <f t="shared" si="10"/>
        <v>20 - 24</v>
      </c>
      <c r="B37" s="150">
        <f t="shared" si="11"/>
        <v>800</v>
      </c>
      <c r="C37" s="455">
        <v>800</v>
      </c>
      <c r="D37" s="194">
        <f t="shared" si="12"/>
        <v>800</v>
      </c>
      <c r="E37" s="194">
        <f t="shared" si="12"/>
        <v>800</v>
      </c>
      <c r="F37" s="150">
        <f t="shared" si="13"/>
        <v>49500.000000000007</v>
      </c>
      <c r="G37" s="455">
        <v>45000</v>
      </c>
      <c r="H37" s="254">
        <f>G37*(1-(1-Capacity!$H$35)*Capacity!$F$38)</f>
        <v>45000</v>
      </c>
      <c r="I37" s="254">
        <f>G37*(1-(1-Capacity!$I$35)*Capacity!$G$38)</f>
        <v>49500.000000000007</v>
      </c>
      <c r="J37" s="150">
        <f t="shared" si="14"/>
        <v>82500</v>
      </c>
      <c r="K37" s="164">
        <f t="shared" ref="K37:K50" si="15">+K14</f>
        <v>75000</v>
      </c>
      <c r="L37" s="254">
        <f>K37*(1-(1-Capacity!$H$35)*Capacity!$F$38)</f>
        <v>75000</v>
      </c>
      <c r="M37" s="254">
        <f>K37*(1-(1-Capacity!$I$35)*Capacity!$G$38)</f>
        <v>82500</v>
      </c>
    </row>
    <row r="38" spans="1:13">
      <c r="A38" s="35" t="str">
        <f t="shared" si="10"/>
        <v>25 - 29</v>
      </c>
      <c r="B38" s="150">
        <f t="shared" si="11"/>
        <v>800</v>
      </c>
      <c r="C38" s="455">
        <v>800</v>
      </c>
      <c r="D38" s="194">
        <f t="shared" si="12"/>
        <v>800</v>
      </c>
      <c r="E38" s="194">
        <f t="shared" si="12"/>
        <v>800</v>
      </c>
      <c r="F38" s="150">
        <f t="shared" si="13"/>
        <v>49500.000000000007</v>
      </c>
      <c r="G38" s="455">
        <v>45000</v>
      </c>
      <c r="H38" s="254">
        <f>G38*(1-(1-Capacity!$H$35)*Capacity!$F$38)</f>
        <v>45000</v>
      </c>
      <c r="I38" s="254">
        <f>G38*(1-(1-Capacity!$I$35)*Capacity!$G$38)</f>
        <v>49500.000000000007</v>
      </c>
      <c r="J38" s="150">
        <f t="shared" si="14"/>
        <v>82500</v>
      </c>
      <c r="K38" s="164">
        <f t="shared" si="15"/>
        <v>75000</v>
      </c>
      <c r="L38" s="254">
        <f>K38*(1-(1-Capacity!$H$35)*Capacity!$F$38)</f>
        <v>75000</v>
      </c>
      <c r="M38" s="254">
        <f>K38*(1-(1-Capacity!$I$35)*Capacity!$G$38)</f>
        <v>82500</v>
      </c>
    </row>
    <row r="39" spans="1:13">
      <c r="A39" s="35" t="str">
        <f t="shared" si="10"/>
        <v>30 - 34</v>
      </c>
      <c r="B39" s="150">
        <f t="shared" si="11"/>
        <v>800</v>
      </c>
      <c r="C39" s="455">
        <v>800</v>
      </c>
      <c r="D39" s="194">
        <f t="shared" si="12"/>
        <v>800</v>
      </c>
      <c r="E39" s="194">
        <f t="shared" si="12"/>
        <v>800</v>
      </c>
      <c r="F39" s="150">
        <f t="shared" si="13"/>
        <v>49500.000000000007</v>
      </c>
      <c r="G39" s="455">
        <v>45000</v>
      </c>
      <c r="H39" s="254">
        <f>G39*(1-(1-Capacity!$H$35)*Capacity!$F$38)</f>
        <v>45000</v>
      </c>
      <c r="I39" s="254">
        <f>G39*(1-(1-Capacity!$I$35)*Capacity!$G$38)</f>
        <v>49500.000000000007</v>
      </c>
      <c r="J39" s="150">
        <f t="shared" si="14"/>
        <v>82500</v>
      </c>
      <c r="K39" s="164">
        <f t="shared" si="15"/>
        <v>75000</v>
      </c>
      <c r="L39" s="254">
        <f>K39*(1-(1-Capacity!$H$35)*Capacity!$F$38)</f>
        <v>75000</v>
      </c>
      <c r="M39" s="254">
        <f>K39*(1-(1-Capacity!$I$35)*Capacity!$G$38)</f>
        <v>82500</v>
      </c>
    </row>
    <row r="40" spans="1:13">
      <c r="A40" s="35" t="str">
        <f t="shared" si="10"/>
        <v>35 - 39</v>
      </c>
      <c r="B40" s="150">
        <f t="shared" si="11"/>
        <v>800</v>
      </c>
      <c r="C40" s="455">
        <v>800</v>
      </c>
      <c r="D40" s="194">
        <f t="shared" si="12"/>
        <v>800</v>
      </c>
      <c r="E40" s="194">
        <f t="shared" si="12"/>
        <v>800</v>
      </c>
      <c r="F40" s="150">
        <f t="shared" si="13"/>
        <v>49500.000000000007</v>
      </c>
      <c r="G40" s="455">
        <v>45000</v>
      </c>
      <c r="H40" s="254">
        <f>G40*(1-(1-Capacity!$H$35)*Capacity!$F$38)</f>
        <v>45000</v>
      </c>
      <c r="I40" s="254">
        <f>G40*(1-(1-Capacity!$I$35)*Capacity!$G$38)</f>
        <v>49500.000000000007</v>
      </c>
      <c r="J40" s="150">
        <f t="shared" si="14"/>
        <v>82500</v>
      </c>
      <c r="K40" s="164">
        <f t="shared" si="15"/>
        <v>75000</v>
      </c>
      <c r="L40" s="254">
        <f>K40*(1-(1-Capacity!$H$35)*Capacity!$F$38)</f>
        <v>75000</v>
      </c>
      <c r="M40" s="254">
        <f>K40*(1-(1-Capacity!$I$35)*Capacity!$G$38)</f>
        <v>82500</v>
      </c>
    </row>
    <row r="41" spans="1:13">
      <c r="A41" s="35" t="str">
        <f t="shared" si="10"/>
        <v>40 - 44</v>
      </c>
      <c r="B41" s="150">
        <f t="shared" si="11"/>
        <v>800</v>
      </c>
      <c r="C41" s="455">
        <v>800</v>
      </c>
      <c r="D41" s="194">
        <f t="shared" si="12"/>
        <v>800</v>
      </c>
      <c r="E41" s="194">
        <f t="shared" si="12"/>
        <v>800</v>
      </c>
      <c r="F41" s="150">
        <f t="shared" si="13"/>
        <v>49500.000000000007</v>
      </c>
      <c r="G41" s="455">
        <v>45000</v>
      </c>
      <c r="H41" s="254">
        <f>G41*(1-(1-Capacity!$H$35)*Capacity!$F$38)</f>
        <v>45000</v>
      </c>
      <c r="I41" s="254">
        <f>G41*(1-(1-Capacity!$I$35)*Capacity!$G$38)</f>
        <v>49500.000000000007</v>
      </c>
      <c r="J41" s="150">
        <f t="shared" si="14"/>
        <v>82500</v>
      </c>
      <c r="K41" s="164">
        <f t="shared" si="15"/>
        <v>75000</v>
      </c>
      <c r="L41" s="254">
        <f>K41*(1-(1-Capacity!$H$35)*Capacity!$F$38)</f>
        <v>75000</v>
      </c>
      <c r="M41" s="254">
        <f>K41*(1-(1-Capacity!$I$35)*Capacity!$G$38)</f>
        <v>82500</v>
      </c>
    </row>
    <row r="42" spans="1:13">
      <c r="A42" s="35" t="str">
        <f t="shared" si="10"/>
        <v>45 - 49</v>
      </c>
      <c r="B42" s="150">
        <f t="shared" si="11"/>
        <v>800</v>
      </c>
      <c r="C42" s="455">
        <v>800</v>
      </c>
      <c r="D42" s="194">
        <f t="shared" si="12"/>
        <v>800</v>
      </c>
      <c r="E42" s="194">
        <f t="shared" si="12"/>
        <v>800</v>
      </c>
      <c r="F42" s="150">
        <f t="shared" si="13"/>
        <v>49500.000000000007</v>
      </c>
      <c r="G42" s="455">
        <v>45000</v>
      </c>
      <c r="H42" s="254">
        <f>G42*(1-(1-Capacity!$H$35)*Capacity!$F$38)</f>
        <v>45000</v>
      </c>
      <c r="I42" s="254">
        <f>G42*(1-(1-Capacity!$I$35)*Capacity!$G$38)</f>
        <v>49500.000000000007</v>
      </c>
      <c r="J42" s="150">
        <f t="shared" si="14"/>
        <v>99000.000000000015</v>
      </c>
      <c r="K42" s="164">
        <f t="shared" si="15"/>
        <v>90000</v>
      </c>
      <c r="L42" s="254">
        <f>K42*(1-(1-Capacity!$H$35)*Capacity!$F$38)</f>
        <v>90000</v>
      </c>
      <c r="M42" s="254">
        <f>K42*(1-(1-Capacity!$I$35)*Capacity!$G$38)</f>
        <v>99000.000000000015</v>
      </c>
    </row>
    <row r="43" spans="1:13">
      <c r="A43" s="35" t="str">
        <f t="shared" si="10"/>
        <v>50 - 54</v>
      </c>
      <c r="B43" s="150">
        <f t="shared" si="11"/>
        <v>800</v>
      </c>
      <c r="C43" s="455">
        <v>800</v>
      </c>
      <c r="D43" s="194">
        <f t="shared" si="12"/>
        <v>800</v>
      </c>
      <c r="E43" s="194">
        <f t="shared" si="12"/>
        <v>800</v>
      </c>
      <c r="F43" s="150">
        <f t="shared" si="13"/>
        <v>44000</v>
      </c>
      <c r="G43" s="455">
        <v>40000</v>
      </c>
      <c r="H43" s="254">
        <f>G43*(1-(1-Capacity!$H$35)*Capacity!$F$38)</f>
        <v>40000</v>
      </c>
      <c r="I43" s="254">
        <f>G43*(1-(1-Capacity!$I$35)*Capacity!$G$38)</f>
        <v>44000</v>
      </c>
      <c r="J43" s="150">
        <f t="shared" si="14"/>
        <v>132000</v>
      </c>
      <c r="K43" s="164">
        <f t="shared" si="15"/>
        <v>120000</v>
      </c>
      <c r="L43" s="254">
        <f>K43*(1-(1-Capacity!$H$35)*Capacity!$F$38)</f>
        <v>120000</v>
      </c>
      <c r="M43" s="254">
        <f>K43*(1-(1-Capacity!$I$35)*Capacity!$G$38)</f>
        <v>132000</v>
      </c>
    </row>
    <row r="44" spans="1:13">
      <c r="A44" s="35" t="str">
        <f t="shared" si="10"/>
        <v>55 - 59</v>
      </c>
      <c r="B44" s="150">
        <f t="shared" si="11"/>
        <v>800</v>
      </c>
      <c r="C44" s="455">
        <v>800</v>
      </c>
      <c r="D44" s="194">
        <f t="shared" si="12"/>
        <v>800</v>
      </c>
      <c r="E44" s="194">
        <f t="shared" si="12"/>
        <v>800</v>
      </c>
      <c r="F44" s="150">
        <f t="shared" si="13"/>
        <v>44000</v>
      </c>
      <c r="G44" s="455">
        <v>40000</v>
      </c>
      <c r="H44" s="254">
        <f>G44*(1-(1-Capacity!$H$35)*Capacity!$F$38)</f>
        <v>40000</v>
      </c>
      <c r="I44" s="254">
        <f>G44*(1-(1-Capacity!$I$35)*Capacity!$G$38)</f>
        <v>44000</v>
      </c>
      <c r="J44" s="150">
        <f t="shared" si="14"/>
        <v>132000</v>
      </c>
      <c r="K44" s="164">
        <f t="shared" si="15"/>
        <v>120000</v>
      </c>
      <c r="L44" s="254">
        <f>K44*(1-(1-Capacity!$H$35)*Capacity!$F$38)</f>
        <v>120000</v>
      </c>
      <c r="M44" s="254">
        <f>K44*(1-(1-Capacity!$I$35)*Capacity!$G$38)</f>
        <v>132000</v>
      </c>
    </row>
    <row r="45" spans="1:13">
      <c r="A45" s="35" t="str">
        <f t="shared" si="10"/>
        <v>60 - 64</v>
      </c>
      <c r="B45" s="150">
        <f t="shared" si="11"/>
        <v>800</v>
      </c>
      <c r="C45" s="455">
        <v>800</v>
      </c>
      <c r="D45" s="194">
        <f t="shared" si="12"/>
        <v>800</v>
      </c>
      <c r="E45" s="194">
        <f t="shared" si="12"/>
        <v>800</v>
      </c>
      <c r="F45" s="150">
        <f t="shared" si="13"/>
        <v>44000</v>
      </c>
      <c r="G45" s="455">
        <v>40000</v>
      </c>
      <c r="H45" s="254">
        <f>G45*(1-(1-Capacity!$H$35)*Capacity!$F$38)</f>
        <v>40000</v>
      </c>
      <c r="I45" s="254">
        <f>G45*(1-(1-Capacity!$I$35)*Capacity!$G$38)</f>
        <v>44000</v>
      </c>
      <c r="J45" s="150">
        <f t="shared" si="14"/>
        <v>132000</v>
      </c>
      <c r="K45" s="164">
        <f t="shared" si="15"/>
        <v>120000</v>
      </c>
      <c r="L45" s="254">
        <f>K45*(1-(1-Capacity!$H$35)*Capacity!$F$38)</f>
        <v>120000</v>
      </c>
      <c r="M45" s="254">
        <f>K45*(1-(1-Capacity!$I$35)*Capacity!$G$38)</f>
        <v>132000</v>
      </c>
    </row>
    <row r="46" spans="1:13">
      <c r="A46" s="35" t="str">
        <f t="shared" si="10"/>
        <v>65 - 69</v>
      </c>
      <c r="B46" s="150">
        <f t="shared" si="11"/>
        <v>650</v>
      </c>
      <c r="C46" s="455">
        <v>650</v>
      </c>
      <c r="D46" s="194">
        <f t="shared" si="12"/>
        <v>650</v>
      </c>
      <c r="E46" s="194">
        <f t="shared" si="12"/>
        <v>650</v>
      </c>
      <c r="F46" s="150">
        <f t="shared" si="13"/>
        <v>27500.000000000004</v>
      </c>
      <c r="G46" s="455">
        <v>25000</v>
      </c>
      <c r="H46" s="254">
        <f>G46*(1-(1-Capacity!$H$35)*Capacity!$F$38)</f>
        <v>25000</v>
      </c>
      <c r="I46" s="254">
        <f>G46*(1-(1-Capacity!$I$35)*Capacity!$G$38)</f>
        <v>27500.000000000004</v>
      </c>
      <c r="J46" s="150">
        <f t="shared" si="14"/>
        <v>66000</v>
      </c>
      <c r="K46" s="164">
        <f t="shared" si="15"/>
        <v>60000</v>
      </c>
      <c r="L46" s="254">
        <f>K46*(1-(1-Capacity!$H$35)*Capacity!$F$38)</f>
        <v>60000</v>
      </c>
      <c r="M46" s="254">
        <f>K46*(1-(1-Capacity!$I$35)*Capacity!$G$38)</f>
        <v>66000</v>
      </c>
    </row>
    <row r="47" spans="1:13">
      <c r="A47" s="35" t="str">
        <f t="shared" si="10"/>
        <v>70 - 74</v>
      </c>
      <c r="B47" s="150">
        <f t="shared" si="11"/>
        <v>500</v>
      </c>
      <c r="C47" s="455">
        <v>500</v>
      </c>
      <c r="D47" s="194">
        <f t="shared" si="12"/>
        <v>500</v>
      </c>
      <c r="E47" s="194">
        <f t="shared" si="12"/>
        <v>500</v>
      </c>
      <c r="F47" s="150">
        <f t="shared" si="13"/>
        <v>16500</v>
      </c>
      <c r="G47" s="455">
        <v>15000</v>
      </c>
      <c r="H47" s="254">
        <f>G47*(1-(1-Capacity!$H$35)*Capacity!$F$38)</f>
        <v>15000</v>
      </c>
      <c r="I47" s="254">
        <f>G47*(1-(1-Capacity!$I$35)*Capacity!$G$38)</f>
        <v>16500</v>
      </c>
      <c r="J47" s="150">
        <f t="shared" si="14"/>
        <v>39050</v>
      </c>
      <c r="K47" s="164">
        <f t="shared" si="15"/>
        <v>35500</v>
      </c>
      <c r="L47" s="254">
        <f>K47*(1-(1-Capacity!$H$35)*Capacity!$F$38)</f>
        <v>35500</v>
      </c>
      <c r="M47" s="254">
        <f>K47*(1-(1-Capacity!$I$35)*Capacity!$G$38)</f>
        <v>39050</v>
      </c>
    </row>
    <row r="48" spans="1:13">
      <c r="A48" s="35" t="str">
        <f t="shared" si="10"/>
        <v>75 - 79</v>
      </c>
      <c r="B48" s="150">
        <f t="shared" si="11"/>
        <v>500</v>
      </c>
      <c r="C48" s="455">
        <v>500</v>
      </c>
      <c r="D48" s="194">
        <f t="shared" si="12"/>
        <v>500</v>
      </c>
      <c r="E48" s="194">
        <f t="shared" si="12"/>
        <v>500</v>
      </c>
      <c r="F48" s="150">
        <f t="shared" si="13"/>
        <v>16500</v>
      </c>
      <c r="G48" s="455">
        <v>15000</v>
      </c>
      <c r="H48" s="254">
        <f>G48*(1-(1-Capacity!$H$35)*Capacity!$F$38)</f>
        <v>15000</v>
      </c>
      <c r="I48" s="254">
        <f>G48*(1-(1-Capacity!$I$35)*Capacity!$G$38)</f>
        <v>16500</v>
      </c>
      <c r="J48" s="150">
        <f t="shared" si="14"/>
        <v>39050</v>
      </c>
      <c r="K48" s="164">
        <f t="shared" si="15"/>
        <v>35500</v>
      </c>
      <c r="L48" s="254">
        <f>K48*(1-(1-Capacity!$H$35)*Capacity!$F$38)</f>
        <v>35500</v>
      </c>
      <c r="M48" s="254">
        <f>K48*(1-(1-Capacity!$I$35)*Capacity!$G$38)</f>
        <v>39050</v>
      </c>
    </row>
    <row r="49" spans="1:13">
      <c r="A49" s="35" t="str">
        <f t="shared" si="10"/>
        <v>80 - 84</v>
      </c>
      <c r="B49" s="150">
        <f t="shared" si="11"/>
        <v>500</v>
      </c>
      <c r="C49" s="455">
        <v>500</v>
      </c>
      <c r="D49" s="194">
        <f t="shared" si="12"/>
        <v>500</v>
      </c>
      <c r="E49" s="194">
        <f t="shared" si="12"/>
        <v>500</v>
      </c>
      <c r="F49" s="150">
        <f t="shared" si="13"/>
        <v>16500</v>
      </c>
      <c r="G49" s="455">
        <v>15000</v>
      </c>
      <c r="H49" s="254">
        <f>G49*(1-(1-Capacity!$H$35)*Capacity!$F$38)</f>
        <v>15000</v>
      </c>
      <c r="I49" s="254">
        <f>G49*(1-(1-Capacity!$I$35)*Capacity!$G$38)</f>
        <v>16500</v>
      </c>
      <c r="J49" s="150">
        <f t="shared" si="14"/>
        <v>39050</v>
      </c>
      <c r="K49" s="164">
        <f t="shared" si="15"/>
        <v>35500</v>
      </c>
      <c r="L49" s="254">
        <f>K49*(1-(1-Capacity!$H$35)*Capacity!$F$38)</f>
        <v>35500</v>
      </c>
      <c r="M49" s="254">
        <f>K49*(1-(1-Capacity!$I$35)*Capacity!$G$38)</f>
        <v>39050</v>
      </c>
    </row>
    <row r="50" spans="1:13">
      <c r="A50" s="35" t="str">
        <f t="shared" si="10"/>
        <v>85+</v>
      </c>
      <c r="B50" s="150">
        <f t="shared" si="11"/>
        <v>500</v>
      </c>
      <c r="C50" s="455">
        <v>500</v>
      </c>
      <c r="D50" s="194">
        <f t="shared" si="12"/>
        <v>500</v>
      </c>
      <c r="E50" s="194">
        <f t="shared" si="12"/>
        <v>500</v>
      </c>
      <c r="F50" s="150">
        <f t="shared" si="13"/>
        <v>16500</v>
      </c>
      <c r="G50" s="455">
        <v>15000</v>
      </c>
      <c r="H50" s="254">
        <f>G50*(1-(1-Capacity!$H$35)*Capacity!$F$38)</f>
        <v>15000</v>
      </c>
      <c r="I50" s="254">
        <f>G50*(1-(1-Capacity!$I$35)*Capacity!$G$38)</f>
        <v>16500</v>
      </c>
      <c r="J50" s="150">
        <f t="shared" si="14"/>
        <v>39050</v>
      </c>
      <c r="K50" s="164">
        <f t="shared" si="15"/>
        <v>35500</v>
      </c>
      <c r="L50" s="254">
        <f>K50*(1-(1-Capacity!$H$35)*Capacity!$F$38)</f>
        <v>35500</v>
      </c>
      <c r="M50" s="254">
        <f>K50*(1-(1-Capacity!$I$35)*Capacity!$G$38)</f>
        <v>39050</v>
      </c>
    </row>
    <row r="51" spans="1:13">
      <c r="A51" s="72"/>
      <c r="B51" s="72"/>
      <c r="C51" s="19"/>
      <c r="D51" s="19"/>
      <c r="E51" s="19"/>
      <c r="F51" s="19"/>
      <c r="G51" s="50"/>
      <c r="H51" s="50"/>
      <c r="I51" s="50"/>
      <c r="J51" s="50"/>
      <c r="K51" s="50"/>
    </row>
  </sheetData>
  <printOptions horizontalCentered="1"/>
  <pageMargins left="0.5" right="0.5" top="0.5" bottom="0.85" header="0.5" footer="0.35"/>
  <pageSetup scale="79" orientation="landscape" r:id="rId1"/>
  <headerFooter alignWithMargins="0">
    <oddFooter>&amp;L&amp;8&amp;F 
&amp;A&amp;C&amp;8MBA Actuaries, Inc.&amp;R&amp;8&amp;D 
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P66"/>
  <sheetViews>
    <sheetView zoomScaleNormal="100" workbookViewId="0">
      <selection activeCell="K19" sqref="K19"/>
    </sheetView>
  </sheetViews>
  <sheetFormatPr defaultRowHeight="12.75"/>
  <cols>
    <col min="1" max="1" width="8.85546875" style="249" customWidth="1"/>
    <col min="2" max="2" width="9" style="249" customWidth="1"/>
    <col min="3" max="3" width="10.28515625" style="249" customWidth="1"/>
    <col min="4" max="4" width="11.140625" style="249" bestFit="1" customWidth="1"/>
    <col min="5" max="5" width="9.5703125" style="249" bestFit="1" customWidth="1"/>
    <col min="6" max="6" width="12.7109375" style="249" customWidth="1"/>
    <col min="7" max="7" width="11.140625" style="249" bestFit="1" customWidth="1"/>
    <col min="8" max="8" width="9.7109375" style="249" bestFit="1" customWidth="1"/>
    <col min="9" max="9" width="11.140625" style="249" bestFit="1" customWidth="1"/>
    <col min="10" max="10" width="11.42578125" style="249" customWidth="1"/>
    <col min="11" max="11" width="9.5703125" style="249" bestFit="1" customWidth="1"/>
    <col min="12" max="12" width="9.7109375" style="249" bestFit="1" customWidth="1"/>
    <col min="13" max="13" width="1.85546875" style="249" customWidth="1"/>
    <col min="14" max="15" width="11.28515625" style="249" bestFit="1" customWidth="1"/>
    <col min="16" max="16" width="10.28515625" style="249" bestFit="1" customWidth="1"/>
    <col min="17" max="16384" width="9.140625" style="249"/>
  </cols>
  <sheetData>
    <row r="1" spans="1:13">
      <c r="A1" s="402" t="str">
        <f>scenario</f>
        <v>Severe Scenario, V\ Curve</v>
      </c>
      <c r="M1" s="157"/>
    </row>
    <row r="2" spans="1:13">
      <c r="M2" s="402"/>
    </row>
    <row r="3" spans="1:13" ht="15.75">
      <c r="A3" s="46" t="str">
        <f>LOB_1&amp;" Case Distribution by Provider and Risk Class"</f>
        <v>Health Plan Commercial Risk Case Distribution by Provider and Risk Class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3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3">
      <c r="C5" s="250" t="s">
        <v>216</v>
      </c>
      <c r="D5" s="232">
        <f>LOB1Pop</f>
        <v>1404000</v>
      </c>
      <c r="F5" s="250" t="s">
        <v>219</v>
      </c>
      <c r="G5" s="253">
        <f>UtilAdj</f>
        <v>0.97499999999999998</v>
      </c>
      <c r="J5" s="250"/>
      <c r="K5" s="253"/>
    </row>
    <row r="6" spans="1:13">
      <c r="C6" s="250" t="s">
        <v>218</v>
      </c>
      <c r="D6" s="253">
        <f>+MortRatio</f>
        <v>0.76900000000000002</v>
      </c>
      <c r="F6" s="250" t="s">
        <v>220</v>
      </c>
      <c r="G6" s="253">
        <f>RiskAdj</f>
        <v>0.92500000000000004</v>
      </c>
      <c r="J6" s="250"/>
      <c r="K6" s="253"/>
    </row>
    <row r="7" spans="1:13">
      <c r="E7" s="252"/>
    </row>
    <row r="8" spans="1:13">
      <c r="A8" s="32" t="s">
        <v>34</v>
      </c>
      <c r="B8" s="296" t="s">
        <v>149</v>
      </c>
      <c r="C8" s="297"/>
      <c r="D8" s="290" t="s">
        <v>44</v>
      </c>
      <c r="F8" s="291" t="s">
        <v>151</v>
      </c>
      <c r="G8" s="97" t="s">
        <v>56</v>
      </c>
      <c r="H8" s="98"/>
      <c r="I8" s="99"/>
      <c r="J8" s="97" t="s">
        <v>57</v>
      </c>
      <c r="K8" s="98"/>
      <c r="L8" s="99"/>
    </row>
    <row r="9" spans="1:13">
      <c r="A9" s="32" t="s">
        <v>35</v>
      </c>
      <c r="B9" s="292" t="s">
        <v>148</v>
      </c>
      <c r="C9" s="298" t="s">
        <v>150</v>
      </c>
      <c r="D9" s="292" t="s">
        <v>143</v>
      </c>
      <c r="E9" s="220" t="s">
        <v>36</v>
      </c>
      <c r="F9" s="293" t="s">
        <v>93</v>
      </c>
      <c r="G9" s="81" t="str">
        <f>_PR1</f>
        <v>Not Seeking</v>
      </c>
      <c r="H9" s="145" t="str">
        <f>_PR2</f>
        <v>Outpatient</v>
      </c>
      <c r="I9" s="82" t="str">
        <f>_PR3</f>
        <v>Hospital</v>
      </c>
      <c r="J9" s="81" t="str">
        <f>_PR1</f>
        <v>Not Seeking</v>
      </c>
      <c r="K9" s="145" t="str">
        <f>_PR2</f>
        <v>Outpatient</v>
      </c>
      <c r="L9" s="82" t="str">
        <f>_PR3</f>
        <v>Hospital</v>
      </c>
    </row>
    <row r="10" spans="1:13">
      <c r="A10" s="274"/>
      <c r="B10" s="57">
        <v>-7</v>
      </c>
      <c r="C10" s="143">
        <f>+B10-1</f>
        <v>-8</v>
      </c>
      <c r="D10" s="141">
        <f t="shared" ref="D10:L10" si="0">+C10-1</f>
        <v>-9</v>
      </c>
      <c r="E10" s="142">
        <f t="shared" si="0"/>
        <v>-10</v>
      </c>
      <c r="F10" s="143">
        <f t="shared" si="0"/>
        <v>-11</v>
      </c>
      <c r="G10" s="141">
        <f t="shared" si="0"/>
        <v>-12</v>
      </c>
      <c r="H10" s="142">
        <f t="shared" si="0"/>
        <v>-13</v>
      </c>
      <c r="I10" s="143">
        <f t="shared" si="0"/>
        <v>-14</v>
      </c>
      <c r="J10" s="141">
        <f t="shared" si="0"/>
        <v>-15</v>
      </c>
      <c r="K10" s="142">
        <f t="shared" si="0"/>
        <v>-16</v>
      </c>
      <c r="L10" s="143">
        <f t="shared" si="0"/>
        <v>-17</v>
      </c>
    </row>
    <row r="11" spans="1:13" ht="5.0999999999999996" customHeight="1">
      <c r="B11" s="273"/>
      <c r="C11" s="275"/>
      <c r="D11" s="273"/>
      <c r="E11" s="274"/>
      <c r="F11" s="275"/>
      <c r="G11" s="273"/>
      <c r="H11" s="274"/>
      <c r="I11" s="275"/>
      <c r="J11" s="273"/>
      <c r="K11" s="274"/>
      <c r="L11" s="275"/>
    </row>
    <row r="12" spans="1:13">
      <c r="A12" s="35" t="str">
        <f>+'Total Costs'!A9</f>
        <v>0 - 4</v>
      </c>
      <c r="B12" s="299">
        <f>ROUND('Pandemic Calculations'!B14/SUM('Pandemic Calculations'!$B$14:$B$31),3)</f>
        <v>6.2E-2</v>
      </c>
      <c r="C12" s="287">
        <f t="shared" ref="C12:C29" si="1">+B12*LOB1Pop</f>
        <v>87048</v>
      </c>
      <c r="D12" s="294">
        <f>ROUND(MortRatio*'Pandemic Calculations'!C14,3)</f>
        <v>1.2999999999999999E-2</v>
      </c>
      <c r="E12" s="295">
        <f t="shared" ref="E12:E29" si="2">ROUND(C12*D12/1000,0)</f>
        <v>1</v>
      </c>
      <c r="F12" s="287">
        <f t="shared" ref="F12:F29" si="3">ROUND(Morbidity*(C12-E12/Morbidity),0)</f>
        <v>26113</v>
      </c>
      <c r="G12" s="278">
        <f t="shared" ref="G12:G29" si="4">1-H12-I12</f>
        <v>0.31799999999999995</v>
      </c>
      <c r="H12" s="276">
        <f>ROUND(UtilAdj*'Dist by Provider H1N1'!G9,3)</f>
        <v>0.53600000000000003</v>
      </c>
      <c r="I12" s="277">
        <f>ROUND(UtilAdj*'Dist by Provider H1N1'!H9,3)</f>
        <v>0.14599999999999999</v>
      </c>
      <c r="J12" s="280">
        <f t="shared" ref="J12:L29" si="5">ROUND(G12*$F12,0)</f>
        <v>8304</v>
      </c>
      <c r="K12" s="281">
        <f t="shared" si="5"/>
        <v>13997</v>
      </c>
      <c r="L12" s="282">
        <f t="shared" si="5"/>
        <v>3812</v>
      </c>
    </row>
    <row r="13" spans="1:13">
      <c r="A13" s="35" t="str">
        <f>+'Total Costs'!A10</f>
        <v>5 - 9</v>
      </c>
      <c r="B13" s="299">
        <f>ROUND('Pandemic Calculations'!B15/SUM('Pandemic Calculations'!$B$14:$B$31),3)</f>
        <v>6.4000000000000001E-2</v>
      </c>
      <c r="C13" s="287">
        <f t="shared" si="1"/>
        <v>89856</v>
      </c>
      <c r="D13" s="294">
        <f>ROUND(MortRatio*'Pandemic Calculations'!C15,3)</f>
        <v>1.2999999999999999E-2</v>
      </c>
      <c r="E13" s="295">
        <f t="shared" si="2"/>
        <v>1</v>
      </c>
      <c r="F13" s="287">
        <f t="shared" si="3"/>
        <v>26956</v>
      </c>
      <c r="G13" s="278">
        <f t="shared" si="4"/>
        <v>0.57599999999999996</v>
      </c>
      <c r="H13" s="276">
        <f>ROUND(UtilAdj*'Dist by Provider H1N1'!G10,3)</f>
        <v>0.39</v>
      </c>
      <c r="I13" s="277">
        <f>ROUND(UtilAdj*'Dist by Provider H1N1'!H10,3)</f>
        <v>3.4000000000000002E-2</v>
      </c>
      <c r="J13" s="280">
        <f t="shared" si="5"/>
        <v>15527</v>
      </c>
      <c r="K13" s="281">
        <f t="shared" si="5"/>
        <v>10513</v>
      </c>
      <c r="L13" s="282">
        <f t="shared" si="5"/>
        <v>917</v>
      </c>
    </row>
    <row r="14" spans="1:13">
      <c r="A14" s="35" t="str">
        <f>+'Total Costs'!A11</f>
        <v>10 - 14</v>
      </c>
      <c r="B14" s="299">
        <f>ROUND('Pandemic Calculations'!B16/SUM('Pandemic Calculations'!$B$14:$B$31),3)</f>
        <v>6.5000000000000002E-2</v>
      </c>
      <c r="C14" s="287">
        <f t="shared" si="1"/>
        <v>91260</v>
      </c>
      <c r="D14" s="294">
        <f>ROUND(MortRatio*'Pandemic Calculations'!C16,3)</f>
        <v>1.2999999999999999E-2</v>
      </c>
      <c r="E14" s="295">
        <f t="shared" si="2"/>
        <v>1</v>
      </c>
      <c r="F14" s="287">
        <f t="shared" si="3"/>
        <v>27377</v>
      </c>
      <c r="G14" s="278">
        <f t="shared" si="4"/>
        <v>0.57599999999999996</v>
      </c>
      <c r="H14" s="276">
        <f>ROUND(UtilAdj*'Dist by Provider H1N1'!G11,3)</f>
        <v>0.39</v>
      </c>
      <c r="I14" s="277">
        <f>ROUND(UtilAdj*'Dist by Provider H1N1'!H11,3)</f>
        <v>3.4000000000000002E-2</v>
      </c>
      <c r="J14" s="280">
        <f t="shared" si="5"/>
        <v>15769</v>
      </c>
      <c r="K14" s="281">
        <f t="shared" si="5"/>
        <v>10677</v>
      </c>
      <c r="L14" s="282">
        <f t="shared" si="5"/>
        <v>931</v>
      </c>
    </row>
    <row r="15" spans="1:13">
      <c r="A15" s="35" t="str">
        <f>+'Total Costs'!A12</f>
        <v>15 - 19</v>
      </c>
      <c r="B15" s="299">
        <f>ROUND('Pandemic Calculations'!B17/SUM('Pandemic Calculations'!$B$14:$B$31),3)</f>
        <v>6.6000000000000003E-2</v>
      </c>
      <c r="C15" s="287">
        <f t="shared" si="1"/>
        <v>92664</v>
      </c>
      <c r="D15" s="294">
        <f>ROUND(MortRatio*'Pandemic Calculations'!C17,3)</f>
        <v>1.2999999999999999E-2</v>
      </c>
      <c r="E15" s="295">
        <f t="shared" si="2"/>
        <v>1</v>
      </c>
      <c r="F15" s="287">
        <f t="shared" si="3"/>
        <v>27798</v>
      </c>
      <c r="G15" s="278">
        <f t="shared" si="4"/>
        <v>0.54200000000000004</v>
      </c>
      <c r="H15" s="276">
        <f>ROUND(UtilAdj*'Dist by Provider H1N1'!G12,3)</f>
        <v>0.39</v>
      </c>
      <c r="I15" s="277">
        <f>ROUND(UtilAdj*'Dist by Provider H1N1'!H12,3)</f>
        <v>6.8000000000000005E-2</v>
      </c>
      <c r="J15" s="280">
        <f t="shared" si="5"/>
        <v>15067</v>
      </c>
      <c r="K15" s="281">
        <f t="shared" si="5"/>
        <v>10841</v>
      </c>
      <c r="L15" s="282">
        <f t="shared" si="5"/>
        <v>1890</v>
      </c>
    </row>
    <row r="16" spans="1:13">
      <c r="A16" s="35" t="str">
        <f>+'Total Costs'!A13</f>
        <v>20 - 24</v>
      </c>
      <c r="B16" s="299">
        <f>ROUND('Pandemic Calculations'!B18/SUM('Pandemic Calculations'!$B$14:$B$31),3)</f>
        <v>7.1999999999999995E-2</v>
      </c>
      <c r="C16" s="287">
        <f t="shared" si="1"/>
        <v>101087.99999999999</v>
      </c>
      <c r="D16" s="294">
        <f>ROUND(MortRatio*'Pandemic Calculations'!C18,3)</f>
        <v>3.6999999999999998E-2</v>
      </c>
      <c r="E16" s="295">
        <f t="shared" si="2"/>
        <v>4</v>
      </c>
      <c r="F16" s="287">
        <f t="shared" si="3"/>
        <v>30322</v>
      </c>
      <c r="G16" s="278">
        <f t="shared" si="4"/>
        <v>0.46299999999999997</v>
      </c>
      <c r="H16" s="276">
        <f>ROUND(UtilAdj*'Dist by Provider H1N1'!G13,3)</f>
        <v>0.439</v>
      </c>
      <c r="I16" s="277">
        <f>ROUND(UtilAdj*'Dist by Provider H1N1'!H13,3)</f>
        <v>9.8000000000000004E-2</v>
      </c>
      <c r="J16" s="280">
        <f t="shared" si="5"/>
        <v>14039</v>
      </c>
      <c r="K16" s="281">
        <f t="shared" si="5"/>
        <v>13311</v>
      </c>
      <c r="L16" s="282">
        <f t="shared" si="5"/>
        <v>2972</v>
      </c>
    </row>
    <row r="17" spans="1:16">
      <c r="A17" s="35" t="str">
        <f>+'Total Costs'!A14</f>
        <v>25 - 29</v>
      </c>
      <c r="B17" s="299">
        <f>ROUND('Pandemic Calculations'!B19/SUM('Pandemic Calculations'!$B$14:$B$31),3)</f>
        <v>6.9000000000000006E-2</v>
      </c>
      <c r="C17" s="287">
        <f t="shared" si="1"/>
        <v>96876.000000000015</v>
      </c>
      <c r="D17" s="294">
        <f>ROUND(MortRatio*'Pandemic Calculations'!C19,3)</f>
        <v>3.6999999999999998E-2</v>
      </c>
      <c r="E17" s="295">
        <f t="shared" si="2"/>
        <v>4</v>
      </c>
      <c r="F17" s="287">
        <f t="shared" si="3"/>
        <v>29059</v>
      </c>
      <c r="G17" s="278">
        <f t="shared" si="4"/>
        <v>0.43399999999999994</v>
      </c>
      <c r="H17" s="276">
        <f>ROUND(UtilAdj*'Dist by Provider H1N1'!G14,3)</f>
        <v>0.439</v>
      </c>
      <c r="I17" s="277">
        <f>ROUND(UtilAdj*'Dist by Provider H1N1'!H14,3)</f>
        <v>0.127</v>
      </c>
      <c r="J17" s="280">
        <f t="shared" si="5"/>
        <v>12612</v>
      </c>
      <c r="K17" s="281">
        <f t="shared" si="5"/>
        <v>12757</v>
      </c>
      <c r="L17" s="282">
        <f t="shared" si="5"/>
        <v>3690</v>
      </c>
    </row>
    <row r="18" spans="1:16">
      <c r="A18" s="35" t="str">
        <f>+'Total Costs'!A15</f>
        <v>30 - 34</v>
      </c>
      <c r="B18" s="299">
        <f>ROUND('Pandemic Calculations'!B20/SUM('Pandemic Calculations'!$B$14:$B$31),3)</f>
        <v>6.8000000000000005E-2</v>
      </c>
      <c r="C18" s="287">
        <f t="shared" si="1"/>
        <v>95472</v>
      </c>
      <c r="D18" s="294">
        <f>ROUND(MortRatio*'Pandemic Calculations'!C20,3)</f>
        <v>3.6999999999999998E-2</v>
      </c>
      <c r="E18" s="295">
        <f t="shared" si="2"/>
        <v>4</v>
      </c>
      <c r="F18" s="287">
        <f t="shared" si="3"/>
        <v>28638</v>
      </c>
      <c r="G18" s="278">
        <f t="shared" si="4"/>
        <v>0.43399999999999994</v>
      </c>
      <c r="H18" s="276">
        <f>ROUND(UtilAdj*'Dist by Provider H1N1'!G15,3)</f>
        <v>0.439</v>
      </c>
      <c r="I18" s="277">
        <f>ROUND(UtilAdj*'Dist by Provider H1N1'!H15,3)</f>
        <v>0.127</v>
      </c>
      <c r="J18" s="280">
        <f t="shared" si="5"/>
        <v>12429</v>
      </c>
      <c r="K18" s="281">
        <f t="shared" si="5"/>
        <v>12572</v>
      </c>
      <c r="L18" s="282">
        <f t="shared" si="5"/>
        <v>3637</v>
      </c>
    </row>
    <row r="19" spans="1:16">
      <c r="A19" s="35" t="str">
        <f>+'Total Costs'!A16</f>
        <v>35 - 39</v>
      </c>
      <c r="B19" s="299">
        <f>ROUND('Pandemic Calculations'!B21/SUM('Pandemic Calculations'!$B$14:$B$31),3)</f>
        <v>6.2E-2</v>
      </c>
      <c r="C19" s="287">
        <f t="shared" si="1"/>
        <v>87048</v>
      </c>
      <c r="D19" s="294">
        <f>ROUND(MortRatio*'Pandemic Calculations'!C21,3)</f>
        <v>3.6999999999999998E-2</v>
      </c>
      <c r="E19" s="295">
        <f t="shared" si="2"/>
        <v>3</v>
      </c>
      <c r="F19" s="287">
        <f t="shared" si="3"/>
        <v>26111</v>
      </c>
      <c r="G19" s="278">
        <f t="shared" si="4"/>
        <v>0.46299999999999997</v>
      </c>
      <c r="H19" s="276">
        <f>ROUND(UtilAdj*'Dist by Provider H1N1'!G16,3)</f>
        <v>0.439</v>
      </c>
      <c r="I19" s="277">
        <f>ROUND(UtilAdj*'Dist by Provider H1N1'!H16,3)</f>
        <v>9.8000000000000004E-2</v>
      </c>
      <c r="J19" s="280">
        <f t="shared" si="5"/>
        <v>12089</v>
      </c>
      <c r="K19" s="281">
        <f t="shared" si="5"/>
        <v>11463</v>
      </c>
      <c r="L19" s="282">
        <f t="shared" si="5"/>
        <v>2559</v>
      </c>
    </row>
    <row r="20" spans="1:16">
      <c r="A20" s="35" t="str">
        <f>+'Total Costs'!A17</f>
        <v>40 - 44</v>
      </c>
      <c r="B20" s="299">
        <f>ROUND('Pandemic Calculations'!B22/SUM('Pandemic Calculations'!$B$14:$B$31),3)</f>
        <v>6.5000000000000002E-2</v>
      </c>
      <c r="C20" s="287">
        <f t="shared" si="1"/>
        <v>91260</v>
      </c>
      <c r="D20" s="294">
        <f>ROUND(MortRatio*'Pandemic Calculations'!C22,3)</f>
        <v>3.6999999999999998E-2</v>
      </c>
      <c r="E20" s="295">
        <f t="shared" si="2"/>
        <v>3</v>
      </c>
      <c r="F20" s="287">
        <f t="shared" si="3"/>
        <v>27375</v>
      </c>
      <c r="G20" s="278">
        <f t="shared" si="4"/>
        <v>0.49299999999999994</v>
      </c>
      <c r="H20" s="276">
        <f>ROUND(UtilAdj*'Dist by Provider H1N1'!G17,3)</f>
        <v>0.439</v>
      </c>
      <c r="I20" s="277">
        <f>ROUND(UtilAdj*'Dist by Provider H1N1'!H17,3)</f>
        <v>6.8000000000000005E-2</v>
      </c>
      <c r="J20" s="280">
        <f t="shared" si="5"/>
        <v>13496</v>
      </c>
      <c r="K20" s="281">
        <f t="shared" si="5"/>
        <v>12018</v>
      </c>
      <c r="L20" s="282">
        <f t="shared" si="5"/>
        <v>1862</v>
      </c>
    </row>
    <row r="21" spans="1:16">
      <c r="A21" s="35" t="str">
        <f>+'Total Costs'!A18</f>
        <v>45 - 49</v>
      </c>
      <c r="B21" s="299">
        <f>ROUND('Pandemic Calculations'!B23/SUM('Pandemic Calculations'!$B$14:$B$31),3)</f>
        <v>6.6000000000000003E-2</v>
      </c>
      <c r="C21" s="287">
        <f t="shared" si="1"/>
        <v>92664</v>
      </c>
      <c r="D21" s="294">
        <f>ROUND(MortRatio*'Pandemic Calculations'!C23,3)</f>
        <v>3.6999999999999998E-2</v>
      </c>
      <c r="E21" s="295">
        <f t="shared" si="2"/>
        <v>3</v>
      </c>
      <c r="F21" s="287">
        <f t="shared" si="3"/>
        <v>27796</v>
      </c>
      <c r="G21" s="278">
        <f t="shared" si="4"/>
        <v>0.5119999999999999</v>
      </c>
      <c r="H21" s="276">
        <f>ROUND(UtilAdj*'Dist by Provider H1N1'!G18,3)</f>
        <v>0.439</v>
      </c>
      <c r="I21" s="277">
        <f>ROUND(UtilAdj*'Dist by Provider H1N1'!H18,3)</f>
        <v>4.9000000000000002E-2</v>
      </c>
      <c r="J21" s="280">
        <f t="shared" si="5"/>
        <v>14232</v>
      </c>
      <c r="K21" s="281">
        <f t="shared" si="5"/>
        <v>12202</v>
      </c>
      <c r="L21" s="282">
        <f t="shared" si="5"/>
        <v>1362</v>
      </c>
    </row>
    <row r="22" spans="1:16">
      <c r="A22" s="35" t="str">
        <f>+'Total Costs'!A19</f>
        <v>50 - 54</v>
      </c>
      <c r="B22" s="299">
        <f>ROUND('Pandemic Calculations'!B24/SUM('Pandemic Calculations'!$B$14:$B$31),3)</f>
        <v>7.0999999999999994E-2</v>
      </c>
      <c r="C22" s="287">
        <f t="shared" si="1"/>
        <v>99683.999999999985</v>
      </c>
      <c r="D22" s="294">
        <f>ROUND(MortRatio*'Pandemic Calculations'!C24,3)</f>
        <v>3.6999999999999998E-2</v>
      </c>
      <c r="E22" s="295">
        <f t="shared" si="2"/>
        <v>4</v>
      </c>
      <c r="F22" s="287">
        <f t="shared" si="3"/>
        <v>29901</v>
      </c>
      <c r="G22" s="278">
        <f t="shared" si="4"/>
        <v>0.52699999999999991</v>
      </c>
      <c r="H22" s="276">
        <f>ROUND(UtilAdj*'Dist by Provider H1N1'!G19,3)</f>
        <v>0.439</v>
      </c>
      <c r="I22" s="277">
        <f>ROUND(UtilAdj*'Dist by Provider H1N1'!H19,3)</f>
        <v>3.4000000000000002E-2</v>
      </c>
      <c r="J22" s="280">
        <f t="shared" si="5"/>
        <v>15758</v>
      </c>
      <c r="K22" s="281">
        <f t="shared" si="5"/>
        <v>13127</v>
      </c>
      <c r="L22" s="282">
        <f t="shared" si="5"/>
        <v>1017</v>
      </c>
    </row>
    <row r="23" spans="1:16">
      <c r="A23" s="35" t="str">
        <f>+'Total Costs'!A20</f>
        <v>55 - 59</v>
      </c>
      <c r="B23" s="299">
        <f>ROUND('Pandemic Calculations'!B25/SUM('Pandemic Calculations'!$B$14:$B$31),3)</f>
        <v>6.7000000000000004E-2</v>
      </c>
      <c r="C23" s="287">
        <f t="shared" si="1"/>
        <v>94068</v>
      </c>
      <c r="D23" s="294">
        <f>ROUND(MortRatio*'Pandemic Calculations'!C25,3)</f>
        <v>3.6999999999999998E-2</v>
      </c>
      <c r="E23" s="295">
        <f t="shared" si="2"/>
        <v>3</v>
      </c>
      <c r="F23" s="287">
        <f t="shared" si="3"/>
        <v>28217</v>
      </c>
      <c r="G23" s="278">
        <f t="shared" si="4"/>
        <v>0.63500000000000001</v>
      </c>
      <c r="H23" s="276">
        <f>ROUND(UtilAdj*'Dist by Provider H1N1'!G20,3)</f>
        <v>0.34100000000000003</v>
      </c>
      <c r="I23" s="277">
        <f>ROUND(UtilAdj*'Dist by Provider H1N1'!H20,3)</f>
        <v>2.4E-2</v>
      </c>
      <c r="J23" s="280">
        <f t="shared" si="5"/>
        <v>17918</v>
      </c>
      <c r="K23" s="281">
        <f t="shared" si="5"/>
        <v>9622</v>
      </c>
      <c r="L23" s="282">
        <f t="shared" si="5"/>
        <v>677</v>
      </c>
    </row>
    <row r="24" spans="1:16">
      <c r="A24" s="35" t="str">
        <f>+'Total Costs'!A21</f>
        <v>60 - 64</v>
      </c>
      <c r="B24" s="299">
        <f>ROUND('Pandemic Calculations'!B26/SUM('Pandemic Calculations'!$B$14:$B$31),3)</f>
        <v>5.8000000000000003E-2</v>
      </c>
      <c r="C24" s="287">
        <f t="shared" si="1"/>
        <v>81432</v>
      </c>
      <c r="D24" s="294">
        <f>ROUND(MortRatio*'Pandemic Calculations'!C26,3)</f>
        <v>3.6999999999999998E-2</v>
      </c>
      <c r="E24" s="295">
        <f t="shared" si="2"/>
        <v>3</v>
      </c>
      <c r="F24" s="287">
        <f t="shared" si="3"/>
        <v>24427</v>
      </c>
      <c r="G24" s="278">
        <f t="shared" si="4"/>
        <v>0.74099999999999999</v>
      </c>
      <c r="H24" s="276">
        <f>ROUND(UtilAdj*'Dist by Provider H1N1'!G21,3)</f>
        <v>0.24399999999999999</v>
      </c>
      <c r="I24" s="277">
        <f>ROUND(UtilAdj*'Dist by Provider H1N1'!H21,3)</f>
        <v>1.4999999999999999E-2</v>
      </c>
      <c r="J24" s="280">
        <f t="shared" si="5"/>
        <v>18100</v>
      </c>
      <c r="K24" s="281">
        <f t="shared" si="5"/>
        <v>5960</v>
      </c>
      <c r="L24" s="282">
        <f t="shared" si="5"/>
        <v>366</v>
      </c>
    </row>
    <row r="25" spans="1:16">
      <c r="A25" s="35" t="str">
        <f>+'Total Costs'!A22</f>
        <v>65 - 69</v>
      </c>
      <c r="B25" s="299">
        <f>ROUND('Pandemic Calculations'!B27/SUM('Pandemic Calculations'!$B$14:$B$31),3)</f>
        <v>4.8000000000000001E-2</v>
      </c>
      <c r="C25" s="287">
        <f t="shared" si="1"/>
        <v>67392</v>
      </c>
      <c r="D25" s="294">
        <f>ROUND(MortRatio*'Pandemic Calculations'!C27,3)</f>
        <v>0.03</v>
      </c>
      <c r="E25" s="295">
        <f t="shared" si="2"/>
        <v>2</v>
      </c>
      <c r="F25" s="287">
        <f t="shared" si="3"/>
        <v>20216</v>
      </c>
      <c r="G25" s="278">
        <f t="shared" si="4"/>
        <v>0.84399999999999997</v>
      </c>
      <c r="H25" s="276">
        <f>ROUND(UtilAdj*'Dist by Provider H1N1'!G22,3)</f>
        <v>0.14599999999999999</v>
      </c>
      <c r="I25" s="277">
        <f>ROUND(UtilAdj*'Dist by Provider H1N1'!H22,3)</f>
        <v>0.01</v>
      </c>
      <c r="J25" s="280">
        <f t="shared" si="5"/>
        <v>17062</v>
      </c>
      <c r="K25" s="281">
        <f t="shared" si="5"/>
        <v>2952</v>
      </c>
      <c r="L25" s="282">
        <f t="shared" si="5"/>
        <v>202</v>
      </c>
    </row>
    <row r="26" spans="1:16">
      <c r="A26" s="35" t="str">
        <f>+'Total Costs'!A23</f>
        <v>70 - 74</v>
      </c>
      <c r="B26" s="299">
        <f>ROUND('Pandemic Calculations'!B28/SUM('Pandemic Calculations'!$B$14:$B$31),3)</f>
        <v>3.5000000000000003E-2</v>
      </c>
      <c r="C26" s="287">
        <f t="shared" si="1"/>
        <v>49140.000000000007</v>
      </c>
      <c r="D26" s="294">
        <f>ROUND(MortRatio*'Pandemic Calculations'!C28,3)</f>
        <v>0.03</v>
      </c>
      <c r="E26" s="295">
        <f t="shared" si="2"/>
        <v>1</v>
      </c>
      <c r="F26" s="287">
        <f t="shared" si="3"/>
        <v>14741</v>
      </c>
      <c r="G26" s="278">
        <f t="shared" si="4"/>
        <v>0.84399999999999997</v>
      </c>
      <c r="H26" s="276">
        <f>ROUND(UtilAdj*'Dist by Provider H1N1'!G23,3)</f>
        <v>0.14599999999999999</v>
      </c>
      <c r="I26" s="277">
        <f>ROUND(UtilAdj*'Dist by Provider H1N1'!H23,3)</f>
        <v>0.01</v>
      </c>
      <c r="J26" s="280">
        <f t="shared" si="5"/>
        <v>12441</v>
      </c>
      <c r="K26" s="281">
        <f t="shared" si="5"/>
        <v>2152</v>
      </c>
      <c r="L26" s="282">
        <f t="shared" si="5"/>
        <v>147</v>
      </c>
    </row>
    <row r="27" spans="1:16">
      <c r="A27" s="72" t="str">
        <f>+'Total Costs'!A24</f>
        <v>75 - 79</v>
      </c>
      <c r="B27" s="299">
        <f>ROUND('Pandemic Calculations'!B29/SUM('Pandemic Calculations'!$B$14:$B$31),3)</f>
        <v>2.5000000000000001E-2</v>
      </c>
      <c r="C27" s="287">
        <f t="shared" si="1"/>
        <v>35100</v>
      </c>
      <c r="D27" s="294">
        <f>ROUND(MortRatio*'Pandemic Calculations'!C29,3)</f>
        <v>0.03</v>
      </c>
      <c r="E27" s="295">
        <f t="shared" si="2"/>
        <v>1</v>
      </c>
      <c r="F27" s="287">
        <f t="shared" si="3"/>
        <v>10529</v>
      </c>
      <c r="G27" s="278">
        <f t="shared" si="4"/>
        <v>0.84399999999999997</v>
      </c>
      <c r="H27" s="276">
        <f>ROUND(UtilAdj*'Dist by Provider H1N1'!G24,3)</f>
        <v>0.14599999999999999</v>
      </c>
      <c r="I27" s="277">
        <f>ROUND(UtilAdj*'Dist by Provider H1N1'!H24,3)</f>
        <v>0.01</v>
      </c>
      <c r="J27" s="280">
        <f t="shared" si="5"/>
        <v>8886</v>
      </c>
      <c r="K27" s="281">
        <f t="shared" si="5"/>
        <v>1537</v>
      </c>
      <c r="L27" s="282">
        <f t="shared" si="5"/>
        <v>105</v>
      </c>
    </row>
    <row r="28" spans="1:16">
      <c r="A28" s="72" t="str">
        <f>+'Total Costs'!A25</f>
        <v>80 - 84</v>
      </c>
      <c r="B28" s="299">
        <f>ROUND('Pandemic Calculations'!B30/SUM('Pandemic Calculations'!$B$14:$B$31),3)</f>
        <v>1.7999999999999999E-2</v>
      </c>
      <c r="C28" s="287">
        <f t="shared" si="1"/>
        <v>25271.999999999996</v>
      </c>
      <c r="D28" s="294">
        <f>ROUND(MortRatio*'Pandemic Calculations'!C30,3)</f>
        <v>0.03</v>
      </c>
      <c r="E28" s="295">
        <f t="shared" si="2"/>
        <v>1</v>
      </c>
      <c r="F28" s="287">
        <f t="shared" si="3"/>
        <v>7581</v>
      </c>
      <c r="G28" s="278">
        <f t="shared" si="4"/>
        <v>0.84399999999999997</v>
      </c>
      <c r="H28" s="276">
        <f>ROUND(UtilAdj*'Dist by Provider H1N1'!G25,3)</f>
        <v>0.14599999999999999</v>
      </c>
      <c r="I28" s="277">
        <f>ROUND(UtilAdj*'Dist by Provider H1N1'!H25,3)</f>
        <v>0.01</v>
      </c>
      <c r="J28" s="280">
        <f t="shared" si="5"/>
        <v>6398</v>
      </c>
      <c r="K28" s="281">
        <f t="shared" si="5"/>
        <v>1107</v>
      </c>
      <c r="L28" s="282">
        <f t="shared" si="5"/>
        <v>76</v>
      </c>
    </row>
    <row r="29" spans="1:16">
      <c r="A29" s="72" t="str">
        <f>+'Total Costs'!A26</f>
        <v>85+</v>
      </c>
      <c r="B29" s="299">
        <f>ROUND('Pandemic Calculations'!B31/SUM('Pandemic Calculations'!$B$14:$B$31),3)</f>
        <v>1.9E-2</v>
      </c>
      <c r="C29" s="288">
        <f t="shared" si="1"/>
        <v>26676</v>
      </c>
      <c r="D29" s="294">
        <f>ROUND(MortRatio*'Pandemic Calculations'!C31,3)</f>
        <v>0.03</v>
      </c>
      <c r="E29" s="272">
        <f t="shared" si="2"/>
        <v>1</v>
      </c>
      <c r="F29" s="288">
        <f t="shared" si="3"/>
        <v>8002</v>
      </c>
      <c r="G29" s="279">
        <f t="shared" si="4"/>
        <v>0.84399999999999997</v>
      </c>
      <c r="H29" s="576">
        <f>ROUND(UtilAdj*'Dist by Provider H1N1'!G26,3)</f>
        <v>0.14599999999999999</v>
      </c>
      <c r="I29" s="577">
        <f>ROUND(UtilAdj*'Dist by Provider H1N1'!H26,3)</f>
        <v>0.01</v>
      </c>
      <c r="J29" s="283">
        <f t="shared" si="5"/>
        <v>6754</v>
      </c>
      <c r="K29" s="284">
        <f t="shared" si="5"/>
        <v>1168</v>
      </c>
      <c r="L29" s="285">
        <f t="shared" si="5"/>
        <v>80</v>
      </c>
    </row>
    <row r="30" spans="1:16">
      <c r="B30" s="253">
        <f>SUM(B12:B29)</f>
        <v>1</v>
      </c>
      <c r="C30" s="251">
        <f>SUM(C12:C29)</f>
        <v>1404000</v>
      </c>
      <c r="E30" s="251">
        <f t="shared" ref="E30:L30" si="6">SUM(E12:E29)</f>
        <v>41</v>
      </c>
      <c r="F30" s="251">
        <f t="shared" si="6"/>
        <v>421159</v>
      </c>
      <c r="G30" s="251"/>
      <c r="H30" s="251"/>
      <c r="I30" s="251"/>
      <c r="J30" s="251">
        <f t="shared" si="6"/>
        <v>236881</v>
      </c>
      <c r="K30" s="251">
        <f t="shared" si="6"/>
        <v>157976</v>
      </c>
      <c r="L30" s="251">
        <f t="shared" si="6"/>
        <v>26302</v>
      </c>
      <c r="N30" s="251"/>
      <c r="O30" s="251"/>
      <c r="P30" s="251"/>
    </row>
    <row r="32" spans="1:16">
      <c r="A32" s="32" t="s">
        <v>34</v>
      </c>
      <c r="B32" s="76" t="s">
        <v>6</v>
      </c>
      <c r="C32" s="77" t="s">
        <v>6</v>
      </c>
      <c r="D32" s="97" t="s">
        <v>59</v>
      </c>
      <c r="E32" s="98"/>
      <c r="F32" s="98"/>
      <c r="G32" s="98"/>
      <c r="H32" s="97" t="s">
        <v>60</v>
      </c>
      <c r="I32" s="98"/>
      <c r="J32" s="98"/>
      <c r="K32" s="289"/>
    </row>
    <row r="33" spans="1:11">
      <c r="A33" s="32" t="s">
        <v>35</v>
      </c>
      <c r="B33" s="146" t="s">
        <v>45</v>
      </c>
      <c r="C33" s="149" t="s">
        <v>47</v>
      </c>
      <c r="D33" s="81" t="str">
        <f>_PR1</f>
        <v>Not Seeking</v>
      </c>
      <c r="E33" s="145" t="str">
        <f>_PR2</f>
        <v>Outpatient</v>
      </c>
      <c r="F33" s="355" t="s">
        <v>39</v>
      </c>
      <c r="G33" s="351" t="s">
        <v>152</v>
      </c>
      <c r="H33" s="80" t="str">
        <f>_PR1</f>
        <v>Not Seeking</v>
      </c>
      <c r="I33" s="352" t="str">
        <f>_PR2</f>
        <v>Outpatient</v>
      </c>
      <c r="J33" s="353" t="str">
        <f>_PR3</f>
        <v>Hospital</v>
      </c>
      <c r="K33" s="354" t="s">
        <v>152</v>
      </c>
    </row>
    <row r="34" spans="1:11">
      <c r="A34" s="3"/>
      <c r="B34" s="57">
        <f>-1+L10</f>
        <v>-18</v>
      </c>
      <c r="C34" s="143">
        <f>+B34-1</f>
        <v>-19</v>
      </c>
      <c r="D34" s="141">
        <f>C34-1</f>
        <v>-20</v>
      </c>
      <c r="E34" s="142">
        <f t="shared" ref="E34" si="7">D34-1</f>
        <v>-21</v>
      </c>
      <c r="F34" s="142">
        <f t="shared" ref="F34:K34" si="8">E34-1</f>
        <v>-22</v>
      </c>
      <c r="G34" s="142">
        <f t="shared" si="8"/>
        <v>-23</v>
      </c>
      <c r="H34" s="141">
        <f t="shared" si="8"/>
        <v>-24</v>
      </c>
      <c r="I34" s="142">
        <f t="shared" si="8"/>
        <v>-25</v>
      </c>
      <c r="J34" s="142">
        <f t="shared" si="8"/>
        <v>-26</v>
      </c>
      <c r="K34" s="143">
        <f t="shared" si="8"/>
        <v>-27</v>
      </c>
    </row>
    <row r="35" spans="1:11" ht="5.0999999999999996" customHeight="1">
      <c r="A35" s="3"/>
      <c r="B35" s="96"/>
      <c r="C35" s="123"/>
      <c r="D35" s="26"/>
      <c r="E35" s="28"/>
      <c r="F35" s="28"/>
      <c r="G35" s="274"/>
      <c r="H35" s="26"/>
      <c r="I35" s="28"/>
      <c r="J35" s="28"/>
      <c r="K35" s="275"/>
    </row>
    <row r="36" spans="1:11">
      <c r="A36" s="71" t="str">
        <f t="shared" ref="A36:A53" si="9">+A12</f>
        <v>0 - 4</v>
      </c>
      <c r="B36" s="147">
        <f t="shared" ref="B36:B53" si="10">1-C36</f>
        <v>0.95399999999999996</v>
      </c>
      <c r="C36" s="286">
        <f>ROUND('Pandemic Calculations'!N14*RiskAdj,3)</f>
        <v>4.5999999999999999E-2</v>
      </c>
      <c r="D36" s="90">
        <f t="shared" ref="D36:D53" si="11">ROUND($B36*J12,0)</f>
        <v>7922</v>
      </c>
      <c r="E36" s="91">
        <f t="shared" ref="E36:E53" si="12">ROUND($B36*K12,0)</f>
        <v>13353</v>
      </c>
      <c r="F36" s="91">
        <f t="shared" ref="F36:F53" si="13">+L12-J36</f>
        <v>3637</v>
      </c>
      <c r="G36" s="164">
        <f t="shared" ref="G36:G53" si="14">ROUND(E12*DthHospPct,0)-K36</f>
        <v>1</v>
      </c>
      <c r="H36" s="90">
        <f t="shared" ref="H36:H53" si="15">ROUND($C36*J12,0)</f>
        <v>382</v>
      </c>
      <c r="I36" s="91">
        <f t="shared" ref="I36:I53" si="16">ROUND($C36*K12,0)</f>
        <v>644</v>
      </c>
      <c r="J36" s="30">
        <f t="shared" ref="J36:J53" si="17">ROUND($C36*L12*(1-ICUStepdown),0)</f>
        <v>175</v>
      </c>
      <c r="K36" s="356">
        <f t="shared" ref="K36:K53" si="18">ROUND(E12*C36*DthHospPct,0)</f>
        <v>0</v>
      </c>
    </row>
    <row r="37" spans="1:11">
      <c r="A37" s="71" t="str">
        <f t="shared" si="9"/>
        <v>5 - 9</v>
      </c>
      <c r="B37" s="147">
        <f t="shared" si="10"/>
        <v>0.90700000000000003</v>
      </c>
      <c r="C37" s="286">
        <f>ROUND('Pandemic Calculations'!N15*RiskAdj,3)</f>
        <v>9.2999999999999999E-2</v>
      </c>
      <c r="D37" s="90">
        <f t="shared" si="11"/>
        <v>14083</v>
      </c>
      <c r="E37" s="91">
        <f t="shared" si="12"/>
        <v>9535</v>
      </c>
      <c r="F37" s="91">
        <f t="shared" si="13"/>
        <v>832</v>
      </c>
      <c r="G37" s="164">
        <f t="shared" si="14"/>
        <v>1</v>
      </c>
      <c r="H37" s="90">
        <f t="shared" si="15"/>
        <v>1444</v>
      </c>
      <c r="I37" s="91">
        <f t="shared" si="16"/>
        <v>978</v>
      </c>
      <c r="J37" s="30">
        <f t="shared" si="17"/>
        <v>85</v>
      </c>
      <c r="K37" s="356">
        <f t="shared" si="18"/>
        <v>0</v>
      </c>
    </row>
    <row r="38" spans="1:11">
      <c r="A38" s="71" t="str">
        <f t="shared" si="9"/>
        <v>10 - 14</v>
      </c>
      <c r="B38" s="147">
        <f t="shared" si="10"/>
        <v>0.90700000000000003</v>
      </c>
      <c r="C38" s="286">
        <f>ROUND('Pandemic Calculations'!N16*RiskAdj,3)</f>
        <v>9.2999999999999999E-2</v>
      </c>
      <c r="D38" s="90">
        <f t="shared" si="11"/>
        <v>14302</v>
      </c>
      <c r="E38" s="91">
        <f t="shared" si="12"/>
        <v>9684</v>
      </c>
      <c r="F38" s="91">
        <f t="shared" si="13"/>
        <v>844</v>
      </c>
      <c r="G38" s="164">
        <f t="shared" si="14"/>
        <v>1</v>
      </c>
      <c r="H38" s="90">
        <f t="shared" si="15"/>
        <v>1467</v>
      </c>
      <c r="I38" s="91">
        <f t="shared" si="16"/>
        <v>993</v>
      </c>
      <c r="J38" s="30">
        <f t="shared" si="17"/>
        <v>87</v>
      </c>
      <c r="K38" s="356">
        <f t="shared" si="18"/>
        <v>0</v>
      </c>
    </row>
    <row r="39" spans="1:11">
      <c r="A39" s="71" t="str">
        <f t="shared" si="9"/>
        <v>15 - 19</v>
      </c>
      <c r="B39" s="147">
        <f t="shared" si="10"/>
        <v>0.90700000000000003</v>
      </c>
      <c r="C39" s="286">
        <f>ROUND('Pandemic Calculations'!N17*RiskAdj,3)</f>
        <v>9.2999999999999999E-2</v>
      </c>
      <c r="D39" s="90">
        <f t="shared" si="11"/>
        <v>13666</v>
      </c>
      <c r="E39" s="91">
        <f t="shared" si="12"/>
        <v>9833</v>
      </c>
      <c r="F39" s="91">
        <f t="shared" si="13"/>
        <v>1714</v>
      </c>
      <c r="G39" s="164">
        <f t="shared" si="14"/>
        <v>1</v>
      </c>
      <c r="H39" s="90">
        <f t="shared" si="15"/>
        <v>1401</v>
      </c>
      <c r="I39" s="91">
        <f t="shared" si="16"/>
        <v>1008</v>
      </c>
      <c r="J39" s="30">
        <f t="shared" si="17"/>
        <v>176</v>
      </c>
      <c r="K39" s="356">
        <f t="shared" si="18"/>
        <v>0</v>
      </c>
    </row>
    <row r="40" spans="1:11">
      <c r="A40" s="71" t="str">
        <f t="shared" si="9"/>
        <v>20 - 24</v>
      </c>
      <c r="B40" s="147">
        <f t="shared" si="10"/>
        <v>0.86099999999999999</v>
      </c>
      <c r="C40" s="286">
        <f>ROUND('Pandemic Calculations'!N18*RiskAdj,3)</f>
        <v>0.13900000000000001</v>
      </c>
      <c r="D40" s="90">
        <f t="shared" si="11"/>
        <v>12088</v>
      </c>
      <c r="E40" s="91">
        <f t="shared" si="12"/>
        <v>11461</v>
      </c>
      <c r="F40" s="91">
        <f t="shared" si="13"/>
        <v>2559</v>
      </c>
      <c r="G40" s="164">
        <f t="shared" si="14"/>
        <v>3</v>
      </c>
      <c r="H40" s="90">
        <f t="shared" si="15"/>
        <v>1951</v>
      </c>
      <c r="I40" s="91">
        <f t="shared" si="16"/>
        <v>1850</v>
      </c>
      <c r="J40" s="30">
        <f t="shared" si="17"/>
        <v>413</v>
      </c>
      <c r="K40" s="356">
        <f t="shared" si="18"/>
        <v>0</v>
      </c>
    </row>
    <row r="41" spans="1:11">
      <c r="A41" s="71" t="str">
        <f t="shared" si="9"/>
        <v>25 - 29</v>
      </c>
      <c r="B41" s="147">
        <f t="shared" si="10"/>
        <v>0.86099999999999999</v>
      </c>
      <c r="C41" s="286">
        <f>ROUND('Pandemic Calculations'!N19*RiskAdj,3)</f>
        <v>0.13900000000000001</v>
      </c>
      <c r="D41" s="90">
        <f t="shared" si="11"/>
        <v>10859</v>
      </c>
      <c r="E41" s="91">
        <f t="shared" si="12"/>
        <v>10984</v>
      </c>
      <c r="F41" s="91">
        <f t="shared" si="13"/>
        <v>3177</v>
      </c>
      <c r="G41" s="164">
        <f t="shared" si="14"/>
        <v>3</v>
      </c>
      <c r="H41" s="90">
        <f t="shared" si="15"/>
        <v>1753</v>
      </c>
      <c r="I41" s="91">
        <f t="shared" si="16"/>
        <v>1773</v>
      </c>
      <c r="J41" s="30">
        <f t="shared" si="17"/>
        <v>513</v>
      </c>
      <c r="K41" s="356">
        <f t="shared" si="18"/>
        <v>0</v>
      </c>
    </row>
    <row r="42" spans="1:11">
      <c r="A42" s="71" t="str">
        <f t="shared" si="9"/>
        <v>30 - 34</v>
      </c>
      <c r="B42" s="147">
        <f t="shared" si="10"/>
        <v>0.86099999999999999</v>
      </c>
      <c r="C42" s="286">
        <f>ROUND('Pandemic Calculations'!N20*RiskAdj,3)</f>
        <v>0.13900000000000001</v>
      </c>
      <c r="D42" s="90">
        <f t="shared" si="11"/>
        <v>10701</v>
      </c>
      <c r="E42" s="91">
        <f t="shared" si="12"/>
        <v>10824</v>
      </c>
      <c r="F42" s="91">
        <f t="shared" si="13"/>
        <v>3131</v>
      </c>
      <c r="G42" s="164">
        <f t="shared" si="14"/>
        <v>3</v>
      </c>
      <c r="H42" s="90">
        <f t="shared" si="15"/>
        <v>1728</v>
      </c>
      <c r="I42" s="91">
        <f t="shared" si="16"/>
        <v>1748</v>
      </c>
      <c r="J42" s="30">
        <f t="shared" si="17"/>
        <v>506</v>
      </c>
      <c r="K42" s="356">
        <f t="shared" si="18"/>
        <v>0</v>
      </c>
    </row>
    <row r="43" spans="1:11">
      <c r="A43" s="71" t="str">
        <f t="shared" si="9"/>
        <v>35 - 39</v>
      </c>
      <c r="B43" s="147">
        <f t="shared" si="10"/>
        <v>0.86099999999999999</v>
      </c>
      <c r="C43" s="286">
        <f>ROUND('Pandemic Calculations'!N21*RiskAdj,3)</f>
        <v>0.13900000000000001</v>
      </c>
      <c r="D43" s="90">
        <f t="shared" si="11"/>
        <v>10409</v>
      </c>
      <c r="E43" s="91">
        <f t="shared" si="12"/>
        <v>9870</v>
      </c>
      <c r="F43" s="91">
        <f t="shared" si="13"/>
        <v>2203</v>
      </c>
      <c r="G43" s="164">
        <f t="shared" si="14"/>
        <v>3</v>
      </c>
      <c r="H43" s="90">
        <f t="shared" si="15"/>
        <v>1680</v>
      </c>
      <c r="I43" s="91">
        <f t="shared" si="16"/>
        <v>1593</v>
      </c>
      <c r="J43" s="30">
        <f t="shared" si="17"/>
        <v>356</v>
      </c>
      <c r="K43" s="356">
        <f t="shared" si="18"/>
        <v>0</v>
      </c>
    </row>
    <row r="44" spans="1:11">
      <c r="A44" s="71" t="str">
        <f t="shared" si="9"/>
        <v>40 - 44</v>
      </c>
      <c r="B44" s="147">
        <f t="shared" si="10"/>
        <v>0.86099999999999999</v>
      </c>
      <c r="C44" s="286">
        <f>ROUND('Pandemic Calculations'!N22*RiskAdj,3)</f>
        <v>0.13900000000000001</v>
      </c>
      <c r="D44" s="90">
        <f t="shared" si="11"/>
        <v>11620</v>
      </c>
      <c r="E44" s="91">
        <f t="shared" si="12"/>
        <v>10347</v>
      </c>
      <c r="F44" s="91">
        <f t="shared" si="13"/>
        <v>1603</v>
      </c>
      <c r="G44" s="164">
        <f t="shared" si="14"/>
        <v>3</v>
      </c>
      <c r="H44" s="90">
        <f t="shared" si="15"/>
        <v>1876</v>
      </c>
      <c r="I44" s="91">
        <f t="shared" si="16"/>
        <v>1671</v>
      </c>
      <c r="J44" s="30">
        <f t="shared" si="17"/>
        <v>259</v>
      </c>
      <c r="K44" s="356">
        <f t="shared" si="18"/>
        <v>0</v>
      </c>
    </row>
    <row r="45" spans="1:11">
      <c r="A45" s="71" t="str">
        <f t="shared" si="9"/>
        <v>45 - 49</v>
      </c>
      <c r="B45" s="147">
        <f t="shared" si="10"/>
        <v>0.81499999999999995</v>
      </c>
      <c r="C45" s="286">
        <f>ROUND('Pandemic Calculations'!N23*RiskAdj,3)</f>
        <v>0.185</v>
      </c>
      <c r="D45" s="90">
        <f t="shared" si="11"/>
        <v>11599</v>
      </c>
      <c r="E45" s="91">
        <f t="shared" si="12"/>
        <v>9945</v>
      </c>
      <c r="F45" s="91">
        <f t="shared" si="13"/>
        <v>1110</v>
      </c>
      <c r="G45" s="164">
        <f t="shared" si="14"/>
        <v>3</v>
      </c>
      <c r="H45" s="90">
        <f t="shared" si="15"/>
        <v>2633</v>
      </c>
      <c r="I45" s="91">
        <f t="shared" si="16"/>
        <v>2257</v>
      </c>
      <c r="J45" s="30">
        <f t="shared" si="17"/>
        <v>252</v>
      </c>
      <c r="K45" s="356">
        <f t="shared" si="18"/>
        <v>0</v>
      </c>
    </row>
    <row r="46" spans="1:11">
      <c r="A46" s="71" t="str">
        <f t="shared" si="9"/>
        <v>50 - 54</v>
      </c>
      <c r="B46" s="147">
        <f t="shared" si="10"/>
        <v>0.76900000000000002</v>
      </c>
      <c r="C46" s="286">
        <f>ROUND('Pandemic Calculations'!N24*RiskAdj,3)</f>
        <v>0.23100000000000001</v>
      </c>
      <c r="D46" s="90">
        <f t="shared" si="11"/>
        <v>12118</v>
      </c>
      <c r="E46" s="91">
        <f t="shared" si="12"/>
        <v>10095</v>
      </c>
      <c r="F46" s="91">
        <f t="shared" si="13"/>
        <v>782</v>
      </c>
      <c r="G46" s="164">
        <f t="shared" si="14"/>
        <v>2</v>
      </c>
      <c r="H46" s="90">
        <f t="shared" si="15"/>
        <v>3640</v>
      </c>
      <c r="I46" s="91">
        <f t="shared" si="16"/>
        <v>3032</v>
      </c>
      <c r="J46" s="30">
        <f t="shared" si="17"/>
        <v>235</v>
      </c>
      <c r="K46" s="356">
        <f t="shared" si="18"/>
        <v>1</v>
      </c>
    </row>
    <row r="47" spans="1:11">
      <c r="A47" s="71" t="str">
        <f t="shared" si="9"/>
        <v>55 - 59</v>
      </c>
      <c r="B47" s="147">
        <f t="shared" si="10"/>
        <v>0.67599999999999993</v>
      </c>
      <c r="C47" s="286">
        <f>ROUND('Pandemic Calculations'!N25*RiskAdj,3)</f>
        <v>0.32400000000000001</v>
      </c>
      <c r="D47" s="90">
        <f t="shared" si="11"/>
        <v>12113</v>
      </c>
      <c r="E47" s="91">
        <f t="shared" si="12"/>
        <v>6504</v>
      </c>
      <c r="F47" s="91">
        <f t="shared" si="13"/>
        <v>458</v>
      </c>
      <c r="G47" s="164">
        <f t="shared" si="14"/>
        <v>2</v>
      </c>
      <c r="H47" s="90">
        <f t="shared" si="15"/>
        <v>5805</v>
      </c>
      <c r="I47" s="91">
        <f t="shared" si="16"/>
        <v>3118</v>
      </c>
      <c r="J47" s="30">
        <f t="shared" si="17"/>
        <v>219</v>
      </c>
      <c r="K47" s="356">
        <f t="shared" si="18"/>
        <v>1</v>
      </c>
    </row>
    <row r="48" spans="1:11">
      <c r="A48" s="71" t="str">
        <f t="shared" si="9"/>
        <v>60 - 64</v>
      </c>
      <c r="B48" s="147">
        <f t="shared" si="10"/>
        <v>0.63</v>
      </c>
      <c r="C48" s="286">
        <f>ROUND('Pandemic Calculations'!N26*RiskAdj,3)</f>
        <v>0.37</v>
      </c>
      <c r="D48" s="90">
        <f t="shared" si="11"/>
        <v>11403</v>
      </c>
      <c r="E48" s="91">
        <f t="shared" si="12"/>
        <v>3755</v>
      </c>
      <c r="F48" s="91">
        <f t="shared" si="13"/>
        <v>231</v>
      </c>
      <c r="G48" s="164">
        <f t="shared" si="14"/>
        <v>2</v>
      </c>
      <c r="H48" s="90">
        <f t="shared" si="15"/>
        <v>6697</v>
      </c>
      <c r="I48" s="91">
        <f t="shared" si="16"/>
        <v>2205</v>
      </c>
      <c r="J48" s="30">
        <f t="shared" si="17"/>
        <v>135</v>
      </c>
      <c r="K48" s="356">
        <f t="shared" si="18"/>
        <v>1</v>
      </c>
    </row>
    <row r="49" spans="1:11">
      <c r="A49" s="71" t="str">
        <f t="shared" si="9"/>
        <v>65 - 69</v>
      </c>
      <c r="B49" s="147">
        <f t="shared" si="10"/>
        <v>0.58400000000000007</v>
      </c>
      <c r="C49" s="286">
        <f>ROUND('Pandemic Calculations'!N27*RiskAdj,3)</f>
        <v>0.41599999999999998</v>
      </c>
      <c r="D49" s="90">
        <f t="shared" si="11"/>
        <v>9964</v>
      </c>
      <c r="E49" s="91">
        <f t="shared" si="12"/>
        <v>1724</v>
      </c>
      <c r="F49" s="91">
        <f t="shared" si="13"/>
        <v>118</v>
      </c>
      <c r="G49" s="164">
        <f t="shared" si="14"/>
        <v>1</v>
      </c>
      <c r="H49" s="90">
        <f t="shared" si="15"/>
        <v>7098</v>
      </c>
      <c r="I49" s="91">
        <f t="shared" si="16"/>
        <v>1228</v>
      </c>
      <c r="J49" s="30">
        <f t="shared" si="17"/>
        <v>84</v>
      </c>
      <c r="K49" s="356">
        <f t="shared" si="18"/>
        <v>1</v>
      </c>
    </row>
    <row r="50" spans="1:11">
      <c r="A50" s="71" t="str">
        <f t="shared" si="9"/>
        <v>70 - 74</v>
      </c>
      <c r="B50" s="147">
        <f t="shared" si="10"/>
        <v>0.53699999999999992</v>
      </c>
      <c r="C50" s="286">
        <f>ROUND('Pandemic Calculations'!N28*RiskAdj,3)</f>
        <v>0.46300000000000002</v>
      </c>
      <c r="D50" s="90">
        <f t="shared" si="11"/>
        <v>6681</v>
      </c>
      <c r="E50" s="91">
        <f t="shared" si="12"/>
        <v>1156</v>
      </c>
      <c r="F50" s="91">
        <f t="shared" si="13"/>
        <v>79</v>
      </c>
      <c r="G50" s="164">
        <f t="shared" si="14"/>
        <v>1</v>
      </c>
      <c r="H50" s="90">
        <f t="shared" si="15"/>
        <v>5760</v>
      </c>
      <c r="I50" s="91">
        <f t="shared" si="16"/>
        <v>996</v>
      </c>
      <c r="J50" s="30">
        <f t="shared" si="17"/>
        <v>68</v>
      </c>
      <c r="K50" s="356">
        <f t="shared" si="18"/>
        <v>0</v>
      </c>
    </row>
    <row r="51" spans="1:11">
      <c r="A51" s="71" t="str">
        <f t="shared" si="9"/>
        <v>75 - 79</v>
      </c>
      <c r="B51" s="147">
        <f t="shared" si="10"/>
        <v>0.49099999999999999</v>
      </c>
      <c r="C51" s="286">
        <f>ROUND('Pandemic Calculations'!N29*RiskAdj,3)</f>
        <v>0.50900000000000001</v>
      </c>
      <c r="D51" s="90">
        <f t="shared" si="11"/>
        <v>4363</v>
      </c>
      <c r="E51" s="91">
        <f t="shared" si="12"/>
        <v>755</v>
      </c>
      <c r="F51" s="91">
        <f t="shared" si="13"/>
        <v>52</v>
      </c>
      <c r="G51" s="164">
        <f t="shared" si="14"/>
        <v>1</v>
      </c>
      <c r="H51" s="90">
        <f t="shared" si="15"/>
        <v>4523</v>
      </c>
      <c r="I51" s="91">
        <f t="shared" si="16"/>
        <v>782</v>
      </c>
      <c r="J51" s="30">
        <f t="shared" si="17"/>
        <v>53</v>
      </c>
      <c r="K51" s="356">
        <f t="shared" si="18"/>
        <v>0</v>
      </c>
    </row>
    <row r="52" spans="1:11">
      <c r="A52" s="71" t="str">
        <f t="shared" si="9"/>
        <v>80 - 84</v>
      </c>
      <c r="B52" s="147">
        <f t="shared" si="10"/>
        <v>0.49099999999999999</v>
      </c>
      <c r="C52" s="286">
        <f>ROUND('Pandemic Calculations'!N30*RiskAdj,3)</f>
        <v>0.50900000000000001</v>
      </c>
      <c r="D52" s="90">
        <f t="shared" si="11"/>
        <v>3141</v>
      </c>
      <c r="E52" s="91">
        <f t="shared" si="12"/>
        <v>544</v>
      </c>
      <c r="F52" s="91">
        <f t="shared" si="13"/>
        <v>37</v>
      </c>
      <c r="G52" s="164">
        <f t="shared" si="14"/>
        <v>1</v>
      </c>
      <c r="H52" s="90">
        <f t="shared" si="15"/>
        <v>3257</v>
      </c>
      <c r="I52" s="91">
        <f t="shared" si="16"/>
        <v>563</v>
      </c>
      <c r="J52" s="30">
        <f t="shared" si="17"/>
        <v>39</v>
      </c>
      <c r="K52" s="356">
        <f t="shared" si="18"/>
        <v>0</v>
      </c>
    </row>
    <row r="53" spans="1:11">
      <c r="A53" s="71" t="str">
        <f t="shared" si="9"/>
        <v>85+</v>
      </c>
      <c r="B53" s="148">
        <f t="shared" si="10"/>
        <v>0.49099999999999999</v>
      </c>
      <c r="C53" s="286">
        <f>ROUND('Pandemic Calculations'!N31*RiskAdj,3)</f>
        <v>0.50900000000000001</v>
      </c>
      <c r="D53" s="93">
        <f t="shared" si="11"/>
        <v>3316</v>
      </c>
      <c r="E53" s="27">
        <f t="shared" si="12"/>
        <v>573</v>
      </c>
      <c r="F53" s="91">
        <f t="shared" si="13"/>
        <v>39</v>
      </c>
      <c r="G53" s="247">
        <f t="shared" si="14"/>
        <v>1</v>
      </c>
      <c r="H53" s="93">
        <f t="shared" si="15"/>
        <v>3438</v>
      </c>
      <c r="I53" s="27">
        <f t="shared" si="16"/>
        <v>595</v>
      </c>
      <c r="J53" s="357">
        <f t="shared" si="17"/>
        <v>41</v>
      </c>
      <c r="K53" s="356">
        <f t="shared" si="18"/>
        <v>0</v>
      </c>
    </row>
    <row r="54" spans="1:11">
      <c r="A54" s="71" t="s">
        <v>1</v>
      </c>
      <c r="B54" s="3"/>
      <c r="C54" s="3"/>
      <c r="D54" s="6">
        <f t="shared" ref="D54:E54" si="19">SUM(D36:D53)</f>
        <v>180348</v>
      </c>
      <c r="E54" s="6">
        <f t="shared" si="19"/>
        <v>130942</v>
      </c>
      <c r="F54" s="6">
        <f>SUM(F36:F53)</f>
        <v>22606</v>
      </c>
      <c r="G54" s="6">
        <f>SUM(F36:F53)</f>
        <v>22606</v>
      </c>
      <c r="H54" s="6">
        <f>SUM(H36:H53)</f>
        <v>56533</v>
      </c>
      <c r="I54" s="6">
        <f>SUM(I36:I53)</f>
        <v>27034</v>
      </c>
      <c r="J54" s="358">
        <f>SUM(J36:J53)</f>
        <v>3696</v>
      </c>
      <c r="K54" s="358">
        <f>SUM(K36:K53)</f>
        <v>4</v>
      </c>
    </row>
    <row r="55" spans="1:11">
      <c r="K55" s="251"/>
    </row>
    <row r="56" spans="1:11">
      <c r="B56" s="39"/>
      <c r="G56" s="251"/>
    </row>
    <row r="57" spans="1:11">
      <c r="A57" s="345"/>
      <c r="B57" s="363"/>
      <c r="E57" s="344"/>
      <c r="I57" s="344"/>
    </row>
    <row r="58" spans="1:11">
      <c r="A58" s="344"/>
      <c r="E58" s="344"/>
      <c r="I58" s="344"/>
    </row>
    <row r="59" spans="1:11">
      <c r="A59" s="344"/>
      <c r="E59" s="344"/>
      <c r="I59" s="344"/>
      <c r="J59" s="363"/>
    </row>
    <row r="60" spans="1:11">
      <c r="A60" s="344"/>
      <c r="E60" s="344"/>
    </row>
    <row r="61" spans="1:11">
      <c r="A61" s="344"/>
      <c r="B61" s="363"/>
      <c r="E61" s="344"/>
      <c r="I61" s="344"/>
    </row>
    <row r="62" spans="1:11">
      <c r="A62" s="344"/>
      <c r="E62" s="344"/>
      <c r="I62" s="344"/>
    </row>
    <row r="63" spans="1:11">
      <c r="A63" s="344"/>
      <c r="E63" s="344"/>
      <c r="I63" s="344"/>
    </row>
    <row r="64" spans="1:11">
      <c r="A64" s="344"/>
      <c r="B64" s="363"/>
      <c r="E64" s="344"/>
      <c r="I64" s="344"/>
    </row>
    <row r="65" spans="1:9">
      <c r="A65" s="344"/>
      <c r="E65" s="344"/>
      <c r="I65" s="344"/>
    </row>
    <row r="66" spans="1:9">
      <c r="A66" s="344"/>
      <c r="I66" s="344"/>
    </row>
  </sheetData>
  <printOptions horizontalCentered="1"/>
  <pageMargins left="0.5" right="0.5" top="0.5" bottom="0.75" header="0.5" footer="0.35"/>
  <pageSetup scale="64" orientation="landscape" r:id="rId1"/>
  <headerFooter alignWithMargins="0">
    <oddFooter>&amp;L&amp;8&amp;F 
&amp;A&amp;C&amp;8MBA Actuaries, Inc.&amp;R&amp;8&amp;D 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Y53"/>
  <sheetViews>
    <sheetView zoomScaleNormal="100" workbookViewId="0"/>
  </sheetViews>
  <sheetFormatPr defaultRowHeight="12.75"/>
  <cols>
    <col min="1" max="1" width="9.140625" style="28"/>
    <col min="2" max="2" width="9.7109375" style="133" customWidth="1"/>
    <col min="3" max="3" width="8.7109375" style="28" customWidth="1"/>
    <col min="4" max="4" width="12" style="28" customWidth="1"/>
    <col min="5" max="5" width="7.7109375" style="28" customWidth="1"/>
    <col min="6" max="6" width="9" style="28" customWidth="1"/>
    <col min="7" max="7" width="13" style="91" customWidth="1"/>
    <col min="8" max="8" width="8.140625" style="91" customWidth="1"/>
    <col min="9" max="9" width="9.140625" style="28" customWidth="1"/>
    <col min="10" max="10" width="12.7109375" style="28" customWidth="1"/>
    <col min="11" max="11" width="7.7109375" style="28" customWidth="1"/>
    <col min="12" max="12" width="7" style="28" customWidth="1"/>
    <col min="13" max="13" width="11.28515625" style="28" customWidth="1"/>
    <col min="14" max="14" width="6.7109375" style="28" bestFit="1" customWidth="1"/>
    <col min="15" max="15" width="7.7109375" style="28" customWidth="1"/>
    <col min="16" max="16" width="12.28515625" style="28" bestFit="1" customWidth="1"/>
    <col min="17" max="17" width="6.85546875" style="28" customWidth="1"/>
    <col min="18" max="18" width="8.7109375" style="28" customWidth="1"/>
    <col min="19" max="19" width="10.42578125" style="28" customWidth="1"/>
    <col min="20" max="20" width="12.7109375" style="3" customWidth="1"/>
    <col min="21" max="21" width="10.7109375" style="3" customWidth="1"/>
    <col min="22" max="22" width="12.7109375" style="3" customWidth="1"/>
    <col min="23" max="23" width="10.7109375" style="3" customWidth="1"/>
    <col min="24" max="24" width="12.7109375" style="3" customWidth="1"/>
    <col min="25" max="25" width="10.7109375" style="3" customWidth="1"/>
    <col min="26" max="16384" width="9.140625" style="3"/>
  </cols>
  <sheetData>
    <row r="1" spans="1:25" s="15" customFormat="1">
      <c r="A1" s="402" t="str">
        <f>scenario</f>
        <v>Severe Scenario, V\ Curve</v>
      </c>
      <c r="I1" s="28"/>
      <c r="K1" s="157"/>
      <c r="L1" s="157"/>
      <c r="M1" s="157"/>
      <c r="N1" s="157"/>
      <c r="O1" s="157"/>
      <c r="P1" s="157"/>
      <c r="Q1" s="157"/>
      <c r="R1" s="157"/>
      <c r="S1" s="157"/>
    </row>
    <row r="2" spans="1:25" s="15" customFormat="1">
      <c r="I2" s="28"/>
      <c r="K2" s="162"/>
      <c r="L2" s="162"/>
      <c r="M2" s="162"/>
      <c r="N2" s="162"/>
      <c r="O2" s="162"/>
      <c r="P2" s="162"/>
      <c r="Q2" s="162"/>
      <c r="R2" s="162"/>
      <c r="S2" s="162"/>
    </row>
    <row r="3" spans="1:25" s="15" customFormat="1" ht="15.75">
      <c r="A3" s="46" t="str">
        <f>LOB_1&amp;" Costs by Provider and Risk Class"</f>
        <v>Health Plan Commercial Risk Costs by Provider and Risk Class</v>
      </c>
      <c r="B3" s="17"/>
      <c r="C3" s="17"/>
      <c r="D3" s="17"/>
      <c r="E3" s="17"/>
      <c r="F3" s="17"/>
      <c r="G3" s="17"/>
      <c r="H3" s="17"/>
      <c r="I3" s="17"/>
      <c r="J3" s="131"/>
      <c r="U3" s="19"/>
    </row>
    <row r="4" spans="1:25" s="15" customFormat="1">
      <c r="A4" s="524"/>
      <c r="B4" s="638" t="s">
        <v>376</v>
      </c>
      <c r="C4" s="636"/>
      <c r="D4" s="636"/>
      <c r="E4" s="636"/>
      <c r="F4" s="636"/>
      <c r="G4" s="636"/>
      <c r="H4" s="636"/>
      <c r="I4" s="636"/>
      <c r="J4" s="637"/>
      <c r="K4" s="636" t="s">
        <v>377</v>
      </c>
      <c r="L4" s="636"/>
      <c r="M4" s="636"/>
      <c r="N4" s="636"/>
      <c r="O4" s="636"/>
      <c r="P4" s="636"/>
      <c r="Q4" s="636"/>
      <c r="R4" s="636"/>
      <c r="S4" s="637"/>
      <c r="T4" s="533" t="s">
        <v>223</v>
      </c>
      <c r="U4" s="534"/>
      <c r="V4" s="534" t="s">
        <v>224</v>
      </c>
      <c r="W4" s="534"/>
      <c r="X4" s="534" t="s">
        <v>225</v>
      </c>
      <c r="Y4" s="535"/>
    </row>
    <row r="5" spans="1:25" s="28" customFormat="1">
      <c r="A5" s="96" t="s">
        <v>34</v>
      </c>
      <c r="B5" s="541" t="s">
        <v>48</v>
      </c>
      <c r="C5" s="131"/>
      <c r="D5" s="131"/>
      <c r="E5" s="131" t="s">
        <v>54</v>
      </c>
      <c r="F5" s="134"/>
      <c r="G5" s="134"/>
      <c r="H5" s="75" t="s">
        <v>49</v>
      </c>
      <c r="I5" s="75"/>
      <c r="J5" s="525"/>
      <c r="K5" s="131" t="s">
        <v>52</v>
      </c>
      <c r="L5" s="165"/>
      <c r="M5" s="165"/>
      <c r="N5" s="165" t="s">
        <v>67</v>
      </c>
      <c r="O5" s="261"/>
      <c r="P5" s="261"/>
      <c r="Q5" s="259" t="s">
        <v>53</v>
      </c>
      <c r="R5" s="259"/>
      <c r="S5" s="525"/>
      <c r="T5" s="536" t="s">
        <v>1</v>
      </c>
      <c r="U5" s="136" t="s">
        <v>46</v>
      </c>
      <c r="V5" s="135" t="s">
        <v>1</v>
      </c>
      <c r="W5" s="136" t="s">
        <v>46</v>
      </c>
      <c r="X5" s="135" t="s">
        <v>1</v>
      </c>
      <c r="Y5" s="537" t="s">
        <v>46</v>
      </c>
    </row>
    <row r="6" spans="1:25" s="28" customFormat="1">
      <c r="A6" s="96" t="s">
        <v>35</v>
      </c>
      <c r="B6" s="536" t="s">
        <v>32</v>
      </c>
      <c r="C6" s="220" t="s">
        <v>121</v>
      </c>
      <c r="D6" s="220" t="s">
        <v>140</v>
      </c>
      <c r="E6" s="32" t="s">
        <v>32</v>
      </c>
      <c r="F6" s="220" t="s">
        <v>121</v>
      </c>
      <c r="G6" s="220" t="s">
        <v>140</v>
      </c>
      <c r="H6" s="215" t="s">
        <v>36</v>
      </c>
      <c r="I6" s="220" t="s">
        <v>121</v>
      </c>
      <c r="J6" s="293" t="s">
        <v>140</v>
      </c>
      <c r="K6" s="135" t="s">
        <v>32</v>
      </c>
      <c r="L6" s="220" t="s">
        <v>121</v>
      </c>
      <c r="M6" s="220" t="s">
        <v>140</v>
      </c>
      <c r="N6" s="220" t="s">
        <v>32</v>
      </c>
      <c r="O6" s="220" t="s">
        <v>121</v>
      </c>
      <c r="P6" s="220" t="s">
        <v>140</v>
      </c>
      <c r="Q6" s="221" t="s">
        <v>36</v>
      </c>
      <c r="R6" s="220" t="s">
        <v>121</v>
      </c>
      <c r="S6" s="293" t="s">
        <v>140</v>
      </c>
      <c r="T6" s="536" t="s">
        <v>32</v>
      </c>
      <c r="U6" s="32" t="s">
        <v>55</v>
      </c>
      <c r="V6" s="135" t="s">
        <v>32</v>
      </c>
      <c r="W6" s="32" t="s">
        <v>55</v>
      </c>
      <c r="X6" s="135" t="s">
        <v>32</v>
      </c>
      <c r="Y6" s="123" t="s">
        <v>55</v>
      </c>
    </row>
    <row r="7" spans="1:25" s="28" customFormat="1">
      <c r="A7" s="96"/>
      <c r="B7" s="542">
        <v>-1</v>
      </c>
      <c r="C7" s="526">
        <f>B7-1</f>
        <v>-2</v>
      </c>
      <c r="D7" s="526">
        <f>C7-1</f>
        <v>-3</v>
      </c>
      <c r="E7" s="526">
        <f>D7-1</f>
        <v>-4</v>
      </c>
      <c r="F7" s="526">
        <f t="shared" ref="F7:G7" si="0">E7-1</f>
        <v>-5</v>
      </c>
      <c r="G7" s="526">
        <f t="shared" si="0"/>
        <v>-6</v>
      </c>
      <c r="H7" s="526">
        <f>G7-1</f>
        <v>-7</v>
      </c>
      <c r="I7" s="526">
        <f t="shared" ref="I7:J7" si="1">H7-1</f>
        <v>-8</v>
      </c>
      <c r="J7" s="527">
        <f t="shared" si="1"/>
        <v>-9</v>
      </c>
      <c r="K7" s="526">
        <f>J7-1</f>
        <v>-10</v>
      </c>
      <c r="L7" s="526">
        <f>K7-1</f>
        <v>-11</v>
      </c>
      <c r="M7" s="526">
        <f>L7-1</f>
        <v>-12</v>
      </c>
      <c r="N7" s="526">
        <f>M7-1</f>
        <v>-13</v>
      </c>
      <c r="O7" s="526">
        <f t="shared" ref="O7" si="2">N7-1</f>
        <v>-14</v>
      </c>
      <c r="P7" s="526">
        <f t="shared" ref="P7" si="3">O7-1</f>
        <v>-15</v>
      </c>
      <c r="Q7" s="526">
        <f>P7-1</f>
        <v>-16</v>
      </c>
      <c r="R7" s="526">
        <f t="shared" ref="R7" si="4">Q7-1</f>
        <v>-17</v>
      </c>
      <c r="S7" s="527">
        <f t="shared" ref="S7" si="5">R7-1</f>
        <v>-18</v>
      </c>
      <c r="T7" s="26"/>
      <c r="U7" s="32"/>
      <c r="V7" s="91"/>
      <c r="W7" s="91"/>
      <c r="X7" s="91"/>
      <c r="Y7" s="92"/>
    </row>
    <row r="8" spans="1:25" s="28" customFormat="1" ht="5.0999999999999996" customHeight="1">
      <c r="A8" s="96"/>
      <c r="B8" s="536"/>
      <c r="C8" s="32"/>
      <c r="D8" s="32"/>
      <c r="E8" s="32"/>
      <c r="F8" s="136"/>
      <c r="G8" s="136"/>
      <c r="H8" s="215"/>
      <c r="I8" s="215"/>
      <c r="J8" s="528"/>
      <c r="K8" s="135"/>
      <c r="L8" s="220"/>
      <c r="M8" s="220"/>
      <c r="N8" s="220"/>
      <c r="O8" s="260"/>
      <c r="P8" s="260"/>
      <c r="Q8" s="221"/>
      <c r="R8" s="221"/>
      <c r="S8" s="528"/>
      <c r="T8" s="26"/>
      <c r="Y8" s="51"/>
    </row>
    <row r="9" spans="1:25" s="28" customFormat="1">
      <c r="A9" s="529" t="str">
        <f>+'Morbidity Distribution'!A23</f>
        <v>0 - 4</v>
      </c>
      <c r="B9" s="90">
        <f>+'Prod1 Dist'!E36</f>
        <v>13353</v>
      </c>
      <c r="C9" s="194">
        <f>+'Provider Costs'!B10</f>
        <v>180</v>
      </c>
      <c r="D9" s="164">
        <f t="shared" ref="D9:D26" si="6">+C9*B9</f>
        <v>2403540</v>
      </c>
      <c r="E9" s="164">
        <f>+'Prod1 Dist'!F36</f>
        <v>3637</v>
      </c>
      <c r="F9" s="164">
        <f>+'Provider Costs'!F10</f>
        <v>12100.000000000002</v>
      </c>
      <c r="G9" s="164">
        <f t="shared" ref="G9:G26" si="7">+F9*E9</f>
        <v>44007700.000000007</v>
      </c>
      <c r="H9" s="254">
        <f>+'Prod1 Dist'!G36</f>
        <v>1</v>
      </c>
      <c r="I9" s="254">
        <f>+'Provider Costs'!J10</f>
        <v>38500</v>
      </c>
      <c r="J9" s="530">
        <f t="shared" ref="J9:J26" si="8">+I9*H9</f>
        <v>38500</v>
      </c>
      <c r="K9" s="91">
        <f>+'Prod1 Dist'!I36</f>
        <v>644</v>
      </c>
      <c r="L9" s="194">
        <f>+'Provider Costs'!B33</f>
        <v>625</v>
      </c>
      <c r="M9" s="164">
        <f>+L9*K9</f>
        <v>402500</v>
      </c>
      <c r="N9" s="164">
        <f>+'Prod1 Dist'!J36</f>
        <v>175</v>
      </c>
      <c r="O9" s="164">
        <f>+'Provider Costs'!F33</f>
        <v>85250</v>
      </c>
      <c r="P9" s="164">
        <f t="shared" ref="P9:P26" si="9">+O9*N9</f>
        <v>14918750</v>
      </c>
      <c r="Q9" s="254">
        <f>+'Prod1 Dist'!K36</f>
        <v>0</v>
      </c>
      <c r="R9" s="254">
        <f>+'Provider Costs'!J33</f>
        <v>275000</v>
      </c>
      <c r="S9" s="530">
        <f t="shared" ref="S9:S26" si="10">+R9*Q9</f>
        <v>0</v>
      </c>
      <c r="T9" s="90">
        <f>+B9+K9</f>
        <v>13997</v>
      </c>
      <c r="U9" s="407">
        <f>(D9+M9)/1000000</f>
        <v>2.8060399999999999</v>
      </c>
      <c r="V9" s="91">
        <f>+E9+N9</f>
        <v>3812</v>
      </c>
      <c r="W9" s="407">
        <f>(G9+P9)/1000000</f>
        <v>58.92645000000001</v>
      </c>
      <c r="X9" s="91">
        <f>+H9+Q9</f>
        <v>1</v>
      </c>
      <c r="Y9" s="538">
        <f>(J9+S9)/1000000</f>
        <v>3.85E-2</v>
      </c>
    </row>
    <row r="10" spans="1:25" s="28" customFormat="1">
      <c r="A10" s="529" t="str">
        <f>+'Morbidity Distribution'!A24</f>
        <v>5 - 9</v>
      </c>
      <c r="B10" s="90">
        <f>+'Prod1 Dist'!E37</f>
        <v>9535</v>
      </c>
      <c r="C10" s="194">
        <f>+'Provider Costs'!B11</f>
        <v>150</v>
      </c>
      <c r="D10" s="164">
        <f t="shared" si="6"/>
        <v>1430250</v>
      </c>
      <c r="E10" s="164">
        <f>+'Prod1 Dist'!F37</f>
        <v>832</v>
      </c>
      <c r="F10" s="164">
        <f>+'Provider Costs'!F11</f>
        <v>15950.000000000002</v>
      </c>
      <c r="G10" s="164">
        <f t="shared" si="7"/>
        <v>13270400.000000002</v>
      </c>
      <c r="H10" s="254">
        <f>+'Prod1 Dist'!G37</f>
        <v>1</v>
      </c>
      <c r="I10" s="254">
        <f>+'Provider Costs'!J11</f>
        <v>27500.000000000004</v>
      </c>
      <c r="J10" s="530">
        <f t="shared" si="8"/>
        <v>27500.000000000004</v>
      </c>
      <c r="K10" s="91">
        <f>+'Prod1 Dist'!I37</f>
        <v>978</v>
      </c>
      <c r="L10" s="194">
        <f>+'Provider Costs'!B34</f>
        <v>625</v>
      </c>
      <c r="M10" s="164">
        <f t="shared" ref="M10:M26" si="11">+L10*K10</f>
        <v>611250</v>
      </c>
      <c r="N10" s="164">
        <f>+'Prod1 Dist'!J37</f>
        <v>85</v>
      </c>
      <c r="O10" s="164">
        <f>+'Provider Costs'!F34</f>
        <v>44000</v>
      </c>
      <c r="P10" s="164">
        <f t="shared" si="9"/>
        <v>3740000</v>
      </c>
      <c r="Q10" s="254">
        <f>+'Prod1 Dist'!K37</f>
        <v>0</v>
      </c>
      <c r="R10" s="254">
        <f>+'Provider Costs'!J34</f>
        <v>165000</v>
      </c>
      <c r="S10" s="530">
        <f t="shared" si="10"/>
        <v>0</v>
      </c>
      <c r="T10" s="90">
        <f t="shared" ref="T10:T26" si="12">+B10+K10</f>
        <v>10513</v>
      </c>
      <c r="U10" s="407">
        <f t="shared" ref="U10:U26" si="13">(D10+M10)/1000000</f>
        <v>2.0415000000000001</v>
      </c>
      <c r="V10" s="91">
        <f t="shared" ref="V10:V26" si="14">+E10+N10</f>
        <v>917</v>
      </c>
      <c r="W10" s="407">
        <f t="shared" ref="W10:W26" si="15">(G10+P10)/1000000</f>
        <v>17.010400000000001</v>
      </c>
      <c r="X10" s="91">
        <f t="shared" ref="X10:X26" si="16">+H10+Q10</f>
        <v>1</v>
      </c>
      <c r="Y10" s="538">
        <f t="shared" ref="Y10:Y26" si="17">(J10+S10)/1000000</f>
        <v>2.7500000000000004E-2</v>
      </c>
    </row>
    <row r="11" spans="1:25" s="28" customFormat="1">
      <c r="A11" s="529" t="str">
        <f>+'Morbidity Distribution'!A25</f>
        <v>10 - 14</v>
      </c>
      <c r="B11" s="90">
        <f>+'Prod1 Dist'!E38</f>
        <v>9684</v>
      </c>
      <c r="C11" s="194">
        <f>+'Provider Costs'!B12</f>
        <v>150</v>
      </c>
      <c r="D11" s="164">
        <f t="shared" si="6"/>
        <v>1452600</v>
      </c>
      <c r="E11" s="164">
        <f>+'Prod1 Dist'!F38</f>
        <v>844</v>
      </c>
      <c r="F11" s="164">
        <f>+'Provider Costs'!F12</f>
        <v>15950.000000000002</v>
      </c>
      <c r="G11" s="164">
        <f t="shared" si="7"/>
        <v>13461800.000000002</v>
      </c>
      <c r="H11" s="254">
        <f>+'Prod1 Dist'!G38</f>
        <v>1</v>
      </c>
      <c r="I11" s="254">
        <f>+'Provider Costs'!J12</f>
        <v>27500.000000000004</v>
      </c>
      <c r="J11" s="530">
        <f t="shared" si="8"/>
        <v>27500.000000000004</v>
      </c>
      <c r="K11" s="91">
        <f>+'Prod1 Dist'!I38</f>
        <v>993</v>
      </c>
      <c r="L11" s="194">
        <f>+'Provider Costs'!B35</f>
        <v>625</v>
      </c>
      <c r="M11" s="164">
        <f t="shared" si="11"/>
        <v>620625</v>
      </c>
      <c r="N11" s="164">
        <f>+'Prod1 Dist'!J38</f>
        <v>87</v>
      </c>
      <c r="O11" s="164">
        <f>+'Provider Costs'!F35</f>
        <v>44000</v>
      </c>
      <c r="P11" s="164">
        <f t="shared" si="9"/>
        <v>3828000</v>
      </c>
      <c r="Q11" s="254">
        <f>+'Prod1 Dist'!K38</f>
        <v>0</v>
      </c>
      <c r="R11" s="254">
        <f>+'Provider Costs'!J35</f>
        <v>165000</v>
      </c>
      <c r="S11" s="530">
        <f t="shared" si="10"/>
        <v>0</v>
      </c>
      <c r="T11" s="90">
        <f t="shared" si="12"/>
        <v>10677</v>
      </c>
      <c r="U11" s="407">
        <f t="shared" si="13"/>
        <v>2.0732249999999999</v>
      </c>
      <c r="V11" s="91">
        <f t="shared" si="14"/>
        <v>931</v>
      </c>
      <c r="W11" s="407">
        <f t="shared" si="15"/>
        <v>17.2898</v>
      </c>
      <c r="X11" s="91">
        <f t="shared" si="16"/>
        <v>1</v>
      </c>
      <c r="Y11" s="538">
        <f t="shared" si="17"/>
        <v>2.7500000000000004E-2</v>
      </c>
    </row>
    <row r="12" spans="1:25" s="28" customFormat="1">
      <c r="A12" s="529" t="str">
        <f>+'Morbidity Distribution'!A26</f>
        <v>15 - 19</v>
      </c>
      <c r="B12" s="90">
        <f>+'Prod1 Dist'!E39</f>
        <v>9833</v>
      </c>
      <c r="C12" s="194">
        <f>+'Provider Costs'!B13</f>
        <v>150</v>
      </c>
      <c r="D12" s="164">
        <f t="shared" si="6"/>
        <v>1474950</v>
      </c>
      <c r="E12" s="164">
        <f>+'Prod1 Dist'!F39</f>
        <v>1714</v>
      </c>
      <c r="F12" s="164">
        <f>+'Provider Costs'!F13</f>
        <v>15950.000000000002</v>
      </c>
      <c r="G12" s="164">
        <f t="shared" si="7"/>
        <v>27338300.000000004</v>
      </c>
      <c r="H12" s="254">
        <f>+'Prod1 Dist'!G39</f>
        <v>1</v>
      </c>
      <c r="I12" s="254">
        <f>+'Provider Costs'!J13</f>
        <v>27500.000000000004</v>
      </c>
      <c r="J12" s="530">
        <f t="shared" si="8"/>
        <v>27500.000000000004</v>
      </c>
      <c r="K12" s="91">
        <f>+'Prod1 Dist'!I39</f>
        <v>1008</v>
      </c>
      <c r="L12" s="194">
        <f>+'Provider Costs'!B36</f>
        <v>625</v>
      </c>
      <c r="M12" s="164">
        <f t="shared" si="11"/>
        <v>630000</v>
      </c>
      <c r="N12" s="164">
        <f>+'Prod1 Dist'!J39</f>
        <v>176</v>
      </c>
      <c r="O12" s="164">
        <f>+'Provider Costs'!F36</f>
        <v>44000</v>
      </c>
      <c r="P12" s="164">
        <f t="shared" si="9"/>
        <v>7744000</v>
      </c>
      <c r="Q12" s="254">
        <f>+'Prod1 Dist'!K39</f>
        <v>0</v>
      </c>
      <c r="R12" s="254">
        <f>+'Provider Costs'!J36</f>
        <v>165000</v>
      </c>
      <c r="S12" s="530">
        <f t="shared" si="10"/>
        <v>0</v>
      </c>
      <c r="T12" s="90">
        <f t="shared" si="12"/>
        <v>10841</v>
      </c>
      <c r="U12" s="407">
        <f t="shared" si="13"/>
        <v>2.1049500000000001</v>
      </c>
      <c r="V12" s="91">
        <f t="shared" si="14"/>
        <v>1890</v>
      </c>
      <c r="W12" s="407">
        <f t="shared" si="15"/>
        <v>35.082299999999996</v>
      </c>
      <c r="X12" s="91">
        <f t="shared" si="16"/>
        <v>1</v>
      </c>
      <c r="Y12" s="538">
        <f t="shared" si="17"/>
        <v>2.7500000000000004E-2</v>
      </c>
    </row>
    <row r="13" spans="1:25" s="28" customFormat="1">
      <c r="A13" s="529" t="str">
        <f>+'Morbidity Distribution'!A27</f>
        <v>20 - 24</v>
      </c>
      <c r="B13" s="90">
        <f>+'Prod1 Dist'!E40</f>
        <v>11461</v>
      </c>
      <c r="C13" s="194">
        <f>+'Provider Costs'!B14</f>
        <v>180</v>
      </c>
      <c r="D13" s="164">
        <f t="shared" si="6"/>
        <v>2062980</v>
      </c>
      <c r="E13" s="164">
        <f>+'Prod1 Dist'!F40</f>
        <v>2559</v>
      </c>
      <c r="F13" s="164">
        <f>+'Provider Costs'!F14</f>
        <v>20350</v>
      </c>
      <c r="G13" s="164">
        <f t="shared" si="7"/>
        <v>52075650</v>
      </c>
      <c r="H13" s="254">
        <f>+'Prod1 Dist'!G40</f>
        <v>3</v>
      </c>
      <c r="I13" s="254">
        <f>+'Provider Costs'!J14</f>
        <v>82500</v>
      </c>
      <c r="J13" s="530">
        <f t="shared" si="8"/>
        <v>247500</v>
      </c>
      <c r="K13" s="91">
        <f>+'Prod1 Dist'!I40</f>
        <v>1850</v>
      </c>
      <c r="L13" s="194">
        <f>+'Provider Costs'!B37</f>
        <v>800</v>
      </c>
      <c r="M13" s="164">
        <f t="shared" si="11"/>
        <v>1480000</v>
      </c>
      <c r="N13" s="164">
        <f>+'Prod1 Dist'!J40</f>
        <v>413</v>
      </c>
      <c r="O13" s="164">
        <f>+'Provider Costs'!F37</f>
        <v>49500.000000000007</v>
      </c>
      <c r="P13" s="164">
        <f t="shared" si="9"/>
        <v>20443500.000000004</v>
      </c>
      <c r="Q13" s="254">
        <f>+'Prod1 Dist'!K40</f>
        <v>0</v>
      </c>
      <c r="R13" s="254">
        <f>+'Provider Costs'!J37</f>
        <v>82500</v>
      </c>
      <c r="S13" s="92">
        <f t="shared" si="10"/>
        <v>0</v>
      </c>
      <c r="T13" s="90">
        <f t="shared" si="12"/>
        <v>13311</v>
      </c>
      <c r="U13" s="407">
        <f t="shared" si="13"/>
        <v>3.54298</v>
      </c>
      <c r="V13" s="91">
        <f t="shared" si="14"/>
        <v>2972</v>
      </c>
      <c r="W13" s="407">
        <f t="shared" si="15"/>
        <v>72.519149999999996</v>
      </c>
      <c r="X13" s="91">
        <f t="shared" si="16"/>
        <v>3</v>
      </c>
      <c r="Y13" s="538">
        <f t="shared" si="17"/>
        <v>0.2475</v>
      </c>
    </row>
    <row r="14" spans="1:25" s="28" customFormat="1">
      <c r="A14" s="529" t="str">
        <f>+'Morbidity Distribution'!A28</f>
        <v>25 - 29</v>
      </c>
      <c r="B14" s="90">
        <f>+'Prod1 Dist'!E41</f>
        <v>10984</v>
      </c>
      <c r="C14" s="194">
        <f>+'Provider Costs'!B15</f>
        <v>180</v>
      </c>
      <c r="D14" s="164">
        <f t="shared" si="6"/>
        <v>1977120</v>
      </c>
      <c r="E14" s="164">
        <f>+'Prod1 Dist'!F41</f>
        <v>3177</v>
      </c>
      <c r="F14" s="164">
        <f>+'Provider Costs'!F15</f>
        <v>20350</v>
      </c>
      <c r="G14" s="164">
        <f t="shared" si="7"/>
        <v>64651950</v>
      </c>
      <c r="H14" s="164">
        <f>+'Prod1 Dist'!G41</f>
        <v>3</v>
      </c>
      <c r="I14" s="164">
        <f>+'Provider Costs'!J15</f>
        <v>82500</v>
      </c>
      <c r="J14" s="92">
        <f t="shared" si="8"/>
        <v>247500</v>
      </c>
      <c r="K14" s="91">
        <f>+'Prod1 Dist'!I41</f>
        <v>1773</v>
      </c>
      <c r="L14" s="194">
        <f>+'Provider Costs'!B38</f>
        <v>800</v>
      </c>
      <c r="M14" s="164">
        <f t="shared" si="11"/>
        <v>1418400</v>
      </c>
      <c r="N14" s="164">
        <f>+'Prod1 Dist'!J41</f>
        <v>513</v>
      </c>
      <c r="O14" s="164">
        <f>+'Provider Costs'!F38</f>
        <v>49500.000000000007</v>
      </c>
      <c r="P14" s="164">
        <f t="shared" si="9"/>
        <v>25393500.000000004</v>
      </c>
      <c r="Q14" s="254">
        <f>+'Prod1 Dist'!K41</f>
        <v>0</v>
      </c>
      <c r="R14" s="254">
        <f>+'Provider Costs'!J38</f>
        <v>82500</v>
      </c>
      <c r="S14" s="92">
        <f t="shared" si="10"/>
        <v>0</v>
      </c>
      <c r="T14" s="90">
        <f t="shared" si="12"/>
        <v>12757</v>
      </c>
      <c r="U14" s="407">
        <f t="shared" si="13"/>
        <v>3.3955199999999999</v>
      </c>
      <c r="V14" s="91">
        <f t="shared" si="14"/>
        <v>3690</v>
      </c>
      <c r="W14" s="407">
        <f t="shared" si="15"/>
        <v>90.045450000000002</v>
      </c>
      <c r="X14" s="91">
        <f t="shared" si="16"/>
        <v>3</v>
      </c>
      <c r="Y14" s="538">
        <f t="shared" si="17"/>
        <v>0.2475</v>
      </c>
    </row>
    <row r="15" spans="1:25" s="28" customFormat="1">
      <c r="A15" s="529" t="str">
        <f>+'Morbidity Distribution'!A29</f>
        <v>30 - 34</v>
      </c>
      <c r="B15" s="90">
        <f>+'Prod1 Dist'!E42</f>
        <v>10824</v>
      </c>
      <c r="C15" s="194">
        <f>+'Provider Costs'!B16</f>
        <v>180</v>
      </c>
      <c r="D15" s="164">
        <f t="shared" si="6"/>
        <v>1948320</v>
      </c>
      <c r="E15" s="164">
        <f>+'Prod1 Dist'!F42</f>
        <v>3131</v>
      </c>
      <c r="F15" s="164">
        <f>+'Provider Costs'!F16</f>
        <v>20350</v>
      </c>
      <c r="G15" s="164">
        <f t="shared" si="7"/>
        <v>63715850</v>
      </c>
      <c r="H15" s="164">
        <f>+'Prod1 Dist'!G42</f>
        <v>3</v>
      </c>
      <c r="I15" s="164">
        <f>+'Provider Costs'!J16</f>
        <v>82500</v>
      </c>
      <c r="J15" s="92">
        <f t="shared" si="8"/>
        <v>247500</v>
      </c>
      <c r="K15" s="91">
        <f>+'Prod1 Dist'!I42</f>
        <v>1748</v>
      </c>
      <c r="L15" s="194">
        <f>+'Provider Costs'!B39</f>
        <v>800</v>
      </c>
      <c r="M15" s="164">
        <f t="shared" si="11"/>
        <v>1398400</v>
      </c>
      <c r="N15" s="164">
        <f>+'Prod1 Dist'!J42</f>
        <v>506</v>
      </c>
      <c r="O15" s="164">
        <f>+'Provider Costs'!F39</f>
        <v>49500.000000000007</v>
      </c>
      <c r="P15" s="164">
        <f t="shared" si="9"/>
        <v>25047000.000000004</v>
      </c>
      <c r="Q15" s="254">
        <f>+'Prod1 Dist'!K42</f>
        <v>0</v>
      </c>
      <c r="R15" s="254">
        <f>+'Provider Costs'!J39</f>
        <v>82500</v>
      </c>
      <c r="S15" s="92">
        <f t="shared" si="10"/>
        <v>0</v>
      </c>
      <c r="T15" s="90">
        <f t="shared" si="12"/>
        <v>12572</v>
      </c>
      <c r="U15" s="407">
        <f t="shared" si="13"/>
        <v>3.3467199999999999</v>
      </c>
      <c r="V15" s="91">
        <f t="shared" si="14"/>
        <v>3637</v>
      </c>
      <c r="W15" s="407">
        <f t="shared" si="15"/>
        <v>88.76285</v>
      </c>
      <c r="X15" s="91">
        <f t="shared" si="16"/>
        <v>3</v>
      </c>
      <c r="Y15" s="538">
        <f t="shared" si="17"/>
        <v>0.2475</v>
      </c>
    </row>
    <row r="16" spans="1:25" s="28" customFormat="1">
      <c r="A16" s="529" t="str">
        <f>+'Morbidity Distribution'!A30</f>
        <v>35 - 39</v>
      </c>
      <c r="B16" s="90">
        <f>+'Prod1 Dist'!E43</f>
        <v>9870</v>
      </c>
      <c r="C16" s="194">
        <f>+'Provider Costs'!B17</f>
        <v>180</v>
      </c>
      <c r="D16" s="164">
        <f t="shared" si="6"/>
        <v>1776600</v>
      </c>
      <c r="E16" s="164">
        <f>+'Prod1 Dist'!F43</f>
        <v>2203</v>
      </c>
      <c r="F16" s="164">
        <f>+'Provider Costs'!F17</f>
        <v>20350</v>
      </c>
      <c r="G16" s="164">
        <f t="shared" si="7"/>
        <v>44831050</v>
      </c>
      <c r="H16" s="164">
        <f>+'Prod1 Dist'!G43</f>
        <v>3</v>
      </c>
      <c r="I16" s="164">
        <f>+'Provider Costs'!J17</f>
        <v>82500</v>
      </c>
      <c r="J16" s="92">
        <f t="shared" si="8"/>
        <v>247500</v>
      </c>
      <c r="K16" s="91">
        <f>+'Prod1 Dist'!I43</f>
        <v>1593</v>
      </c>
      <c r="L16" s="194">
        <f>+'Provider Costs'!B40</f>
        <v>800</v>
      </c>
      <c r="M16" s="164">
        <f t="shared" si="11"/>
        <v>1274400</v>
      </c>
      <c r="N16" s="164">
        <f>+'Prod1 Dist'!J43</f>
        <v>356</v>
      </c>
      <c r="O16" s="164">
        <f>+'Provider Costs'!F40</f>
        <v>49500.000000000007</v>
      </c>
      <c r="P16" s="164">
        <f t="shared" si="9"/>
        <v>17622000.000000004</v>
      </c>
      <c r="Q16" s="254">
        <f>+'Prod1 Dist'!K43</f>
        <v>0</v>
      </c>
      <c r="R16" s="254">
        <f>+'Provider Costs'!J40</f>
        <v>82500</v>
      </c>
      <c r="S16" s="92">
        <f t="shared" si="10"/>
        <v>0</v>
      </c>
      <c r="T16" s="90">
        <f t="shared" si="12"/>
        <v>11463</v>
      </c>
      <c r="U16" s="407">
        <f t="shared" si="13"/>
        <v>3.0510000000000002</v>
      </c>
      <c r="V16" s="91">
        <f t="shared" si="14"/>
        <v>2559</v>
      </c>
      <c r="W16" s="407">
        <f t="shared" si="15"/>
        <v>62.453049999999998</v>
      </c>
      <c r="X16" s="91">
        <f t="shared" si="16"/>
        <v>3</v>
      </c>
      <c r="Y16" s="538">
        <f t="shared" si="17"/>
        <v>0.2475</v>
      </c>
    </row>
    <row r="17" spans="1:25" s="28" customFormat="1">
      <c r="A17" s="529" t="str">
        <f>+'Morbidity Distribution'!A31</f>
        <v>40 - 44</v>
      </c>
      <c r="B17" s="90">
        <f>+'Prod1 Dist'!E44</f>
        <v>10347</v>
      </c>
      <c r="C17" s="194">
        <f>+'Provider Costs'!B18</f>
        <v>180</v>
      </c>
      <c r="D17" s="164">
        <f t="shared" si="6"/>
        <v>1862460</v>
      </c>
      <c r="E17" s="164">
        <f>+'Prod1 Dist'!F44</f>
        <v>1603</v>
      </c>
      <c r="F17" s="164">
        <f>+'Provider Costs'!F18</f>
        <v>20350</v>
      </c>
      <c r="G17" s="164">
        <f t="shared" si="7"/>
        <v>32621050</v>
      </c>
      <c r="H17" s="164">
        <f>+'Prod1 Dist'!G44</f>
        <v>3</v>
      </c>
      <c r="I17" s="164">
        <f>+'Provider Costs'!J18</f>
        <v>82500</v>
      </c>
      <c r="J17" s="92">
        <f t="shared" si="8"/>
        <v>247500</v>
      </c>
      <c r="K17" s="91">
        <f>+'Prod1 Dist'!I44</f>
        <v>1671</v>
      </c>
      <c r="L17" s="194">
        <f>+'Provider Costs'!B41</f>
        <v>800</v>
      </c>
      <c r="M17" s="164">
        <f t="shared" si="11"/>
        <v>1336800</v>
      </c>
      <c r="N17" s="164">
        <f>+'Prod1 Dist'!J44</f>
        <v>259</v>
      </c>
      <c r="O17" s="164">
        <f>+'Provider Costs'!F41</f>
        <v>49500.000000000007</v>
      </c>
      <c r="P17" s="164">
        <f t="shared" si="9"/>
        <v>12820500.000000002</v>
      </c>
      <c r="Q17" s="254">
        <f>+'Prod1 Dist'!K44</f>
        <v>0</v>
      </c>
      <c r="R17" s="254">
        <f>+'Provider Costs'!J41</f>
        <v>82500</v>
      </c>
      <c r="S17" s="92">
        <f t="shared" si="10"/>
        <v>0</v>
      </c>
      <c r="T17" s="90">
        <f t="shared" si="12"/>
        <v>12018</v>
      </c>
      <c r="U17" s="407">
        <f t="shared" si="13"/>
        <v>3.1992600000000002</v>
      </c>
      <c r="V17" s="91">
        <f t="shared" si="14"/>
        <v>1862</v>
      </c>
      <c r="W17" s="407">
        <f t="shared" si="15"/>
        <v>45.441549999999999</v>
      </c>
      <c r="X17" s="91">
        <f t="shared" si="16"/>
        <v>3</v>
      </c>
      <c r="Y17" s="538">
        <f t="shared" si="17"/>
        <v>0.2475</v>
      </c>
    </row>
    <row r="18" spans="1:25" s="28" customFormat="1">
      <c r="A18" s="529" t="str">
        <f>+'Morbidity Distribution'!A32</f>
        <v>45 - 49</v>
      </c>
      <c r="B18" s="90">
        <f>+'Prod1 Dist'!E45</f>
        <v>9945</v>
      </c>
      <c r="C18" s="194">
        <f>+'Provider Costs'!B19</f>
        <v>180</v>
      </c>
      <c r="D18" s="164">
        <f t="shared" si="6"/>
        <v>1790100</v>
      </c>
      <c r="E18" s="164">
        <f>+'Prod1 Dist'!F45</f>
        <v>1110</v>
      </c>
      <c r="F18" s="164">
        <f>+'Provider Costs'!F19</f>
        <v>20350</v>
      </c>
      <c r="G18" s="164">
        <f t="shared" si="7"/>
        <v>22588500</v>
      </c>
      <c r="H18" s="164">
        <f>+'Prod1 Dist'!G45</f>
        <v>3</v>
      </c>
      <c r="I18" s="164">
        <f>+'Provider Costs'!J19</f>
        <v>99000.000000000015</v>
      </c>
      <c r="J18" s="92">
        <f t="shared" si="8"/>
        <v>297000.00000000006</v>
      </c>
      <c r="K18" s="91">
        <f>+'Prod1 Dist'!I45</f>
        <v>2257</v>
      </c>
      <c r="L18" s="194">
        <f>+'Provider Costs'!B42</f>
        <v>800</v>
      </c>
      <c r="M18" s="164">
        <f t="shared" si="11"/>
        <v>1805600</v>
      </c>
      <c r="N18" s="164">
        <f>+'Prod1 Dist'!J45</f>
        <v>252</v>
      </c>
      <c r="O18" s="164">
        <f>+'Provider Costs'!F42</f>
        <v>49500.000000000007</v>
      </c>
      <c r="P18" s="164">
        <f t="shared" si="9"/>
        <v>12474000.000000002</v>
      </c>
      <c r="Q18" s="254">
        <f>+'Prod1 Dist'!K45</f>
        <v>0</v>
      </c>
      <c r="R18" s="254">
        <f>+'Provider Costs'!J42</f>
        <v>99000.000000000015</v>
      </c>
      <c r="S18" s="92">
        <f t="shared" si="10"/>
        <v>0</v>
      </c>
      <c r="T18" s="90">
        <f t="shared" si="12"/>
        <v>12202</v>
      </c>
      <c r="U18" s="407">
        <f t="shared" si="13"/>
        <v>3.5956999999999999</v>
      </c>
      <c r="V18" s="91">
        <f t="shared" si="14"/>
        <v>1362</v>
      </c>
      <c r="W18" s="407">
        <f t="shared" si="15"/>
        <v>35.0625</v>
      </c>
      <c r="X18" s="91">
        <f t="shared" si="16"/>
        <v>3</v>
      </c>
      <c r="Y18" s="538">
        <f t="shared" si="17"/>
        <v>0.29700000000000004</v>
      </c>
    </row>
    <row r="19" spans="1:25" s="28" customFormat="1">
      <c r="A19" s="529" t="str">
        <f>+'Morbidity Distribution'!A33</f>
        <v>50 - 54</v>
      </c>
      <c r="B19" s="90">
        <f>+'Prod1 Dist'!E46</f>
        <v>10095</v>
      </c>
      <c r="C19" s="194">
        <f>+'Provider Costs'!B20</f>
        <v>250</v>
      </c>
      <c r="D19" s="164">
        <f t="shared" si="6"/>
        <v>2523750</v>
      </c>
      <c r="E19" s="164">
        <f>+'Prod1 Dist'!F46</f>
        <v>782</v>
      </c>
      <c r="F19" s="164">
        <f>+'Provider Costs'!F20</f>
        <v>24750.000000000004</v>
      </c>
      <c r="G19" s="164">
        <f t="shared" si="7"/>
        <v>19354500.000000004</v>
      </c>
      <c r="H19" s="164">
        <f>+'Prod1 Dist'!G46</f>
        <v>2</v>
      </c>
      <c r="I19" s="164">
        <f>+'Provider Costs'!J20</f>
        <v>132000</v>
      </c>
      <c r="J19" s="92">
        <f t="shared" si="8"/>
        <v>264000</v>
      </c>
      <c r="K19" s="91">
        <f>+'Prod1 Dist'!I46</f>
        <v>3032</v>
      </c>
      <c r="L19" s="194">
        <f>+'Provider Costs'!B43</f>
        <v>800</v>
      </c>
      <c r="M19" s="164">
        <f t="shared" si="11"/>
        <v>2425600</v>
      </c>
      <c r="N19" s="164">
        <f>+'Prod1 Dist'!J46</f>
        <v>235</v>
      </c>
      <c r="O19" s="164">
        <f>+'Provider Costs'!F43</f>
        <v>44000</v>
      </c>
      <c r="P19" s="164">
        <f t="shared" si="9"/>
        <v>10340000</v>
      </c>
      <c r="Q19" s="254">
        <f>+'Prod1 Dist'!K46</f>
        <v>1</v>
      </c>
      <c r="R19" s="254">
        <f>+'Provider Costs'!J43</f>
        <v>132000</v>
      </c>
      <c r="S19" s="92">
        <f t="shared" si="10"/>
        <v>132000</v>
      </c>
      <c r="T19" s="90">
        <f t="shared" si="12"/>
        <v>13127</v>
      </c>
      <c r="U19" s="407">
        <f t="shared" si="13"/>
        <v>4.9493499999999999</v>
      </c>
      <c r="V19" s="91">
        <f t="shared" si="14"/>
        <v>1017</v>
      </c>
      <c r="W19" s="407">
        <f t="shared" si="15"/>
        <v>29.694500000000005</v>
      </c>
      <c r="X19" s="91">
        <f t="shared" si="16"/>
        <v>3</v>
      </c>
      <c r="Y19" s="538">
        <f t="shared" si="17"/>
        <v>0.39600000000000002</v>
      </c>
    </row>
    <row r="20" spans="1:25" s="28" customFormat="1">
      <c r="A20" s="529" t="str">
        <f>+'Morbidity Distribution'!A34</f>
        <v>55 - 59</v>
      </c>
      <c r="B20" s="90">
        <f>+'Prod1 Dist'!E47</f>
        <v>6504</v>
      </c>
      <c r="C20" s="194">
        <f>+'Provider Costs'!B21</f>
        <v>250</v>
      </c>
      <c r="D20" s="164">
        <f t="shared" si="6"/>
        <v>1626000</v>
      </c>
      <c r="E20" s="164">
        <f>+'Prod1 Dist'!F47</f>
        <v>458</v>
      </c>
      <c r="F20" s="164">
        <f>+'Provider Costs'!F21</f>
        <v>24750.000000000004</v>
      </c>
      <c r="G20" s="164">
        <f t="shared" si="7"/>
        <v>11335500.000000002</v>
      </c>
      <c r="H20" s="164">
        <f>+'Prod1 Dist'!G47</f>
        <v>2</v>
      </c>
      <c r="I20" s="164">
        <f>+'Provider Costs'!J21</f>
        <v>132000</v>
      </c>
      <c r="J20" s="92">
        <f t="shared" si="8"/>
        <v>264000</v>
      </c>
      <c r="K20" s="91">
        <f>+'Prod1 Dist'!I47</f>
        <v>3118</v>
      </c>
      <c r="L20" s="194">
        <f>+'Provider Costs'!B44</f>
        <v>800</v>
      </c>
      <c r="M20" s="164">
        <f t="shared" si="11"/>
        <v>2494400</v>
      </c>
      <c r="N20" s="164">
        <f>+'Prod1 Dist'!J47</f>
        <v>219</v>
      </c>
      <c r="O20" s="164">
        <f>+'Provider Costs'!F44</f>
        <v>44000</v>
      </c>
      <c r="P20" s="164">
        <f t="shared" si="9"/>
        <v>9636000</v>
      </c>
      <c r="Q20" s="254">
        <f>+'Prod1 Dist'!K47</f>
        <v>1</v>
      </c>
      <c r="R20" s="254">
        <f>+'Provider Costs'!J44</f>
        <v>132000</v>
      </c>
      <c r="S20" s="92">
        <f t="shared" si="10"/>
        <v>132000</v>
      </c>
      <c r="T20" s="90">
        <f t="shared" si="12"/>
        <v>9622</v>
      </c>
      <c r="U20" s="407">
        <f t="shared" si="13"/>
        <v>4.1204000000000001</v>
      </c>
      <c r="V20" s="91">
        <f t="shared" si="14"/>
        <v>677</v>
      </c>
      <c r="W20" s="407">
        <f t="shared" si="15"/>
        <v>20.971499999999999</v>
      </c>
      <c r="X20" s="91">
        <f t="shared" si="16"/>
        <v>3</v>
      </c>
      <c r="Y20" s="538">
        <f t="shared" si="17"/>
        <v>0.39600000000000002</v>
      </c>
    </row>
    <row r="21" spans="1:25" s="28" customFormat="1">
      <c r="A21" s="529" t="str">
        <f>+'Morbidity Distribution'!A35</f>
        <v>60 - 64</v>
      </c>
      <c r="B21" s="90">
        <f>+'Prod1 Dist'!E48</f>
        <v>3755</v>
      </c>
      <c r="C21" s="194">
        <f>+'Provider Costs'!B22</f>
        <v>250</v>
      </c>
      <c r="D21" s="164">
        <f t="shared" si="6"/>
        <v>938750</v>
      </c>
      <c r="E21" s="164">
        <f>+'Prod1 Dist'!F48</f>
        <v>231</v>
      </c>
      <c r="F21" s="164">
        <f>+'Provider Costs'!F22</f>
        <v>24750.000000000004</v>
      </c>
      <c r="G21" s="164">
        <f t="shared" si="7"/>
        <v>5717250.0000000009</v>
      </c>
      <c r="H21" s="164">
        <f>+'Prod1 Dist'!G48</f>
        <v>2</v>
      </c>
      <c r="I21" s="164">
        <f>+'Provider Costs'!J22</f>
        <v>132000</v>
      </c>
      <c r="J21" s="92">
        <f t="shared" si="8"/>
        <v>264000</v>
      </c>
      <c r="K21" s="91">
        <f>+'Prod1 Dist'!I48</f>
        <v>2205</v>
      </c>
      <c r="L21" s="194">
        <f>+'Provider Costs'!B45</f>
        <v>800</v>
      </c>
      <c r="M21" s="164">
        <f t="shared" si="11"/>
        <v>1764000</v>
      </c>
      <c r="N21" s="164">
        <f>+'Prod1 Dist'!J48</f>
        <v>135</v>
      </c>
      <c r="O21" s="164">
        <f>+'Provider Costs'!F45</f>
        <v>44000</v>
      </c>
      <c r="P21" s="164">
        <f t="shared" si="9"/>
        <v>5940000</v>
      </c>
      <c r="Q21" s="254">
        <f>+'Prod1 Dist'!K48</f>
        <v>1</v>
      </c>
      <c r="R21" s="254">
        <f>+'Provider Costs'!J45</f>
        <v>132000</v>
      </c>
      <c r="S21" s="92">
        <f t="shared" si="10"/>
        <v>132000</v>
      </c>
      <c r="T21" s="90">
        <f t="shared" si="12"/>
        <v>5960</v>
      </c>
      <c r="U21" s="407">
        <f t="shared" si="13"/>
        <v>2.70275</v>
      </c>
      <c r="V21" s="91">
        <f t="shared" si="14"/>
        <v>366</v>
      </c>
      <c r="W21" s="407">
        <f t="shared" si="15"/>
        <v>11.657249999999999</v>
      </c>
      <c r="X21" s="91">
        <f t="shared" si="16"/>
        <v>3</v>
      </c>
      <c r="Y21" s="538">
        <f t="shared" si="17"/>
        <v>0.39600000000000002</v>
      </c>
    </row>
    <row r="22" spans="1:25" s="28" customFormat="1">
      <c r="A22" s="529" t="str">
        <f>+'Morbidity Distribution'!A36</f>
        <v>65 - 69</v>
      </c>
      <c r="B22" s="90">
        <f>+'Prod1 Dist'!E49</f>
        <v>1724</v>
      </c>
      <c r="C22" s="194">
        <f>+'Provider Costs'!B23</f>
        <v>225</v>
      </c>
      <c r="D22" s="164">
        <f t="shared" si="6"/>
        <v>387900</v>
      </c>
      <c r="E22" s="164">
        <f>+'Prod1 Dist'!F49</f>
        <v>118</v>
      </c>
      <c r="F22" s="164">
        <f>+'Provider Costs'!F23</f>
        <v>13750.000000000002</v>
      </c>
      <c r="G22" s="164">
        <f t="shared" si="7"/>
        <v>1622500.0000000002</v>
      </c>
      <c r="H22" s="164">
        <f>+'Prod1 Dist'!G49</f>
        <v>1</v>
      </c>
      <c r="I22" s="164">
        <f>+'Provider Costs'!J23</f>
        <v>66000</v>
      </c>
      <c r="J22" s="92">
        <f t="shared" si="8"/>
        <v>66000</v>
      </c>
      <c r="K22" s="91">
        <f>+'Prod1 Dist'!I49</f>
        <v>1228</v>
      </c>
      <c r="L22" s="194">
        <f>+'Provider Costs'!B46</f>
        <v>650</v>
      </c>
      <c r="M22" s="164">
        <f t="shared" si="11"/>
        <v>798200</v>
      </c>
      <c r="N22" s="164">
        <f>+'Prod1 Dist'!J49</f>
        <v>84</v>
      </c>
      <c r="O22" s="164">
        <f>+'Provider Costs'!F46</f>
        <v>27500.000000000004</v>
      </c>
      <c r="P22" s="164">
        <f t="shared" si="9"/>
        <v>2310000.0000000005</v>
      </c>
      <c r="Q22" s="254">
        <f>+'Prod1 Dist'!K49</f>
        <v>1</v>
      </c>
      <c r="R22" s="254">
        <f>+'Provider Costs'!J46</f>
        <v>66000</v>
      </c>
      <c r="S22" s="92">
        <f t="shared" si="10"/>
        <v>66000</v>
      </c>
      <c r="T22" s="90">
        <f t="shared" si="12"/>
        <v>2952</v>
      </c>
      <c r="U22" s="407">
        <f t="shared" si="13"/>
        <v>1.1860999999999999</v>
      </c>
      <c r="V22" s="91">
        <f t="shared" si="14"/>
        <v>202</v>
      </c>
      <c r="W22" s="407">
        <f t="shared" si="15"/>
        <v>3.932500000000001</v>
      </c>
      <c r="X22" s="91">
        <f t="shared" si="16"/>
        <v>2</v>
      </c>
      <c r="Y22" s="538">
        <f t="shared" si="17"/>
        <v>0.13200000000000001</v>
      </c>
    </row>
    <row r="23" spans="1:25" s="28" customFormat="1">
      <c r="A23" s="529" t="str">
        <f>+'Morbidity Distribution'!A37</f>
        <v>70 - 74</v>
      </c>
      <c r="B23" s="90">
        <f>+'Prod1 Dist'!E50</f>
        <v>1156</v>
      </c>
      <c r="C23" s="194">
        <f>+'Provider Costs'!B24</f>
        <v>225</v>
      </c>
      <c r="D23" s="164">
        <f t="shared" si="6"/>
        <v>260100</v>
      </c>
      <c r="E23" s="164">
        <f>+'Prod1 Dist'!F50</f>
        <v>79</v>
      </c>
      <c r="F23" s="164">
        <f>+'Provider Costs'!F24</f>
        <v>12650.000000000002</v>
      </c>
      <c r="G23" s="164">
        <f t="shared" si="7"/>
        <v>999350.00000000012</v>
      </c>
      <c r="H23" s="164">
        <f>+'Prod1 Dist'!G50</f>
        <v>1</v>
      </c>
      <c r="I23" s="164">
        <f>+'Provider Costs'!J24</f>
        <v>39050</v>
      </c>
      <c r="J23" s="92">
        <f t="shared" si="8"/>
        <v>39050</v>
      </c>
      <c r="K23" s="91">
        <f>+'Prod1 Dist'!I50</f>
        <v>996</v>
      </c>
      <c r="L23" s="194">
        <f>+'Provider Costs'!B47</f>
        <v>500</v>
      </c>
      <c r="M23" s="164">
        <f t="shared" si="11"/>
        <v>498000</v>
      </c>
      <c r="N23" s="164">
        <f>+'Prod1 Dist'!J50</f>
        <v>68</v>
      </c>
      <c r="O23" s="164">
        <f>+'Provider Costs'!F47</f>
        <v>16500</v>
      </c>
      <c r="P23" s="164">
        <f t="shared" si="9"/>
        <v>1122000</v>
      </c>
      <c r="Q23" s="254">
        <f>+'Prod1 Dist'!K50</f>
        <v>0</v>
      </c>
      <c r="R23" s="254">
        <f>+'Provider Costs'!J47</f>
        <v>39050</v>
      </c>
      <c r="S23" s="92">
        <f t="shared" si="10"/>
        <v>0</v>
      </c>
      <c r="T23" s="90">
        <f t="shared" si="12"/>
        <v>2152</v>
      </c>
      <c r="U23" s="407">
        <f t="shared" si="13"/>
        <v>0.7581</v>
      </c>
      <c r="V23" s="91">
        <f t="shared" si="14"/>
        <v>147</v>
      </c>
      <c r="W23" s="407">
        <f t="shared" si="15"/>
        <v>2.1213500000000001</v>
      </c>
      <c r="X23" s="91">
        <f t="shared" si="16"/>
        <v>1</v>
      </c>
      <c r="Y23" s="538">
        <f t="shared" si="17"/>
        <v>3.9050000000000001E-2</v>
      </c>
    </row>
    <row r="24" spans="1:25" s="28" customFormat="1">
      <c r="A24" s="529" t="str">
        <f>+'Morbidity Distribution'!A38</f>
        <v>75 - 79</v>
      </c>
      <c r="B24" s="90">
        <f>+'Prod1 Dist'!E51</f>
        <v>755</v>
      </c>
      <c r="C24" s="194">
        <f>+'Provider Costs'!B25</f>
        <v>225</v>
      </c>
      <c r="D24" s="164">
        <f t="shared" si="6"/>
        <v>169875</v>
      </c>
      <c r="E24" s="164">
        <f>+'Prod1 Dist'!F51</f>
        <v>52</v>
      </c>
      <c r="F24" s="164">
        <f>+'Provider Costs'!F25</f>
        <v>12650.000000000002</v>
      </c>
      <c r="G24" s="164">
        <f t="shared" si="7"/>
        <v>657800.00000000012</v>
      </c>
      <c r="H24" s="164">
        <f>+'Prod1 Dist'!G51</f>
        <v>1</v>
      </c>
      <c r="I24" s="164">
        <f>+'Provider Costs'!J25</f>
        <v>39050</v>
      </c>
      <c r="J24" s="92">
        <f t="shared" si="8"/>
        <v>39050</v>
      </c>
      <c r="K24" s="91">
        <f>+'Prod1 Dist'!I51</f>
        <v>782</v>
      </c>
      <c r="L24" s="194">
        <f>+'Provider Costs'!B48</f>
        <v>500</v>
      </c>
      <c r="M24" s="164">
        <f t="shared" si="11"/>
        <v>391000</v>
      </c>
      <c r="N24" s="164">
        <f>+'Prod1 Dist'!J51</f>
        <v>53</v>
      </c>
      <c r="O24" s="164">
        <f>+'Provider Costs'!F48</f>
        <v>16500</v>
      </c>
      <c r="P24" s="164">
        <f t="shared" si="9"/>
        <v>874500</v>
      </c>
      <c r="Q24" s="254">
        <f>+'Prod1 Dist'!K51</f>
        <v>0</v>
      </c>
      <c r="R24" s="254">
        <f>+'Provider Costs'!J48</f>
        <v>39050</v>
      </c>
      <c r="S24" s="92">
        <f t="shared" si="10"/>
        <v>0</v>
      </c>
      <c r="T24" s="90">
        <f t="shared" si="12"/>
        <v>1537</v>
      </c>
      <c r="U24" s="407">
        <f t="shared" si="13"/>
        <v>0.56087500000000001</v>
      </c>
      <c r="V24" s="91">
        <f t="shared" si="14"/>
        <v>105</v>
      </c>
      <c r="W24" s="407">
        <f t="shared" si="15"/>
        <v>1.5323</v>
      </c>
      <c r="X24" s="91">
        <f t="shared" si="16"/>
        <v>1</v>
      </c>
      <c r="Y24" s="538">
        <f t="shared" si="17"/>
        <v>3.9050000000000001E-2</v>
      </c>
    </row>
    <row r="25" spans="1:25" s="28" customFormat="1">
      <c r="A25" s="529" t="str">
        <f>+'Morbidity Distribution'!A39</f>
        <v>80 - 84</v>
      </c>
      <c r="B25" s="90">
        <f>+'Prod1 Dist'!E52</f>
        <v>544</v>
      </c>
      <c r="C25" s="194">
        <f>+'Provider Costs'!B26</f>
        <v>225</v>
      </c>
      <c r="D25" s="164">
        <f t="shared" si="6"/>
        <v>122400</v>
      </c>
      <c r="E25" s="164">
        <f>+'Prod1 Dist'!F52</f>
        <v>37</v>
      </c>
      <c r="F25" s="164">
        <f>+'Provider Costs'!F26</f>
        <v>12650.000000000002</v>
      </c>
      <c r="G25" s="164">
        <f t="shared" si="7"/>
        <v>468050.00000000006</v>
      </c>
      <c r="H25" s="164">
        <f>+'Prod1 Dist'!G52</f>
        <v>1</v>
      </c>
      <c r="I25" s="164">
        <f>+'Provider Costs'!J26</f>
        <v>39050</v>
      </c>
      <c r="J25" s="92">
        <f t="shared" si="8"/>
        <v>39050</v>
      </c>
      <c r="K25" s="91">
        <f>+'Prod1 Dist'!I52</f>
        <v>563</v>
      </c>
      <c r="L25" s="194">
        <f>+'Provider Costs'!B49</f>
        <v>500</v>
      </c>
      <c r="M25" s="164">
        <f t="shared" si="11"/>
        <v>281500</v>
      </c>
      <c r="N25" s="164">
        <f>+'Prod1 Dist'!J52</f>
        <v>39</v>
      </c>
      <c r="O25" s="164">
        <f>+'Provider Costs'!F49</f>
        <v>16500</v>
      </c>
      <c r="P25" s="164">
        <f t="shared" si="9"/>
        <v>643500</v>
      </c>
      <c r="Q25" s="254">
        <f>+'Prod1 Dist'!K52</f>
        <v>0</v>
      </c>
      <c r="R25" s="254">
        <f>+'Provider Costs'!J49</f>
        <v>39050</v>
      </c>
      <c r="S25" s="92">
        <f t="shared" si="10"/>
        <v>0</v>
      </c>
      <c r="T25" s="90">
        <f t="shared" si="12"/>
        <v>1107</v>
      </c>
      <c r="U25" s="407">
        <f t="shared" si="13"/>
        <v>0.40389999999999998</v>
      </c>
      <c r="V25" s="91">
        <f t="shared" si="14"/>
        <v>76</v>
      </c>
      <c r="W25" s="407">
        <f t="shared" si="15"/>
        <v>1.11155</v>
      </c>
      <c r="X25" s="91">
        <f t="shared" si="16"/>
        <v>1</v>
      </c>
      <c r="Y25" s="538">
        <f t="shared" si="17"/>
        <v>3.9050000000000001E-2</v>
      </c>
    </row>
    <row r="26" spans="1:25" s="28" customFormat="1">
      <c r="A26" s="531" t="str">
        <f>+'Morbidity Distribution'!A40</f>
        <v>85+</v>
      </c>
      <c r="B26" s="93">
        <f>+'Prod1 Dist'!E53</f>
        <v>573</v>
      </c>
      <c r="C26" s="532">
        <f>+'Provider Costs'!B27</f>
        <v>225</v>
      </c>
      <c r="D26" s="247">
        <f t="shared" si="6"/>
        <v>128925</v>
      </c>
      <c r="E26" s="247">
        <f>+'Prod1 Dist'!F53</f>
        <v>39</v>
      </c>
      <c r="F26" s="247">
        <f>+'Provider Costs'!F27</f>
        <v>12650.000000000002</v>
      </c>
      <c r="G26" s="247">
        <f t="shared" si="7"/>
        <v>493350.00000000006</v>
      </c>
      <c r="H26" s="247">
        <f>+'Prod1 Dist'!G53</f>
        <v>1</v>
      </c>
      <c r="I26" s="247">
        <f>+'Provider Costs'!J27</f>
        <v>39050</v>
      </c>
      <c r="J26" s="94">
        <f t="shared" si="8"/>
        <v>39050</v>
      </c>
      <c r="K26" s="27">
        <f>+'Prod1 Dist'!I53</f>
        <v>595</v>
      </c>
      <c r="L26" s="532">
        <f>+'Provider Costs'!B50</f>
        <v>500</v>
      </c>
      <c r="M26" s="164">
        <f t="shared" si="11"/>
        <v>297500</v>
      </c>
      <c r="N26" s="247">
        <f>+'Prod1 Dist'!J53</f>
        <v>41</v>
      </c>
      <c r="O26" s="247">
        <f>+'Provider Costs'!F50</f>
        <v>16500</v>
      </c>
      <c r="P26" s="247">
        <f t="shared" si="9"/>
        <v>676500</v>
      </c>
      <c r="Q26" s="439">
        <f>+'Prod1 Dist'!K53</f>
        <v>0</v>
      </c>
      <c r="R26" s="439">
        <f>+'Provider Costs'!J50</f>
        <v>39050</v>
      </c>
      <c r="S26" s="94">
        <f t="shared" si="10"/>
        <v>0</v>
      </c>
      <c r="T26" s="93">
        <f t="shared" si="12"/>
        <v>1168</v>
      </c>
      <c r="U26" s="539">
        <f t="shared" si="13"/>
        <v>0.426425</v>
      </c>
      <c r="V26" s="27">
        <f t="shared" si="14"/>
        <v>80</v>
      </c>
      <c r="W26" s="539">
        <f t="shared" si="15"/>
        <v>1.1698500000000001</v>
      </c>
      <c r="X26" s="27">
        <f t="shared" si="16"/>
        <v>1</v>
      </c>
      <c r="Y26" s="540">
        <f t="shared" si="17"/>
        <v>3.9050000000000001E-2</v>
      </c>
    </row>
    <row r="27" spans="1:25" s="28" customFormat="1">
      <c r="A27" s="72" t="str">
        <f>+'Morbidity Distribution'!A41</f>
        <v>Total</v>
      </c>
      <c r="B27" s="91">
        <f>SUM(B9:B26)</f>
        <v>130942</v>
      </c>
      <c r="C27" s="194"/>
      <c r="D27" s="164">
        <f>SUM(D9:D26)</f>
        <v>24336620</v>
      </c>
      <c r="E27" s="164">
        <f>SUM(E9:E26)</f>
        <v>22606</v>
      </c>
      <c r="F27" s="164"/>
      <c r="G27" s="164">
        <f>SUM(G9:G26)</f>
        <v>419210550</v>
      </c>
      <c r="H27" s="164">
        <f>SUM(H9:H26)</f>
        <v>33</v>
      </c>
      <c r="I27" s="164"/>
      <c r="J27" s="91">
        <f>SUM(J9:J26)</f>
        <v>2669700</v>
      </c>
      <c r="K27" s="91">
        <f>SUM(K9:K26)</f>
        <v>27034</v>
      </c>
      <c r="L27" s="19"/>
      <c r="M27" s="91">
        <f>SUM(M9:M26)</f>
        <v>19928175</v>
      </c>
      <c r="N27" s="91">
        <f>SUM(N9:N26)</f>
        <v>3696</v>
      </c>
      <c r="O27" s="50"/>
      <c r="P27" s="91">
        <f>SUM(P9:P26)</f>
        <v>175573750</v>
      </c>
      <c r="Q27" s="91">
        <f>SUM(Q9:Q26)</f>
        <v>4</v>
      </c>
      <c r="R27" s="50"/>
      <c r="S27" s="91">
        <f t="shared" ref="S27:Y27" si="18">SUM(S9:S26)</f>
        <v>462000</v>
      </c>
      <c r="T27" s="137">
        <f t="shared" si="18"/>
        <v>157976</v>
      </c>
      <c r="U27" s="407">
        <f t="shared" si="18"/>
        <v>44.264795000000014</v>
      </c>
      <c r="V27" s="137">
        <f t="shared" si="18"/>
        <v>26302</v>
      </c>
      <c r="W27" s="407">
        <f t="shared" si="18"/>
        <v>594.78429999999992</v>
      </c>
      <c r="X27" s="137">
        <f t="shared" si="18"/>
        <v>37</v>
      </c>
      <c r="Y27" s="407">
        <f t="shared" si="18"/>
        <v>3.1316999999999999</v>
      </c>
    </row>
    <row r="28" spans="1:25" s="28" customFormat="1">
      <c r="A28" s="72"/>
      <c r="B28" s="91"/>
      <c r="C28" s="194"/>
      <c r="D28" s="164"/>
      <c r="E28" s="164"/>
      <c r="F28" s="164"/>
      <c r="G28" s="164"/>
      <c r="H28" s="164"/>
      <c r="I28" s="164"/>
      <c r="J28" s="91"/>
      <c r="U28" s="133"/>
      <c r="V28" s="137"/>
      <c r="X28" s="137"/>
    </row>
    <row r="29" spans="1:25">
      <c r="A29" s="72"/>
      <c r="B29" s="39"/>
      <c r="C29" s="19"/>
      <c r="D29" s="155"/>
      <c r="E29" s="91"/>
      <c r="G29" s="50"/>
      <c r="I29" s="91"/>
      <c r="J29" s="50"/>
      <c r="K29" s="91"/>
      <c r="L29" s="91"/>
      <c r="M29" s="91"/>
      <c r="N29" s="91"/>
      <c r="O29" s="91"/>
      <c r="P29" s="91"/>
      <c r="Q29" s="91"/>
      <c r="R29" s="91"/>
      <c r="S29" s="91"/>
      <c r="U29" s="28"/>
    </row>
    <row r="30" spans="1:25">
      <c r="A30" s="345"/>
      <c r="B30" s="28"/>
      <c r="D30" s="137"/>
      <c r="E30" s="344"/>
      <c r="H30" s="344"/>
      <c r="U30" s="28"/>
    </row>
    <row r="31" spans="1:25">
      <c r="A31" s="344"/>
      <c r="B31" s="362"/>
      <c r="E31" s="344"/>
      <c r="F31" s="362"/>
      <c r="H31" s="344"/>
      <c r="I31" s="362"/>
      <c r="U31" s="28"/>
    </row>
    <row r="32" spans="1:25">
      <c r="A32" s="344"/>
      <c r="B32" s="194"/>
      <c r="E32" s="344"/>
      <c r="F32" s="194"/>
      <c r="H32" s="344"/>
      <c r="I32" s="194"/>
    </row>
    <row r="33" spans="1:9">
      <c r="A33" s="344"/>
      <c r="B33" s="28"/>
      <c r="E33" s="345"/>
      <c r="H33" s="344"/>
    </row>
    <row r="34" spans="1:9">
      <c r="A34" s="344"/>
      <c r="B34" s="362"/>
      <c r="E34" s="344"/>
      <c r="F34" s="362"/>
      <c r="H34" s="344"/>
      <c r="I34" s="362"/>
    </row>
    <row r="35" spans="1:9">
      <c r="A35" s="344"/>
      <c r="B35" s="194"/>
      <c r="E35" s="344"/>
      <c r="F35" s="194"/>
      <c r="H35" s="344"/>
      <c r="I35" s="194"/>
    </row>
    <row r="39" spans="1:9">
      <c r="A39" s="344"/>
    </row>
    <row r="51" spans="1:19">
      <c r="A51" s="35"/>
    </row>
    <row r="52" spans="1:19">
      <c r="A52" s="35"/>
    </row>
    <row r="53" spans="1:19">
      <c r="K53" s="137"/>
      <c r="L53" s="137"/>
      <c r="M53" s="137"/>
      <c r="N53" s="137"/>
      <c r="O53" s="137"/>
      <c r="P53" s="137"/>
      <c r="Q53" s="137"/>
      <c r="R53" s="137"/>
      <c r="S53" s="137"/>
    </row>
  </sheetData>
  <mergeCells count="2">
    <mergeCell ref="K4:S4"/>
    <mergeCell ref="B4:J4"/>
  </mergeCells>
  <printOptions horizontalCentered="1"/>
  <pageMargins left="0.5" right="0.5" top="0.5" bottom="0.75" header="0.5" footer="0.35"/>
  <pageSetup scale="72" orientation="landscape" r:id="rId1"/>
  <headerFooter alignWithMargins="0">
    <oddFooter>&amp;L&amp;8&amp;F 
&amp;A&amp;C&amp;8MBA Actuaries, Inc.&amp;R&amp;8&amp;D 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N50"/>
  <sheetViews>
    <sheetView zoomScaleNormal="100" workbookViewId="0">
      <selection activeCell="H12" sqref="H12"/>
    </sheetView>
  </sheetViews>
  <sheetFormatPr defaultRowHeight="12.75"/>
  <cols>
    <col min="1" max="1" width="4.42578125" style="249" customWidth="1"/>
    <col min="2" max="2" width="1.140625" style="249" customWidth="1"/>
    <col min="3" max="3" width="19.42578125" style="363" customWidth="1"/>
    <col min="4" max="4" width="0.28515625" style="363" customWidth="1"/>
    <col min="5" max="9" width="12.7109375" style="363" customWidth="1"/>
    <col min="10" max="10" width="1.42578125" style="249" customWidth="1"/>
    <col min="11" max="11" width="9.140625" style="249"/>
    <col min="12" max="12" width="11.28515625" style="249" bestFit="1" customWidth="1"/>
    <col min="13" max="13" width="9" style="249" bestFit="1" customWidth="1"/>
    <col min="14" max="14" width="13.5703125" style="249" bestFit="1" customWidth="1"/>
    <col min="15" max="16384" width="9.140625" style="249"/>
  </cols>
  <sheetData>
    <row r="1" spans="1:14">
      <c r="A1" s="402" t="str">
        <f>scenario</f>
        <v>Severe Scenario, V\ Curve</v>
      </c>
      <c r="J1" s="157"/>
    </row>
    <row r="2" spans="1:14">
      <c r="J2" s="250"/>
    </row>
    <row r="3" spans="1:14" s="15" customFormat="1" ht="15.75">
      <c r="A3" s="46" t="str">
        <f>LOB_1&amp;" Estimated Net Payer Costs as of 2016"</f>
        <v>Health Plan Commercial Risk Estimated Net Payer Costs as of 2016</v>
      </c>
      <c r="B3" s="46"/>
      <c r="C3" s="411"/>
      <c r="D3" s="411"/>
      <c r="E3" s="411"/>
      <c r="F3" s="411"/>
      <c r="G3" s="411"/>
      <c r="H3" s="411"/>
      <c r="I3" s="411"/>
      <c r="M3" s="19"/>
    </row>
    <row r="4" spans="1:14" s="15" customFormat="1" ht="6" customHeight="1">
      <c r="B4" s="121"/>
      <c r="C4" s="411"/>
      <c r="D4" s="411"/>
      <c r="E4" s="411"/>
      <c r="F4" s="411"/>
      <c r="G4" s="411"/>
      <c r="H4" s="411"/>
      <c r="I4" s="411"/>
      <c r="J4" s="19"/>
    </row>
    <row r="5" spans="1:14">
      <c r="C5" s="362"/>
      <c r="D5" s="412" t="s">
        <v>311</v>
      </c>
      <c r="E5" s="413"/>
      <c r="F5" s="414"/>
      <c r="G5" s="414"/>
      <c r="H5" s="414"/>
      <c r="I5" s="362"/>
    </row>
    <row r="6" spans="1:14">
      <c r="C6" s="362"/>
      <c r="D6" s="362"/>
      <c r="E6" s="415" t="str">
        <f>+'Total Summary'!E4</f>
        <v>Severe</v>
      </c>
      <c r="F6" s="221" t="s">
        <v>50</v>
      </c>
      <c r="G6" s="221" t="s">
        <v>5</v>
      </c>
      <c r="H6" s="221" t="s">
        <v>4</v>
      </c>
      <c r="I6" s="362"/>
      <c r="K6" s="250"/>
      <c r="L6" s="366"/>
      <c r="M6" s="300"/>
      <c r="N6" s="245"/>
    </row>
    <row r="7" spans="1:14">
      <c r="C7" s="362"/>
      <c r="D7" s="362"/>
      <c r="E7" s="462"/>
      <c r="F7" s="221"/>
      <c r="G7" s="221"/>
      <c r="H7" s="221"/>
      <c r="I7" s="362"/>
      <c r="K7" s="250"/>
      <c r="L7" s="366"/>
      <c r="M7" s="300"/>
      <c r="N7" s="245"/>
    </row>
    <row r="8" spans="1:14" ht="5.0999999999999996" customHeight="1">
      <c r="C8" s="362"/>
      <c r="D8" s="362"/>
      <c r="E8" s="221"/>
      <c r="F8" s="221"/>
      <c r="G8" s="221"/>
      <c r="H8" s="221"/>
      <c r="I8" s="362"/>
    </row>
    <row r="9" spans="1:14">
      <c r="A9" s="174">
        <v>-1</v>
      </c>
      <c r="B9" s="174"/>
      <c r="C9" s="202" t="s">
        <v>41</v>
      </c>
      <c r="E9" s="410">
        <f>+'Prod1 Costs'!U27</f>
        <v>44.264795000000014</v>
      </c>
      <c r="F9" s="410"/>
      <c r="G9" s="410"/>
      <c r="H9" s="410"/>
      <c r="I9" s="362"/>
    </row>
    <row r="10" spans="1:14">
      <c r="A10" s="359">
        <f t="shared" ref="A10:A12" si="0">+A9-1</f>
        <v>-2</v>
      </c>
      <c r="B10" s="359"/>
      <c r="C10" s="202" t="s">
        <v>39</v>
      </c>
      <c r="E10" s="116">
        <f>+'Prod1 Costs'!W27</f>
        <v>594.78429999999992</v>
      </c>
      <c r="F10" s="116"/>
      <c r="G10" s="116"/>
      <c r="H10" s="116"/>
      <c r="I10" s="362"/>
    </row>
    <row r="11" spans="1:14">
      <c r="A11" s="359">
        <f t="shared" si="0"/>
        <v>-3</v>
      </c>
      <c r="B11" s="359"/>
      <c r="C11" s="416" t="s">
        <v>126</v>
      </c>
      <c r="D11" s="417"/>
      <c r="E11" s="418">
        <f>+'Prod1 Costs'!Y27</f>
        <v>3.1316999999999999</v>
      </c>
      <c r="F11" s="418"/>
      <c r="G11" s="418"/>
      <c r="H11" s="418"/>
      <c r="I11" s="362"/>
      <c r="L11" s="232"/>
    </row>
    <row r="12" spans="1:14">
      <c r="A12" s="359">
        <f t="shared" si="0"/>
        <v>-4</v>
      </c>
      <c r="B12" s="359"/>
      <c r="C12" s="202" t="s">
        <v>136</v>
      </c>
      <c r="E12" s="419">
        <f>SUM(E9:E11)</f>
        <v>642.18079499999999</v>
      </c>
      <c r="F12" s="419"/>
      <c r="G12" s="419"/>
      <c r="H12" s="419"/>
      <c r="I12" s="362"/>
    </row>
    <row r="13" spans="1:14">
      <c r="C13" s="362"/>
      <c r="D13" s="202"/>
      <c r="E13" s="420"/>
      <c r="F13" s="420"/>
      <c r="G13" s="420"/>
      <c r="H13" s="420"/>
      <c r="I13" s="362"/>
    </row>
    <row r="14" spans="1:14" ht="5.0999999999999996" customHeight="1">
      <c r="C14" s="202"/>
      <c r="E14" s="421"/>
      <c r="F14" s="421"/>
      <c r="G14" s="421"/>
      <c r="H14" s="421"/>
      <c r="I14" s="362"/>
    </row>
    <row r="15" spans="1:14" ht="5.0999999999999996" customHeight="1">
      <c r="C15" s="202"/>
      <c r="E15" s="421"/>
      <c r="F15" s="421"/>
      <c r="G15" s="421"/>
      <c r="H15" s="421"/>
      <c r="I15" s="228"/>
    </row>
    <row r="16" spans="1:14">
      <c r="A16" s="359">
        <f>+A12-1</f>
        <v>-5</v>
      </c>
      <c r="B16" s="359"/>
      <c r="C16" s="202" t="s">
        <v>378</v>
      </c>
      <c r="E16" s="410">
        <f>+E12</f>
        <v>642.18079499999999</v>
      </c>
      <c r="F16" s="410"/>
      <c r="G16" s="410"/>
      <c r="H16" s="410"/>
      <c r="I16" s="228"/>
    </row>
    <row r="17" spans="1:9" ht="5.0999999999999996" customHeight="1">
      <c r="C17" s="202"/>
      <c r="E17" s="421"/>
      <c r="F17" s="421"/>
      <c r="G17" s="421"/>
      <c r="H17" s="421"/>
      <c r="I17" s="228"/>
    </row>
    <row r="18" spans="1:9">
      <c r="A18" s="359">
        <f>+A16-1</f>
        <v>-6</v>
      </c>
      <c r="B18" s="359"/>
      <c r="C18" s="202" t="s">
        <v>379</v>
      </c>
      <c r="E18" s="422">
        <f ca="1">inflation</f>
        <v>0.14839768732890946</v>
      </c>
      <c r="F18" s="422"/>
      <c r="G18" s="422"/>
      <c r="H18" s="422"/>
      <c r="I18" s="228"/>
    </row>
    <row r="19" spans="1:9" ht="5.0999999999999996" customHeight="1">
      <c r="C19" s="202"/>
      <c r="E19" s="423"/>
      <c r="F19" s="423"/>
      <c r="G19" s="423"/>
      <c r="H19" s="423"/>
      <c r="I19" s="228"/>
    </row>
    <row r="20" spans="1:9">
      <c r="A20" s="359">
        <f>+A18-1</f>
        <v>-7</v>
      </c>
      <c r="B20" s="359"/>
      <c r="C20" s="301" t="s">
        <v>380</v>
      </c>
      <c r="E20" s="410">
        <f ca="1">+E16*(E18+1)</f>
        <v>737.47893982504047</v>
      </c>
      <c r="F20" s="410"/>
      <c r="G20" s="410"/>
      <c r="H20" s="410"/>
      <c r="I20" s="228"/>
    </row>
    <row r="21" spans="1:9" ht="7.5" customHeight="1">
      <c r="C21" s="301"/>
      <c r="E21" s="410"/>
      <c r="F21" s="410"/>
      <c r="G21" s="410"/>
      <c r="H21" s="410"/>
      <c r="I21" s="228"/>
    </row>
    <row r="22" spans="1:9">
      <c r="C22" s="412" t="s">
        <v>395</v>
      </c>
      <c r="D22" s="413"/>
      <c r="E22" s="424"/>
      <c r="F22" s="424"/>
      <c r="G22" s="424"/>
      <c r="H22" s="424"/>
      <c r="I22" s="425"/>
    </row>
    <row r="23" spans="1:9" ht="12" customHeight="1">
      <c r="C23" s="202"/>
      <c r="E23" s="419"/>
      <c r="F23" s="419"/>
      <c r="G23" s="419"/>
      <c r="H23" s="419"/>
      <c r="I23" s="362"/>
    </row>
    <row r="24" spans="1:9">
      <c r="C24" s="202"/>
      <c r="D24" s="426" t="s">
        <v>153</v>
      </c>
      <c r="E24" s="427"/>
      <c r="F24" s="427"/>
      <c r="G24" s="427"/>
      <c r="H24" s="427"/>
      <c r="I24" s="463" t="s">
        <v>154</v>
      </c>
    </row>
    <row r="25" spans="1:9">
      <c r="C25" s="202"/>
      <c r="D25" s="466"/>
      <c r="E25" s="428" t="str">
        <f>+E6</f>
        <v>Severe</v>
      </c>
      <c r="F25" s="428" t="s">
        <v>50</v>
      </c>
      <c r="G25" s="428" t="s">
        <v>5</v>
      </c>
      <c r="H25" s="428" t="s">
        <v>4</v>
      </c>
      <c r="I25" s="464" t="s">
        <v>156</v>
      </c>
    </row>
    <row r="26" spans="1:9">
      <c r="C26" s="362"/>
      <c r="D26" s="467"/>
      <c r="E26" s="468" t="str">
        <f>Curve&amp; " Curve"</f>
        <v>V\ Curve</v>
      </c>
      <c r="F26" s="468"/>
      <c r="G26" s="468"/>
      <c r="H26" s="468"/>
      <c r="I26" s="465"/>
    </row>
    <row r="27" spans="1:9" ht="5.0999999999999996" customHeight="1">
      <c r="C27" s="202"/>
      <c r="D27" s="202"/>
      <c r="E27" s="428"/>
      <c r="F27" s="428"/>
      <c r="G27" s="428"/>
      <c r="H27" s="428"/>
      <c r="I27" s="362"/>
    </row>
    <row r="28" spans="1:9">
      <c r="A28" s="359">
        <f t="shared" ref="A28" si="1">+A20-1</f>
        <v>-8</v>
      </c>
      <c r="B28" s="359"/>
      <c r="C28" s="202" t="s">
        <v>41</v>
      </c>
      <c r="E28" s="150">
        <f>+'Prod1 Costs'!T27</f>
        <v>157976</v>
      </c>
      <c r="F28" s="150"/>
      <c r="G28" s="150"/>
      <c r="H28" s="150"/>
      <c r="I28" s="450">
        <v>50</v>
      </c>
    </row>
    <row r="29" spans="1:9">
      <c r="A29" s="359">
        <f t="shared" ref="A29:A30" si="2">+A28-1</f>
        <v>-9</v>
      </c>
      <c r="B29" s="359"/>
      <c r="C29" s="202" t="s">
        <v>39</v>
      </c>
      <c r="E29" s="150">
        <f>+'Prod1 Costs'!V27</f>
        <v>26302</v>
      </c>
      <c r="F29" s="150"/>
      <c r="G29" s="150"/>
      <c r="H29" s="150"/>
      <c r="I29" s="451">
        <v>4000</v>
      </c>
    </row>
    <row r="30" spans="1:9">
      <c r="A30" s="359">
        <f t="shared" si="2"/>
        <v>-10</v>
      </c>
      <c r="B30" s="359"/>
      <c r="C30" s="416" t="s">
        <v>217</v>
      </c>
      <c r="D30" s="417"/>
      <c r="E30" s="357">
        <f>+'Prod1 Costs'!X27</f>
        <v>37</v>
      </c>
      <c r="F30" s="357"/>
      <c r="G30" s="357"/>
      <c r="H30" s="357"/>
      <c r="I30" s="452">
        <v>4000</v>
      </c>
    </row>
    <row r="31" spans="1:9">
      <c r="E31" s="429"/>
      <c r="F31" s="429"/>
      <c r="G31" s="429"/>
      <c r="H31" s="429"/>
    </row>
    <row r="32" spans="1:9">
      <c r="A32" s="359">
        <f t="shared" ref="A32" si="3">+A30-1</f>
        <v>-11</v>
      </c>
      <c r="B32" s="359"/>
      <c r="C32" s="301" t="s">
        <v>155</v>
      </c>
      <c r="D32" s="202"/>
      <c r="E32" s="410">
        <f>SUMPRODUCT(E28:E30,I28:I30)/1000000</f>
        <v>113.2548</v>
      </c>
      <c r="F32" s="410"/>
      <c r="G32" s="410"/>
      <c r="H32" s="410"/>
      <c r="I32" s="430" t="s">
        <v>157</v>
      </c>
    </row>
    <row r="33" spans="1:9">
      <c r="A33" s="359">
        <f>+A32-1</f>
        <v>-12</v>
      </c>
      <c r="B33" s="359"/>
      <c r="C33" s="431" t="s">
        <v>159</v>
      </c>
      <c r="D33" s="202"/>
      <c r="E33" s="432">
        <f ca="1">+E32/E20</f>
        <v>0.15357021588557984</v>
      </c>
      <c r="F33" s="432"/>
      <c r="G33" s="432"/>
      <c r="H33" s="432"/>
      <c r="I33" s="430"/>
    </row>
    <row r="34" spans="1:9" ht="5.0999999999999996" customHeight="1">
      <c r="C34" s="431"/>
      <c r="D34" s="202"/>
      <c r="E34" s="433"/>
      <c r="F34" s="433"/>
      <c r="G34" s="433"/>
      <c r="H34" s="433"/>
      <c r="I34" s="430"/>
    </row>
    <row r="35" spans="1:9">
      <c r="A35" s="359">
        <f>+A33-1</f>
        <v>-13</v>
      </c>
      <c r="B35" s="359"/>
      <c r="C35" s="301" t="s">
        <v>221</v>
      </c>
      <c r="E35" s="434">
        <f ca="1">+E20-E32</f>
        <v>624.22413982504042</v>
      </c>
      <c r="F35" s="434"/>
      <c r="G35" s="434"/>
      <c r="H35" s="434"/>
      <c r="I35" s="228"/>
    </row>
    <row r="36" spans="1:9">
      <c r="C36" s="202" t="s">
        <v>55</v>
      </c>
      <c r="D36" s="202"/>
      <c r="E36" s="421"/>
      <c r="F36" s="421"/>
      <c r="G36" s="421"/>
      <c r="H36" s="421"/>
      <c r="I36" s="228"/>
    </row>
    <row r="37" spans="1:9" ht="5.0999999999999996" customHeight="1">
      <c r="C37" s="202"/>
      <c r="D37" s="202"/>
      <c r="E37" s="421"/>
      <c r="F37" s="421"/>
      <c r="G37" s="421"/>
      <c r="H37" s="421"/>
      <c r="I37" s="228"/>
    </row>
    <row r="38" spans="1:9">
      <c r="A38" s="359">
        <f>+A35-1</f>
        <v>-14</v>
      </c>
      <c r="B38" s="359"/>
      <c r="C38" s="301" t="s">
        <v>222</v>
      </c>
      <c r="D38" s="435"/>
      <c r="E38" s="436">
        <f ca="1">+E35*(1-TaxRate)</f>
        <v>405.74569088627629</v>
      </c>
      <c r="F38" s="436"/>
      <c r="G38" s="436"/>
      <c r="H38" s="476"/>
      <c r="I38" s="228"/>
    </row>
    <row r="39" spans="1:9">
      <c r="C39" s="202" t="s">
        <v>55</v>
      </c>
      <c r="D39" s="202"/>
      <c r="E39" s="30"/>
      <c r="F39" s="95"/>
      <c r="G39" s="95"/>
      <c r="H39" s="95"/>
      <c r="I39" s="228"/>
    </row>
    <row r="41" spans="1:9">
      <c r="C41" s="301"/>
      <c r="D41" s="202"/>
      <c r="E41" s="30"/>
      <c r="F41" s="95"/>
      <c r="G41" s="95"/>
      <c r="H41" s="95"/>
      <c r="I41" s="228"/>
    </row>
    <row r="42" spans="1:9">
      <c r="C42" s="362"/>
      <c r="D42" s="362"/>
      <c r="E42" s="362"/>
      <c r="F42" s="362"/>
      <c r="G42" s="362"/>
      <c r="H42" s="437"/>
      <c r="I42" s="362"/>
    </row>
    <row r="43" spans="1:9">
      <c r="C43" s="23"/>
      <c r="D43" s="412" t="s">
        <v>134</v>
      </c>
      <c r="E43" s="414"/>
      <c r="F43" s="414"/>
      <c r="G43" s="414"/>
      <c r="H43" s="414"/>
      <c r="I43" s="362"/>
    </row>
    <row r="44" spans="1:9">
      <c r="C44" s="23"/>
      <c r="D44" s="23"/>
      <c r="E44" s="221" t="str">
        <f>+E$6</f>
        <v>Severe</v>
      </c>
      <c r="F44" s="221" t="s">
        <v>50</v>
      </c>
      <c r="G44" s="221" t="s">
        <v>5</v>
      </c>
      <c r="H44" s="221" t="s">
        <v>4</v>
      </c>
      <c r="I44" s="362"/>
    </row>
    <row r="45" spans="1:9" ht="5.0999999999999996" customHeight="1">
      <c r="C45" s="23"/>
      <c r="D45" s="23"/>
      <c r="E45" s="221"/>
      <c r="F45" s="221"/>
      <c r="G45" s="221"/>
      <c r="H45" s="221"/>
      <c r="I45" s="362"/>
    </row>
    <row r="46" spans="1:9">
      <c r="C46" s="362"/>
      <c r="D46" s="202" t="s">
        <v>131</v>
      </c>
      <c r="E46" s="343">
        <f>1000000*E10/E29</f>
        <v>22613.652954147969</v>
      </c>
      <c r="F46" s="343"/>
      <c r="G46" s="343"/>
      <c r="H46" s="343"/>
      <c r="I46" s="254"/>
    </row>
    <row r="47" spans="1:9">
      <c r="C47" s="438"/>
      <c r="D47" s="416" t="s">
        <v>132</v>
      </c>
      <c r="E47" s="439">
        <f>1000000*E11/E30</f>
        <v>84640.540540540547</v>
      </c>
      <c r="F47" s="439"/>
      <c r="G47" s="439"/>
      <c r="H47" s="439"/>
      <c r="I47" s="30"/>
    </row>
    <row r="48" spans="1:9">
      <c r="C48" s="362"/>
      <c r="D48" s="202" t="s">
        <v>122</v>
      </c>
      <c r="E48" s="30">
        <f>1000000*(E11+E10)/(E29+E30)</f>
        <v>22700.78590683017</v>
      </c>
      <c r="F48" s="30"/>
      <c r="G48" s="30"/>
      <c r="H48" s="30"/>
      <c r="I48" s="362"/>
    </row>
    <row r="49" spans="3:9">
      <c r="C49" s="362"/>
      <c r="D49" s="362"/>
      <c r="E49" s="362"/>
      <c r="F49" s="362"/>
      <c r="G49" s="362"/>
      <c r="H49" s="362"/>
      <c r="I49" s="362"/>
    </row>
    <row r="50" spans="3:9">
      <c r="C50" s="362"/>
      <c r="D50" s="202" t="s">
        <v>133</v>
      </c>
      <c r="E50" s="343">
        <f>1000000*E9/E28</f>
        <v>280.19949232794863</v>
      </c>
      <c r="F50" s="343"/>
      <c r="G50" s="343"/>
      <c r="H50" s="343"/>
      <c r="I50" s="362"/>
    </row>
  </sheetData>
  <printOptions horizontalCentered="1"/>
  <pageMargins left="0.5" right="0.5" top="0.5" bottom="0.85" header="0.5" footer="0.35"/>
  <pageSetup orientation="portrait" r:id="rId1"/>
  <headerFooter alignWithMargins="0">
    <oddFooter>&amp;L&amp;8&amp;F 
&amp;A&amp;C&amp;8MBA Actuaries, Inc.&amp;R&amp;8&amp;D 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zoomScaleNormal="100" workbookViewId="0"/>
  </sheetViews>
  <sheetFormatPr defaultRowHeight="12.75"/>
  <cols>
    <col min="1" max="2" width="10.7109375" style="249" customWidth="1"/>
    <col min="3" max="12" width="12.7109375" style="249" customWidth="1"/>
    <col min="13" max="13" width="1.85546875" style="249" customWidth="1"/>
    <col min="14" max="15" width="11.28515625" style="249" bestFit="1" customWidth="1"/>
    <col min="16" max="16" width="10.28515625" style="249" bestFit="1" customWidth="1"/>
    <col min="17" max="16384" width="9.140625" style="249"/>
  </cols>
  <sheetData>
    <row r="1" spans="1:13">
      <c r="A1" s="402" t="str">
        <f>scenario</f>
        <v>Severe Scenario, V\ Curve</v>
      </c>
      <c r="M1" s="157"/>
    </row>
    <row r="2" spans="1:13">
      <c r="M2" s="162"/>
    </row>
    <row r="3" spans="1:13" ht="15.75">
      <c r="A3" s="46" t="str">
        <f>LOB_2&amp;" Case Distribution by Provider and Risk Class"</f>
        <v>Health Plan Commercial ASO Case Distribution by Provider and Risk Class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3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3">
      <c r="C5" s="250" t="s">
        <v>216</v>
      </c>
      <c r="D5" s="232">
        <f>+LOB2Pop</f>
        <v>778000</v>
      </c>
      <c r="F5" s="250" t="s">
        <v>219</v>
      </c>
      <c r="G5" s="253">
        <f>UtilAdj</f>
        <v>0.97499999999999998</v>
      </c>
      <c r="J5" s="250"/>
      <c r="K5" s="253"/>
    </row>
    <row r="6" spans="1:13">
      <c r="C6" s="250" t="s">
        <v>218</v>
      </c>
      <c r="D6" s="253">
        <f>+MortRatio</f>
        <v>0.76900000000000002</v>
      </c>
      <c r="F6" s="250" t="s">
        <v>220</v>
      </c>
      <c r="G6" s="253">
        <f>RiskAdj</f>
        <v>0.92500000000000004</v>
      </c>
      <c r="J6" s="250"/>
      <c r="K6" s="253"/>
    </row>
    <row r="7" spans="1:13">
      <c r="E7" s="252"/>
    </row>
    <row r="8" spans="1:13">
      <c r="A8" s="32" t="s">
        <v>34</v>
      </c>
      <c r="B8" s="296" t="s">
        <v>149</v>
      </c>
      <c r="C8" s="297"/>
      <c r="D8" s="290" t="s">
        <v>44</v>
      </c>
      <c r="F8" s="291" t="s">
        <v>151</v>
      </c>
      <c r="G8" s="97" t="s">
        <v>56</v>
      </c>
      <c r="H8" s="98"/>
      <c r="I8" s="99"/>
      <c r="J8" s="97" t="s">
        <v>57</v>
      </c>
      <c r="K8" s="98"/>
      <c r="L8" s="99"/>
    </row>
    <row r="9" spans="1:13">
      <c r="A9" s="32" t="s">
        <v>35</v>
      </c>
      <c r="B9" s="292" t="s">
        <v>148</v>
      </c>
      <c r="C9" s="298" t="s">
        <v>150</v>
      </c>
      <c r="D9" s="292" t="s">
        <v>143</v>
      </c>
      <c r="E9" s="220" t="s">
        <v>36</v>
      </c>
      <c r="F9" s="293" t="s">
        <v>93</v>
      </c>
      <c r="G9" s="81" t="str">
        <f>_PR1</f>
        <v>Not Seeking</v>
      </c>
      <c r="H9" s="145" t="str">
        <f>_PR2</f>
        <v>Outpatient</v>
      </c>
      <c r="I9" s="82" t="str">
        <f>_PR3</f>
        <v>Hospital</v>
      </c>
      <c r="J9" s="81" t="str">
        <f>_PR1</f>
        <v>Not Seeking</v>
      </c>
      <c r="K9" s="145" t="str">
        <f>_PR2</f>
        <v>Outpatient</v>
      </c>
      <c r="L9" s="82" t="str">
        <f>_PR3</f>
        <v>Hospital</v>
      </c>
    </row>
    <row r="10" spans="1:13">
      <c r="A10" s="274"/>
      <c r="B10" s="57">
        <v>-7</v>
      </c>
      <c r="C10" s="143">
        <f>+B10-1</f>
        <v>-8</v>
      </c>
      <c r="D10" s="141">
        <f t="shared" ref="D10:L10" si="0">+C10-1</f>
        <v>-9</v>
      </c>
      <c r="E10" s="142">
        <f t="shared" si="0"/>
        <v>-10</v>
      </c>
      <c r="F10" s="143">
        <f t="shared" si="0"/>
        <v>-11</v>
      </c>
      <c r="G10" s="141">
        <f t="shared" si="0"/>
        <v>-12</v>
      </c>
      <c r="H10" s="142">
        <f t="shared" si="0"/>
        <v>-13</v>
      </c>
      <c r="I10" s="143">
        <f t="shared" si="0"/>
        <v>-14</v>
      </c>
      <c r="J10" s="141">
        <f t="shared" si="0"/>
        <v>-15</v>
      </c>
      <c r="K10" s="142">
        <f t="shared" si="0"/>
        <v>-16</v>
      </c>
      <c r="L10" s="143">
        <f t="shared" si="0"/>
        <v>-17</v>
      </c>
    </row>
    <row r="11" spans="1:13" ht="5.0999999999999996" customHeight="1">
      <c r="B11" s="273"/>
      <c r="C11" s="275"/>
      <c r="D11" s="273"/>
      <c r="E11" s="274"/>
      <c r="F11" s="275"/>
      <c r="G11" s="273"/>
      <c r="H11" s="274"/>
      <c r="I11" s="275"/>
      <c r="J11" s="273"/>
      <c r="K11" s="274"/>
      <c r="L11" s="275"/>
    </row>
    <row r="12" spans="1:13">
      <c r="A12" s="35" t="str">
        <f>+'Total Costs'!A9</f>
        <v>0 - 4</v>
      </c>
      <c r="B12" s="299">
        <f>ROUND('Pandemic Calculations'!B14/SUM('Pandemic Calculations'!$B$14:$B$31),3)</f>
        <v>6.2E-2</v>
      </c>
      <c r="C12" s="287">
        <f t="shared" ref="C12:C29" si="1">+B12*LOB2Pop</f>
        <v>48236</v>
      </c>
      <c r="D12" s="294">
        <f>ROUND(MortRatio*'Pandemic Calculations'!C14,3)</f>
        <v>1.2999999999999999E-2</v>
      </c>
      <c r="E12" s="295">
        <f t="shared" ref="E12:E29" si="2">ROUND(C12*D12/1000,0)</f>
        <v>1</v>
      </c>
      <c r="F12" s="287">
        <f t="shared" ref="F12:F29" si="3">ROUND(Morbidity*(C12-E12/Morbidity),0)</f>
        <v>14470</v>
      </c>
      <c r="G12" s="278">
        <f t="shared" ref="G12:G29" si="4">1-H12-I12</f>
        <v>0.31799999999999995</v>
      </c>
      <c r="H12" s="276">
        <f>ROUND(UtilAdj*'Dist by Provider H1N1'!G9,3)</f>
        <v>0.53600000000000003</v>
      </c>
      <c r="I12" s="277">
        <f>ROUND(UtilAdj*'Dist by Provider H1N1'!H9,3)</f>
        <v>0.14599999999999999</v>
      </c>
      <c r="J12" s="280">
        <f t="shared" ref="J12:L29" si="5">ROUND(G12*$F12,0)</f>
        <v>4601</v>
      </c>
      <c r="K12" s="281">
        <f t="shared" si="5"/>
        <v>7756</v>
      </c>
      <c r="L12" s="282">
        <f t="shared" si="5"/>
        <v>2113</v>
      </c>
    </row>
    <row r="13" spans="1:13">
      <c r="A13" s="35" t="str">
        <f>+'Total Costs'!A10</f>
        <v>5 - 9</v>
      </c>
      <c r="B13" s="299">
        <f>ROUND('Pandemic Calculations'!B15/SUM('Pandemic Calculations'!$B$14:$B$31),3)</f>
        <v>6.4000000000000001E-2</v>
      </c>
      <c r="C13" s="287">
        <f t="shared" si="1"/>
        <v>49792</v>
      </c>
      <c r="D13" s="294">
        <f>ROUND(MortRatio*'Pandemic Calculations'!C15,3)</f>
        <v>1.2999999999999999E-2</v>
      </c>
      <c r="E13" s="295">
        <f t="shared" si="2"/>
        <v>1</v>
      </c>
      <c r="F13" s="287">
        <f t="shared" si="3"/>
        <v>14937</v>
      </c>
      <c r="G13" s="278">
        <f t="shared" si="4"/>
        <v>0.57599999999999996</v>
      </c>
      <c r="H13" s="276">
        <f>ROUND(UtilAdj*'Dist by Provider H1N1'!G10,3)</f>
        <v>0.39</v>
      </c>
      <c r="I13" s="277">
        <f>ROUND(UtilAdj*'Dist by Provider H1N1'!H10,3)</f>
        <v>3.4000000000000002E-2</v>
      </c>
      <c r="J13" s="280">
        <f t="shared" si="5"/>
        <v>8604</v>
      </c>
      <c r="K13" s="281">
        <f t="shared" si="5"/>
        <v>5825</v>
      </c>
      <c r="L13" s="282">
        <f t="shared" si="5"/>
        <v>508</v>
      </c>
    </row>
    <row r="14" spans="1:13">
      <c r="A14" s="35" t="str">
        <f>+'Total Costs'!A11</f>
        <v>10 - 14</v>
      </c>
      <c r="B14" s="299">
        <f>ROUND('Pandemic Calculations'!B16/SUM('Pandemic Calculations'!$B$14:$B$31),3)</f>
        <v>6.5000000000000002E-2</v>
      </c>
      <c r="C14" s="287">
        <f t="shared" si="1"/>
        <v>50570</v>
      </c>
      <c r="D14" s="294">
        <f>ROUND(MortRatio*'Pandemic Calculations'!C16,3)</f>
        <v>1.2999999999999999E-2</v>
      </c>
      <c r="E14" s="295">
        <f t="shared" si="2"/>
        <v>1</v>
      </c>
      <c r="F14" s="287">
        <f t="shared" si="3"/>
        <v>15170</v>
      </c>
      <c r="G14" s="278">
        <f t="shared" si="4"/>
        <v>0.57599999999999996</v>
      </c>
      <c r="H14" s="276">
        <f>ROUND(UtilAdj*'Dist by Provider H1N1'!G11,3)</f>
        <v>0.39</v>
      </c>
      <c r="I14" s="277">
        <f>ROUND(UtilAdj*'Dist by Provider H1N1'!H11,3)</f>
        <v>3.4000000000000002E-2</v>
      </c>
      <c r="J14" s="280">
        <f t="shared" si="5"/>
        <v>8738</v>
      </c>
      <c r="K14" s="281">
        <f t="shared" si="5"/>
        <v>5916</v>
      </c>
      <c r="L14" s="282">
        <f t="shared" si="5"/>
        <v>516</v>
      </c>
    </row>
    <row r="15" spans="1:13">
      <c r="A15" s="35" t="str">
        <f>+'Total Costs'!A12</f>
        <v>15 - 19</v>
      </c>
      <c r="B15" s="299">
        <f>ROUND('Pandemic Calculations'!B17/SUM('Pandemic Calculations'!$B$14:$B$31),3)</f>
        <v>6.6000000000000003E-2</v>
      </c>
      <c r="C15" s="287">
        <f t="shared" si="1"/>
        <v>51348</v>
      </c>
      <c r="D15" s="294">
        <f>ROUND(MortRatio*'Pandemic Calculations'!C17,3)</f>
        <v>1.2999999999999999E-2</v>
      </c>
      <c r="E15" s="295">
        <f t="shared" si="2"/>
        <v>1</v>
      </c>
      <c r="F15" s="287">
        <f t="shared" si="3"/>
        <v>15403</v>
      </c>
      <c r="G15" s="278">
        <f t="shared" si="4"/>
        <v>0.54200000000000004</v>
      </c>
      <c r="H15" s="276">
        <f>ROUND(UtilAdj*'Dist by Provider H1N1'!G12,3)</f>
        <v>0.39</v>
      </c>
      <c r="I15" s="277">
        <f>ROUND(UtilAdj*'Dist by Provider H1N1'!H12,3)</f>
        <v>6.8000000000000005E-2</v>
      </c>
      <c r="J15" s="280">
        <f t="shared" si="5"/>
        <v>8348</v>
      </c>
      <c r="K15" s="281">
        <f t="shared" si="5"/>
        <v>6007</v>
      </c>
      <c r="L15" s="282">
        <f t="shared" si="5"/>
        <v>1047</v>
      </c>
    </row>
    <row r="16" spans="1:13">
      <c r="A16" s="35" t="str">
        <f>+'Total Costs'!A13</f>
        <v>20 - 24</v>
      </c>
      <c r="B16" s="299">
        <f>ROUND('Pandemic Calculations'!B18/SUM('Pandemic Calculations'!$B$14:$B$31),3)</f>
        <v>7.1999999999999995E-2</v>
      </c>
      <c r="C16" s="287">
        <f t="shared" si="1"/>
        <v>56015.999999999993</v>
      </c>
      <c r="D16" s="294">
        <f>ROUND(MortRatio*'Pandemic Calculations'!C18,3)</f>
        <v>3.6999999999999998E-2</v>
      </c>
      <c r="E16" s="295">
        <f t="shared" si="2"/>
        <v>2</v>
      </c>
      <c r="F16" s="287">
        <f t="shared" si="3"/>
        <v>16803</v>
      </c>
      <c r="G16" s="278">
        <f t="shared" si="4"/>
        <v>0.46299999999999997</v>
      </c>
      <c r="H16" s="276">
        <f>ROUND(UtilAdj*'Dist by Provider H1N1'!G13,3)</f>
        <v>0.439</v>
      </c>
      <c r="I16" s="277">
        <f>ROUND(UtilAdj*'Dist by Provider H1N1'!H13,3)</f>
        <v>9.8000000000000004E-2</v>
      </c>
      <c r="J16" s="280">
        <f t="shared" si="5"/>
        <v>7780</v>
      </c>
      <c r="K16" s="281">
        <f t="shared" si="5"/>
        <v>7377</v>
      </c>
      <c r="L16" s="282">
        <f t="shared" si="5"/>
        <v>1647</v>
      </c>
    </row>
    <row r="17" spans="1:16">
      <c r="A17" s="35" t="str">
        <f>+'Total Costs'!A14</f>
        <v>25 - 29</v>
      </c>
      <c r="B17" s="299">
        <f>ROUND('Pandemic Calculations'!B19/SUM('Pandemic Calculations'!$B$14:$B$31),3)</f>
        <v>6.9000000000000006E-2</v>
      </c>
      <c r="C17" s="287">
        <f t="shared" si="1"/>
        <v>53682.000000000007</v>
      </c>
      <c r="D17" s="294">
        <f>ROUND(MortRatio*'Pandemic Calculations'!C19,3)</f>
        <v>3.6999999999999998E-2</v>
      </c>
      <c r="E17" s="295">
        <f t="shared" si="2"/>
        <v>2</v>
      </c>
      <c r="F17" s="287">
        <f t="shared" si="3"/>
        <v>16103</v>
      </c>
      <c r="G17" s="278">
        <f t="shared" si="4"/>
        <v>0.43399999999999994</v>
      </c>
      <c r="H17" s="276">
        <f>ROUND(UtilAdj*'Dist by Provider H1N1'!G14,3)</f>
        <v>0.439</v>
      </c>
      <c r="I17" s="277">
        <f>ROUND(UtilAdj*'Dist by Provider H1N1'!H14,3)</f>
        <v>0.127</v>
      </c>
      <c r="J17" s="280">
        <f t="shared" si="5"/>
        <v>6989</v>
      </c>
      <c r="K17" s="281">
        <f t="shared" si="5"/>
        <v>7069</v>
      </c>
      <c r="L17" s="282">
        <f t="shared" si="5"/>
        <v>2045</v>
      </c>
    </row>
    <row r="18" spans="1:16">
      <c r="A18" s="35" t="str">
        <f>+'Total Costs'!A15</f>
        <v>30 - 34</v>
      </c>
      <c r="B18" s="299">
        <f>ROUND('Pandemic Calculations'!B20/SUM('Pandemic Calculations'!$B$14:$B$31),3)</f>
        <v>6.8000000000000005E-2</v>
      </c>
      <c r="C18" s="287">
        <f t="shared" si="1"/>
        <v>52904.000000000007</v>
      </c>
      <c r="D18" s="294">
        <f>ROUND(MortRatio*'Pandemic Calculations'!C20,3)</f>
        <v>3.6999999999999998E-2</v>
      </c>
      <c r="E18" s="295">
        <f t="shared" si="2"/>
        <v>2</v>
      </c>
      <c r="F18" s="287">
        <f t="shared" si="3"/>
        <v>15869</v>
      </c>
      <c r="G18" s="278">
        <f t="shared" si="4"/>
        <v>0.43399999999999994</v>
      </c>
      <c r="H18" s="276">
        <f>ROUND(UtilAdj*'Dist by Provider H1N1'!G15,3)</f>
        <v>0.439</v>
      </c>
      <c r="I18" s="277">
        <f>ROUND(UtilAdj*'Dist by Provider H1N1'!H15,3)</f>
        <v>0.127</v>
      </c>
      <c r="J18" s="280">
        <f t="shared" si="5"/>
        <v>6887</v>
      </c>
      <c r="K18" s="281">
        <f t="shared" si="5"/>
        <v>6966</v>
      </c>
      <c r="L18" s="282">
        <f t="shared" si="5"/>
        <v>2015</v>
      </c>
    </row>
    <row r="19" spans="1:16">
      <c r="A19" s="35" t="str">
        <f>+'Total Costs'!A16</f>
        <v>35 - 39</v>
      </c>
      <c r="B19" s="299">
        <f>ROUND('Pandemic Calculations'!B21/SUM('Pandemic Calculations'!$B$14:$B$31),3)</f>
        <v>6.2E-2</v>
      </c>
      <c r="C19" s="287">
        <f t="shared" si="1"/>
        <v>48236</v>
      </c>
      <c r="D19" s="294">
        <f>ROUND(MortRatio*'Pandemic Calculations'!C21,3)</f>
        <v>3.6999999999999998E-2</v>
      </c>
      <c r="E19" s="295">
        <f t="shared" si="2"/>
        <v>2</v>
      </c>
      <c r="F19" s="287">
        <f t="shared" si="3"/>
        <v>14469</v>
      </c>
      <c r="G19" s="278">
        <f t="shared" si="4"/>
        <v>0.46299999999999997</v>
      </c>
      <c r="H19" s="276">
        <f>ROUND(UtilAdj*'Dist by Provider H1N1'!G16,3)</f>
        <v>0.439</v>
      </c>
      <c r="I19" s="277">
        <f>ROUND(UtilAdj*'Dist by Provider H1N1'!H16,3)</f>
        <v>9.8000000000000004E-2</v>
      </c>
      <c r="J19" s="280">
        <f t="shared" si="5"/>
        <v>6699</v>
      </c>
      <c r="K19" s="281">
        <f t="shared" si="5"/>
        <v>6352</v>
      </c>
      <c r="L19" s="282">
        <f t="shared" si="5"/>
        <v>1418</v>
      </c>
    </row>
    <row r="20" spans="1:16">
      <c r="A20" s="35" t="str">
        <f>+'Total Costs'!A17</f>
        <v>40 - 44</v>
      </c>
      <c r="B20" s="299">
        <f>ROUND('Pandemic Calculations'!B22/SUM('Pandemic Calculations'!$B$14:$B$31),3)</f>
        <v>6.5000000000000002E-2</v>
      </c>
      <c r="C20" s="287">
        <f t="shared" si="1"/>
        <v>50570</v>
      </c>
      <c r="D20" s="294">
        <f>ROUND(MortRatio*'Pandemic Calculations'!C22,3)</f>
        <v>3.6999999999999998E-2</v>
      </c>
      <c r="E20" s="295">
        <f t="shared" si="2"/>
        <v>2</v>
      </c>
      <c r="F20" s="287">
        <f t="shared" si="3"/>
        <v>15169</v>
      </c>
      <c r="G20" s="278">
        <f t="shared" si="4"/>
        <v>0.49299999999999994</v>
      </c>
      <c r="H20" s="276">
        <f>ROUND(UtilAdj*'Dist by Provider H1N1'!G17,3)</f>
        <v>0.439</v>
      </c>
      <c r="I20" s="277">
        <f>ROUND(UtilAdj*'Dist by Provider H1N1'!H17,3)</f>
        <v>6.8000000000000005E-2</v>
      </c>
      <c r="J20" s="280">
        <f t="shared" si="5"/>
        <v>7478</v>
      </c>
      <c r="K20" s="281">
        <f t="shared" si="5"/>
        <v>6659</v>
      </c>
      <c r="L20" s="282">
        <f t="shared" si="5"/>
        <v>1031</v>
      </c>
    </row>
    <row r="21" spans="1:16">
      <c r="A21" s="35" t="str">
        <f>+'Total Costs'!A18</f>
        <v>45 - 49</v>
      </c>
      <c r="B21" s="299">
        <f>ROUND('Pandemic Calculations'!B23/SUM('Pandemic Calculations'!$B$14:$B$31),3)</f>
        <v>6.6000000000000003E-2</v>
      </c>
      <c r="C21" s="287">
        <f t="shared" si="1"/>
        <v>51348</v>
      </c>
      <c r="D21" s="294">
        <f>ROUND(MortRatio*'Pandemic Calculations'!C23,3)</f>
        <v>3.6999999999999998E-2</v>
      </c>
      <c r="E21" s="295">
        <f t="shared" si="2"/>
        <v>2</v>
      </c>
      <c r="F21" s="287">
        <f t="shared" si="3"/>
        <v>15402</v>
      </c>
      <c r="G21" s="278">
        <f t="shared" si="4"/>
        <v>0.5119999999999999</v>
      </c>
      <c r="H21" s="276">
        <f>ROUND(UtilAdj*'Dist by Provider H1N1'!G18,3)</f>
        <v>0.439</v>
      </c>
      <c r="I21" s="277">
        <f>ROUND(UtilAdj*'Dist by Provider H1N1'!H18,3)</f>
        <v>4.9000000000000002E-2</v>
      </c>
      <c r="J21" s="280">
        <f t="shared" si="5"/>
        <v>7886</v>
      </c>
      <c r="K21" s="281">
        <f t="shared" si="5"/>
        <v>6761</v>
      </c>
      <c r="L21" s="282">
        <f t="shared" si="5"/>
        <v>755</v>
      </c>
    </row>
    <row r="22" spans="1:16">
      <c r="A22" s="35" t="str">
        <f>+'Total Costs'!A19</f>
        <v>50 - 54</v>
      </c>
      <c r="B22" s="299">
        <f>ROUND('Pandemic Calculations'!B24/SUM('Pandemic Calculations'!$B$14:$B$31),3)</f>
        <v>7.0999999999999994E-2</v>
      </c>
      <c r="C22" s="287">
        <f t="shared" si="1"/>
        <v>55237.999999999993</v>
      </c>
      <c r="D22" s="294">
        <f>ROUND(MortRatio*'Pandemic Calculations'!C24,3)</f>
        <v>3.6999999999999998E-2</v>
      </c>
      <c r="E22" s="295">
        <f t="shared" si="2"/>
        <v>2</v>
      </c>
      <c r="F22" s="287">
        <f t="shared" si="3"/>
        <v>16569</v>
      </c>
      <c r="G22" s="278">
        <f t="shared" si="4"/>
        <v>0.52699999999999991</v>
      </c>
      <c r="H22" s="276">
        <f>ROUND(UtilAdj*'Dist by Provider H1N1'!G19,3)</f>
        <v>0.439</v>
      </c>
      <c r="I22" s="277">
        <f>ROUND(UtilAdj*'Dist by Provider H1N1'!H19,3)</f>
        <v>3.4000000000000002E-2</v>
      </c>
      <c r="J22" s="280">
        <f t="shared" si="5"/>
        <v>8732</v>
      </c>
      <c r="K22" s="281">
        <f t="shared" si="5"/>
        <v>7274</v>
      </c>
      <c r="L22" s="282">
        <f t="shared" si="5"/>
        <v>563</v>
      </c>
    </row>
    <row r="23" spans="1:16">
      <c r="A23" s="35" t="str">
        <f>+'Total Costs'!A20</f>
        <v>55 - 59</v>
      </c>
      <c r="B23" s="299">
        <f>ROUND('Pandemic Calculations'!B25/SUM('Pandemic Calculations'!$B$14:$B$31),3)</f>
        <v>6.7000000000000004E-2</v>
      </c>
      <c r="C23" s="287">
        <f t="shared" si="1"/>
        <v>52126</v>
      </c>
      <c r="D23" s="294">
        <f>ROUND(MortRatio*'Pandemic Calculations'!C25,3)</f>
        <v>3.6999999999999998E-2</v>
      </c>
      <c r="E23" s="295">
        <f t="shared" si="2"/>
        <v>2</v>
      </c>
      <c r="F23" s="287">
        <f t="shared" si="3"/>
        <v>15636</v>
      </c>
      <c r="G23" s="278">
        <f t="shared" si="4"/>
        <v>0.63500000000000001</v>
      </c>
      <c r="H23" s="276">
        <f>ROUND(UtilAdj*'Dist by Provider H1N1'!G20,3)</f>
        <v>0.34100000000000003</v>
      </c>
      <c r="I23" s="277">
        <f>ROUND(UtilAdj*'Dist by Provider H1N1'!H20,3)</f>
        <v>2.4E-2</v>
      </c>
      <c r="J23" s="280">
        <f t="shared" si="5"/>
        <v>9929</v>
      </c>
      <c r="K23" s="281">
        <f t="shared" si="5"/>
        <v>5332</v>
      </c>
      <c r="L23" s="282">
        <f t="shared" si="5"/>
        <v>375</v>
      </c>
    </row>
    <row r="24" spans="1:16">
      <c r="A24" s="35" t="str">
        <f>+'Total Costs'!A21</f>
        <v>60 - 64</v>
      </c>
      <c r="B24" s="299">
        <f>ROUND('Pandemic Calculations'!B26/SUM('Pandemic Calculations'!$B$14:$B$31),3)</f>
        <v>5.8000000000000003E-2</v>
      </c>
      <c r="C24" s="287">
        <f t="shared" si="1"/>
        <v>45124</v>
      </c>
      <c r="D24" s="294">
        <f>ROUND(MortRatio*'Pandemic Calculations'!C26,3)</f>
        <v>3.6999999999999998E-2</v>
      </c>
      <c r="E24" s="295">
        <f t="shared" si="2"/>
        <v>2</v>
      </c>
      <c r="F24" s="287">
        <f t="shared" si="3"/>
        <v>13535</v>
      </c>
      <c r="G24" s="278">
        <f t="shared" si="4"/>
        <v>0.74099999999999999</v>
      </c>
      <c r="H24" s="276">
        <f>ROUND(UtilAdj*'Dist by Provider H1N1'!G21,3)</f>
        <v>0.24399999999999999</v>
      </c>
      <c r="I24" s="277">
        <f>ROUND(UtilAdj*'Dist by Provider H1N1'!H21,3)</f>
        <v>1.4999999999999999E-2</v>
      </c>
      <c r="J24" s="280">
        <f t="shared" si="5"/>
        <v>10029</v>
      </c>
      <c r="K24" s="281">
        <f t="shared" si="5"/>
        <v>3303</v>
      </c>
      <c r="L24" s="282">
        <f t="shared" si="5"/>
        <v>203</v>
      </c>
    </row>
    <row r="25" spans="1:16">
      <c r="A25" s="35" t="str">
        <f>+'Total Costs'!A22</f>
        <v>65 - 69</v>
      </c>
      <c r="B25" s="299">
        <f>ROUND('Pandemic Calculations'!B27/SUM('Pandemic Calculations'!$B$14:$B$31),3)</f>
        <v>4.8000000000000001E-2</v>
      </c>
      <c r="C25" s="287">
        <f t="shared" si="1"/>
        <v>37344</v>
      </c>
      <c r="D25" s="294">
        <f>ROUND(MortRatio*'Pandemic Calculations'!C27,3)</f>
        <v>0.03</v>
      </c>
      <c r="E25" s="295">
        <f t="shared" si="2"/>
        <v>1</v>
      </c>
      <c r="F25" s="287">
        <f t="shared" si="3"/>
        <v>11202</v>
      </c>
      <c r="G25" s="278">
        <f t="shared" si="4"/>
        <v>0.84399999999999997</v>
      </c>
      <c r="H25" s="276">
        <f>ROUND(UtilAdj*'Dist by Provider H1N1'!G22,3)</f>
        <v>0.14599999999999999</v>
      </c>
      <c r="I25" s="277">
        <f>ROUND(UtilAdj*'Dist by Provider H1N1'!H22,3)</f>
        <v>0.01</v>
      </c>
      <c r="J25" s="280">
        <f t="shared" si="5"/>
        <v>9454</v>
      </c>
      <c r="K25" s="281">
        <f t="shared" si="5"/>
        <v>1635</v>
      </c>
      <c r="L25" s="282">
        <f t="shared" si="5"/>
        <v>112</v>
      </c>
    </row>
    <row r="26" spans="1:16">
      <c r="A26" s="35" t="str">
        <f>+'Total Costs'!A23</f>
        <v>70 - 74</v>
      </c>
      <c r="B26" s="299">
        <f>ROUND('Pandemic Calculations'!B28/SUM('Pandemic Calculations'!$B$14:$B$31),3)</f>
        <v>3.5000000000000003E-2</v>
      </c>
      <c r="C26" s="287">
        <f t="shared" si="1"/>
        <v>27230.000000000004</v>
      </c>
      <c r="D26" s="294">
        <f>ROUND(MortRatio*'Pandemic Calculations'!C28,3)</f>
        <v>0.03</v>
      </c>
      <c r="E26" s="295">
        <f t="shared" si="2"/>
        <v>1</v>
      </c>
      <c r="F26" s="287">
        <f t="shared" si="3"/>
        <v>8168</v>
      </c>
      <c r="G26" s="278">
        <f t="shared" si="4"/>
        <v>0.84399999999999997</v>
      </c>
      <c r="H26" s="276">
        <f>ROUND(UtilAdj*'Dist by Provider H1N1'!G23,3)</f>
        <v>0.14599999999999999</v>
      </c>
      <c r="I26" s="277">
        <f>ROUND(UtilAdj*'Dist by Provider H1N1'!H23,3)</f>
        <v>0.01</v>
      </c>
      <c r="J26" s="280">
        <f t="shared" si="5"/>
        <v>6894</v>
      </c>
      <c r="K26" s="281">
        <f t="shared" si="5"/>
        <v>1193</v>
      </c>
      <c r="L26" s="282">
        <f t="shared" si="5"/>
        <v>82</v>
      </c>
    </row>
    <row r="27" spans="1:16">
      <c r="A27" s="72" t="str">
        <f>+'Total Costs'!A24</f>
        <v>75 - 79</v>
      </c>
      <c r="B27" s="299">
        <f>ROUND('Pandemic Calculations'!B29/SUM('Pandemic Calculations'!$B$14:$B$31),3)</f>
        <v>2.5000000000000001E-2</v>
      </c>
      <c r="C27" s="287">
        <f t="shared" si="1"/>
        <v>19450</v>
      </c>
      <c r="D27" s="294">
        <f>ROUND(MortRatio*'Pandemic Calculations'!C29,3)</f>
        <v>0.03</v>
      </c>
      <c r="E27" s="295">
        <f t="shared" si="2"/>
        <v>1</v>
      </c>
      <c r="F27" s="287">
        <f t="shared" si="3"/>
        <v>5834</v>
      </c>
      <c r="G27" s="278">
        <f t="shared" si="4"/>
        <v>0.84399999999999997</v>
      </c>
      <c r="H27" s="276">
        <f>ROUND(UtilAdj*'Dist by Provider H1N1'!G24,3)</f>
        <v>0.14599999999999999</v>
      </c>
      <c r="I27" s="277">
        <f>ROUND(UtilAdj*'Dist by Provider H1N1'!H24,3)</f>
        <v>0.01</v>
      </c>
      <c r="J27" s="280">
        <f t="shared" si="5"/>
        <v>4924</v>
      </c>
      <c r="K27" s="281">
        <f t="shared" si="5"/>
        <v>852</v>
      </c>
      <c r="L27" s="282">
        <f t="shared" si="5"/>
        <v>58</v>
      </c>
    </row>
    <row r="28" spans="1:16">
      <c r="A28" s="72" t="str">
        <f>+'Total Costs'!A25</f>
        <v>80 - 84</v>
      </c>
      <c r="B28" s="299">
        <f>ROUND('Pandemic Calculations'!B30/SUM('Pandemic Calculations'!$B$14:$B$31),3)</f>
        <v>1.7999999999999999E-2</v>
      </c>
      <c r="C28" s="287">
        <f t="shared" si="1"/>
        <v>14003.999999999998</v>
      </c>
      <c r="D28" s="294">
        <f>ROUND(MortRatio*'Pandemic Calculations'!C30,3)</f>
        <v>0.03</v>
      </c>
      <c r="E28" s="295">
        <f t="shared" si="2"/>
        <v>0</v>
      </c>
      <c r="F28" s="287">
        <f t="shared" si="3"/>
        <v>4201</v>
      </c>
      <c r="G28" s="278">
        <f t="shared" si="4"/>
        <v>0.84399999999999997</v>
      </c>
      <c r="H28" s="276">
        <f>ROUND(UtilAdj*'Dist by Provider H1N1'!G25,3)</f>
        <v>0.14599999999999999</v>
      </c>
      <c r="I28" s="277">
        <f>ROUND(UtilAdj*'Dist by Provider H1N1'!H25,3)</f>
        <v>0.01</v>
      </c>
      <c r="J28" s="280">
        <f t="shared" si="5"/>
        <v>3546</v>
      </c>
      <c r="K28" s="281">
        <f t="shared" si="5"/>
        <v>613</v>
      </c>
      <c r="L28" s="282">
        <f t="shared" si="5"/>
        <v>42</v>
      </c>
    </row>
    <row r="29" spans="1:16">
      <c r="A29" s="72" t="str">
        <f>+'Total Costs'!A26</f>
        <v>85+</v>
      </c>
      <c r="B29" s="299">
        <f>ROUND('Pandemic Calculations'!B31/SUM('Pandemic Calculations'!$B$14:$B$31),3)</f>
        <v>1.9E-2</v>
      </c>
      <c r="C29" s="288">
        <f t="shared" si="1"/>
        <v>14782</v>
      </c>
      <c r="D29" s="294">
        <f>ROUND(MortRatio*'Pandemic Calculations'!C31,3)</f>
        <v>0.03</v>
      </c>
      <c r="E29" s="272">
        <f t="shared" si="2"/>
        <v>0</v>
      </c>
      <c r="F29" s="288">
        <f t="shared" si="3"/>
        <v>4435</v>
      </c>
      <c r="G29" s="279">
        <f t="shared" si="4"/>
        <v>0.84399999999999997</v>
      </c>
      <c r="H29" s="276">
        <f>ROUND(UtilAdj*'Dist by Provider H1N1'!G26,3)</f>
        <v>0.14599999999999999</v>
      </c>
      <c r="I29" s="277">
        <f>ROUND(UtilAdj*'Dist by Provider H1N1'!H26,3)</f>
        <v>0.01</v>
      </c>
      <c r="J29" s="283">
        <f t="shared" si="5"/>
        <v>3743</v>
      </c>
      <c r="K29" s="284">
        <f t="shared" si="5"/>
        <v>648</v>
      </c>
      <c r="L29" s="285">
        <f t="shared" si="5"/>
        <v>44</v>
      </c>
    </row>
    <row r="30" spans="1:16">
      <c r="B30" s="253">
        <f>SUM(B12:B29)</f>
        <v>1</v>
      </c>
      <c r="C30" s="251">
        <f>SUM(C12:C29)</f>
        <v>778000</v>
      </c>
      <c r="E30" s="251">
        <f t="shared" ref="E30:L30" si="6">SUM(E12:E29)</f>
        <v>25</v>
      </c>
      <c r="F30" s="251">
        <f t="shared" si="6"/>
        <v>233375</v>
      </c>
      <c r="G30" s="251"/>
      <c r="H30" s="251"/>
      <c r="I30" s="251"/>
      <c r="J30" s="251">
        <f t="shared" si="6"/>
        <v>131261</v>
      </c>
      <c r="K30" s="251">
        <f t="shared" si="6"/>
        <v>87538</v>
      </c>
      <c r="L30" s="251">
        <f t="shared" si="6"/>
        <v>14574</v>
      </c>
      <c r="N30" s="251"/>
      <c r="O30" s="251"/>
      <c r="P30" s="251"/>
    </row>
    <row r="32" spans="1:16">
      <c r="A32" s="32" t="s">
        <v>34</v>
      </c>
      <c r="B32" s="76" t="s">
        <v>6</v>
      </c>
      <c r="C32" s="77" t="s">
        <v>6</v>
      </c>
      <c r="D32" s="97" t="s">
        <v>59</v>
      </c>
      <c r="E32" s="98"/>
      <c r="F32" s="98"/>
      <c r="G32" s="98"/>
      <c r="H32" s="97" t="s">
        <v>60</v>
      </c>
      <c r="I32" s="98"/>
      <c r="J32" s="98"/>
      <c r="K32" s="289"/>
    </row>
    <row r="33" spans="1:11">
      <c r="A33" s="32" t="s">
        <v>35</v>
      </c>
      <c r="B33" s="146" t="s">
        <v>45</v>
      </c>
      <c r="C33" s="149" t="s">
        <v>47</v>
      </c>
      <c r="D33" s="81" t="str">
        <f>_PR1</f>
        <v>Not Seeking</v>
      </c>
      <c r="E33" s="145" t="str">
        <f>_PR2</f>
        <v>Outpatient</v>
      </c>
      <c r="F33" s="355" t="s">
        <v>39</v>
      </c>
      <c r="G33" s="351" t="s">
        <v>152</v>
      </c>
      <c r="H33" s="80" t="str">
        <f>_PR1</f>
        <v>Not Seeking</v>
      </c>
      <c r="I33" s="352" t="str">
        <f>_PR2</f>
        <v>Outpatient</v>
      </c>
      <c r="J33" s="353" t="str">
        <f>_PR3</f>
        <v>Hospital</v>
      </c>
      <c r="K33" s="354" t="s">
        <v>152</v>
      </c>
    </row>
    <row r="34" spans="1:11">
      <c r="A34" s="3"/>
      <c r="B34" s="57">
        <f>-1+L10</f>
        <v>-18</v>
      </c>
      <c r="C34" s="143">
        <f>+B34-1</f>
        <v>-19</v>
      </c>
      <c r="D34" s="141">
        <f>C34-1</f>
        <v>-20</v>
      </c>
      <c r="E34" s="142">
        <f t="shared" ref="E34" si="7">D34-1</f>
        <v>-21</v>
      </c>
      <c r="F34" s="142">
        <f t="shared" ref="F34:K34" si="8">E34-1</f>
        <v>-22</v>
      </c>
      <c r="G34" s="142">
        <f t="shared" si="8"/>
        <v>-23</v>
      </c>
      <c r="H34" s="141">
        <f t="shared" si="8"/>
        <v>-24</v>
      </c>
      <c r="I34" s="142">
        <f t="shared" si="8"/>
        <v>-25</v>
      </c>
      <c r="J34" s="142">
        <f t="shared" si="8"/>
        <v>-26</v>
      </c>
      <c r="K34" s="143">
        <f t="shared" si="8"/>
        <v>-27</v>
      </c>
    </row>
    <row r="35" spans="1:11" ht="5.0999999999999996" customHeight="1">
      <c r="A35" s="3"/>
      <c r="B35" s="96"/>
      <c r="C35" s="123"/>
      <c r="D35" s="26"/>
      <c r="E35" s="28"/>
      <c r="F35" s="28"/>
      <c r="G35" s="274"/>
      <c r="H35" s="26"/>
      <c r="I35" s="28"/>
      <c r="J35" s="28"/>
      <c r="K35" s="275"/>
    </row>
    <row r="36" spans="1:11">
      <c r="A36" s="71" t="str">
        <f t="shared" ref="A36:A53" si="9">+A12</f>
        <v>0 - 4</v>
      </c>
      <c r="B36" s="147">
        <f t="shared" ref="B36:B53" si="10">1-C36</f>
        <v>0.95399999999999996</v>
      </c>
      <c r="C36" s="286">
        <f>ROUND('Pandemic Calculations'!N14*RiskAdj,3)</f>
        <v>4.5999999999999999E-2</v>
      </c>
      <c r="D36" s="90">
        <f t="shared" ref="D36:E51" si="11">ROUND($B36*J12,0)</f>
        <v>4389</v>
      </c>
      <c r="E36" s="91">
        <f t="shared" si="11"/>
        <v>7399</v>
      </c>
      <c r="F36" s="91">
        <f t="shared" ref="F36:F53" si="12">+L12-J36</f>
        <v>2016</v>
      </c>
      <c r="G36" s="164">
        <f t="shared" ref="G36:G53" si="13">ROUND(E12*DthHospPct,0)-K36</f>
        <v>1</v>
      </c>
      <c r="H36" s="90">
        <f t="shared" ref="H36:H53" si="14">ROUND($C36*J12,0)</f>
        <v>212</v>
      </c>
      <c r="I36" s="91">
        <f t="shared" ref="I36:I53" si="15">ROUND($C36*K12,0)</f>
        <v>357</v>
      </c>
      <c r="J36" s="30">
        <f t="shared" ref="J36:J53" si="16">ROUND($C36*L12*(1-ICUStepdown),0)</f>
        <v>97</v>
      </c>
      <c r="K36" s="356">
        <f t="shared" ref="K36:K53" si="17">ROUND(E12*C36*DthHospPct,0)</f>
        <v>0</v>
      </c>
    </row>
    <row r="37" spans="1:11">
      <c r="A37" s="71" t="str">
        <f t="shared" si="9"/>
        <v>5 - 9</v>
      </c>
      <c r="B37" s="147">
        <f t="shared" si="10"/>
        <v>0.90700000000000003</v>
      </c>
      <c r="C37" s="286">
        <f>ROUND('Pandemic Calculations'!N15*RiskAdj,3)</f>
        <v>9.2999999999999999E-2</v>
      </c>
      <c r="D37" s="90">
        <f t="shared" si="11"/>
        <v>7804</v>
      </c>
      <c r="E37" s="91">
        <f t="shared" si="11"/>
        <v>5283</v>
      </c>
      <c r="F37" s="91">
        <f t="shared" si="12"/>
        <v>461</v>
      </c>
      <c r="G37" s="164">
        <f t="shared" si="13"/>
        <v>1</v>
      </c>
      <c r="H37" s="90">
        <f t="shared" si="14"/>
        <v>800</v>
      </c>
      <c r="I37" s="91">
        <f t="shared" si="15"/>
        <v>542</v>
      </c>
      <c r="J37" s="30">
        <f t="shared" si="16"/>
        <v>47</v>
      </c>
      <c r="K37" s="356">
        <f t="shared" si="17"/>
        <v>0</v>
      </c>
    </row>
    <row r="38" spans="1:11">
      <c r="A38" s="71" t="str">
        <f t="shared" si="9"/>
        <v>10 - 14</v>
      </c>
      <c r="B38" s="147">
        <f t="shared" si="10"/>
        <v>0.90700000000000003</v>
      </c>
      <c r="C38" s="286">
        <f>ROUND('Pandemic Calculations'!N16*RiskAdj,3)</f>
        <v>9.2999999999999999E-2</v>
      </c>
      <c r="D38" s="90">
        <f t="shared" si="11"/>
        <v>7925</v>
      </c>
      <c r="E38" s="91">
        <f t="shared" si="11"/>
        <v>5366</v>
      </c>
      <c r="F38" s="91">
        <f t="shared" si="12"/>
        <v>468</v>
      </c>
      <c r="G38" s="164">
        <f t="shared" si="13"/>
        <v>1</v>
      </c>
      <c r="H38" s="90">
        <f t="shared" si="14"/>
        <v>813</v>
      </c>
      <c r="I38" s="91">
        <f t="shared" si="15"/>
        <v>550</v>
      </c>
      <c r="J38" s="30">
        <f t="shared" si="16"/>
        <v>48</v>
      </c>
      <c r="K38" s="356">
        <f t="shared" si="17"/>
        <v>0</v>
      </c>
    </row>
    <row r="39" spans="1:11">
      <c r="A39" s="71" t="str">
        <f t="shared" si="9"/>
        <v>15 - 19</v>
      </c>
      <c r="B39" s="147">
        <f t="shared" si="10"/>
        <v>0.90700000000000003</v>
      </c>
      <c r="C39" s="286">
        <f>ROUND('Pandemic Calculations'!N17*RiskAdj,3)</f>
        <v>9.2999999999999999E-2</v>
      </c>
      <c r="D39" s="90">
        <f t="shared" si="11"/>
        <v>7572</v>
      </c>
      <c r="E39" s="91">
        <f t="shared" si="11"/>
        <v>5448</v>
      </c>
      <c r="F39" s="91">
        <f t="shared" si="12"/>
        <v>950</v>
      </c>
      <c r="G39" s="164">
        <f t="shared" si="13"/>
        <v>1</v>
      </c>
      <c r="H39" s="90">
        <f t="shared" si="14"/>
        <v>776</v>
      </c>
      <c r="I39" s="91">
        <f t="shared" si="15"/>
        <v>559</v>
      </c>
      <c r="J39" s="30">
        <f t="shared" si="16"/>
        <v>97</v>
      </c>
      <c r="K39" s="356">
        <f t="shared" si="17"/>
        <v>0</v>
      </c>
    </row>
    <row r="40" spans="1:11">
      <c r="A40" s="71" t="str">
        <f t="shared" si="9"/>
        <v>20 - 24</v>
      </c>
      <c r="B40" s="147">
        <f t="shared" si="10"/>
        <v>0.86099999999999999</v>
      </c>
      <c r="C40" s="286">
        <f>ROUND('Pandemic Calculations'!N18*RiskAdj,3)</f>
        <v>0.13900000000000001</v>
      </c>
      <c r="D40" s="90">
        <f t="shared" si="11"/>
        <v>6699</v>
      </c>
      <c r="E40" s="91">
        <f t="shared" si="11"/>
        <v>6352</v>
      </c>
      <c r="F40" s="91">
        <f t="shared" si="12"/>
        <v>1418</v>
      </c>
      <c r="G40" s="164">
        <f t="shared" si="13"/>
        <v>2</v>
      </c>
      <c r="H40" s="90">
        <f t="shared" si="14"/>
        <v>1081</v>
      </c>
      <c r="I40" s="91">
        <f t="shared" si="15"/>
        <v>1025</v>
      </c>
      <c r="J40" s="30">
        <f t="shared" si="16"/>
        <v>229</v>
      </c>
      <c r="K40" s="356">
        <f t="shared" si="17"/>
        <v>0</v>
      </c>
    </row>
    <row r="41" spans="1:11">
      <c r="A41" s="71" t="str">
        <f t="shared" si="9"/>
        <v>25 - 29</v>
      </c>
      <c r="B41" s="147">
        <f t="shared" si="10"/>
        <v>0.86099999999999999</v>
      </c>
      <c r="C41" s="286">
        <f>ROUND('Pandemic Calculations'!N19*RiskAdj,3)</f>
        <v>0.13900000000000001</v>
      </c>
      <c r="D41" s="90">
        <f t="shared" si="11"/>
        <v>6018</v>
      </c>
      <c r="E41" s="91">
        <f t="shared" si="11"/>
        <v>6086</v>
      </c>
      <c r="F41" s="91">
        <f t="shared" si="12"/>
        <v>1761</v>
      </c>
      <c r="G41" s="164">
        <f t="shared" si="13"/>
        <v>2</v>
      </c>
      <c r="H41" s="90">
        <f t="shared" si="14"/>
        <v>971</v>
      </c>
      <c r="I41" s="91">
        <f t="shared" si="15"/>
        <v>983</v>
      </c>
      <c r="J41" s="30">
        <f t="shared" si="16"/>
        <v>284</v>
      </c>
      <c r="K41" s="356">
        <f t="shared" si="17"/>
        <v>0</v>
      </c>
    </row>
    <row r="42" spans="1:11">
      <c r="A42" s="71" t="str">
        <f t="shared" si="9"/>
        <v>30 - 34</v>
      </c>
      <c r="B42" s="147">
        <f t="shared" si="10"/>
        <v>0.86099999999999999</v>
      </c>
      <c r="C42" s="286">
        <f>ROUND('Pandemic Calculations'!N20*RiskAdj,3)</f>
        <v>0.13900000000000001</v>
      </c>
      <c r="D42" s="90">
        <f t="shared" si="11"/>
        <v>5930</v>
      </c>
      <c r="E42" s="91">
        <f t="shared" si="11"/>
        <v>5998</v>
      </c>
      <c r="F42" s="91">
        <f t="shared" si="12"/>
        <v>1735</v>
      </c>
      <c r="G42" s="164">
        <f t="shared" si="13"/>
        <v>2</v>
      </c>
      <c r="H42" s="90">
        <f t="shared" si="14"/>
        <v>957</v>
      </c>
      <c r="I42" s="91">
        <f t="shared" si="15"/>
        <v>968</v>
      </c>
      <c r="J42" s="30">
        <f t="shared" si="16"/>
        <v>280</v>
      </c>
      <c r="K42" s="356">
        <f t="shared" si="17"/>
        <v>0</v>
      </c>
    </row>
    <row r="43" spans="1:11">
      <c r="A43" s="71" t="str">
        <f t="shared" si="9"/>
        <v>35 - 39</v>
      </c>
      <c r="B43" s="147">
        <f t="shared" si="10"/>
        <v>0.86099999999999999</v>
      </c>
      <c r="C43" s="286">
        <f>ROUND('Pandemic Calculations'!N21*RiskAdj,3)</f>
        <v>0.13900000000000001</v>
      </c>
      <c r="D43" s="90">
        <f t="shared" si="11"/>
        <v>5768</v>
      </c>
      <c r="E43" s="91">
        <f t="shared" si="11"/>
        <v>5469</v>
      </c>
      <c r="F43" s="91">
        <f t="shared" si="12"/>
        <v>1221</v>
      </c>
      <c r="G43" s="164">
        <f t="shared" si="13"/>
        <v>2</v>
      </c>
      <c r="H43" s="90">
        <f t="shared" si="14"/>
        <v>931</v>
      </c>
      <c r="I43" s="91">
        <f t="shared" si="15"/>
        <v>883</v>
      </c>
      <c r="J43" s="30">
        <f t="shared" si="16"/>
        <v>197</v>
      </c>
      <c r="K43" s="356">
        <f t="shared" si="17"/>
        <v>0</v>
      </c>
    </row>
    <row r="44" spans="1:11">
      <c r="A44" s="71" t="str">
        <f t="shared" si="9"/>
        <v>40 - 44</v>
      </c>
      <c r="B44" s="147">
        <f t="shared" si="10"/>
        <v>0.86099999999999999</v>
      </c>
      <c r="C44" s="286">
        <f>ROUND('Pandemic Calculations'!N22*RiskAdj,3)</f>
        <v>0.13900000000000001</v>
      </c>
      <c r="D44" s="90">
        <f t="shared" si="11"/>
        <v>6439</v>
      </c>
      <c r="E44" s="91">
        <f t="shared" si="11"/>
        <v>5733</v>
      </c>
      <c r="F44" s="91">
        <f t="shared" si="12"/>
        <v>888</v>
      </c>
      <c r="G44" s="164">
        <f t="shared" si="13"/>
        <v>2</v>
      </c>
      <c r="H44" s="90">
        <f t="shared" si="14"/>
        <v>1039</v>
      </c>
      <c r="I44" s="91">
        <f t="shared" si="15"/>
        <v>926</v>
      </c>
      <c r="J44" s="30">
        <f t="shared" si="16"/>
        <v>143</v>
      </c>
      <c r="K44" s="356">
        <f t="shared" si="17"/>
        <v>0</v>
      </c>
    </row>
    <row r="45" spans="1:11">
      <c r="A45" s="71" t="str">
        <f t="shared" si="9"/>
        <v>45 - 49</v>
      </c>
      <c r="B45" s="147">
        <f t="shared" si="10"/>
        <v>0.81499999999999995</v>
      </c>
      <c r="C45" s="286">
        <f>ROUND('Pandemic Calculations'!N23*RiskAdj,3)</f>
        <v>0.185</v>
      </c>
      <c r="D45" s="90">
        <f t="shared" si="11"/>
        <v>6427</v>
      </c>
      <c r="E45" s="91">
        <f t="shared" si="11"/>
        <v>5510</v>
      </c>
      <c r="F45" s="91">
        <f t="shared" si="12"/>
        <v>615</v>
      </c>
      <c r="G45" s="164">
        <f t="shared" si="13"/>
        <v>2</v>
      </c>
      <c r="H45" s="90">
        <f t="shared" si="14"/>
        <v>1459</v>
      </c>
      <c r="I45" s="91">
        <f t="shared" si="15"/>
        <v>1251</v>
      </c>
      <c r="J45" s="30">
        <f t="shared" si="16"/>
        <v>140</v>
      </c>
      <c r="K45" s="356">
        <f t="shared" si="17"/>
        <v>0</v>
      </c>
    </row>
    <row r="46" spans="1:11">
      <c r="A46" s="71" t="str">
        <f t="shared" si="9"/>
        <v>50 - 54</v>
      </c>
      <c r="B46" s="147">
        <f t="shared" si="10"/>
        <v>0.76900000000000002</v>
      </c>
      <c r="C46" s="286">
        <f>ROUND('Pandemic Calculations'!N24*RiskAdj,3)</f>
        <v>0.23100000000000001</v>
      </c>
      <c r="D46" s="90">
        <f t="shared" si="11"/>
        <v>6715</v>
      </c>
      <c r="E46" s="91">
        <f t="shared" si="11"/>
        <v>5594</v>
      </c>
      <c r="F46" s="91">
        <f t="shared" si="12"/>
        <v>433</v>
      </c>
      <c r="G46" s="164">
        <f t="shared" si="13"/>
        <v>2</v>
      </c>
      <c r="H46" s="90">
        <f t="shared" si="14"/>
        <v>2017</v>
      </c>
      <c r="I46" s="91">
        <f t="shared" si="15"/>
        <v>1680</v>
      </c>
      <c r="J46" s="30">
        <f t="shared" si="16"/>
        <v>130</v>
      </c>
      <c r="K46" s="356">
        <f t="shared" si="17"/>
        <v>0</v>
      </c>
    </row>
    <row r="47" spans="1:11">
      <c r="A47" s="71" t="str">
        <f t="shared" si="9"/>
        <v>55 - 59</v>
      </c>
      <c r="B47" s="147">
        <f t="shared" si="10"/>
        <v>0.67599999999999993</v>
      </c>
      <c r="C47" s="286">
        <f>ROUND('Pandemic Calculations'!N25*RiskAdj,3)</f>
        <v>0.32400000000000001</v>
      </c>
      <c r="D47" s="90">
        <f t="shared" si="11"/>
        <v>6712</v>
      </c>
      <c r="E47" s="91">
        <f t="shared" si="11"/>
        <v>3604</v>
      </c>
      <c r="F47" s="91">
        <f t="shared" si="12"/>
        <v>253</v>
      </c>
      <c r="G47" s="164">
        <f t="shared" si="13"/>
        <v>1</v>
      </c>
      <c r="H47" s="90">
        <f t="shared" si="14"/>
        <v>3217</v>
      </c>
      <c r="I47" s="91">
        <f t="shared" si="15"/>
        <v>1728</v>
      </c>
      <c r="J47" s="30">
        <f t="shared" si="16"/>
        <v>122</v>
      </c>
      <c r="K47" s="356">
        <f t="shared" si="17"/>
        <v>1</v>
      </c>
    </row>
    <row r="48" spans="1:11">
      <c r="A48" s="71" t="str">
        <f t="shared" si="9"/>
        <v>60 - 64</v>
      </c>
      <c r="B48" s="147">
        <f t="shared" si="10"/>
        <v>0.63</v>
      </c>
      <c r="C48" s="286">
        <f>ROUND('Pandemic Calculations'!N26*RiskAdj,3)</f>
        <v>0.37</v>
      </c>
      <c r="D48" s="90">
        <f t="shared" si="11"/>
        <v>6318</v>
      </c>
      <c r="E48" s="91">
        <f t="shared" si="11"/>
        <v>2081</v>
      </c>
      <c r="F48" s="91">
        <f t="shared" si="12"/>
        <v>128</v>
      </c>
      <c r="G48" s="164">
        <f t="shared" si="13"/>
        <v>1</v>
      </c>
      <c r="H48" s="90">
        <f t="shared" si="14"/>
        <v>3711</v>
      </c>
      <c r="I48" s="91">
        <f t="shared" si="15"/>
        <v>1222</v>
      </c>
      <c r="J48" s="30">
        <f t="shared" si="16"/>
        <v>75</v>
      </c>
      <c r="K48" s="356">
        <f t="shared" si="17"/>
        <v>1</v>
      </c>
    </row>
    <row r="49" spans="1:11">
      <c r="A49" s="71" t="str">
        <f t="shared" si="9"/>
        <v>65 - 69</v>
      </c>
      <c r="B49" s="147">
        <f t="shared" si="10"/>
        <v>0.58400000000000007</v>
      </c>
      <c r="C49" s="286">
        <f>ROUND('Pandemic Calculations'!N27*RiskAdj,3)</f>
        <v>0.41599999999999998</v>
      </c>
      <c r="D49" s="90">
        <f t="shared" si="11"/>
        <v>5521</v>
      </c>
      <c r="E49" s="91">
        <f t="shared" si="11"/>
        <v>955</v>
      </c>
      <c r="F49" s="91">
        <f t="shared" si="12"/>
        <v>65</v>
      </c>
      <c r="G49" s="164">
        <f t="shared" si="13"/>
        <v>1</v>
      </c>
      <c r="H49" s="90">
        <f t="shared" si="14"/>
        <v>3933</v>
      </c>
      <c r="I49" s="91">
        <f t="shared" si="15"/>
        <v>680</v>
      </c>
      <c r="J49" s="30">
        <f t="shared" si="16"/>
        <v>47</v>
      </c>
      <c r="K49" s="356">
        <f t="shared" si="17"/>
        <v>0</v>
      </c>
    </row>
    <row r="50" spans="1:11">
      <c r="A50" s="71" t="str">
        <f t="shared" si="9"/>
        <v>70 - 74</v>
      </c>
      <c r="B50" s="147">
        <f t="shared" si="10"/>
        <v>0.53699999999999992</v>
      </c>
      <c r="C50" s="286">
        <f>ROUND('Pandemic Calculations'!N28*RiskAdj,3)</f>
        <v>0.46300000000000002</v>
      </c>
      <c r="D50" s="90">
        <f t="shared" si="11"/>
        <v>3702</v>
      </c>
      <c r="E50" s="91">
        <f t="shared" si="11"/>
        <v>641</v>
      </c>
      <c r="F50" s="91">
        <f t="shared" si="12"/>
        <v>44</v>
      </c>
      <c r="G50" s="164">
        <f t="shared" si="13"/>
        <v>1</v>
      </c>
      <c r="H50" s="90">
        <f t="shared" si="14"/>
        <v>3192</v>
      </c>
      <c r="I50" s="91">
        <f t="shared" si="15"/>
        <v>552</v>
      </c>
      <c r="J50" s="30">
        <f t="shared" si="16"/>
        <v>38</v>
      </c>
      <c r="K50" s="356">
        <f t="shared" si="17"/>
        <v>0</v>
      </c>
    </row>
    <row r="51" spans="1:11">
      <c r="A51" s="71" t="str">
        <f t="shared" si="9"/>
        <v>75 - 79</v>
      </c>
      <c r="B51" s="147">
        <f t="shared" si="10"/>
        <v>0.49099999999999999</v>
      </c>
      <c r="C51" s="286">
        <f>ROUND('Pandemic Calculations'!N29*RiskAdj,3)</f>
        <v>0.50900000000000001</v>
      </c>
      <c r="D51" s="90">
        <f t="shared" si="11"/>
        <v>2418</v>
      </c>
      <c r="E51" s="91">
        <f t="shared" si="11"/>
        <v>418</v>
      </c>
      <c r="F51" s="91">
        <f t="shared" si="12"/>
        <v>28</v>
      </c>
      <c r="G51" s="164">
        <f t="shared" si="13"/>
        <v>1</v>
      </c>
      <c r="H51" s="90">
        <f t="shared" si="14"/>
        <v>2506</v>
      </c>
      <c r="I51" s="91">
        <f t="shared" si="15"/>
        <v>434</v>
      </c>
      <c r="J51" s="30">
        <f t="shared" si="16"/>
        <v>30</v>
      </c>
      <c r="K51" s="356">
        <f t="shared" si="17"/>
        <v>0</v>
      </c>
    </row>
    <row r="52" spans="1:11">
      <c r="A52" s="71" t="str">
        <f t="shared" si="9"/>
        <v>80 - 84</v>
      </c>
      <c r="B52" s="147">
        <f t="shared" si="10"/>
        <v>0.49099999999999999</v>
      </c>
      <c r="C52" s="286">
        <f>ROUND('Pandemic Calculations'!N30*RiskAdj,3)</f>
        <v>0.50900000000000001</v>
      </c>
      <c r="D52" s="90">
        <f t="shared" ref="D52:E53" si="18">ROUND($B52*J28,0)</f>
        <v>1741</v>
      </c>
      <c r="E52" s="91">
        <f t="shared" si="18"/>
        <v>301</v>
      </c>
      <c r="F52" s="91">
        <f t="shared" si="12"/>
        <v>21</v>
      </c>
      <c r="G52" s="164">
        <f t="shared" si="13"/>
        <v>0</v>
      </c>
      <c r="H52" s="90">
        <f t="shared" si="14"/>
        <v>1805</v>
      </c>
      <c r="I52" s="91">
        <f t="shared" si="15"/>
        <v>312</v>
      </c>
      <c r="J52" s="30">
        <f t="shared" si="16"/>
        <v>21</v>
      </c>
      <c r="K52" s="356">
        <f t="shared" si="17"/>
        <v>0</v>
      </c>
    </row>
    <row r="53" spans="1:11">
      <c r="A53" s="71" t="str">
        <f t="shared" si="9"/>
        <v>85+</v>
      </c>
      <c r="B53" s="148">
        <f t="shared" si="10"/>
        <v>0.49099999999999999</v>
      </c>
      <c r="C53" s="286">
        <f>ROUND('Pandemic Calculations'!N31*RiskAdj,3)</f>
        <v>0.50900000000000001</v>
      </c>
      <c r="D53" s="93">
        <f t="shared" si="18"/>
        <v>1838</v>
      </c>
      <c r="E53" s="27">
        <f t="shared" si="18"/>
        <v>318</v>
      </c>
      <c r="F53" s="91">
        <f t="shared" si="12"/>
        <v>22</v>
      </c>
      <c r="G53" s="247">
        <f t="shared" si="13"/>
        <v>0</v>
      </c>
      <c r="H53" s="93">
        <f t="shared" si="14"/>
        <v>1905</v>
      </c>
      <c r="I53" s="27">
        <f t="shared" si="15"/>
        <v>330</v>
      </c>
      <c r="J53" s="357">
        <f t="shared" si="16"/>
        <v>22</v>
      </c>
      <c r="K53" s="356">
        <f t="shared" si="17"/>
        <v>0</v>
      </c>
    </row>
    <row r="54" spans="1:11">
      <c r="A54" s="71" t="s">
        <v>1</v>
      </c>
      <c r="B54" s="3"/>
      <c r="C54" s="3"/>
      <c r="D54" s="6">
        <f t="shared" ref="D54:E54" si="19">SUM(D36:D53)</f>
        <v>99936</v>
      </c>
      <c r="E54" s="6">
        <f t="shared" si="19"/>
        <v>72556</v>
      </c>
      <c r="F54" s="6">
        <f t="shared" ref="F54:K54" si="20">SUM(F36:F53)</f>
        <v>12527</v>
      </c>
      <c r="G54" s="6">
        <f t="shared" si="20"/>
        <v>23</v>
      </c>
      <c r="H54" s="6">
        <f t="shared" si="20"/>
        <v>31325</v>
      </c>
      <c r="I54" s="6">
        <f t="shared" si="20"/>
        <v>14982</v>
      </c>
      <c r="J54" s="358">
        <f t="shared" si="20"/>
        <v>2047</v>
      </c>
      <c r="K54" s="358">
        <f t="shared" si="20"/>
        <v>2</v>
      </c>
    </row>
    <row r="55" spans="1:11">
      <c r="K55" s="251"/>
    </row>
    <row r="56" spans="1:11">
      <c r="B56" s="39"/>
      <c r="G56" s="251"/>
    </row>
    <row r="57" spans="1:11">
      <c r="A57" s="345"/>
      <c r="B57" s="363"/>
      <c r="E57" s="344"/>
      <c r="I57" s="344"/>
    </row>
    <row r="58" spans="1:11">
      <c r="A58" s="344"/>
      <c r="E58" s="344"/>
      <c r="I58" s="344"/>
    </row>
    <row r="59" spans="1:11">
      <c r="A59" s="344"/>
      <c r="E59" s="344"/>
      <c r="I59" s="344"/>
      <c r="J59" s="363"/>
    </row>
    <row r="60" spans="1:11">
      <c r="A60" s="344"/>
      <c r="E60" s="344"/>
    </row>
    <row r="61" spans="1:11">
      <c r="A61" s="344"/>
      <c r="B61" s="363"/>
      <c r="E61" s="344"/>
      <c r="I61" s="344"/>
    </row>
    <row r="62" spans="1:11">
      <c r="A62" s="344"/>
      <c r="E62" s="344"/>
      <c r="I62" s="344"/>
    </row>
    <row r="63" spans="1:11">
      <c r="A63" s="344"/>
      <c r="E63" s="344"/>
      <c r="I63" s="344"/>
    </row>
    <row r="64" spans="1:11">
      <c r="A64" s="344"/>
      <c r="B64" s="363"/>
      <c r="E64" s="344"/>
      <c r="I64" s="344"/>
    </row>
    <row r="65" spans="1:9">
      <c r="A65" s="344"/>
      <c r="E65" s="344"/>
      <c r="I65" s="344"/>
    </row>
    <row r="66" spans="1:9">
      <c r="A66" s="344"/>
      <c r="I66" s="344"/>
    </row>
    <row r="67" spans="1:9">
      <c r="A67" s="344"/>
      <c r="G67" s="344"/>
    </row>
    <row r="68" spans="1:9">
      <c r="A68" s="344"/>
      <c r="G68" s="344"/>
    </row>
    <row r="69" spans="1:9">
      <c r="A69" s="344"/>
      <c r="G69" s="344"/>
    </row>
    <row r="70" spans="1:9">
      <c r="A70" s="344"/>
      <c r="G70" s="344"/>
    </row>
  </sheetData>
  <printOptions horizontalCentered="1"/>
  <pageMargins left="0.5" right="0.5" top="0.5" bottom="0.75" header="0.5" footer="0.35"/>
  <pageSetup scale="64" orientation="landscape" r:id="rId1"/>
  <headerFooter alignWithMargins="0">
    <oddFooter>&amp;L&amp;8&amp;F 
&amp;A&amp;C&amp;8MBA Actuaries, Inc.&amp;R&amp;8&amp;D 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21"/>
  <sheetViews>
    <sheetView tabSelected="1" workbookViewId="0">
      <selection activeCell="I7" sqref="I7:M15"/>
    </sheetView>
  </sheetViews>
  <sheetFormatPr defaultRowHeight="12.75"/>
  <cols>
    <col min="1" max="1" width="31.28515625" bestFit="1" customWidth="1"/>
    <col min="10" max="10" width="18.42578125" bestFit="1" customWidth="1"/>
  </cols>
  <sheetData>
    <row r="2" spans="1:13">
      <c r="A2" s="62" t="s">
        <v>394</v>
      </c>
    </row>
    <row r="3" spans="1:13">
      <c r="A3" s="578" t="s">
        <v>392</v>
      </c>
      <c r="B3" s="578" t="s">
        <v>137</v>
      </c>
      <c r="C3" s="578" t="s">
        <v>393</v>
      </c>
      <c r="D3" s="578" t="s">
        <v>165</v>
      </c>
    </row>
    <row r="4" spans="1:13">
      <c r="A4" s="578" t="s">
        <v>50</v>
      </c>
      <c r="B4" s="580">
        <v>50.173633536901384</v>
      </c>
      <c r="C4" s="580">
        <v>219.37525053818982</v>
      </c>
      <c r="D4" s="581">
        <v>181.70630749466304</v>
      </c>
    </row>
    <row r="5" spans="1:13">
      <c r="A5" s="578" t="s">
        <v>5</v>
      </c>
      <c r="B5" s="580">
        <v>164.63569956810781</v>
      </c>
      <c r="C5" s="580">
        <v>741.04213487255799</v>
      </c>
      <c r="D5" s="580">
        <v>611.37910355225301</v>
      </c>
    </row>
    <row r="6" spans="1:13">
      <c r="A6" s="578" t="s">
        <v>4</v>
      </c>
      <c r="B6" s="580">
        <v>170.80897299686279</v>
      </c>
      <c r="C6" s="580">
        <v>779.64579086862921</v>
      </c>
      <c r="D6" s="580">
        <v>645.59288226914316</v>
      </c>
    </row>
    <row r="7" spans="1:13">
      <c r="I7" s="15"/>
      <c r="J7" s="15"/>
      <c r="K7" s="15"/>
      <c r="L7" s="15"/>
      <c r="M7" s="15"/>
    </row>
    <row r="8" spans="1:13">
      <c r="I8" s="15"/>
      <c r="J8" s="15"/>
      <c r="K8" s="15"/>
      <c r="L8" s="15"/>
      <c r="M8" s="15"/>
    </row>
    <row r="9" spans="1:13">
      <c r="I9" s="15"/>
      <c r="J9" s="330"/>
      <c r="K9" s="330"/>
      <c r="L9" s="330"/>
      <c r="M9" s="330"/>
    </row>
    <row r="10" spans="1:13">
      <c r="A10" s="622" t="s">
        <v>422</v>
      </c>
      <c r="B10" s="623"/>
      <c r="C10" s="623"/>
      <c r="D10" s="623"/>
      <c r="I10" s="15"/>
      <c r="J10" s="330"/>
      <c r="K10" s="330"/>
      <c r="L10" s="639"/>
      <c r="M10" s="330"/>
    </row>
    <row r="11" spans="1:13">
      <c r="A11" s="578" t="s">
        <v>392</v>
      </c>
      <c r="B11" s="578" t="s">
        <v>137</v>
      </c>
      <c r="C11" s="578" t="s">
        <v>393</v>
      </c>
      <c r="D11" s="578" t="s">
        <v>165</v>
      </c>
      <c r="I11" s="15"/>
      <c r="J11" s="330"/>
      <c r="K11" s="330"/>
      <c r="L11" s="330"/>
      <c r="M11" s="330"/>
    </row>
    <row r="12" spans="1:13">
      <c r="A12" s="578" t="s">
        <v>50</v>
      </c>
      <c r="B12" s="584">
        <f>1000000*B4/'Income Statement'!$B$5/1000</f>
        <v>1.5501655111113325E-2</v>
      </c>
      <c r="C12" s="584">
        <f>1000000*C4/'Income Statement'!$B$5/1000</f>
        <v>6.7778218040676408E-2</v>
      </c>
      <c r="D12" s="584">
        <f>1000000*D4/'Income Statement'!$B$5/1000</f>
        <v>5.614001442061254E-2</v>
      </c>
      <c r="I12" s="15"/>
      <c r="J12" s="330"/>
      <c r="K12" s="330"/>
      <c r="L12" s="330"/>
      <c r="M12" s="330"/>
    </row>
    <row r="13" spans="1:13">
      <c r="A13" s="578" t="s">
        <v>5</v>
      </c>
      <c r="B13" s="584">
        <f>1000000*B5/'Income Statement'!$B$5/1000</f>
        <v>5.086587623367271E-2</v>
      </c>
      <c r="C13" s="584">
        <f>1000000*C5/'Income Statement'!$B$5/1000</f>
        <v>0.22895251525183746</v>
      </c>
      <c r="D13" s="584">
        <f>1000000*D5/'Income Statement'!$B$5/1000</f>
        <v>0.18889180107791667</v>
      </c>
      <c r="I13" s="15"/>
      <c r="J13" s="330"/>
      <c r="K13" s="330"/>
      <c r="L13" s="330"/>
      <c r="M13" s="330"/>
    </row>
    <row r="14" spans="1:13">
      <c r="A14" s="578" t="s">
        <v>4</v>
      </c>
      <c r="B14" s="584">
        <f>1000000*B6/'Income Statement'!$B$5/1000</f>
        <v>5.2773171935682768E-2</v>
      </c>
      <c r="C14" s="584">
        <f>1000000*C6/'Income Statement'!$B$5/1000</f>
        <v>0.24087950795885429</v>
      </c>
      <c r="D14" s="584">
        <f>1000000*D6/'Income Statement'!$B$5/1000</f>
        <v>0.19946249648763034</v>
      </c>
      <c r="I14" s="15"/>
      <c r="J14" s="15"/>
      <c r="K14" s="15"/>
      <c r="L14" s="15"/>
      <c r="M14" s="15"/>
    </row>
    <row r="15" spans="1:13">
      <c r="I15" s="15"/>
      <c r="J15" s="15"/>
      <c r="K15" s="15"/>
      <c r="L15" s="15"/>
      <c r="M15" s="15"/>
    </row>
    <row r="17" spans="1:4">
      <c r="A17" s="622" t="s">
        <v>423</v>
      </c>
      <c r="B17" s="623"/>
      <c r="C17" s="623"/>
      <c r="D17" s="623"/>
    </row>
    <row r="18" spans="1:4">
      <c r="A18" s="578" t="s">
        <v>392</v>
      </c>
      <c r="B18" s="578" t="s">
        <v>137</v>
      </c>
      <c r="C18" s="578" t="s">
        <v>393</v>
      </c>
      <c r="D18" s="578" t="s">
        <v>165</v>
      </c>
    </row>
    <row r="19" spans="1:4">
      <c r="A19" s="578" t="s">
        <v>50</v>
      </c>
      <c r="B19" s="584">
        <f>1000000*B4/'Income Statement'!$B$38/1000</f>
        <v>0.37064345261397647</v>
      </c>
      <c r="C19" s="584">
        <f>1000000*C4/'Income Statement'!$B$38/1000</f>
        <v>1.6205722915748053</v>
      </c>
      <c r="D19" s="584">
        <f>1000000*D4/'Income Statement'!$B$38/1000</f>
        <v>1.3423036847037582</v>
      </c>
    </row>
    <row r="20" spans="1:4">
      <c r="A20" s="578" t="s">
        <v>5</v>
      </c>
      <c r="B20" s="584">
        <f>1000000*B5/'Income Statement'!$B$38/1000</f>
        <v>1.216199422084139</v>
      </c>
      <c r="C20" s="584">
        <f>1000000*C5/'Income Statement'!$B$38/1000</f>
        <v>5.4742380816328549</v>
      </c>
      <c r="D20" s="584">
        <f>1000000*D5/'Income Statement'!$B$38/1000</f>
        <v>4.5163893029589719</v>
      </c>
    </row>
    <row r="21" spans="1:4">
      <c r="A21" s="578" t="s">
        <v>4</v>
      </c>
      <c r="B21" s="584">
        <f>1000000*B6/'Income Statement'!$B$38/1000</f>
        <v>1.2618027243819692</v>
      </c>
      <c r="C21" s="584">
        <f>1000000*C6/'Income Statement'!$B$38/1000</f>
        <v>5.7594116146874788</v>
      </c>
      <c r="D21" s="584">
        <f>1000000*D6/'Income Statement'!$B$38/1000</f>
        <v>4.7691338657236377</v>
      </c>
    </row>
  </sheetData>
  <mergeCells count="2">
    <mergeCell ref="A10:D10"/>
    <mergeCell ref="A17:D1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zoomScaleNormal="100" workbookViewId="0"/>
  </sheetViews>
  <sheetFormatPr defaultRowHeight="12.75"/>
  <cols>
    <col min="1" max="1" width="9.140625" style="28"/>
    <col min="2" max="2" width="12.7109375" style="133" customWidth="1"/>
    <col min="3" max="3" width="9.7109375" style="28" customWidth="1"/>
    <col min="4" max="4" width="16.140625" style="28" bestFit="1" customWidth="1"/>
    <col min="5" max="5" width="1.7109375" style="28" customWidth="1"/>
    <col min="6" max="6" width="12.7109375" style="28" customWidth="1"/>
    <col min="7" max="7" width="9.7109375" style="28" customWidth="1"/>
    <col min="8" max="8" width="17.28515625" style="91" customWidth="1"/>
    <col min="9" max="9" width="1.7109375" style="91" customWidth="1"/>
    <col min="10" max="10" width="12.7109375" style="91" customWidth="1"/>
    <col min="11" max="11" width="9.7109375" style="28" customWidth="1"/>
    <col min="12" max="12" width="17.28515625" style="28" bestFit="1" customWidth="1"/>
    <col min="13" max="13" width="1.5703125" style="28" customWidth="1"/>
    <col min="14" max="14" width="9.140625" style="3"/>
    <col min="15" max="15" width="12.7109375" style="3" customWidth="1"/>
    <col min="16" max="16" width="10.7109375" style="3" customWidth="1"/>
    <col min="17" max="17" width="1.7109375" style="3" customWidth="1"/>
    <col min="18" max="18" width="12.7109375" style="3" customWidth="1"/>
    <col min="19" max="19" width="10.7109375" style="3" customWidth="1"/>
    <col min="20" max="20" width="1.42578125" style="3" customWidth="1"/>
    <col min="21" max="21" width="12.7109375" style="3" customWidth="1"/>
    <col min="22" max="22" width="10.7109375" style="3" customWidth="1"/>
    <col min="23" max="16384" width="9.140625" style="3"/>
  </cols>
  <sheetData>
    <row r="1" spans="1:22" s="15" customFormat="1">
      <c r="A1" s="402" t="str">
        <f>scenario</f>
        <v>Severe Scenario, V\ Curve</v>
      </c>
      <c r="K1" s="28"/>
      <c r="M1" s="157"/>
    </row>
    <row r="2" spans="1:22" s="15" customFormat="1">
      <c r="K2" s="28"/>
      <c r="M2" s="162"/>
    </row>
    <row r="3" spans="1:22" s="15" customFormat="1" ht="15.75">
      <c r="A3" s="46" t="str">
        <f>LOB_2&amp;"  Costs by Provider and Risk Class"</f>
        <v>Health Plan Commercial ASO  Costs by Provider and Risk Class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31"/>
      <c r="P3" s="19"/>
    </row>
    <row r="4" spans="1:22" s="15" customFormat="1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9"/>
      <c r="O4" s="246" t="s">
        <v>223</v>
      </c>
      <c r="P4" s="246"/>
      <c r="Q4" s="197"/>
      <c r="R4" s="246" t="s">
        <v>224</v>
      </c>
      <c r="S4" s="246"/>
      <c r="T4" s="197"/>
      <c r="U4" s="246" t="s">
        <v>225</v>
      </c>
      <c r="V4" s="246"/>
    </row>
    <row r="5" spans="1:22" s="28" customFormat="1">
      <c r="A5" s="32" t="s">
        <v>34</v>
      </c>
      <c r="B5" s="131" t="s">
        <v>48</v>
      </c>
      <c r="C5" s="131"/>
      <c r="D5" s="131"/>
      <c r="E5" s="91"/>
      <c r="F5" s="131" t="s">
        <v>54</v>
      </c>
      <c r="G5" s="134"/>
      <c r="H5" s="134"/>
      <c r="I5" s="91"/>
      <c r="J5" s="75" t="s">
        <v>49</v>
      </c>
      <c r="K5" s="75"/>
      <c r="L5" s="75"/>
      <c r="N5" s="32" t="s">
        <v>34</v>
      </c>
      <c r="O5" s="135" t="s">
        <v>1</v>
      </c>
      <c r="P5" s="136" t="s">
        <v>46</v>
      </c>
      <c r="Q5" s="128"/>
      <c r="R5" s="135" t="s">
        <v>1</v>
      </c>
      <c r="S5" s="136" t="s">
        <v>46</v>
      </c>
      <c r="T5" s="91"/>
      <c r="U5" s="135" t="s">
        <v>1</v>
      </c>
      <c r="V5" s="136" t="s">
        <v>46</v>
      </c>
    </row>
    <row r="6" spans="1:22" s="28" customFormat="1">
      <c r="A6" s="32" t="s">
        <v>35</v>
      </c>
      <c r="B6" s="135" t="s">
        <v>32</v>
      </c>
      <c r="C6" s="220" t="s">
        <v>121</v>
      </c>
      <c r="D6" s="220" t="s">
        <v>140</v>
      </c>
      <c r="E6" s="32"/>
      <c r="F6" s="32" t="s">
        <v>32</v>
      </c>
      <c r="G6" s="220" t="s">
        <v>121</v>
      </c>
      <c r="H6" s="220" t="s">
        <v>140</v>
      </c>
      <c r="I6" s="136"/>
      <c r="J6" s="215" t="s">
        <v>36</v>
      </c>
      <c r="K6" s="220" t="s">
        <v>121</v>
      </c>
      <c r="L6" s="220" t="s">
        <v>140</v>
      </c>
      <c r="N6" s="32" t="s">
        <v>35</v>
      </c>
      <c r="O6" s="135" t="s">
        <v>32</v>
      </c>
      <c r="P6" s="32" t="s">
        <v>55</v>
      </c>
      <c r="Q6" s="129"/>
      <c r="R6" s="135" t="s">
        <v>32</v>
      </c>
      <c r="S6" s="32" t="s">
        <v>55</v>
      </c>
      <c r="T6" s="91"/>
      <c r="U6" s="135" t="s">
        <v>32</v>
      </c>
      <c r="V6" s="32" t="s">
        <v>55</v>
      </c>
    </row>
    <row r="7" spans="1:22" s="28" customFormat="1">
      <c r="A7" s="32"/>
      <c r="B7" s="360">
        <v>-1</v>
      </c>
      <c r="C7" s="360">
        <f>B7-1</f>
        <v>-2</v>
      </c>
      <c r="D7" s="360">
        <f>C7-1</f>
        <v>-3</v>
      </c>
      <c r="E7" s="360"/>
      <c r="F7" s="360">
        <f>D7-1</f>
        <v>-4</v>
      </c>
      <c r="G7" s="360">
        <f t="shared" ref="G7:H7" si="0">F7-1</f>
        <v>-5</v>
      </c>
      <c r="H7" s="360">
        <f t="shared" si="0"/>
        <v>-6</v>
      </c>
      <c r="I7" s="360"/>
      <c r="J7" s="360">
        <f>H7-1</f>
        <v>-7</v>
      </c>
      <c r="K7" s="360">
        <f t="shared" ref="K7:L7" si="1">J7-1</f>
        <v>-8</v>
      </c>
      <c r="L7" s="360">
        <f t="shared" si="1"/>
        <v>-9</v>
      </c>
      <c r="M7" s="360">
        <f>L7-1</f>
        <v>-10</v>
      </c>
      <c r="N7" s="360"/>
      <c r="P7" s="32"/>
      <c r="Q7" s="63"/>
      <c r="R7" s="91"/>
      <c r="S7" s="91"/>
      <c r="T7" s="91"/>
      <c r="U7" s="91"/>
      <c r="V7" s="91"/>
    </row>
    <row r="8" spans="1:22" s="28" customFormat="1" ht="5.0999999999999996" customHeight="1">
      <c r="A8" s="32"/>
      <c r="B8" s="135"/>
      <c r="C8" s="32"/>
      <c r="D8" s="32"/>
      <c r="E8" s="32"/>
      <c r="F8" s="32"/>
      <c r="G8" s="136"/>
      <c r="H8" s="136"/>
      <c r="I8" s="136"/>
      <c r="J8" s="215"/>
      <c r="K8" s="215"/>
      <c r="L8" s="215"/>
    </row>
    <row r="9" spans="1:22" s="28" customFormat="1">
      <c r="A9" s="35" t="str">
        <f>+'Morbidity Distribution'!A23</f>
        <v>0 - 4</v>
      </c>
      <c r="B9" s="91">
        <f>+'Prod2 Dist'!E36</f>
        <v>7399</v>
      </c>
      <c r="C9" s="194">
        <f>+'Provider Costs'!B10</f>
        <v>180</v>
      </c>
      <c r="D9" s="164">
        <f t="shared" ref="D9:D26" si="2">+C9*B9</f>
        <v>1331820</v>
      </c>
      <c r="E9" s="164"/>
      <c r="F9" s="164">
        <f>+'Prod2 Dist'!F36</f>
        <v>2016</v>
      </c>
      <c r="G9" s="164">
        <f>+'Provider Costs'!F10</f>
        <v>12100.000000000002</v>
      </c>
      <c r="H9" s="164">
        <f t="shared" ref="H9:H26" si="3">+G9*F9</f>
        <v>24393600.000000004</v>
      </c>
      <c r="I9" s="164"/>
      <c r="J9" s="254">
        <f>+'Prod2 Dist'!G36</f>
        <v>1</v>
      </c>
      <c r="K9" s="254">
        <f>+'Provider Costs'!J10</f>
        <v>38500</v>
      </c>
      <c r="L9" s="30">
        <f t="shared" ref="L9:L26" si="4">+K9*J9</f>
        <v>38500</v>
      </c>
      <c r="N9" s="35" t="str">
        <f t="shared" ref="N9:N26" si="5">+A33</f>
        <v>0 - 4</v>
      </c>
      <c r="O9" s="91">
        <f t="shared" ref="O9:O26" si="6">+B9+B33</f>
        <v>7756</v>
      </c>
      <c r="P9" s="407">
        <f t="shared" ref="P9:P26" si="7">(D9+D33)/1000000</f>
        <v>1.554945</v>
      </c>
      <c r="Q9" s="63"/>
      <c r="R9" s="91">
        <f t="shared" ref="R9:R26" si="8">+F9+F33</f>
        <v>2113</v>
      </c>
      <c r="S9" s="407">
        <f t="shared" ref="S9:S26" si="9">(H9+H33)/1000000</f>
        <v>32.662850000000006</v>
      </c>
      <c r="T9" s="91"/>
      <c r="U9" s="91">
        <f t="shared" ref="U9:U26" si="10">+J9+J33</f>
        <v>1</v>
      </c>
      <c r="V9" s="407">
        <f t="shared" ref="V9:V26" si="11">(L9+L33)/1000000</f>
        <v>3.85E-2</v>
      </c>
    </row>
    <row r="10" spans="1:22" s="28" customFormat="1">
      <c r="A10" s="35" t="str">
        <f>+'Morbidity Distribution'!A24</f>
        <v>5 - 9</v>
      </c>
      <c r="B10" s="91">
        <f>+'Prod2 Dist'!E37</f>
        <v>5283</v>
      </c>
      <c r="C10" s="194">
        <f>+'Provider Costs'!B11</f>
        <v>150</v>
      </c>
      <c r="D10" s="164">
        <f t="shared" si="2"/>
        <v>792450</v>
      </c>
      <c r="E10" s="164"/>
      <c r="F10" s="164">
        <f>+'Prod2 Dist'!F37</f>
        <v>461</v>
      </c>
      <c r="G10" s="164">
        <f>+'Provider Costs'!F11</f>
        <v>15950.000000000002</v>
      </c>
      <c r="H10" s="164">
        <f t="shared" si="3"/>
        <v>7352950.0000000009</v>
      </c>
      <c r="I10" s="164"/>
      <c r="J10" s="254">
        <f>+'Prod2 Dist'!G37</f>
        <v>1</v>
      </c>
      <c r="K10" s="254">
        <f>+'Provider Costs'!J11</f>
        <v>27500.000000000004</v>
      </c>
      <c r="L10" s="30">
        <f t="shared" si="4"/>
        <v>27500.000000000004</v>
      </c>
      <c r="N10" s="35" t="str">
        <f t="shared" si="5"/>
        <v>5 - 9</v>
      </c>
      <c r="O10" s="91">
        <f t="shared" si="6"/>
        <v>5825</v>
      </c>
      <c r="P10" s="407">
        <f t="shared" si="7"/>
        <v>1.1312</v>
      </c>
      <c r="Q10" s="63"/>
      <c r="R10" s="91">
        <f t="shared" si="8"/>
        <v>508</v>
      </c>
      <c r="S10" s="407">
        <f t="shared" si="9"/>
        <v>9.4209499999999995</v>
      </c>
      <c r="T10" s="91"/>
      <c r="U10" s="91">
        <f t="shared" si="10"/>
        <v>1</v>
      </c>
      <c r="V10" s="407">
        <f t="shared" si="11"/>
        <v>2.7500000000000004E-2</v>
      </c>
    </row>
    <row r="11" spans="1:22" s="28" customFormat="1">
      <c r="A11" s="35" t="str">
        <f>+'Morbidity Distribution'!A25</f>
        <v>10 - 14</v>
      </c>
      <c r="B11" s="91">
        <f>+'Prod2 Dist'!E38</f>
        <v>5366</v>
      </c>
      <c r="C11" s="194">
        <f>+'Provider Costs'!B12</f>
        <v>150</v>
      </c>
      <c r="D11" s="164">
        <f t="shared" si="2"/>
        <v>804900</v>
      </c>
      <c r="E11" s="164"/>
      <c r="F11" s="164">
        <f>+'Prod2 Dist'!F38</f>
        <v>468</v>
      </c>
      <c r="G11" s="164">
        <f>+'Provider Costs'!F12</f>
        <v>15950.000000000002</v>
      </c>
      <c r="H11" s="164">
        <f>+G11*F11</f>
        <v>7464600.0000000009</v>
      </c>
      <c r="I11" s="164"/>
      <c r="J11" s="254">
        <f>+'Prod2 Dist'!G38</f>
        <v>1</v>
      </c>
      <c r="K11" s="254">
        <f>+'Provider Costs'!J12</f>
        <v>27500.000000000004</v>
      </c>
      <c r="L11" s="30">
        <f t="shared" si="4"/>
        <v>27500.000000000004</v>
      </c>
      <c r="N11" s="35" t="str">
        <f t="shared" si="5"/>
        <v>10 - 14</v>
      </c>
      <c r="O11" s="91">
        <f t="shared" si="6"/>
        <v>5916</v>
      </c>
      <c r="P11" s="407">
        <f t="shared" si="7"/>
        <v>1.1486499999999999</v>
      </c>
      <c r="Q11" s="63"/>
      <c r="R11" s="91">
        <f t="shared" si="8"/>
        <v>516</v>
      </c>
      <c r="S11" s="407">
        <f t="shared" si="9"/>
        <v>9.5765999999999991</v>
      </c>
      <c r="T11" s="91"/>
      <c r="U11" s="91">
        <f t="shared" si="10"/>
        <v>1</v>
      </c>
      <c r="V11" s="407">
        <f t="shared" si="11"/>
        <v>2.7500000000000004E-2</v>
      </c>
    </row>
    <row r="12" spans="1:22" s="28" customFormat="1">
      <c r="A12" s="35" t="str">
        <f>+'Morbidity Distribution'!A26</f>
        <v>15 - 19</v>
      </c>
      <c r="B12" s="91">
        <f>+'Prod2 Dist'!E39</f>
        <v>5448</v>
      </c>
      <c r="C12" s="194">
        <f>+'Provider Costs'!B13</f>
        <v>150</v>
      </c>
      <c r="D12" s="164">
        <f t="shared" si="2"/>
        <v>817200</v>
      </c>
      <c r="E12" s="164"/>
      <c r="F12" s="164">
        <f>+'Prod2 Dist'!F39</f>
        <v>950</v>
      </c>
      <c r="G12" s="164">
        <f>+'Provider Costs'!F13</f>
        <v>15950.000000000002</v>
      </c>
      <c r="H12" s="164">
        <f t="shared" si="3"/>
        <v>15152500.000000002</v>
      </c>
      <c r="I12" s="164"/>
      <c r="J12" s="254">
        <f>+'Prod2 Dist'!G39</f>
        <v>1</v>
      </c>
      <c r="K12" s="254">
        <f>+'Provider Costs'!J13</f>
        <v>27500.000000000004</v>
      </c>
      <c r="L12" s="30">
        <f t="shared" si="4"/>
        <v>27500.000000000004</v>
      </c>
      <c r="N12" s="35" t="str">
        <f t="shared" si="5"/>
        <v>15 - 19</v>
      </c>
      <c r="O12" s="91">
        <f t="shared" si="6"/>
        <v>6007</v>
      </c>
      <c r="P12" s="407">
        <f t="shared" si="7"/>
        <v>1.1665749999999999</v>
      </c>
      <c r="Q12" s="63"/>
      <c r="R12" s="91">
        <f t="shared" si="8"/>
        <v>1047</v>
      </c>
      <c r="S12" s="407">
        <f t="shared" si="9"/>
        <v>19.420500000000001</v>
      </c>
      <c r="T12" s="91"/>
      <c r="U12" s="91">
        <f t="shared" si="10"/>
        <v>1</v>
      </c>
      <c r="V12" s="407">
        <f t="shared" si="11"/>
        <v>2.7500000000000004E-2</v>
      </c>
    </row>
    <row r="13" spans="1:22" s="28" customFormat="1">
      <c r="A13" s="35" t="str">
        <f>+'Morbidity Distribution'!A27</f>
        <v>20 - 24</v>
      </c>
      <c r="B13" s="91">
        <f>+'Prod2 Dist'!E40</f>
        <v>6352</v>
      </c>
      <c r="C13" s="194">
        <f>+'Provider Costs'!B14</f>
        <v>180</v>
      </c>
      <c r="D13" s="164">
        <f t="shared" si="2"/>
        <v>1143360</v>
      </c>
      <c r="E13" s="164"/>
      <c r="F13" s="164">
        <f>+'Prod2 Dist'!F40</f>
        <v>1418</v>
      </c>
      <c r="G13" s="164">
        <f>+'Provider Costs'!F14</f>
        <v>20350</v>
      </c>
      <c r="H13" s="164">
        <f t="shared" si="3"/>
        <v>28856300</v>
      </c>
      <c r="I13" s="164"/>
      <c r="J13" s="254">
        <f>+'Prod2 Dist'!G40</f>
        <v>2</v>
      </c>
      <c r="K13" s="254">
        <f>+'Provider Costs'!J14</f>
        <v>82500</v>
      </c>
      <c r="L13" s="30">
        <f t="shared" si="4"/>
        <v>165000</v>
      </c>
      <c r="N13" s="35" t="str">
        <f t="shared" si="5"/>
        <v>20 - 24</v>
      </c>
      <c r="O13" s="91">
        <f t="shared" si="6"/>
        <v>7377</v>
      </c>
      <c r="P13" s="407">
        <f t="shared" si="7"/>
        <v>1.96336</v>
      </c>
      <c r="Q13" s="63"/>
      <c r="R13" s="91">
        <f t="shared" si="8"/>
        <v>1647</v>
      </c>
      <c r="S13" s="407">
        <f t="shared" si="9"/>
        <v>40.191800000000001</v>
      </c>
      <c r="T13" s="91"/>
      <c r="U13" s="91">
        <f t="shared" si="10"/>
        <v>2</v>
      </c>
      <c r="V13" s="407">
        <f t="shared" si="11"/>
        <v>0.16500000000000001</v>
      </c>
    </row>
    <row r="14" spans="1:22" s="28" customFormat="1">
      <c r="A14" s="35" t="str">
        <f>+'Morbidity Distribution'!A28</f>
        <v>25 - 29</v>
      </c>
      <c r="B14" s="91">
        <f>+'Prod2 Dist'!E41</f>
        <v>6086</v>
      </c>
      <c r="C14" s="194">
        <f>+'Provider Costs'!B15</f>
        <v>180</v>
      </c>
      <c r="D14" s="164">
        <f t="shared" si="2"/>
        <v>1095480</v>
      </c>
      <c r="E14" s="164"/>
      <c r="F14" s="164">
        <f>+'Prod2 Dist'!F41</f>
        <v>1761</v>
      </c>
      <c r="G14" s="164">
        <f>+'Provider Costs'!F15</f>
        <v>20350</v>
      </c>
      <c r="H14" s="164">
        <f t="shared" si="3"/>
        <v>35836350</v>
      </c>
      <c r="I14" s="164"/>
      <c r="J14" s="164">
        <f>+'Prod2 Dist'!G41</f>
        <v>2</v>
      </c>
      <c r="K14" s="164">
        <f>+'Provider Costs'!J15</f>
        <v>82500</v>
      </c>
      <c r="L14" s="91">
        <f t="shared" si="4"/>
        <v>165000</v>
      </c>
      <c r="N14" s="35" t="str">
        <f t="shared" si="5"/>
        <v>25 - 29</v>
      </c>
      <c r="O14" s="91">
        <f t="shared" si="6"/>
        <v>7069</v>
      </c>
      <c r="P14" s="407">
        <f t="shared" si="7"/>
        <v>1.88188</v>
      </c>
      <c r="Q14" s="63"/>
      <c r="R14" s="91">
        <f t="shared" si="8"/>
        <v>2045</v>
      </c>
      <c r="S14" s="407">
        <f t="shared" si="9"/>
        <v>49.894350000000003</v>
      </c>
      <c r="T14" s="91"/>
      <c r="U14" s="91">
        <f t="shared" si="10"/>
        <v>2</v>
      </c>
      <c r="V14" s="407">
        <f t="shared" si="11"/>
        <v>0.16500000000000001</v>
      </c>
    </row>
    <row r="15" spans="1:22" s="28" customFormat="1">
      <c r="A15" s="35" t="str">
        <f>+'Morbidity Distribution'!A29</f>
        <v>30 - 34</v>
      </c>
      <c r="B15" s="91">
        <f>+'Prod2 Dist'!E42</f>
        <v>5998</v>
      </c>
      <c r="C15" s="194">
        <f>+'Provider Costs'!B16</f>
        <v>180</v>
      </c>
      <c r="D15" s="164">
        <f t="shared" si="2"/>
        <v>1079640</v>
      </c>
      <c r="E15" s="164"/>
      <c r="F15" s="164">
        <f>+'Prod2 Dist'!F42</f>
        <v>1735</v>
      </c>
      <c r="G15" s="164">
        <f>+'Provider Costs'!F16</f>
        <v>20350</v>
      </c>
      <c r="H15" s="164">
        <f t="shared" si="3"/>
        <v>35307250</v>
      </c>
      <c r="I15" s="164"/>
      <c r="J15" s="164">
        <f>+'Prod2 Dist'!G42</f>
        <v>2</v>
      </c>
      <c r="K15" s="164">
        <f>+'Provider Costs'!J16</f>
        <v>82500</v>
      </c>
      <c r="L15" s="91">
        <f t="shared" si="4"/>
        <v>165000</v>
      </c>
      <c r="N15" s="35" t="str">
        <f t="shared" si="5"/>
        <v>30 - 34</v>
      </c>
      <c r="O15" s="91">
        <f t="shared" si="6"/>
        <v>6966</v>
      </c>
      <c r="P15" s="407">
        <f t="shared" si="7"/>
        <v>1.8540399999999999</v>
      </c>
      <c r="Q15" s="63"/>
      <c r="R15" s="91">
        <f t="shared" si="8"/>
        <v>2015</v>
      </c>
      <c r="S15" s="407">
        <f t="shared" si="9"/>
        <v>49.167250000000003</v>
      </c>
      <c r="T15" s="91"/>
      <c r="U15" s="91">
        <f t="shared" si="10"/>
        <v>2</v>
      </c>
      <c r="V15" s="407">
        <f t="shared" si="11"/>
        <v>0.16500000000000001</v>
      </c>
    </row>
    <row r="16" spans="1:22" s="28" customFormat="1">
      <c r="A16" s="35" t="str">
        <f>+'Morbidity Distribution'!A30</f>
        <v>35 - 39</v>
      </c>
      <c r="B16" s="91">
        <f>+'Prod2 Dist'!E43</f>
        <v>5469</v>
      </c>
      <c r="C16" s="194">
        <f>+'Provider Costs'!B17</f>
        <v>180</v>
      </c>
      <c r="D16" s="164">
        <f t="shared" si="2"/>
        <v>984420</v>
      </c>
      <c r="E16" s="164"/>
      <c r="F16" s="164">
        <f>+'Prod2 Dist'!F43</f>
        <v>1221</v>
      </c>
      <c r="G16" s="164">
        <f>+'Provider Costs'!F17</f>
        <v>20350</v>
      </c>
      <c r="H16" s="164">
        <f t="shared" si="3"/>
        <v>24847350</v>
      </c>
      <c r="I16" s="164"/>
      <c r="J16" s="164">
        <f>+'Prod2 Dist'!G43</f>
        <v>2</v>
      </c>
      <c r="K16" s="164">
        <f>+'Provider Costs'!J17</f>
        <v>82500</v>
      </c>
      <c r="L16" s="91">
        <f t="shared" si="4"/>
        <v>165000</v>
      </c>
      <c r="N16" s="35" t="str">
        <f t="shared" si="5"/>
        <v>35 - 39</v>
      </c>
      <c r="O16" s="91">
        <f t="shared" si="6"/>
        <v>6352</v>
      </c>
      <c r="P16" s="407">
        <f t="shared" si="7"/>
        <v>1.69082</v>
      </c>
      <c r="Q16" s="63"/>
      <c r="R16" s="91">
        <f t="shared" si="8"/>
        <v>1418</v>
      </c>
      <c r="S16" s="407">
        <f t="shared" si="9"/>
        <v>34.598849999999999</v>
      </c>
      <c r="T16" s="91"/>
      <c r="U16" s="91">
        <f t="shared" si="10"/>
        <v>2</v>
      </c>
      <c r="V16" s="407">
        <f t="shared" si="11"/>
        <v>0.16500000000000001</v>
      </c>
    </row>
    <row r="17" spans="1:22" s="28" customFormat="1">
      <c r="A17" s="35" t="str">
        <f>+'Morbidity Distribution'!A31</f>
        <v>40 - 44</v>
      </c>
      <c r="B17" s="91">
        <f>+'Prod2 Dist'!E44</f>
        <v>5733</v>
      </c>
      <c r="C17" s="194">
        <f>+'Provider Costs'!B18</f>
        <v>180</v>
      </c>
      <c r="D17" s="164">
        <f t="shared" si="2"/>
        <v>1031940</v>
      </c>
      <c r="E17" s="164"/>
      <c r="F17" s="164">
        <f>+'Prod2 Dist'!F44</f>
        <v>888</v>
      </c>
      <c r="G17" s="164">
        <f>+'Provider Costs'!F18</f>
        <v>20350</v>
      </c>
      <c r="H17" s="164">
        <f t="shared" si="3"/>
        <v>18070800</v>
      </c>
      <c r="I17" s="164"/>
      <c r="J17" s="164">
        <f>+'Prod2 Dist'!G44</f>
        <v>2</v>
      </c>
      <c r="K17" s="164">
        <f>+'Provider Costs'!J18</f>
        <v>82500</v>
      </c>
      <c r="L17" s="91">
        <f t="shared" si="4"/>
        <v>165000</v>
      </c>
      <c r="N17" s="35" t="str">
        <f t="shared" si="5"/>
        <v>40 - 44</v>
      </c>
      <c r="O17" s="91">
        <f t="shared" si="6"/>
        <v>6659</v>
      </c>
      <c r="P17" s="407">
        <f t="shared" si="7"/>
        <v>1.77274</v>
      </c>
      <c r="Q17" s="63"/>
      <c r="R17" s="91">
        <f t="shared" si="8"/>
        <v>1031</v>
      </c>
      <c r="S17" s="407">
        <f t="shared" si="9"/>
        <v>25.1493</v>
      </c>
      <c r="T17" s="91"/>
      <c r="U17" s="91">
        <f t="shared" si="10"/>
        <v>2</v>
      </c>
      <c r="V17" s="407">
        <f t="shared" si="11"/>
        <v>0.16500000000000001</v>
      </c>
    </row>
    <row r="18" spans="1:22" s="28" customFormat="1">
      <c r="A18" s="35" t="str">
        <f>+'Morbidity Distribution'!A32</f>
        <v>45 - 49</v>
      </c>
      <c r="B18" s="91">
        <f>+'Prod2 Dist'!E45</f>
        <v>5510</v>
      </c>
      <c r="C18" s="194">
        <f>+'Provider Costs'!B19</f>
        <v>180</v>
      </c>
      <c r="D18" s="164">
        <f t="shared" si="2"/>
        <v>991800</v>
      </c>
      <c r="E18" s="164"/>
      <c r="F18" s="164">
        <f>+'Prod2 Dist'!F45</f>
        <v>615</v>
      </c>
      <c r="G18" s="164">
        <f>+'Provider Costs'!F19</f>
        <v>20350</v>
      </c>
      <c r="H18" s="164">
        <f t="shared" si="3"/>
        <v>12515250</v>
      </c>
      <c r="I18" s="164"/>
      <c r="J18" s="164">
        <f>+'Prod2 Dist'!G45</f>
        <v>2</v>
      </c>
      <c r="K18" s="164">
        <f>+'Provider Costs'!J19</f>
        <v>99000.000000000015</v>
      </c>
      <c r="L18" s="91">
        <f t="shared" si="4"/>
        <v>198000.00000000003</v>
      </c>
      <c r="N18" s="35" t="str">
        <f t="shared" si="5"/>
        <v>45 - 49</v>
      </c>
      <c r="O18" s="91">
        <f t="shared" si="6"/>
        <v>6761</v>
      </c>
      <c r="P18" s="407">
        <f t="shared" si="7"/>
        <v>1.9925999999999999</v>
      </c>
      <c r="Q18" s="63"/>
      <c r="R18" s="91">
        <f t="shared" si="8"/>
        <v>755</v>
      </c>
      <c r="S18" s="407">
        <f t="shared" si="9"/>
        <v>19.445250000000001</v>
      </c>
      <c r="T18" s="91"/>
      <c r="U18" s="91">
        <f t="shared" si="10"/>
        <v>2</v>
      </c>
      <c r="V18" s="407">
        <f t="shared" si="11"/>
        <v>0.19800000000000004</v>
      </c>
    </row>
    <row r="19" spans="1:22" s="28" customFormat="1">
      <c r="A19" s="35" t="str">
        <f>+'Morbidity Distribution'!A33</f>
        <v>50 - 54</v>
      </c>
      <c r="B19" s="91">
        <f>+'Prod2 Dist'!E46</f>
        <v>5594</v>
      </c>
      <c r="C19" s="194">
        <f>+'Provider Costs'!B20</f>
        <v>250</v>
      </c>
      <c r="D19" s="164">
        <f t="shared" si="2"/>
        <v>1398500</v>
      </c>
      <c r="E19" s="164"/>
      <c r="F19" s="164">
        <f>+'Prod2 Dist'!F46</f>
        <v>433</v>
      </c>
      <c r="G19" s="164">
        <f>+'Provider Costs'!F20</f>
        <v>24750.000000000004</v>
      </c>
      <c r="H19" s="164">
        <f t="shared" si="3"/>
        <v>10716750.000000002</v>
      </c>
      <c r="I19" s="164"/>
      <c r="J19" s="164">
        <f>+'Prod2 Dist'!G46</f>
        <v>2</v>
      </c>
      <c r="K19" s="164">
        <f>+'Provider Costs'!J20</f>
        <v>132000</v>
      </c>
      <c r="L19" s="91">
        <f t="shared" si="4"/>
        <v>264000</v>
      </c>
      <c r="N19" s="35" t="str">
        <f t="shared" si="5"/>
        <v>50 - 54</v>
      </c>
      <c r="O19" s="91">
        <f t="shared" si="6"/>
        <v>7274</v>
      </c>
      <c r="P19" s="407">
        <f t="shared" si="7"/>
        <v>2.7425000000000002</v>
      </c>
      <c r="Q19" s="63"/>
      <c r="R19" s="91">
        <f t="shared" si="8"/>
        <v>563</v>
      </c>
      <c r="S19" s="407">
        <f t="shared" si="9"/>
        <v>16.436750000000004</v>
      </c>
      <c r="T19" s="91"/>
      <c r="U19" s="91">
        <f t="shared" si="10"/>
        <v>2</v>
      </c>
      <c r="V19" s="407">
        <f t="shared" si="11"/>
        <v>0.26400000000000001</v>
      </c>
    </row>
    <row r="20" spans="1:22" s="28" customFormat="1">
      <c r="A20" s="35" t="str">
        <f>+'Morbidity Distribution'!A34</f>
        <v>55 - 59</v>
      </c>
      <c r="B20" s="91">
        <f>+'Prod2 Dist'!E47</f>
        <v>3604</v>
      </c>
      <c r="C20" s="194">
        <f>+'Provider Costs'!B21</f>
        <v>250</v>
      </c>
      <c r="D20" s="164">
        <f t="shared" si="2"/>
        <v>901000</v>
      </c>
      <c r="E20" s="164"/>
      <c r="F20" s="164">
        <f>+'Prod2 Dist'!F47</f>
        <v>253</v>
      </c>
      <c r="G20" s="164">
        <f>+'Provider Costs'!F21</f>
        <v>24750.000000000004</v>
      </c>
      <c r="H20" s="164">
        <f t="shared" si="3"/>
        <v>6261750.0000000009</v>
      </c>
      <c r="I20" s="164"/>
      <c r="J20" s="164">
        <f>+'Prod2 Dist'!G47</f>
        <v>1</v>
      </c>
      <c r="K20" s="164">
        <f>+'Provider Costs'!J21</f>
        <v>132000</v>
      </c>
      <c r="L20" s="91">
        <f t="shared" si="4"/>
        <v>132000</v>
      </c>
      <c r="N20" s="35" t="str">
        <f t="shared" si="5"/>
        <v>55 - 59</v>
      </c>
      <c r="O20" s="91">
        <f t="shared" si="6"/>
        <v>5332</v>
      </c>
      <c r="P20" s="407">
        <f t="shared" si="7"/>
        <v>2.2833999999999999</v>
      </c>
      <c r="Q20" s="63"/>
      <c r="R20" s="91">
        <f t="shared" si="8"/>
        <v>375</v>
      </c>
      <c r="S20" s="407">
        <f t="shared" si="9"/>
        <v>11.62975</v>
      </c>
      <c r="T20" s="91"/>
      <c r="U20" s="91">
        <f t="shared" si="10"/>
        <v>2</v>
      </c>
      <c r="V20" s="407">
        <f t="shared" si="11"/>
        <v>0.26400000000000001</v>
      </c>
    </row>
    <row r="21" spans="1:22" s="28" customFormat="1">
      <c r="A21" s="35" t="str">
        <f>+'Morbidity Distribution'!A35</f>
        <v>60 - 64</v>
      </c>
      <c r="B21" s="91">
        <f>+'Prod2 Dist'!E48</f>
        <v>2081</v>
      </c>
      <c r="C21" s="194">
        <f>+'Provider Costs'!B22</f>
        <v>250</v>
      </c>
      <c r="D21" s="164">
        <f t="shared" si="2"/>
        <v>520250</v>
      </c>
      <c r="E21" s="164"/>
      <c r="F21" s="164">
        <f>+'Prod2 Dist'!F48</f>
        <v>128</v>
      </c>
      <c r="G21" s="164">
        <f>+'Provider Costs'!F22</f>
        <v>24750.000000000004</v>
      </c>
      <c r="H21" s="164">
        <f t="shared" si="3"/>
        <v>3168000.0000000005</v>
      </c>
      <c r="I21" s="164"/>
      <c r="J21" s="164">
        <f>+'Prod2 Dist'!G48</f>
        <v>1</v>
      </c>
      <c r="K21" s="164">
        <f>+'Provider Costs'!J22</f>
        <v>132000</v>
      </c>
      <c r="L21" s="91">
        <f t="shared" si="4"/>
        <v>132000</v>
      </c>
      <c r="N21" s="35" t="str">
        <f t="shared" si="5"/>
        <v>60 - 64</v>
      </c>
      <c r="O21" s="91">
        <f t="shared" si="6"/>
        <v>3303</v>
      </c>
      <c r="P21" s="407">
        <f t="shared" si="7"/>
        <v>1.4978499999999999</v>
      </c>
      <c r="Q21" s="63"/>
      <c r="R21" s="91">
        <f t="shared" si="8"/>
        <v>203</v>
      </c>
      <c r="S21" s="407">
        <f t="shared" si="9"/>
        <v>6.468</v>
      </c>
      <c r="T21" s="91"/>
      <c r="U21" s="91">
        <f t="shared" si="10"/>
        <v>2</v>
      </c>
      <c r="V21" s="407">
        <f t="shared" si="11"/>
        <v>0.26400000000000001</v>
      </c>
    </row>
    <row r="22" spans="1:22" s="28" customFormat="1">
      <c r="A22" s="35" t="str">
        <f>+'Morbidity Distribution'!A36</f>
        <v>65 - 69</v>
      </c>
      <c r="B22" s="91">
        <f>+'Prod2 Dist'!E49</f>
        <v>955</v>
      </c>
      <c r="C22" s="194">
        <f>+'Provider Costs'!B23</f>
        <v>225</v>
      </c>
      <c r="D22" s="164">
        <f t="shared" si="2"/>
        <v>214875</v>
      </c>
      <c r="E22" s="164"/>
      <c r="F22" s="164">
        <f>+'Prod2 Dist'!F49</f>
        <v>65</v>
      </c>
      <c r="G22" s="164">
        <f>+'Provider Costs'!F23</f>
        <v>13750.000000000002</v>
      </c>
      <c r="H22" s="164">
        <f t="shared" si="3"/>
        <v>893750.00000000012</v>
      </c>
      <c r="I22" s="164"/>
      <c r="J22" s="164">
        <f>+'Prod2 Dist'!G49</f>
        <v>1</v>
      </c>
      <c r="K22" s="164">
        <f>+'Provider Costs'!J23</f>
        <v>66000</v>
      </c>
      <c r="L22" s="91">
        <f t="shared" si="4"/>
        <v>66000</v>
      </c>
      <c r="N22" s="35" t="str">
        <f t="shared" si="5"/>
        <v>65 - 69</v>
      </c>
      <c r="O22" s="91">
        <f t="shared" si="6"/>
        <v>1635</v>
      </c>
      <c r="P22" s="407">
        <f t="shared" si="7"/>
        <v>0.65687499999999999</v>
      </c>
      <c r="Q22" s="63"/>
      <c r="R22" s="91">
        <f t="shared" si="8"/>
        <v>112</v>
      </c>
      <c r="S22" s="407">
        <f t="shared" si="9"/>
        <v>2.1862500000000002</v>
      </c>
      <c r="T22" s="91"/>
      <c r="U22" s="91">
        <f t="shared" si="10"/>
        <v>1</v>
      </c>
      <c r="V22" s="407">
        <f t="shared" si="11"/>
        <v>6.6000000000000003E-2</v>
      </c>
    </row>
    <row r="23" spans="1:22" s="28" customFormat="1">
      <c r="A23" s="35" t="str">
        <f>+'Morbidity Distribution'!A37</f>
        <v>70 - 74</v>
      </c>
      <c r="B23" s="91">
        <f>+'Prod2 Dist'!E50</f>
        <v>641</v>
      </c>
      <c r="C23" s="194">
        <f>+'Provider Costs'!B24</f>
        <v>225</v>
      </c>
      <c r="D23" s="164">
        <f t="shared" si="2"/>
        <v>144225</v>
      </c>
      <c r="E23" s="164"/>
      <c r="F23" s="164">
        <f>+'Prod2 Dist'!F50</f>
        <v>44</v>
      </c>
      <c r="G23" s="164">
        <f>+'Provider Costs'!F24</f>
        <v>12650.000000000002</v>
      </c>
      <c r="H23" s="164">
        <f t="shared" si="3"/>
        <v>556600.00000000012</v>
      </c>
      <c r="I23" s="164"/>
      <c r="J23" s="164">
        <f>+'Prod2 Dist'!G50</f>
        <v>1</v>
      </c>
      <c r="K23" s="164">
        <f>+'Provider Costs'!J24</f>
        <v>39050</v>
      </c>
      <c r="L23" s="91">
        <f t="shared" si="4"/>
        <v>39050</v>
      </c>
      <c r="N23" s="35" t="str">
        <f t="shared" si="5"/>
        <v>70 - 74</v>
      </c>
      <c r="O23" s="91">
        <f t="shared" si="6"/>
        <v>1193</v>
      </c>
      <c r="P23" s="407">
        <f t="shared" si="7"/>
        <v>0.42022500000000002</v>
      </c>
      <c r="Q23" s="63"/>
      <c r="R23" s="91">
        <f t="shared" si="8"/>
        <v>82</v>
      </c>
      <c r="S23" s="407">
        <f t="shared" si="9"/>
        <v>1.1836</v>
      </c>
      <c r="T23" s="91"/>
      <c r="U23" s="91">
        <f t="shared" si="10"/>
        <v>1</v>
      </c>
      <c r="V23" s="407">
        <f t="shared" si="11"/>
        <v>3.9050000000000001E-2</v>
      </c>
    </row>
    <row r="24" spans="1:22" s="28" customFormat="1">
      <c r="A24" s="35" t="str">
        <f>+'Morbidity Distribution'!A38</f>
        <v>75 - 79</v>
      </c>
      <c r="B24" s="91">
        <f>+'Prod2 Dist'!E51</f>
        <v>418</v>
      </c>
      <c r="C24" s="194">
        <f>+'Provider Costs'!B25</f>
        <v>225</v>
      </c>
      <c r="D24" s="164">
        <f t="shared" si="2"/>
        <v>94050</v>
      </c>
      <c r="E24" s="164"/>
      <c r="F24" s="164">
        <f>+'Prod2 Dist'!F51</f>
        <v>28</v>
      </c>
      <c r="G24" s="164">
        <f>+'Provider Costs'!F25</f>
        <v>12650.000000000002</v>
      </c>
      <c r="H24" s="164">
        <f t="shared" si="3"/>
        <v>354200.00000000006</v>
      </c>
      <c r="I24" s="164"/>
      <c r="J24" s="164">
        <f>+'Prod2 Dist'!G51</f>
        <v>1</v>
      </c>
      <c r="K24" s="164">
        <f>+'Provider Costs'!J25</f>
        <v>39050</v>
      </c>
      <c r="L24" s="91">
        <f t="shared" si="4"/>
        <v>39050</v>
      </c>
      <c r="N24" s="35" t="str">
        <f t="shared" si="5"/>
        <v>75 - 79</v>
      </c>
      <c r="O24" s="91">
        <f t="shared" si="6"/>
        <v>852</v>
      </c>
      <c r="P24" s="407">
        <f t="shared" si="7"/>
        <v>0.31104999999999999</v>
      </c>
      <c r="Q24" s="63"/>
      <c r="R24" s="91">
        <f t="shared" si="8"/>
        <v>58</v>
      </c>
      <c r="S24" s="407">
        <f t="shared" si="9"/>
        <v>0.84919999999999995</v>
      </c>
      <c r="T24" s="91"/>
      <c r="U24" s="91">
        <f t="shared" si="10"/>
        <v>1</v>
      </c>
      <c r="V24" s="407">
        <f t="shared" si="11"/>
        <v>3.9050000000000001E-2</v>
      </c>
    </row>
    <row r="25" spans="1:22" s="28" customFormat="1">
      <c r="A25" s="35" t="str">
        <f>+'Morbidity Distribution'!A39</f>
        <v>80 - 84</v>
      </c>
      <c r="B25" s="91">
        <f>+'Prod2 Dist'!E52</f>
        <v>301</v>
      </c>
      <c r="C25" s="194">
        <f>+'Provider Costs'!B26</f>
        <v>225</v>
      </c>
      <c r="D25" s="164">
        <f t="shared" si="2"/>
        <v>67725</v>
      </c>
      <c r="E25" s="164"/>
      <c r="F25" s="164">
        <f>+'Prod2 Dist'!F52</f>
        <v>21</v>
      </c>
      <c r="G25" s="164">
        <f>+'Provider Costs'!F26</f>
        <v>12650.000000000002</v>
      </c>
      <c r="H25" s="164">
        <f t="shared" si="3"/>
        <v>265650.00000000006</v>
      </c>
      <c r="I25" s="164"/>
      <c r="J25" s="164">
        <f>+'Prod2 Dist'!G52</f>
        <v>0</v>
      </c>
      <c r="K25" s="164">
        <f>+'Provider Costs'!J26</f>
        <v>39050</v>
      </c>
      <c r="L25" s="91">
        <f t="shared" si="4"/>
        <v>0</v>
      </c>
      <c r="N25" s="35" t="str">
        <f t="shared" si="5"/>
        <v>80 - 84</v>
      </c>
      <c r="O25" s="91">
        <f t="shared" si="6"/>
        <v>613</v>
      </c>
      <c r="P25" s="407">
        <f t="shared" si="7"/>
        <v>0.22372500000000001</v>
      </c>
      <c r="Q25" s="63"/>
      <c r="R25" s="91">
        <f t="shared" si="8"/>
        <v>42</v>
      </c>
      <c r="S25" s="407">
        <f t="shared" si="9"/>
        <v>0.61214999999999997</v>
      </c>
      <c r="T25" s="91"/>
      <c r="U25" s="91">
        <f t="shared" si="10"/>
        <v>0</v>
      </c>
      <c r="V25" s="407">
        <f t="shared" si="11"/>
        <v>0</v>
      </c>
    </row>
    <row r="26" spans="1:22" s="28" customFormat="1">
      <c r="A26" s="35" t="str">
        <f>+'Morbidity Distribution'!A40</f>
        <v>85+</v>
      </c>
      <c r="B26" s="91">
        <f>+'Prod2 Dist'!E53</f>
        <v>318</v>
      </c>
      <c r="C26" s="194">
        <f>+'Provider Costs'!B27</f>
        <v>225</v>
      </c>
      <c r="D26" s="164">
        <f t="shared" si="2"/>
        <v>71550</v>
      </c>
      <c r="E26" s="164"/>
      <c r="F26" s="164">
        <f>+'Prod2 Dist'!F53</f>
        <v>22</v>
      </c>
      <c r="G26" s="164">
        <f>+'Provider Costs'!F27</f>
        <v>12650.000000000002</v>
      </c>
      <c r="H26" s="164">
        <f t="shared" si="3"/>
        <v>278300.00000000006</v>
      </c>
      <c r="I26" s="164"/>
      <c r="J26" s="164">
        <f>+'Prod2 Dist'!G53</f>
        <v>0</v>
      </c>
      <c r="K26" s="164">
        <f>+'Provider Costs'!J27</f>
        <v>39050</v>
      </c>
      <c r="L26" s="91">
        <f t="shared" si="4"/>
        <v>0</v>
      </c>
      <c r="N26" s="35" t="str">
        <f t="shared" si="5"/>
        <v>85+</v>
      </c>
      <c r="O26" s="91">
        <f t="shared" si="6"/>
        <v>648</v>
      </c>
      <c r="P26" s="407">
        <f t="shared" si="7"/>
        <v>0.23655000000000001</v>
      </c>
      <c r="Q26" s="63"/>
      <c r="R26" s="91">
        <f t="shared" si="8"/>
        <v>44</v>
      </c>
      <c r="S26" s="407">
        <f t="shared" si="9"/>
        <v>0.64129999999999998</v>
      </c>
      <c r="T26" s="91"/>
      <c r="U26" s="91">
        <f t="shared" si="10"/>
        <v>0</v>
      </c>
      <c r="V26" s="407">
        <f t="shared" si="11"/>
        <v>0</v>
      </c>
    </row>
    <row r="27" spans="1:22" s="28" customFormat="1">
      <c r="A27" s="72" t="str">
        <f>+'Morbidity Distribution'!A41</f>
        <v>Total</v>
      </c>
      <c r="B27" s="91">
        <f>SUM(B9:B26)</f>
        <v>72556</v>
      </c>
      <c r="C27" s="194"/>
      <c r="D27" s="164">
        <f>SUM(D9:D26)</f>
        <v>13485185</v>
      </c>
      <c r="E27" s="164"/>
      <c r="F27" s="164">
        <f>SUM(F9:F26)</f>
        <v>12527</v>
      </c>
      <c r="G27" s="164"/>
      <c r="H27" s="164">
        <f>SUM(H9:H26)</f>
        <v>232291950</v>
      </c>
      <c r="I27" s="164"/>
      <c r="J27" s="164">
        <f>SUM(J9:J26)</f>
        <v>23</v>
      </c>
      <c r="K27" s="164"/>
      <c r="L27" s="91">
        <f>SUM(L9:L26)</f>
        <v>1816100</v>
      </c>
      <c r="N27" s="35" t="s">
        <v>1</v>
      </c>
      <c r="O27" s="137">
        <f>SUM(O9:O26)</f>
        <v>87538</v>
      </c>
      <c r="P27" s="407">
        <f>SUM(P9:P26)</f>
        <v>24.528985000000002</v>
      </c>
      <c r="Q27" s="63"/>
      <c r="R27" s="137">
        <f>SUM(R9:R26)</f>
        <v>14574</v>
      </c>
      <c r="S27" s="407">
        <f>SUM(S9:S26)</f>
        <v>329.53469999999999</v>
      </c>
      <c r="T27" s="91"/>
      <c r="U27" s="137">
        <f>SUM(U9:U26)</f>
        <v>25</v>
      </c>
      <c r="V27" s="407">
        <f>SUM(V9:V26)</f>
        <v>2.0801000000000003</v>
      </c>
    </row>
    <row r="28" spans="1:22" s="28" customFormat="1">
      <c r="A28" s="72"/>
      <c r="B28" s="91"/>
      <c r="C28" s="194"/>
      <c r="D28" s="164"/>
      <c r="E28" s="164"/>
      <c r="F28" s="164"/>
      <c r="G28" s="164"/>
      <c r="H28" s="164"/>
      <c r="I28" s="164"/>
      <c r="J28" s="164"/>
      <c r="K28" s="164"/>
      <c r="L28" s="91"/>
      <c r="P28" s="408"/>
      <c r="Q28" s="137"/>
      <c r="R28" s="137"/>
      <c r="T28" s="91"/>
      <c r="U28" s="137"/>
    </row>
    <row r="29" spans="1:22" s="28" customFormat="1">
      <c r="A29" s="32" t="s">
        <v>34</v>
      </c>
      <c r="B29" s="131" t="s">
        <v>52</v>
      </c>
      <c r="C29" s="165"/>
      <c r="D29" s="165"/>
      <c r="E29" s="165"/>
      <c r="F29" s="165" t="s">
        <v>67</v>
      </c>
      <c r="G29" s="261"/>
      <c r="H29" s="261"/>
      <c r="I29" s="261"/>
      <c r="J29" s="259" t="s">
        <v>53</v>
      </c>
      <c r="K29" s="259"/>
      <c r="L29" s="75"/>
      <c r="V29" s="35"/>
    </row>
    <row r="30" spans="1:22" s="28" customFormat="1">
      <c r="A30" s="32" t="s">
        <v>35</v>
      </c>
      <c r="B30" s="135" t="s">
        <v>32</v>
      </c>
      <c r="C30" s="220" t="s">
        <v>121</v>
      </c>
      <c r="D30" s="220" t="s">
        <v>140</v>
      </c>
      <c r="E30" s="220"/>
      <c r="F30" s="220" t="s">
        <v>32</v>
      </c>
      <c r="G30" s="220" t="s">
        <v>121</v>
      </c>
      <c r="H30" s="220" t="s">
        <v>140</v>
      </c>
      <c r="I30" s="260"/>
      <c r="J30" s="221" t="s">
        <v>36</v>
      </c>
      <c r="K30" s="220" t="s">
        <v>121</v>
      </c>
      <c r="L30" s="220" t="s">
        <v>140</v>
      </c>
      <c r="P30" s="133"/>
      <c r="T30" s="91"/>
      <c r="U30" s="91"/>
    </row>
    <row r="31" spans="1:22" s="28" customFormat="1">
      <c r="A31" s="32"/>
      <c r="B31" s="360">
        <f>L7-1</f>
        <v>-10</v>
      </c>
      <c r="C31" s="360">
        <f>B31-1</f>
        <v>-11</v>
      </c>
      <c r="D31" s="360">
        <f>C31-1</f>
        <v>-12</v>
      </c>
      <c r="E31" s="360"/>
      <c r="F31" s="360">
        <f>D31-1</f>
        <v>-13</v>
      </c>
      <c r="G31" s="360">
        <f t="shared" ref="G31:H31" si="12">F31-1</f>
        <v>-14</v>
      </c>
      <c r="H31" s="360">
        <f t="shared" si="12"/>
        <v>-15</v>
      </c>
      <c r="I31" s="360"/>
      <c r="J31" s="360">
        <f>H31-1</f>
        <v>-16</v>
      </c>
      <c r="K31" s="360">
        <f t="shared" ref="K31:L31" si="13">J31-1</f>
        <v>-17</v>
      </c>
      <c r="L31" s="360">
        <f t="shared" si="13"/>
        <v>-18</v>
      </c>
      <c r="M31" s="360">
        <f>L31-1</f>
        <v>-19</v>
      </c>
      <c r="N31" s="360"/>
      <c r="T31" s="91"/>
      <c r="U31" s="91"/>
      <c r="V31" s="91"/>
    </row>
    <row r="32" spans="1:22" s="28" customFormat="1" ht="5.0999999999999996" customHeight="1">
      <c r="A32" s="32"/>
      <c r="B32" s="135"/>
      <c r="C32" s="220"/>
      <c r="D32" s="220"/>
      <c r="E32" s="220"/>
      <c r="F32" s="220"/>
      <c r="G32" s="260"/>
      <c r="H32" s="260"/>
      <c r="I32" s="260"/>
      <c r="J32" s="221"/>
      <c r="K32" s="221"/>
      <c r="L32" s="215"/>
      <c r="R32" s="131"/>
      <c r="S32" s="131"/>
    </row>
    <row r="33" spans="1:16" s="28" customFormat="1">
      <c r="A33" s="35" t="str">
        <f t="shared" ref="A33:A51" si="14">+A9</f>
        <v>0 - 4</v>
      </c>
      <c r="B33" s="91">
        <f>+'Prod2 Dist'!I36</f>
        <v>357</v>
      </c>
      <c r="C33" s="194">
        <f>+'Provider Costs'!B33</f>
        <v>625</v>
      </c>
      <c r="D33" s="164">
        <f t="shared" ref="D33:D50" si="15">+C33*B33</f>
        <v>223125</v>
      </c>
      <c r="E33" s="164"/>
      <c r="F33" s="164">
        <f>+'Prod2 Dist'!J36</f>
        <v>97</v>
      </c>
      <c r="G33" s="164">
        <f>+'Provider Costs'!F33</f>
        <v>85250</v>
      </c>
      <c r="H33" s="164">
        <f t="shared" ref="H33:H50" si="16">+G33*F33</f>
        <v>8269250</v>
      </c>
      <c r="I33" s="164"/>
      <c r="J33" s="254">
        <f>+'Prod2 Dist'!K36</f>
        <v>0</v>
      </c>
      <c r="K33" s="254">
        <f>+'Provider Costs'!J33</f>
        <v>275000</v>
      </c>
      <c r="L33" s="30">
        <f t="shared" ref="L33:L50" si="17">+K33*J33</f>
        <v>0</v>
      </c>
    </row>
    <row r="34" spans="1:16" s="28" customFormat="1">
      <c r="A34" s="35" t="str">
        <f t="shared" si="14"/>
        <v>5 - 9</v>
      </c>
      <c r="B34" s="91">
        <f>+'Prod2 Dist'!I37</f>
        <v>542</v>
      </c>
      <c r="C34" s="194">
        <f>+'Provider Costs'!B34</f>
        <v>625</v>
      </c>
      <c r="D34" s="164">
        <f t="shared" si="15"/>
        <v>338750</v>
      </c>
      <c r="E34" s="164"/>
      <c r="F34" s="164">
        <f>+'Prod2 Dist'!J37</f>
        <v>47</v>
      </c>
      <c r="G34" s="164">
        <f>+'Provider Costs'!F34</f>
        <v>44000</v>
      </c>
      <c r="H34" s="164">
        <f t="shared" si="16"/>
        <v>2068000</v>
      </c>
      <c r="I34" s="164"/>
      <c r="J34" s="254">
        <f>+'Prod2 Dist'!K37</f>
        <v>0</v>
      </c>
      <c r="K34" s="254">
        <f>+'Provider Costs'!J34</f>
        <v>165000</v>
      </c>
      <c r="L34" s="30">
        <f t="shared" si="17"/>
        <v>0</v>
      </c>
      <c r="O34" s="137"/>
    </row>
    <row r="35" spans="1:16">
      <c r="A35" s="35" t="str">
        <f t="shared" si="14"/>
        <v>10 - 14</v>
      </c>
      <c r="B35" s="91">
        <f>+'Prod2 Dist'!I38</f>
        <v>550</v>
      </c>
      <c r="C35" s="194">
        <f>+'Provider Costs'!B35</f>
        <v>625</v>
      </c>
      <c r="D35" s="164">
        <f t="shared" si="15"/>
        <v>343750</v>
      </c>
      <c r="E35" s="164"/>
      <c r="F35" s="164">
        <f>+'Prod2 Dist'!J38</f>
        <v>48</v>
      </c>
      <c r="G35" s="164">
        <f>+'Provider Costs'!F35</f>
        <v>44000</v>
      </c>
      <c r="H35" s="164">
        <f t="shared" si="16"/>
        <v>2112000</v>
      </c>
      <c r="I35" s="164"/>
      <c r="J35" s="254">
        <f>+'Prod2 Dist'!K38</f>
        <v>0</v>
      </c>
      <c r="K35" s="254">
        <f>+'Provider Costs'!J35</f>
        <v>165000</v>
      </c>
      <c r="L35" s="30">
        <f t="shared" si="17"/>
        <v>0</v>
      </c>
      <c r="O35" s="6"/>
      <c r="P35" s="28"/>
    </row>
    <row r="36" spans="1:16">
      <c r="A36" s="35" t="str">
        <f t="shared" si="14"/>
        <v>15 - 19</v>
      </c>
      <c r="B36" s="91">
        <f>+'Prod2 Dist'!I39</f>
        <v>559</v>
      </c>
      <c r="C36" s="194">
        <f>+'Provider Costs'!B36</f>
        <v>625</v>
      </c>
      <c r="D36" s="164">
        <f t="shared" si="15"/>
        <v>349375</v>
      </c>
      <c r="E36" s="164"/>
      <c r="F36" s="164">
        <f>+'Prod2 Dist'!J39</f>
        <v>97</v>
      </c>
      <c r="G36" s="164">
        <f>+'Provider Costs'!F36</f>
        <v>44000</v>
      </c>
      <c r="H36" s="164">
        <f t="shared" si="16"/>
        <v>4268000</v>
      </c>
      <c r="I36" s="164"/>
      <c r="J36" s="254">
        <f>+'Prod2 Dist'!K39</f>
        <v>0</v>
      </c>
      <c r="K36" s="254">
        <f>+'Provider Costs'!J36</f>
        <v>165000</v>
      </c>
      <c r="L36" s="30">
        <f t="shared" si="17"/>
        <v>0</v>
      </c>
      <c r="P36" s="28"/>
    </row>
    <row r="37" spans="1:16">
      <c r="A37" s="35" t="str">
        <f t="shared" si="14"/>
        <v>20 - 24</v>
      </c>
      <c r="B37" s="91">
        <f>+'Prod2 Dist'!I40</f>
        <v>1025</v>
      </c>
      <c r="C37" s="194">
        <f>+'Provider Costs'!B37</f>
        <v>800</v>
      </c>
      <c r="D37" s="164">
        <f t="shared" si="15"/>
        <v>820000</v>
      </c>
      <c r="E37" s="164"/>
      <c r="F37" s="164">
        <f>+'Prod2 Dist'!J40</f>
        <v>229</v>
      </c>
      <c r="G37" s="164">
        <f>+'Provider Costs'!F37</f>
        <v>49500.000000000007</v>
      </c>
      <c r="H37" s="164">
        <f t="shared" si="16"/>
        <v>11335500.000000002</v>
      </c>
      <c r="I37" s="164"/>
      <c r="J37" s="164">
        <f>+'Prod2 Dist'!K40</f>
        <v>0</v>
      </c>
      <c r="K37" s="164">
        <f>+'Provider Costs'!J37</f>
        <v>82500</v>
      </c>
      <c r="L37" s="91">
        <f t="shared" si="17"/>
        <v>0</v>
      </c>
      <c r="P37" s="28"/>
    </row>
    <row r="38" spans="1:16">
      <c r="A38" s="35" t="str">
        <f t="shared" si="14"/>
        <v>25 - 29</v>
      </c>
      <c r="B38" s="91">
        <f>+'Prod2 Dist'!I41</f>
        <v>983</v>
      </c>
      <c r="C38" s="194">
        <f>+'Provider Costs'!B38</f>
        <v>800</v>
      </c>
      <c r="D38" s="164">
        <f t="shared" si="15"/>
        <v>786400</v>
      </c>
      <c r="E38" s="164"/>
      <c r="F38" s="164">
        <f>+'Prod2 Dist'!J41</f>
        <v>284</v>
      </c>
      <c r="G38" s="164">
        <f>+'Provider Costs'!F38</f>
        <v>49500.000000000007</v>
      </c>
      <c r="H38" s="164">
        <f t="shared" si="16"/>
        <v>14058000.000000002</v>
      </c>
      <c r="I38" s="164"/>
      <c r="J38" s="164">
        <f>+'Prod2 Dist'!K41</f>
        <v>0</v>
      </c>
      <c r="K38" s="164">
        <f>+'Provider Costs'!J38</f>
        <v>82500</v>
      </c>
      <c r="L38" s="91">
        <f t="shared" si="17"/>
        <v>0</v>
      </c>
      <c r="P38" s="28"/>
    </row>
    <row r="39" spans="1:16">
      <c r="A39" s="35" t="str">
        <f t="shared" si="14"/>
        <v>30 - 34</v>
      </c>
      <c r="B39" s="91">
        <f>+'Prod2 Dist'!I42</f>
        <v>968</v>
      </c>
      <c r="C39" s="194">
        <f>+'Provider Costs'!B39</f>
        <v>800</v>
      </c>
      <c r="D39" s="164">
        <f t="shared" si="15"/>
        <v>774400</v>
      </c>
      <c r="E39" s="164"/>
      <c r="F39" s="164">
        <f>+'Prod2 Dist'!J42</f>
        <v>280</v>
      </c>
      <c r="G39" s="164">
        <f>+'Provider Costs'!F39</f>
        <v>49500.000000000007</v>
      </c>
      <c r="H39" s="164">
        <f t="shared" si="16"/>
        <v>13860000.000000002</v>
      </c>
      <c r="I39" s="164"/>
      <c r="J39" s="164">
        <f>+'Prod2 Dist'!K42</f>
        <v>0</v>
      </c>
      <c r="K39" s="164">
        <f>+'Provider Costs'!J39</f>
        <v>82500</v>
      </c>
      <c r="L39" s="91">
        <f t="shared" si="17"/>
        <v>0</v>
      </c>
      <c r="P39" s="28"/>
    </row>
    <row r="40" spans="1:16">
      <c r="A40" s="35" t="str">
        <f t="shared" si="14"/>
        <v>35 - 39</v>
      </c>
      <c r="B40" s="91">
        <f>+'Prod2 Dist'!I43</f>
        <v>883</v>
      </c>
      <c r="C40" s="194">
        <f>+'Provider Costs'!B40</f>
        <v>800</v>
      </c>
      <c r="D40" s="164">
        <f t="shared" si="15"/>
        <v>706400</v>
      </c>
      <c r="E40" s="164"/>
      <c r="F40" s="164">
        <f>+'Prod2 Dist'!J43</f>
        <v>197</v>
      </c>
      <c r="G40" s="164">
        <f>+'Provider Costs'!F40</f>
        <v>49500.000000000007</v>
      </c>
      <c r="H40" s="164">
        <f t="shared" si="16"/>
        <v>9751500.0000000019</v>
      </c>
      <c r="I40" s="164"/>
      <c r="J40" s="164">
        <f>+'Prod2 Dist'!K43</f>
        <v>0</v>
      </c>
      <c r="K40" s="164">
        <f>+'Provider Costs'!J40</f>
        <v>82500</v>
      </c>
      <c r="L40" s="91">
        <f t="shared" si="17"/>
        <v>0</v>
      </c>
      <c r="P40" s="28"/>
    </row>
    <row r="41" spans="1:16">
      <c r="A41" s="35" t="str">
        <f t="shared" si="14"/>
        <v>40 - 44</v>
      </c>
      <c r="B41" s="91">
        <f>+'Prod2 Dist'!I44</f>
        <v>926</v>
      </c>
      <c r="C41" s="194">
        <f>+'Provider Costs'!B41</f>
        <v>800</v>
      </c>
      <c r="D41" s="164">
        <f t="shared" si="15"/>
        <v>740800</v>
      </c>
      <c r="E41" s="164"/>
      <c r="F41" s="164">
        <f>+'Prod2 Dist'!J44</f>
        <v>143</v>
      </c>
      <c r="G41" s="164">
        <f>+'Provider Costs'!F41</f>
        <v>49500.000000000007</v>
      </c>
      <c r="H41" s="164">
        <f t="shared" si="16"/>
        <v>7078500.0000000009</v>
      </c>
      <c r="I41" s="164"/>
      <c r="J41" s="164">
        <f>+'Prod2 Dist'!K44</f>
        <v>0</v>
      </c>
      <c r="K41" s="164">
        <f>+'Provider Costs'!J41</f>
        <v>82500</v>
      </c>
      <c r="L41" s="91">
        <f t="shared" si="17"/>
        <v>0</v>
      </c>
      <c r="P41" s="28"/>
    </row>
    <row r="42" spans="1:16">
      <c r="A42" s="35" t="str">
        <f t="shared" si="14"/>
        <v>45 - 49</v>
      </c>
      <c r="B42" s="91">
        <f>+'Prod2 Dist'!I45</f>
        <v>1251</v>
      </c>
      <c r="C42" s="194">
        <f>+'Provider Costs'!B42</f>
        <v>800</v>
      </c>
      <c r="D42" s="164">
        <f t="shared" si="15"/>
        <v>1000800</v>
      </c>
      <c r="E42" s="164"/>
      <c r="F42" s="164">
        <f>+'Prod2 Dist'!J45</f>
        <v>140</v>
      </c>
      <c r="G42" s="164">
        <f>+'Provider Costs'!F42</f>
        <v>49500.000000000007</v>
      </c>
      <c r="H42" s="164">
        <f t="shared" si="16"/>
        <v>6930000.0000000009</v>
      </c>
      <c r="I42" s="164"/>
      <c r="J42" s="164">
        <f>+'Prod2 Dist'!K45</f>
        <v>0</v>
      </c>
      <c r="K42" s="164">
        <f>+'Provider Costs'!J42</f>
        <v>99000.000000000015</v>
      </c>
      <c r="L42" s="91">
        <f t="shared" si="17"/>
        <v>0</v>
      </c>
      <c r="P42" s="28"/>
    </row>
    <row r="43" spans="1:16">
      <c r="A43" s="35" t="str">
        <f t="shared" si="14"/>
        <v>50 - 54</v>
      </c>
      <c r="B43" s="91">
        <f>+'Prod2 Dist'!I46</f>
        <v>1680</v>
      </c>
      <c r="C43" s="194">
        <f>+'Provider Costs'!B43</f>
        <v>800</v>
      </c>
      <c r="D43" s="164">
        <f t="shared" si="15"/>
        <v>1344000</v>
      </c>
      <c r="E43" s="164"/>
      <c r="F43" s="164">
        <f>+'Prod2 Dist'!J46</f>
        <v>130</v>
      </c>
      <c r="G43" s="164">
        <f>+'Provider Costs'!F43</f>
        <v>44000</v>
      </c>
      <c r="H43" s="164">
        <f t="shared" si="16"/>
        <v>5720000</v>
      </c>
      <c r="I43" s="164"/>
      <c r="J43" s="164">
        <f>+'Prod2 Dist'!K46</f>
        <v>0</v>
      </c>
      <c r="K43" s="164">
        <f>+'Provider Costs'!J43</f>
        <v>132000</v>
      </c>
      <c r="L43" s="91">
        <f t="shared" si="17"/>
        <v>0</v>
      </c>
      <c r="P43" s="28"/>
    </row>
    <row r="44" spans="1:16">
      <c r="A44" s="35" t="str">
        <f t="shared" si="14"/>
        <v>55 - 59</v>
      </c>
      <c r="B44" s="91">
        <f>+'Prod2 Dist'!I47</f>
        <v>1728</v>
      </c>
      <c r="C44" s="194">
        <f>+'Provider Costs'!B44</f>
        <v>800</v>
      </c>
      <c r="D44" s="164">
        <f t="shared" si="15"/>
        <v>1382400</v>
      </c>
      <c r="E44" s="164"/>
      <c r="F44" s="164">
        <f>+'Prod2 Dist'!J47</f>
        <v>122</v>
      </c>
      <c r="G44" s="164">
        <f>+'Provider Costs'!F44</f>
        <v>44000</v>
      </c>
      <c r="H44" s="164">
        <f t="shared" si="16"/>
        <v>5368000</v>
      </c>
      <c r="I44" s="164"/>
      <c r="J44" s="164">
        <f>+'Prod2 Dist'!K47</f>
        <v>1</v>
      </c>
      <c r="K44" s="164">
        <f>+'Provider Costs'!J44</f>
        <v>132000</v>
      </c>
      <c r="L44" s="91">
        <f t="shared" si="17"/>
        <v>132000</v>
      </c>
      <c r="P44" s="28"/>
    </row>
    <row r="45" spans="1:16">
      <c r="A45" s="35" t="str">
        <f t="shared" si="14"/>
        <v>60 - 64</v>
      </c>
      <c r="B45" s="91">
        <f>+'Prod2 Dist'!I48</f>
        <v>1222</v>
      </c>
      <c r="C45" s="194">
        <f>+'Provider Costs'!B45</f>
        <v>800</v>
      </c>
      <c r="D45" s="164">
        <f t="shared" si="15"/>
        <v>977600</v>
      </c>
      <c r="E45" s="164"/>
      <c r="F45" s="164">
        <f>+'Prod2 Dist'!J48</f>
        <v>75</v>
      </c>
      <c r="G45" s="164">
        <f>+'Provider Costs'!F45</f>
        <v>44000</v>
      </c>
      <c r="H45" s="164">
        <f t="shared" si="16"/>
        <v>3300000</v>
      </c>
      <c r="I45" s="164"/>
      <c r="J45" s="164">
        <f>+'Prod2 Dist'!K48</f>
        <v>1</v>
      </c>
      <c r="K45" s="164">
        <f>+'Provider Costs'!J45</f>
        <v>132000</v>
      </c>
      <c r="L45" s="91">
        <f t="shared" si="17"/>
        <v>132000</v>
      </c>
      <c r="P45" s="28"/>
    </row>
    <row r="46" spans="1:16">
      <c r="A46" s="35" t="str">
        <f t="shared" si="14"/>
        <v>65 - 69</v>
      </c>
      <c r="B46" s="91">
        <f>+'Prod2 Dist'!I49</f>
        <v>680</v>
      </c>
      <c r="C46" s="194">
        <f>+'Provider Costs'!B46</f>
        <v>650</v>
      </c>
      <c r="D46" s="164">
        <f t="shared" si="15"/>
        <v>442000</v>
      </c>
      <c r="E46" s="164"/>
      <c r="F46" s="164">
        <f>+'Prod2 Dist'!J49</f>
        <v>47</v>
      </c>
      <c r="G46" s="164">
        <f>+'Provider Costs'!F46</f>
        <v>27500.000000000004</v>
      </c>
      <c r="H46" s="164">
        <f t="shared" si="16"/>
        <v>1292500.0000000002</v>
      </c>
      <c r="I46" s="164"/>
      <c r="J46" s="164">
        <f>+'Prod2 Dist'!K49</f>
        <v>0</v>
      </c>
      <c r="K46" s="164">
        <f>+'Provider Costs'!J46</f>
        <v>66000</v>
      </c>
      <c r="L46" s="91">
        <f t="shared" si="17"/>
        <v>0</v>
      </c>
      <c r="P46" s="28"/>
    </row>
    <row r="47" spans="1:16">
      <c r="A47" s="35" t="str">
        <f t="shared" si="14"/>
        <v>70 - 74</v>
      </c>
      <c r="B47" s="91">
        <f>+'Prod2 Dist'!I50</f>
        <v>552</v>
      </c>
      <c r="C47" s="194">
        <f>+'Provider Costs'!B47</f>
        <v>500</v>
      </c>
      <c r="D47" s="164">
        <f t="shared" si="15"/>
        <v>276000</v>
      </c>
      <c r="E47" s="164"/>
      <c r="F47" s="164">
        <f>+'Prod2 Dist'!J50</f>
        <v>38</v>
      </c>
      <c r="G47" s="164">
        <f>+'Provider Costs'!F47</f>
        <v>16500</v>
      </c>
      <c r="H47" s="164">
        <f t="shared" si="16"/>
        <v>627000</v>
      </c>
      <c r="I47" s="164"/>
      <c r="J47" s="164">
        <f>+'Prod2 Dist'!K50</f>
        <v>0</v>
      </c>
      <c r="K47" s="164">
        <f>+'Provider Costs'!J47</f>
        <v>39050</v>
      </c>
      <c r="L47" s="91">
        <f t="shared" si="17"/>
        <v>0</v>
      </c>
      <c r="P47" s="28"/>
    </row>
    <row r="48" spans="1:16">
      <c r="A48" s="35" t="str">
        <f t="shared" si="14"/>
        <v>75 - 79</v>
      </c>
      <c r="B48" s="91">
        <f>+'Prod2 Dist'!I51</f>
        <v>434</v>
      </c>
      <c r="C48" s="194">
        <f>+'Provider Costs'!B48</f>
        <v>500</v>
      </c>
      <c r="D48" s="164">
        <f t="shared" si="15"/>
        <v>217000</v>
      </c>
      <c r="E48" s="164"/>
      <c r="F48" s="164">
        <f>+'Prod2 Dist'!J51</f>
        <v>30</v>
      </c>
      <c r="G48" s="164">
        <f>+'Provider Costs'!F48</f>
        <v>16500</v>
      </c>
      <c r="H48" s="164">
        <f t="shared" si="16"/>
        <v>495000</v>
      </c>
      <c r="I48" s="164"/>
      <c r="J48" s="164">
        <f>+'Prod2 Dist'!K51</f>
        <v>0</v>
      </c>
      <c r="K48" s="164">
        <f>+'Provider Costs'!J48</f>
        <v>39050</v>
      </c>
      <c r="L48" s="91">
        <f t="shared" si="17"/>
        <v>0</v>
      </c>
      <c r="P48" s="28"/>
    </row>
    <row r="49" spans="1:16">
      <c r="A49" s="35" t="str">
        <f t="shared" si="14"/>
        <v>80 - 84</v>
      </c>
      <c r="B49" s="91">
        <f>+'Prod2 Dist'!I52</f>
        <v>312</v>
      </c>
      <c r="C49" s="194">
        <f>+'Provider Costs'!B49</f>
        <v>500</v>
      </c>
      <c r="D49" s="164">
        <f t="shared" si="15"/>
        <v>156000</v>
      </c>
      <c r="E49" s="164"/>
      <c r="F49" s="164">
        <f>+'Prod2 Dist'!J52</f>
        <v>21</v>
      </c>
      <c r="G49" s="164">
        <f>+'Provider Costs'!F49</f>
        <v>16500</v>
      </c>
      <c r="H49" s="164">
        <f t="shared" si="16"/>
        <v>346500</v>
      </c>
      <c r="I49" s="164"/>
      <c r="J49" s="164">
        <f>+'Prod2 Dist'!K52</f>
        <v>0</v>
      </c>
      <c r="K49" s="164">
        <f>+'Provider Costs'!J49</f>
        <v>39050</v>
      </c>
      <c r="L49" s="91">
        <f t="shared" si="17"/>
        <v>0</v>
      </c>
      <c r="P49" s="28"/>
    </row>
    <row r="50" spans="1:16">
      <c r="A50" s="35" t="str">
        <f t="shared" si="14"/>
        <v>85+</v>
      </c>
      <c r="B50" s="91">
        <f>+'Prod2 Dist'!I53</f>
        <v>330</v>
      </c>
      <c r="C50" s="194">
        <f>+'Provider Costs'!B50</f>
        <v>500</v>
      </c>
      <c r="D50" s="164">
        <f t="shared" si="15"/>
        <v>165000</v>
      </c>
      <c r="E50" s="164"/>
      <c r="F50" s="164">
        <f>+'Prod2 Dist'!J53</f>
        <v>22</v>
      </c>
      <c r="G50" s="164">
        <f>+'Provider Costs'!F50</f>
        <v>16500</v>
      </c>
      <c r="H50" s="164">
        <f t="shared" si="16"/>
        <v>363000</v>
      </c>
      <c r="I50" s="164"/>
      <c r="J50" s="164">
        <f>+'Prod2 Dist'!K53</f>
        <v>0</v>
      </c>
      <c r="K50" s="164">
        <f>+'Provider Costs'!J50</f>
        <v>39050</v>
      </c>
      <c r="L50" s="91">
        <f t="shared" si="17"/>
        <v>0</v>
      </c>
      <c r="P50" s="28"/>
    </row>
    <row r="51" spans="1:16" s="28" customFormat="1">
      <c r="A51" s="72" t="str">
        <f t="shared" si="14"/>
        <v>Total</v>
      </c>
      <c r="B51" s="91">
        <f>SUM(B33:B50)</f>
        <v>14982</v>
      </c>
      <c r="C51" s="19"/>
      <c r="D51" s="91">
        <f>SUM(D33:D50)</f>
        <v>11043800</v>
      </c>
      <c r="E51" s="91"/>
      <c r="F51" s="91">
        <f>SUM(F33:F50)</f>
        <v>2047</v>
      </c>
      <c r="G51" s="50"/>
      <c r="H51" s="91">
        <f>SUM(H33:H50)</f>
        <v>97242750</v>
      </c>
      <c r="I51" s="91"/>
      <c r="J51" s="91">
        <f>SUM(J33:J50)</f>
        <v>2</v>
      </c>
      <c r="K51" s="50"/>
      <c r="L51" s="91">
        <f>SUM(L33:L50)</f>
        <v>264000</v>
      </c>
    </row>
    <row r="52" spans="1:16" s="28" customFormat="1">
      <c r="A52" s="72"/>
      <c r="B52" s="91"/>
      <c r="C52" s="19"/>
      <c r="D52" s="91"/>
      <c r="E52" s="91"/>
      <c r="F52" s="91"/>
      <c r="G52" s="50"/>
      <c r="H52" s="91"/>
      <c r="I52" s="91"/>
      <c r="J52" s="91"/>
      <c r="K52" s="50"/>
      <c r="L52" s="91"/>
    </row>
    <row r="53" spans="1:16">
      <c r="A53" s="72"/>
      <c r="B53" s="39"/>
      <c r="C53" s="19"/>
      <c r="D53" s="155"/>
      <c r="E53" s="91"/>
      <c r="F53" s="91"/>
      <c r="H53" s="50"/>
      <c r="I53" s="50"/>
      <c r="K53" s="91"/>
      <c r="L53" s="50"/>
      <c r="M53" s="91"/>
      <c r="P53" s="28"/>
    </row>
    <row r="54" spans="1:16">
      <c r="A54" s="345"/>
      <c r="B54" s="28"/>
      <c r="D54" s="137"/>
      <c r="F54" s="344"/>
      <c r="I54" s="3"/>
      <c r="J54" s="344"/>
      <c r="P54" s="28"/>
    </row>
    <row r="55" spans="1:16">
      <c r="A55" s="344"/>
      <c r="B55" s="362"/>
      <c r="F55" s="344"/>
      <c r="G55" s="362"/>
      <c r="I55" s="3"/>
      <c r="J55" s="344"/>
      <c r="K55" s="362"/>
      <c r="P55" s="28"/>
    </row>
    <row r="56" spans="1:16">
      <c r="A56" s="344"/>
      <c r="B56" s="194"/>
      <c r="F56" s="344"/>
      <c r="G56" s="194"/>
      <c r="J56" s="344"/>
      <c r="K56" s="194"/>
    </row>
    <row r="57" spans="1:16">
      <c r="A57" s="344"/>
      <c r="B57" s="28"/>
      <c r="F57" s="345"/>
      <c r="J57" s="344"/>
    </row>
    <row r="58" spans="1:16">
      <c r="A58" s="344"/>
      <c r="B58" s="362"/>
      <c r="F58" s="344"/>
      <c r="G58" s="362"/>
      <c r="J58" s="344"/>
      <c r="K58" s="362"/>
    </row>
    <row r="59" spans="1:16">
      <c r="A59" s="344"/>
      <c r="B59" s="194"/>
      <c r="F59" s="344"/>
      <c r="G59" s="194"/>
      <c r="J59" s="344"/>
      <c r="K59" s="194"/>
    </row>
    <row r="75" spans="1:13">
      <c r="A75" s="35"/>
    </row>
    <row r="76" spans="1:13">
      <c r="A76" s="35"/>
    </row>
    <row r="77" spans="1:13">
      <c r="M77" s="137"/>
    </row>
  </sheetData>
  <printOptions horizontalCentered="1"/>
  <pageMargins left="0.5" right="0.5" top="0.5" bottom="0.75" header="0.5" footer="0.35"/>
  <pageSetup scale="72" orientation="landscape" r:id="rId1"/>
  <headerFooter alignWithMargins="0">
    <oddFooter>&amp;L&amp;8&amp;F 
&amp;A&amp;C&amp;8MBA Actuaries, Inc.&amp;R&amp;8&amp;D 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zoomScaleNormal="100" workbookViewId="0">
      <selection activeCell="A4" sqref="A4"/>
    </sheetView>
  </sheetViews>
  <sheetFormatPr defaultRowHeight="12.75"/>
  <cols>
    <col min="1" max="1" width="4.42578125" style="249" customWidth="1"/>
    <col min="2" max="2" width="1.5703125" style="249" customWidth="1"/>
    <col min="3" max="3" width="19.42578125" style="363" customWidth="1"/>
    <col min="4" max="4" width="0.28515625" style="363" customWidth="1"/>
    <col min="5" max="9" width="12.7109375" style="363" customWidth="1"/>
    <col min="10" max="10" width="1.42578125" style="249" customWidth="1"/>
    <col min="11" max="11" width="9.140625" style="249"/>
    <col min="12" max="12" width="11.28515625" style="249" bestFit="1" customWidth="1"/>
    <col min="13" max="13" width="9" style="249" bestFit="1" customWidth="1"/>
    <col min="14" max="14" width="13.5703125" style="249" bestFit="1" customWidth="1"/>
    <col min="15" max="16384" width="9.140625" style="249"/>
  </cols>
  <sheetData>
    <row r="1" spans="1:14">
      <c r="A1" s="402" t="str">
        <f>scenario</f>
        <v>Severe Scenario, V\ Curve</v>
      </c>
      <c r="J1" s="157"/>
    </row>
    <row r="2" spans="1:14">
      <c r="J2" s="250"/>
    </row>
    <row r="3" spans="1:14" s="15" customFormat="1" ht="15.75">
      <c r="A3" s="46" t="str">
        <f>LOB_2&amp;" Estimated Net Payer Costs as of 2016"</f>
        <v>Health Plan Commercial ASO Estimated Net Payer Costs as of 2016</v>
      </c>
      <c r="B3" s="46"/>
      <c r="C3" s="411"/>
      <c r="D3" s="411"/>
      <c r="E3" s="411"/>
      <c r="F3" s="411"/>
      <c r="G3" s="411"/>
      <c r="H3" s="411"/>
      <c r="I3" s="411"/>
      <c r="M3" s="19"/>
    </row>
    <row r="4" spans="1:14" s="15" customFormat="1" ht="15">
      <c r="B4" s="121"/>
      <c r="C4" s="411"/>
      <c r="D4" s="411"/>
      <c r="E4" s="411"/>
      <c r="F4" s="411"/>
      <c r="G4" s="411"/>
      <c r="H4" s="411"/>
      <c r="I4" s="411"/>
      <c r="J4" s="19"/>
    </row>
    <row r="5" spans="1:14">
      <c r="C5" s="362"/>
      <c r="D5" s="412" t="s">
        <v>311</v>
      </c>
      <c r="E5" s="413"/>
      <c r="F5" s="414"/>
      <c r="G5" s="414"/>
      <c r="H5" s="414"/>
      <c r="I5" s="362"/>
    </row>
    <row r="6" spans="1:14">
      <c r="C6" s="362"/>
      <c r="D6" s="362"/>
      <c r="E6" s="415" t="str">
        <f>+'Total Summary'!E4</f>
        <v>Severe</v>
      </c>
      <c r="F6" s="221" t="s">
        <v>50</v>
      </c>
      <c r="G6" s="221" t="s">
        <v>5</v>
      </c>
      <c r="H6" s="221" t="s">
        <v>4</v>
      </c>
      <c r="I6" s="362"/>
      <c r="K6" s="250"/>
      <c r="L6" s="366"/>
      <c r="M6" s="300"/>
      <c r="N6" s="245"/>
    </row>
    <row r="7" spans="1:14">
      <c r="C7" s="362"/>
      <c r="D7" s="362"/>
      <c r="E7" s="462" t="str">
        <f>Curve&amp; " Curve"</f>
        <v>V\ Curve</v>
      </c>
      <c r="F7" s="221"/>
      <c r="G7" s="221"/>
      <c r="H7" s="221"/>
      <c r="I7" s="362"/>
      <c r="K7" s="250"/>
      <c r="L7" s="366"/>
      <c r="M7" s="300"/>
      <c r="N7" s="245"/>
    </row>
    <row r="8" spans="1:14" ht="5.0999999999999996" customHeight="1">
      <c r="C8" s="362"/>
      <c r="D8" s="362"/>
      <c r="E8" s="221"/>
      <c r="F8" s="221"/>
      <c r="G8" s="221"/>
      <c r="H8" s="221"/>
      <c r="I8" s="362"/>
    </row>
    <row r="9" spans="1:14">
      <c r="A9" s="174">
        <v>-1</v>
      </c>
      <c r="B9" s="174"/>
      <c r="C9" s="202" t="s">
        <v>41</v>
      </c>
      <c r="E9" s="410">
        <f>+'Prod2 Costs'!P27</f>
        <v>24.528985000000002</v>
      </c>
      <c r="F9" s="410"/>
      <c r="G9" s="410"/>
      <c r="H9" s="410"/>
      <c r="I9" s="362"/>
    </row>
    <row r="10" spans="1:14">
      <c r="A10" s="359">
        <f t="shared" ref="A10:A12" si="0">+A9-1</f>
        <v>-2</v>
      </c>
      <c r="B10" s="359"/>
      <c r="C10" s="202" t="s">
        <v>39</v>
      </c>
      <c r="E10" s="116">
        <f>+'Prod2 Costs'!S27</f>
        <v>329.53469999999999</v>
      </c>
      <c r="F10" s="116"/>
      <c r="G10" s="116"/>
      <c r="H10" s="116"/>
      <c r="I10" s="362"/>
    </row>
    <row r="11" spans="1:14">
      <c r="A11" s="359">
        <f t="shared" si="0"/>
        <v>-3</v>
      </c>
      <c r="B11" s="359"/>
      <c r="C11" s="416" t="s">
        <v>126</v>
      </c>
      <c r="D11" s="417"/>
      <c r="E11" s="418">
        <f>+'Prod2 Costs'!V27</f>
        <v>2.0801000000000003</v>
      </c>
      <c r="F11" s="418"/>
      <c r="G11" s="418"/>
      <c r="H11" s="418"/>
      <c r="I11" s="362"/>
      <c r="L11" s="232"/>
    </row>
    <row r="12" spans="1:14">
      <c r="A12" s="359">
        <f t="shared" si="0"/>
        <v>-4</v>
      </c>
      <c r="B12" s="359"/>
      <c r="C12" s="202" t="s">
        <v>136</v>
      </c>
      <c r="E12" s="419">
        <f>SUM(E9:E11)</f>
        <v>356.14378499999998</v>
      </c>
      <c r="F12" s="419"/>
      <c r="G12" s="419"/>
      <c r="H12" s="419"/>
      <c r="I12" s="362"/>
    </row>
    <row r="13" spans="1:14">
      <c r="C13" s="362"/>
      <c r="D13" s="202"/>
      <c r="E13" s="420"/>
      <c r="F13" s="420"/>
      <c r="G13" s="420"/>
      <c r="H13" s="420"/>
      <c r="I13" s="362"/>
    </row>
    <row r="14" spans="1:14">
      <c r="C14" s="202"/>
      <c r="E14" s="421"/>
      <c r="F14" s="421"/>
      <c r="G14" s="421"/>
      <c r="H14" s="421"/>
      <c r="I14" s="362"/>
    </row>
    <row r="15" spans="1:14">
      <c r="C15" s="202"/>
      <c r="E15" s="421"/>
      <c r="F15" s="421"/>
      <c r="G15" s="421"/>
      <c r="H15" s="421"/>
      <c r="I15" s="228"/>
    </row>
    <row r="16" spans="1:14">
      <c r="A16" s="359">
        <f>+A12-1</f>
        <v>-5</v>
      </c>
      <c r="B16" s="359"/>
      <c r="C16" s="202" t="s">
        <v>378</v>
      </c>
      <c r="E16" s="410">
        <f>+E12</f>
        <v>356.14378499999998</v>
      </c>
      <c r="F16" s="410"/>
      <c r="G16" s="410"/>
      <c r="H16" s="410"/>
      <c r="I16" s="228"/>
    </row>
    <row r="17" spans="1:9">
      <c r="C17" s="202"/>
      <c r="E17" s="421"/>
      <c r="F17" s="421"/>
      <c r="G17" s="421"/>
      <c r="H17" s="421"/>
      <c r="I17" s="228"/>
    </row>
    <row r="18" spans="1:9">
      <c r="A18" s="359">
        <f>+A16-1</f>
        <v>-6</v>
      </c>
      <c r="B18" s="359"/>
      <c r="C18" s="202" t="s">
        <v>379</v>
      </c>
      <c r="E18" s="422">
        <f ca="1">inflation</f>
        <v>0.14839768732890946</v>
      </c>
      <c r="F18" s="422"/>
      <c r="G18" s="422"/>
      <c r="H18" s="422"/>
      <c r="I18" s="228"/>
    </row>
    <row r="19" spans="1:9">
      <c r="C19" s="202"/>
      <c r="E19" s="423"/>
      <c r="F19" s="423"/>
      <c r="G19" s="423"/>
      <c r="H19" s="423"/>
      <c r="I19" s="228"/>
    </row>
    <row r="20" spans="1:9">
      <c r="A20" s="359">
        <f>+A18-1</f>
        <v>-7</v>
      </c>
      <c r="B20" s="359"/>
      <c r="C20" s="301" t="s">
        <v>380</v>
      </c>
      <c r="E20" s="410">
        <f ca="1">+E16*(E18+1)</f>
        <v>408.99469905056435</v>
      </c>
      <c r="F20" s="410"/>
      <c r="G20" s="410"/>
      <c r="H20" s="410"/>
      <c r="I20" s="228"/>
    </row>
    <row r="21" spans="1:9" ht="20.100000000000001" customHeight="1">
      <c r="C21" s="301"/>
      <c r="E21" s="410"/>
      <c r="F21" s="410"/>
      <c r="G21" s="410"/>
      <c r="H21" s="410"/>
      <c r="I21" s="228"/>
    </row>
    <row r="22" spans="1:9">
      <c r="C22" s="412" t="s">
        <v>395</v>
      </c>
      <c r="D22" s="413"/>
      <c r="E22" s="424"/>
      <c r="F22" s="424"/>
      <c r="G22" s="424"/>
      <c r="H22" s="424"/>
      <c r="I22" s="425"/>
    </row>
    <row r="23" spans="1:9" ht="12" customHeight="1">
      <c r="C23" s="202"/>
      <c r="E23" s="419"/>
      <c r="F23" s="419"/>
      <c r="G23" s="419"/>
      <c r="H23" s="419"/>
      <c r="I23" s="362"/>
    </row>
    <row r="24" spans="1:9">
      <c r="C24" s="202"/>
      <c r="D24" s="426" t="s">
        <v>153</v>
      </c>
      <c r="E24" s="427"/>
      <c r="F24" s="427"/>
      <c r="G24" s="427"/>
      <c r="H24" s="427"/>
      <c r="I24" s="463" t="s">
        <v>154</v>
      </c>
    </row>
    <row r="25" spans="1:9">
      <c r="C25" s="202"/>
      <c r="D25" s="466"/>
      <c r="E25" s="428" t="str">
        <f>+E6</f>
        <v>Severe</v>
      </c>
      <c r="F25" s="428" t="s">
        <v>50</v>
      </c>
      <c r="G25" s="428" t="s">
        <v>5</v>
      </c>
      <c r="H25" s="428" t="s">
        <v>4</v>
      </c>
      <c r="I25" s="464" t="s">
        <v>156</v>
      </c>
    </row>
    <row r="26" spans="1:9">
      <c r="C26" s="202"/>
      <c r="D26" s="467"/>
      <c r="E26" s="468" t="str">
        <f>Curve&amp; " Curve"</f>
        <v>V\ Curve</v>
      </c>
      <c r="F26" s="468"/>
      <c r="G26" s="468"/>
      <c r="H26" s="468"/>
      <c r="I26" s="465"/>
    </row>
    <row r="27" spans="1:9" ht="5.0999999999999996" customHeight="1">
      <c r="C27" s="202"/>
      <c r="D27" s="202"/>
      <c r="E27" s="428"/>
      <c r="F27" s="428"/>
      <c r="G27" s="428"/>
      <c r="H27" s="428"/>
      <c r="I27" s="362"/>
    </row>
    <row r="28" spans="1:9">
      <c r="A28" s="359">
        <f t="shared" ref="A28" si="1">+A20-1</f>
        <v>-8</v>
      </c>
      <c r="B28" s="359"/>
      <c r="C28" s="202" t="s">
        <v>41</v>
      </c>
      <c r="E28" s="150">
        <f>+'Prod2 Costs'!O27</f>
        <v>87538</v>
      </c>
      <c r="F28" s="150"/>
      <c r="G28" s="150"/>
      <c r="H28" s="150"/>
      <c r="I28" s="450">
        <v>40</v>
      </c>
    </row>
    <row r="29" spans="1:9">
      <c r="A29" s="359">
        <f t="shared" ref="A29:A30" si="2">+A28-1</f>
        <v>-9</v>
      </c>
      <c r="B29" s="359"/>
      <c r="C29" s="202" t="s">
        <v>39</v>
      </c>
      <c r="E29" s="150">
        <f>+'Prod2 Costs'!R27</f>
        <v>14574</v>
      </c>
      <c r="F29" s="150"/>
      <c r="G29" s="150"/>
      <c r="H29" s="150"/>
      <c r="I29" s="451">
        <v>2500</v>
      </c>
    </row>
    <row r="30" spans="1:9">
      <c r="A30" s="359">
        <f t="shared" si="2"/>
        <v>-10</v>
      </c>
      <c r="B30" s="359"/>
      <c r="C30" s="416" t="s">
        <v>217</v>
      </c>
      <c r="D30" s="417"/>
      <c r="E30" s="357">
        <f>+'Prod2 Costs'!U27</f>
        <v>25</v>
      </c>
      <c r="F30" s="357"/>
      <c r="G30" s="357"/>
      <c r="H30" s="357"/>
      <c r="I30" s="452">
        <v>2500</v>
      </c>
    </row>
    <row r="31" spans="1:9">
      <c r="E31" s="429"/>
      <c r="F31" s="429"/>
      <c r="G31" s="429"/>
      <c r="H31" s="429"/>
    </row>
    <row r="32" spans="1:9">
      <c r="A32" s="359">
        <f t="shared" ref="A32" si="3">+A30-1</f>
        <v>-11</v>
      </c>
      <c r="B32" s="359"/>
      <c r="C32" s="301" t="s">
        <v>155</v>
      </c>
      <c r="D32" s="202"/>
      <c r="E32" s="410">
        <f>SUMPRODUCT(E28:E30,I28:I30)/1000000</f>
        <v>39.999020000000002</v>
      </c>
      <c r="F32" s="410"/>
      <c r="G32" s="410"/>
      <c r="H32" s="410"/>
      <c r="I32" s="430" t="s">
        <v>157</v>
      </c>
    </row>
    <row r="33" spans="1:9">
      <c r="A33" s="359">
        <f>+A32-1</f>
        <v>-12</v>
      </c>
      <c r="B33" s="359"/>
      <c r="C33" s="431" t="s">
        <v>159</v>
      </c>
      <c r="D33" s="202"/>
      <c r="E33" s="432">
        <f ca="1">+E32/E20</f>
        <v>9.7798382455453026E-2</v>
      </c>
      <c r="F33" s="432"/>
      <c r="G33" s="432"/>
      <c r="H33" s="432"/>
      <c r="I33" s="430"/>
    </row>
    <row r="34" spans="1:9">
      <c r="C34" s="431"/>
      <c r="D34" s="202"/>
      <c r="E34" s="433"/>
      <c r="F34" s="433"/>
      <c r="G34" s="433"/>
      <c r="H34" s="433"/>
      <c r="I34" s="430"/>
    </row>
    <row r="35" spans="1:9">
      <c r="A35" s="359">
        <f>+A33-1</f>
        <v>-13</v>
      </c>
      <c r="B35" s="359"/>
      <c r="C35" s="301" t="s">
        <v>221</v>
      </c>
      <c r="E35" s="434">
        <f ca="1">+E20-E32</f>
        <v>368.99567905056438</v>
      </c>
      <c r="F35" s="434"/>
      <c r="G35" s="434"/>
      <c r="H35" s="434"/>
      <c r="I35" s="228"/>
    </row>
    <row r="36" spans="1:9">
      <c r="C36" s="202" t="s">
        <v>55</v>
      </c>
      <c r="D36" s="202"/>
      <c r="E36" s="421"/>
      <c r="F36" s="421"/>
      <c r="G36" s="421"/>
      <c r="H36" s="421"/>
      <c r="I36" s="228"/>
    </row>
    <row r="37" spans="1:9">
      <c r="C37" s="202"/>
      <c r="D37" s="202"/>
      <c r="E37" s="421"/>
      <c r="F37" s="421"/>
      <c r="G37" s="421"/>
      <c r="H37" s="421"/>
      <c r="I37" s="228"/>
    </row>
    <row r="38" spans="1:9">
      <c r="A38" s="359">
        <f>+A35-1</f>
        <v>-14</v>
      </c>
      <c r="B38" s="359"/>
      <c r="C38" s="301" t="s">
        <v>222</v>
      </c>
      <c r="D38" s="435"/>
      <c r="E38" s="436">
        <f ca="1">+E35*(1-TaxRate)</f>
        <v>239.84719138286684</v>
      </c>
      <c r="F38" s="436"/>
      <c r="G38" s="436"/>
      <c r="H38" s="476"/>
      <c r="I38" s="228"/>
    </row>
    <row r="39" spans="1:9">
      <c r="C39" s="301"/>
      <c r="D39" s="202"/>
      <c r="E39" s="30"/>
      <c r="F39" s="95"/>
      <c r="G39" s="95"/>
      <c r="H39" s="95"/>
      <c r="I39" s="228"/>
    </row>
    <row r="42" spans="1:9">
      <c r="C42" s="301"/>
      <c r="D42" s="202"/>
      <c r="E42" s="30"/>
      <c r="F42" s="95"/>
      <c r="G42" s="95"/>
      <c r="H42" s="95"/>
      <c r="I42" s="228"/>
    </row>
    <row r="43" spans="1:9">
      <c r="C43" s="362"/>
      <c r="D43" s="362"/>
      <c r="E43" s="362"/>
      <c r="F43" s="362"/>
      <c r="G43" s="362"/>
      <c r="H43" s="437"/>
      <c r="I43" s="362"/>
    </row>
    <row r="44" spans="1:9">
      <c r="C44" s="23"/>
      <c r="D44" s="412" t="s">
        <v>134</v>
      </c>
      <c r="E44" s="414"/>
      <c r="F44" s="414"/>
      <c r="G44" s="414"/>
      <c r="H44" s="414"/>
      <c r="I44" s="362"/>
    </row>
    <row r="45" spans="1:9">
      <c r="C45" s="23"/>
      <c r="D45" s="23"/>
      <c r="E45" s="221" t="str">
        <f>+E$6</f>
        <v>Severe</v>
      </c>
      <c r="F45" s="221" t="s">
        <v>50</v>
      </c>
      <c r="G45" s="221" t="s">
        <v>5</v>
      </c>
      <c r="H45" s="221" t="s">
        <v>4</v>
      </c>
      <c r="I45" s="362"/>
    </row>
    <row r="46" spans="1:9" ht="5.0999999999999996" customHeight="1">
      <c r="C46" s="23"/>
      <c r="D46" s="23"/>
      <c r="E46" s="221"/>
      <c r="F46" s="221"/>
      <c r="G46" s="221"/>
      <c r="H46" s="221"/>
      <c r="I46" s="362"/>
    </row>
    <row r="47" spans="1:9">
      <c r="C47" s="362"/>
      <c r="D47" s="202" t="s">
        <v>131</v>
      </c>
      <c r="E47" s="343">
        <f>1000000*E10/E29</f>
        <v>22611.136270069986</v>
      </c>
      <c r="F47" s="343"/>
      <c r="G47" s="343"/>
      <c r="H47" s="343"/>
      <c r="I47" s="254"/>
    </row>
    <row r="48" spans="1:9">
      <c r="C48" s="438"/>
      <c r="D48" s="416" t="s">
        <v>132</v>
      </c>
      <c r="E48" s="439">
        <f>1000000*E11/E30</f>
        <v>83204.000000000015</v>
      </c>
      <c r="F48" s="439"/>
      <c r="G48" s="439"/>
      <c r="H48" s="439"/>
      <c r="I48" s="30"/>
    </row>
    <row r="49" spans="3:9">
      <c r="C49" s="362"/>
      <c r="D49" s="202" t="s">
        <v>122</v>
      </c>
      <c r="E49" s="30">
        <f>1000000*(E11+E10)/(E29+E30)</f>
        <v>22714.898280704158</v>
      </c>
      <c r="F49" s="30"/>
      <c r="G49" s="30"/>
      <c r="H49" s="30"/>
      <c r="I49" s="362"/>
    </row>
    <row r="50" spans="3:9">
      <c r="C50" s="362"/>
      <c r="D50" s="362"/>
      <c r="E50" s="362"/>
      <c r="F50" s="362"/>
      <c r="G50" s="362"/>
      <c r="H50" s="362"/>
      <c r="I50" s="362"/>
    </row>
    <row r="51" spans="3:9">
      <c r="C51" s="362"/>
      <c r="D51" s="202" t="s">
        <v>133</v>
      </c>
      <c r="E51" s="343">
        <f>1000000*E9/E28</f>
        <v>280.20956613128016</v>
      </c>
      <c r="F51" s="343"/>
      <c r="G51" s="343"/>
      <c r="H51" s="343"/>
      <c r="I51" s="362"/>
    </row>
  </sheetData>
  <printOptions horizontalCentered="1"/>
  <pageMargins left="0.5" right="0.5" top="0.5" bottom="0.85" header="0.5" footer="0.35"/>
  <pageSetup scale="93" orientation="portrait" r:id="rId1"/>
  <headerFooter alignWithMargins="0">
    <oddFooter>&amp;L&amp;8&amp;F 
&amp;A&amp;C&amp;8MBA Actuaries, Inc.&amp;R&amp;8&amp;D 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10" zoomScaleNormal="100" workbookViewId="0">
      <selection activeCell="E29" sqref="E29"/>
    </sheetView>
  </sheetViews>
  <sheetFormatPr defaultRowHeight="12.75"/>
  <cols>
    <col min="1" max="1" width="4.42578125" style="249" customWidth="1"/>
    <col min="2" max="2" width="0.85546875" style="249" customWidth="1"/>
    <col min="3" max="3" width="21.7109375" style="363" customWidth="1"/>
    <col min="4" max="4" width="0.28515625" style="363" customWidth="1"/>
    <col min="5" max="5" width="14.7109375" style="469" customWidth="1"/>
    <col min="6" max="8" width="14.7109375" style="363" customWidth="1"/>
    <col min="9" max="9" width="1.42578125" style="249" customWidth="1"/>
    <col min="10" max="10" width="9.7109375" style="249" customWidth="1"/>
    <col min="11" max="11" width="11.42578125" style="249" customWidth="1"/>
    <col min="12" max="12" width="14.42578125" style="249" bestFit="1" customWidth="1"/>
    <col min="13" max="16384" width="9.140625" style="249"/>
  </cols>
  <sheetData>
    <row r="1" spans="1:10" ht="15.75">
      <c r="A1" s="46" t="s">
        <v>357</v>
      </c>
      <c r="B1" s="46"/>
      <c r="C1" s="411"/>
      <c r="D1" s="411"/>
      <c r="E1" s="411"/>
      <c r="F1" s="411"/>
      <c r="G1" s="411"/>
      <c r="H1" s="411"/>
      <c r="I1" s="15"/>
      <c r="J1" s="15"/>
    </row>
    <row r="2" spans="1:10" ht="5.0999999999999996" customHeight="1">
      <c r="B2" s="121"/>
      <c r="C2" s="411"/>
      <c r="D2" s="411"/>
      <c r="E2" s="411"/>
      <c r="F2" s="411"/>
      <c r="G2" s="411"/>
      <c r="H2" s="411"/>
      <c r="I2" s="19"/>
      <c r="J2" s="19"/>
    </row>
    <row r="3" spans="1:10" ht="13.5" thickBot="1">
      <c r="C3" s="362"/>
      <c r="D3" s="412" t="s">
        <v>311</v>
      </c>
      <c r="E3" s="470"/>
      <c r="F3" s="75"/>
      <c r="G3" s="75"/>
      <c r="H3" s="75"/>
    </row>
    <row r="4" spans="1:10">
      <c r="C4" s="235" t="s">
        <v>391</v>
      </c>
      <c r="D4" s="362"/>
      <c r="E4" s="462" t="str">
        <f>Severity</f>
        <v>Severe</v>
      </c>
      <c r="F4" s="560" t="s">
        <v>50</v>
      </c>
      <c r="G4" s="561" t="s">
        <v>5</v>
      </c>
      <c r="H4" s="562" t="s">
        <v>4</v>
      </c>
    </row>
    <row r="5" spans="1:10">
      <c r="C5" s="362"/>
      <c r="D5" s="362"/>
      <c r="E5" s="462" t="str">
        <f>Curve&amp; " Curve"</f>
        <v>V\ Curve</v>
      </c>
      <c r="F5" s="579" t="s">
        <v>138</v>
      </c>
      <c r="G5" s="604" t="s">
        <v>138</v>
      </c>
      <c r="H5" s="605" t="s">
        <v>138</v>
      </c>
    </row>
    <row r="6" spans="1:10" ht="5.0999999999999996" customHeight="1">
      <c r="C6" s="362"/>
      <c r="D6" s="362"/>
      <c r="E6" s="221"/>
      <c r="F6" s="563"/>
      <c r="G6" s="221"/>
      <c r="H6" s="564"/>
    </row>
    <row r="7" spans="1:10">
      <c r="A7" s="174">
        <v>-1</v>
      </c>
      <c r="B7" s="174"/>
      <c r="C7" s="202" t="s">
        <v>41</v>
      </c>
      <c r="E7" s="410">
        <f>+'Prod1 Sum'!E9+'Prod2 Sum'!E9</f>
        <v>68.793780000000012</v>
      </c>
      <c r="F7" s="554">
        <v>28.628165000000006</v>
      </c>
      <c r="G7" s="410">
        <v>92.751855000000006</v>
      </c>
      <c r="H7" s="555">
        <v>97.51072000000002</v>
      </c>
    </row>
    <row r="8" spans="1:10">
      <c r="A8" s="359">
        <f t="shared" ref="A8:A10" si="0">+A7-1</f>
        <v>-2</v>
      </c>
      <c r="B8" s="359"/>
      <c r="C8" s="202" t="s">
        <v>39</v>
      </c>
      <c r="E8" s="116">
        <f>+'Prod1 Sum'!E10+'Prod2 Sum'!E10</f>
        <v>924.31899999999996</v>
      </c>
      <c r="F8" s="565">
        <v>37.997500000000002</v>
      </c>
      <c r="G8" s="116">
        <v>113.06835000000001</v>
      </c>
      <c r="H8" s="566">
        <v>130.73050000000001</v>
      </c>
    </row>
    <row r="9" spans="1:10">
      <c r="A9" s="359">
        <f t="shared" si="0"/>
        <v>-3</v>
      </c>
      <c r="B9" s="359"/>
      <c r="C9" s="416" t="s">
        <v>126</v>
      </c>
      <c r="D9" s="417"/>
      <c r="E9" s="418">
        <f>+'Prod1 Sum'!E11+'Prod2 Sum'!E11</f>
        <v>5.2118000000000002</v>
      </c>
      <c r="F9" s="565">
        <v>3.8324999999999996</v>
      </c>
      <c r="G9" s="116">
        <v>4.2642000000000007</v>
      </c>
      <c r="H9" s="566">
        <v>3.8324999999999996</v>
      </c>
    </row>
    <row r="10" spans="1:10">
      <c r="A10" s="359">
        <f t="shared" si="0"/>
        <v>-4</v>
      </c>
      <c r="B10" s="359"/>
      <c r="C10" s="202" t="s">
        <v>136</v>
      </c>
      <c r="E10" s="419">
        <f>+'Prod1 Sum'!E12+'Prod2 Sum'!E12</f>
        <v>998.32457999999997</v>
      </c>
      <c r="F10" s="567">
        <v>70.458165000000008</v>
      </c>
      <c r="G10" s="419">
        <v>210.084405</v>
      </c>
      <c r="H10" s="568">
        <v>232.07372000000001</v>
      </c>
    </row>
    <row r="11" spans="1:10" ht="5.0999999999999996" customHeight="1">
      <c r="C11" s="362"/>
      <c r="D11" s="202"/>
      <c r="E11" s="420"/>
      <c r="F11" s="569"/>
      <c r="G11" s="420"/>
      <c r="H11" s="570"/>
    </row>
    <row r="12" spans="1:10" ht="5.0999999999999996" customHeight="1">
      <c r="C12" s="202"/>
      <c r="E12" s="421"/>
      <c r="F12" s="571"/>
      <c r="G12" s="421"/>
      <c r="H12" s="572"/>
    </row>
    <row r="13" spans="1:10" ht="5.0999999999999996" customHeight="1">
      <c r="C13" s="202"/>
      <c r="E13" s="421"/>
      <c r="F13" s="571"/>
      <c r="G13" s="421"/>
      <c r="H13" s="572"/>
    </row>
    <row r="14" spans="1:10">
      <c r="A14" s="359">
        <f>+A10-1</f>
        <v>-5</v>
      </c>
      <c r="B14" s="359"/>
      <c r="C14" s="202" t="s">
        <v>313</v>
      </c>
      <c r="E14" s="410">
        <f>+E10</f>
        <v>998.32457999999997</v>
      </c>
      <c r="F14" s="554">
        <v>70.458165000000008</v>
      </c>
      <c r="G14" s="410">
        <v>210.084405</v>
      </c>
      <c r="H14" s="555">
        <v>232.07372000000001</v>
      </c>
    </row>
    <row r="15" spans="1:10" ht="5.0999999999999996" customHeight="1">
      <c r="C15" s="202"/>
      <c r="E15" s="421"/>
      <c r="F15" s="571"/>
      <c r="G15" s="421"/>
      <c r="H15" s="572"/>
    </row>
    <row r="16" spans="1:10" ht="13.5" thickBot="1">
      <c r="A16" s="359">
        <f>+A14-1</f>
        <v>-6</v>
      </c>
      <c r="B16" s="359"/>
      <c r="C16" s="202" t="s">
        <v>312</v>
      </c>
      <c r="E16" s="422">
        <f ca="1">inflation</f>
        <v>0.14839768732890946</v>
      </c>
      <c r="F16" s="573">
        <v>0.14839768732890946</v>
      </c>
      <c r="G16" s="574">
        <v>0.14839768732890946</v>
      </c>
      <c r="H16" s="575">
        <v>0.14839768732890946</v>
      </c>
    </row>
    <row r="17" spans="1:9">
      <c r="A17" s="359"/>
      <c r="B17" s="359"/>
      <c r="C17" s="202"/>
      <c r="E17" s="422"/>
      <c r="F17" s="422"/>
      <c r="G17" s="422"/>
      <c r="H17" s="422"/>
    </row>
    <row r="18" spans="1:9" ht="13.5" thickBot="1">
      <c r="C18" s="362"/>
      <c r="D18" s="412" t="s">
        <v>310</v>
      </c>
      <c r="E18" s="470"/>
      <c r="F18" s="470"/>
      <c r="G18" s="470"/>
      <c r="H18" s="470"/>
    </row>
    <row r="19" spans="1:9">
      <c r="C19" s="362"/>
      <c r="D19" s="362"/>
      <c r="E19" s="462" t="str">
        <f>Severity</f>
        <v>Severe</v>
      </c>
      <c r="F19" s="549" t="s">
        <v>50</v>
      </c>
      <c r="G19" s="550" t="s">
        <v>5</v>
      </c>
      <c r="H19" s="551" t="s">
        <v>4</v>
      </c>
    </row>
    <row r="20" spans="1:9">
      <c r="C20" s="362"/>
      <c r="D20" s="362"/>
      <c r="E20" s="462" t="str">
        <f>Curve&amp; " Curve"</f>
        <v>V\ Curve</v>
      </c>
      <c r="F20" s="579" t="s">
        <v>138</v>
      </c>
      <c r="G20" s="604" t="s">
        <v>138</v>
      </c>
      <c r="H20" s="605" t="s">
        <v>138</v>
      </c>
    </row>
    <row r="21" spans="1:9" ht="5.0999999999999996" customHeight="1">
      <c r="C21" s="202"/>
      <c r="E21" s="423"/>
      <c r="F21" s="552"/>
      <c r="G21" s="423"/>
      <c r="H21" s="553"/>
    </row>
    <row r="22" spans="1:9">
      <c r="A22" s="359">
        <f>+A16-1</f>
        <v>-7</v>
      </c>
      <c r="B22" s="359"/>
      <c r="C22" s="301" t="s">
        <v>356</v>
      </c>
      <c r="E22" s="410">
        <f ca="1">+E14*(E16+1)</f>
        <v>1146.4736388756048</v>
      </c>
      <c r="F22" s="554">
        <v>80.913993739438723</v>
      </c>
      <c r="G22" s="410">
        <v>241.26044484586998</v>
      </c>
      <c r="H22" s="555">
        <v>266.51292333781691</v>
      </c>
      <c r="I22" s="410">
        <v>266.51292333781691</v>
      </c>
    </row>
    <row r="23" spans="1:9" ht="5.0999999999999996" customHeight="1">
      <c r="A23" s="359"/>
      <c r="B23" s="359"/>
      <c r="C23" s="301"/>
      <c r="E23" s="410"/>
      <c r="F23" s="554"/>
      <c r="G23" s="410"/>
      <c r="H23" s="555"/>
      <c r="I23" s="410"/>
    </row>
    <row r="24" spans="1:9">
      <c r="A24" s="359">
        <f t="shared" ref="A24" si="1">+A22-1</f>
        <v>-8</v>
      </c>
      <c r="B24" s="359"/>
      <c r="C24" s="301" t="s">
        <v>155</v>
      </c>
      <c r="E24" s="410">
        <f>+'Prod1 Sum'!E32+'Prod2 Sum'!E32</f>
        <v>153.25382000000002</v>
      </c>
      <c r="F24" s="554">
        <v>11.01946</v>
      </c>
      <c r="G24" s="410">
        <v>35.65448</v>
      </c>
      <c r="H24" s="555">
        <v>37.290459999999996</v>
      </c>
      <c r="I24" s="410">
        <v>37.290459999999996</v>
      </c>
    </row>
    <row r="25" spans="1:9">
      <c r="A25" s="359">
        <f>+A24-1</f>
        <v>-9</v>
      </c>
      <c r="B25" s="359"/>
      <c r="C25" s="431" t="s">
        <v>159</v>
      </c>
      <c r="E25" s="422">
        <f ca="1">E24/E22</f>
        <v>0.1336740896635901</v>
      </c>
      <c r="F25" s="556">
        <v>0.13618732052066473</v>
      </c>
      <c r="G25" s="422">
        <v>0.14778419240160973</v>
      </c>
      <c r="H25" s="557">
        <v>0.13991989406357114</v>
      </c>
      <c r="I25" s="422">
        <v>0.13991989406357114</v>
      </c>
    </row>
    <row r="26" spans="1:9" ht="5.0999999999999996" customHeight="1">
      <c r="C26" s="431"/>
      <c r="E26" s="410"/>
      <c r="F26" s="554"/>
      <c r="G26" s="410"/>
      <c r="H26" s="555"/>
      <c r="I26" s="410"/>
    </row>
    <row r="27" spans="1:9">
      <c r="A27" s="359">
        <f>+A25-1</f>
        <v>-10</v>
      </c>
      <c r="B27" s="359"/>
      <c r="C27" s="301" t="s">
        <v>221</v>
      </c>
      <c r="E27" s="410">
        <f ca="1">+E22-E24</f>
        <v>993.2198188756048</v>
      </c>
      <c r="F27" s="554">
        <v>69.894533739438728</v>
      </c>
      <c r="G27" s="410">
        <v>205.60596484586998</v>
      </c>
      <c r="H27" s="555">
        <v>229.22246333781692</v>
      </c>
      <c r="I27" s="410">
        <v>229.22246333781692</v>
      </c>
    </row>
    <row r="28" spans="1:9" ht="5.0999999999999996" customHeight="1">
      <c r="C28" s="202"/>
      <c r="E28" s="410"/>
      <c r="F28" s="554"/>
      <c r="G28" s="410"/>
      <c r="H28" s="555"/>
      <c r="I28" s="410"/>
    </row>
    <row r="29" spans="1:9">
      <c r="A29" s="359">
        <f>+A27-1</f>
        <v>-11</v>
      </c>
      <c r="B29" s="359"/>
      <c r="C29" s="301" t="s">
        <v>222</v>
      </c>
      <c r="E29" s="410">
        <f ca="1">+E27*(1-TaxRate)</f>
        <v>645.59288226914316</v>
      </c>
      <c r="F29" s="554">
        <v>45.431446930635175</v>
      </c>
      <c r="G29" s="410">
        <v>133.64387714981549</v>
      </c>
      <c r="H29" s="555">
        <v>148.99460116958099</v>
      </c>
      <c r="I29" s="410">
        <v>148.99460116958099</v>
      </c>
    </row>
    <row r="30" spans="1:9" ht="5.0999999999999996" customHeight="1">
      <c r="A30" s="359"/>
      <c r="B30" s="359"/>
      <c r="C30" s="301"/>
      <c r="E30" s="410"/>
      <c r="F30" s="554"/>
      <c r="G30" s="410"/>
      <c r="H30" s="555"/>
      <c r="I30" s="410"/>
    </row>
    <row r="31" spans="1:9" ht="13.5" thickBot="1">
      <c r="A31" s="359">
        <f>+A29-1</f>
        <v>-12</v>
      </c>
      <c r="B31" s="359"/>
      <c r="C31" s="301" t="s">
        <v>237</v>
      </c>
      <c r="E31" s="445">
        <f ca="1">+E29*1000000/InsPop/12</f>
        <v>24.656006808323522</v>
      </c>
      <c r="F31" s="558">
        <v>1.7350842854657491</v>
      </c>
      <c r="G31" s="606">
        <v>5.1040283054466657</v>
      </c>
      <c r="H31" s="607">
        <v>5.6902918259082265</v>
      </c>
      <c r="I31" s="559">
        <v>5.6902918259082265</v>
      </c>
    </row>
    <row r="32" spans="1:9">
      <c r="A32" s="359"/>
      <c r="B32" s="359"/>
      <c r="C32" s="301"/>
      <c r="E32" s="410"/>
      <c r="F32" s="410"/>
      <c r="G32" s="410"/>
      <c r="H32" s="410"/>
    </row>
    <row r="33" spans="3:8">
      <c r="C33" s="301"/>
      <c r="E33" s="343"/>
      <c r="F33" s="343"/>
      <c r="G33" s="343"/>
      <c r="H33" s="343"/>
    </row>
    <row r="36" spans="3:8">
      <c r="D36" s="440" t="s">
        <v>233</v>
      </c>
      <c r="E36" s="470"/>
      <c r="F36" s="413"/>
      <c r="G36" s="413"/>
      <c r="H36" s="413"/>
    </row>
    <row r="37" spans="3:8">
      <c r="E37" s="351" t="str">
        <f>Severity</f>
        <v>Severe</v>
      </c>
      <c r="F37" s="441"/>
      <c r="G37" s="441"/>
      <c r="H37" s="441"/>
    </row>
    <row r="38" spans="3:8">
      <c r="E38" s="351" t="s">
        <v>165</v>
      </c>
      <c r="F38" s="441"/>
      <c r="G38" s="441"/>
      <c r="H38" s="441"/>
    </row>
    <row r="39" spans="3:8">
      <c r="C39" s="442" t="s">
        <v>36</v>
      </c>
      <c r="E39" s="254">
        <f>+XSDths</f>
        <v>202.15978287341528</v>
      </c>
      <c r="F39" s="262"/>
      <c r="G39" s="262"/>
      <c r="H39" s="262"/>
    </row>
    <row r="40" spans="3:8">
      <c r="C40" s="442" t="s">
        <v>162</v>
      </c>
      <c r="E40" s="254">
        <f>HospAdmits</f>
        <v>4539.2080806632657</v>
      </c>
      <c r="F40" s="262"/>
      <c r="G40" s="262"/>
      <c r="H40" s="262"/>
    </row>
    <row r="41" spans="3:8">
      <c r="C41" s="442" t="s">
        <v>41</v>
      </c>
      <c r="E41" s="254">
        <f>OutPt</f>
        <v>7863.5447297057699</v>
      </c>
      <c r="F41" s="262"/>
      <c r="G41" s="262"/>
      <c r="H41" s="262"/>
    </row>
    <row r="42" spans="3:8">
      <c r="C42" s="442" t="s">
        <v>161</v>
      </c>
      <c r="E42" s="254">
        <f>'Pandemic Calculations'!L32</f>
        <v>996691.96174163569</v>
      </c>
      <c r="F42" s="262"/>
      <c r="G42" s="262"/>
      <c r="H42" s="262"/>
    </row>
    <row r="43" spans="3:8">
      <c r="C43" s="442" t="s">
        <v>1</v>
      </c>
      <c r="E43" s="254">
        <f>SUM(E39:E42)</f>
        <v>1009296.8743348782</v>
      </c>
      <c r="F43" s="262"/>
      <c r="G43" s="262"/>
      <c r="H43" s="262"/>
    </row>
    <row r="45" spans="3:8">
      <c r="C45" s="442" t="s">
        <v>0</v>
      </c>
      <c r="E45" s="254">
        <f>+Population</f>
        <v>5172000</v>
      </c>
      <c r="F45" s="262"/>
      <c r="G45" s="262"/>
      <c r="H45" s="262"/>
    </row>
    <row r="47" spans="3:8">
      <c r="C47" s="442" t="s">
        <v>36</v>
      </c>
      <c r="E47" s="471">
        <f>+E39/$E$45</f>
        <v>3.9087351676994445E-5</v>
      </c>
      <c r="F47" s="443"/>
      <c r="G47" s="443"/>
      <c r="H47" s="443"/>
    </row>
    <row r="48" spans="3:8">
      <c r="C48" s="442" t="s">
        <v>162</v>
      </c>
      <c r="E48" s="471">
        <f>+E40/$E$45</f>
        <v>8.7765044096350844E-4</v>
      </c>
      <c r="F48" s="443"/>
      <c r="G48" s="443"/>
      <c r="H48" s="443"/>
    </row>
    <row r="49" spans="3:8">
      <c r="C49" s="442" t="s">
        <v>41</v>
      </c>
      <c r="E49" s="471">
        <f>+E41/$E$45</f>
        <v>1.5204069469655394E-3</v>
      </c>
      <c r="F49" s="443"/>
      <c r="G49" s="443"/>
      <c r="H49" s="443"/>
    </row>
    <row r="50" spans="3:8">
      <c r="C50" s="442" t="s">
        <v>161</v>
      </c>
      <c r="E50" s="471">
        <f>+E42/$E$45</f>
        <v>0.19270919600573003</v>
      </c>
      <c r="F50" s="443"/>
      <c r="G50" s="443"/>
      <c r="H50" s="443"/>
    </row>
    <row r="51" spans="3:8">
      <c r="C51" s="442" t="s">
        <v>1</v>
      </c>
      <c r="E51" s="471">
        <f>+E43/$E$45</f>
        <v>0.19514634074533607</v>
      </c>
      <c r="F51" s="443"/>
      <c r="G51" s="443"/>
      <c r="H51" s="443"/>
    </row>
    <row r="53" spans="3:8">
      <c r="C53" s="444"/>
      <c r="D53" s="440" t="s">
        <v>242</v>
      </c>
      <c r="E53" s="470"/>
      <c r="F53" s="413"/>
      <c r="G53" s="413"/>
      <c r="H53" s="413"/>
    </row>
    <row r="54" spans="3:8">
      <c r="C54" s="442" t="s">
        <v>36</v>
      </c>
      <c r="E54" s="254">
        <f>+'Total Costs'!T28</f>
        <v>62</v>
      </c>
    </row>
    <row r="55" spans="3:8">
      <c r="C55" s="442" t="s">
        <v>162</v>
      </c>
      <c r="E55" s="254">
        <f>+'Total Costs'!Q28</f>
        <v>40876</v>
      </c>
    </row>
    <row r="56" spans="3:8">
      <c r="C56" s="442" t="s">
        <v>41</v>
      </c>
      <c r="E56" s="254">
        <f>+'Total Costs'!N28</f>
        <v>245514</v>
      </c>
    </row>
    <row r="57" spans="3:8">
      <c r="C57" s="442" t="s">
        <v>161</v>
      </c>
      <c r="E57" s="254">
        <f>+'Prod2 Dist'!J30+'Prod1 Dist'!J30</f>
        <v>368142</v>
      </c>
    </row>
    <row r="58" spans="3:8">
      <c r="C58" s="442" t="s">
        <v>1</v>
      </c>
      <c r="E58" s="254">
        <f>SUM(E54:E57)</f>
        <v>654594</v>
      </c>
    </row>
    <row r="59" spans="3:8">
      <c r="E59" s="254"/>
    </row>
    <row r="60" spans="3:8">
      <c r="C60" s="442" t="s">
        <v>0</v>
      </c>
      <c r="E60" s="254">
        <f>InsPop</f>
        <v>2182000</v>
      </c>
    </row>
    <row r="61" spans="3:8">
      <c r="E61" s="254"/>
    </row>
    <row r="62" spans="3:8">
      <c r="C62" s="442" t="s">
        <v>36</v>
      </c>
      <c r="E62" s="471">
        <f>+E54/$E$60</f>
        <v>2.841429880843263E-5</v>
      </c>
    </row>
    <row r="63" spans="3:8">
      <c r="C63" s="442" t="s">
        <v>162</v>
      </c>
      <c r="E63" s="471">
        <f>+E55/$E$60</f>
        <v>1.8733272227314392E-2</v>
      </c>
    </row>
    <row r="64" spans="3:8">
      <c r="C64" s="442" t="s">
        <v>41</v>
      </c>
      <c r="E64" s="471">
        <f>+E56/$E$60</f>
        <v>0.11251787351054079</v>
      </c>
    </row>
    <row r="65" spans="3:5">
      <c r="C65" s="442" t="s">
        <v>161</v>
      </c>
      <c r="E65" s="471">
        <f>+E57/$E$60</f>
        <v>0.16871769019248395</v>
      </c>
    </row>
    <row r="66" spans="3:5">
      <c r="C66" s="442" t="s">
        <v>1</v>
      </c>
      <c r="E66" s="471">
        <f>+E58/$E$60</f>
        <v>0.29999725022914758</v>
      </c>
    </row>
  </sheetData>
  <printOptions horizontalCentered="1"/>
  <pageMargins left="0.5" right="0.5" top="0.75" bottom="0.75" header="0.5" footer="0.35"/>
  <pageSetup orientation="portrait" r:id="rId1"/>
  <headerFooter alignWithMargins="0">
    <oddFooter>&amp;L&amp;8&amp;F 
&amp;A&amp;C&amp;8MBA Actuaries, Inc.&amp;R&amp;8&amp;D 
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68"/>
  <sheetViews>
    <sheetView zoomScaleNormal="100" workbookViewId="0">
      <selection activeCell="C12" sqref="C12"/>
    </sheetView>
  </sheetViews>
  <sheetFormatPr defaultRowHeight="12.75"/>
  <cols>
    <col min="1" max="1" width="8.140625" style="28" customWidth="1"/>
    <col min="2" max="2" width="9.5703125" style="28" customWidth="1"/>
    <col min="3" max="3" width="8.7109375" style="133" customWidth="1"/>
    <col min="4" max="4" width="7.7109375" style="28" customWidth="1"/>
    <col min="5" max="5" width="11.7109375" style="28" customWidth="1"/>
    <col min="6" max="6" width="7.42578125" style="28" customWidth="1"/>
    <col min="7" max="7" width="9.7109375" style="28" customWidth="1"/>
    <col min="8" max="8" width="33.28515625" style="91" customWidth="1"/>
    <col min="9" max="9" width="7.5703125" style="91" customWidth="1"/>
    <col min="10" max="10" width="9.7109375" style="28" customWidth="1"/>
    <col min="11" max="11" width="11.7109375" style="28" customWidth="1"/>
    <col min="12" max="12" width="0.5703125" style="28" customWidth="1"/>
    <col min="13" max="13" width="10.7109375" style="3" customWidth="1"/>
    <col min="14" max="14" width="16.140625" style="3" bestFit="1" customWidth="1"/>
    <col min="15" max="15" width="9.7109375" style="3" customWidth="1"/>
    <col min="16" max="16" width="1.7109375" style="3" customWidth="1"/>
    <col min="17" max="18" width="12.7109375" style="3" customWidth="1"/>
    <col min="19" max="19" width="1.5703125" style="3" customWidth="1"/>
    <col min="20" max="20" width="11.140625" style="3" customWidth="1"/>
    <col min="21" max="16384" width="9.140625" style="3"/>
  </cols>
  <sheetData>
    <row r="1" spans="1:21" s="15" customFormat="1">
      <c r="A1" s="402" t="str">
        <f>scenario</f>
        <v>Severe Scenario, V\ Curve</v>
      </c>
      <c r="J1" s="28"/>
      <c r="L1" s="157" t="s">
        <v>259</v>
      </c>
      <c r="U1" s="157" t="s">
        <v>259</v>
      </c>
    </row>
    <row r="2" spans="1:21" s="15" customFormat="1">
      <c r="J2" s="28"/>
      <c r="L2" s="162"/>
    </row>
    <row r="3" spans="1:21" s="15" customFormat="1" ht="15.75">
      <c r="A3" s="46" t="s">
        <v>141</v>
      </c>
      <c r="B3" s="17"/>
      <c r="C3" s="17"/>
      <c r="D3" s="17"/>
      <c r="E3" s="17"/>
      <c r="F3" s="17"/>
      <c r="G3" s="17"/>
      <c r="H3" s="17"/>
      <c r="I3" s="17"/>
      <c r="J3" s="17"/>
      <c r="K3" s="131"/>
      <c r="O3" s="19"/>
    </row>
    <row r="4" spans="1:21" s="15" customFormat="1">
      <c r="B4" s="17"/>
      <c r="C4" s="17"/>
      <c r="D4" s="17"/>
      <c r="E4" s="17"/>
      <c r="F4" s="17"/>
      <c r="G4" s="17"/>
      <c r="H4" s="17"/>
      <c r="I4" s="17"/>
      <c r="J4" s="17"/>
      <c r="K4" s="17"/>
      <c r="L4" s="404"/>
      <c r="N4" s="246" t="s">
        <v>223</v>
      </c>
      <c r="O4" s="246"/>
      <c r="P4" s="197"/>
      <c r="Q4" s="246" t="s">
        <v>224</v>
      </c>
      <c r="R4" s="246"/>
      <c r="S4" s="197"/>
      <c r="T4" s="246" t="s">
        <v>225</v>
      </c>
      <c r="U4" s="246"/>
    </row>
    <row r="5" spans="1:21" s="28" customFormat="1">
      <c r="A5" s="32" t="s">
        <v>34</v>
      </c>
      <c r="B5" s="32" t="s">
        <v>6</v>
      </c>
      <c r="C5" s="131" t="s">
        <v>48</v>
      </c>
      <c r="D5" s="131"/>
      <c r="E5" s="131"/>
      <c r="F5" s="131" t="s">
        <v>54</v>
      </c>
      <c r="G5" s="134"/>
      <c r="H5" s="134"/>
      <c r="I5" s="75" t="s">
        <v>49</v>
      </c>
      <c r="J5" s="75"/>
      <c r="K5" s="75"/>
      <c r="M5" s="32" t="s">
        <v>34</v>
      </c>
      <c r="N5" s="135" t="s">
        <v>1</v>
      </c>
      <c r="O5" s="136" t="s">
        <v>46</v>
      </c>
      <c r="P5" s="128"/>
      <c r="Q5" s="135" t="s">
        <v>1</v>
      </c>
      <c r="R5" s="136" t="s">
        <v>46</v>
      </c>
      <c r="S5" s="91"/>
      <c r="T5" s="135" t="s">
        <v>1</v>
      </c>
      <c r="U5" s="136" t="s">
        <v>46</v>
      </c>
    </row>
    <row r="6" spans="1:21" s="28" customFormat="1">
      <c r="A6" s="32" t="s">
        <v>35</v>
      </c>
      <c r="B6" s="32" t="s">
        <v>45</v>
      </c>
      <c r="C6" s="135" t="s">
        <v>32</v>
      </c>
      <c r="D6" s="220" t="s">
        <v>121</v>
      </c>
      <c r="E6" s="220" t="s">
        <v>140</v>
      </c>
      <c r="F6" s="32" t="s">
        <v>32</v>
      </c>
      <c r="G6" s="220" t="s">
        <v>121</v>
      </c>
      <c r="H6" s="220" t="s">
        <v>140</v>
      </c>
      <c r="I6" s="215" t="s">
        <v>36</v>
      </c>
      <c r="J6" s="220" t="s">
        <v>121</v>
      </c>
      <c r="K6" s="220" t="s">
        <v>140</v>
      </c>
      <c r="M6" s="32" t="s">
        <v>35</v>
      </c>
      <c r="N6" s="135" t="s">
        <v>32</v>
      </c>
      <c r="O6" s="32" t="s">
        <v>55</v>
      </c>
      <c r="P6" s="129"/>
      <c r="Q6" s="135" t="s">
        <v>32</v>
      </c>
      <c r="R6" s="32" t="s">
        <v>55</v>
      </c>
      <c r="S6" s="91"/>
      <c r="T6" s="135" t="s">
        <v>32</v>
      </c>
      <c r="U6" s="32" t="s">
        <v>55</v>
      </c>
    </row>
    <row r="7" spans="1:21" s="28" customFormat="1">
      <c r="A7" s="32"/>
      <c r="B7" s="360">
        <v>-1</v>
      </c>
      <c r="C7" s="360">
        <f t="shared" ref="C7:H7" si="0">B7-1</f>
        <v>-2</v>
      </c>
      <c r="D7" s="360">
        <f t="shared" si="0"/>
        <v>-3</v>
      </c>
      <c r="E7" s="360">
        <f t="shared" si="0"/>
        <v>-4</v>
      </c>
      <c r="F7" s="360">
        <f t="shared" si="0"/>
        <v>-5</v>
      </c>
      <c r="G7" s="360">
        <f t="shared" si="0"/>
        <v>-6</v>
      </c>
      <c r="H7" s="360">
        <f t="shared" si="0"/>
        <v>-7</v>
      </c>
      <c r="I7" s="360">
        <f t="shared" ref="I7" si="1">H7-1</f>
        <v>-8</v>
      </c>
      <c r="J7" s="360">
        <f>I7-1</f>
        <v>-9</v>
      </c>
      <c r="K7" s="360">
        <f>J7-1</f>
        <v>-10</v>
      </c>
      <c r="M7" s="32"/>
      <c r="N7" s="135"/>
      <c r="O7" s="32"/>
      <c r="P7" s="129"/>
      <c r="Q7" s="135"/>
      <c r="R7" s="32"/>
      <c r="S7" s="91"/>
      <c r="T7" s="135"/>
      <c r="U7" s="32"/>
    </row>
    <row r="8" spans="1:21" s="28" customFormat="1" ht="5.0999999999999996" customHeight="1">
      <c r="A8" s="32"/>
      <c r="B8" s="32"/>
      <c r="C8" s="135"/>
      <c r="D8" s="32"/>
      <c r="E8" s="32"/>
      <c r="F8" s="32"/>
      <c r="G8" s="136"/>
      <c r="H8" s="136"/>
      <c r="I8" s="215"/>
      <c r="J8" s="215"/>
      <c r="K8" s="215"/>
    </row>
    <row r="9" spans="1:21" s="28" customFormat="1">
      <c r="A9" s="35" t="str">
        <f>+'Morbidity Distribution'!A23</f>
        <v>0 - 4</v>
      </c>
      <c r="B9" s="133">
        <f t="shared" ref="B9:B26" si="2">1-B34</f>
        <v>0.95</v>
      </c>
      <c r="C9" s="91">
        <f>+'Prod2 Costs'!B9+'Prod1 Costs'!B9</f>
        <v>20752</v>
      </c>
      <c r="D9" s="194">
        <f>+'Provider Costs'!B10</f>
        <v>180</v>
      </c>
      <c r="E9" s="164">
        <f t="shared" ref="E9:E26" si="3">+D9*C9</f>
        <v>3735360</v>
      </c>
      <c r="F9" s="91">
        <f>+'Prod2 Costs'!F9+'Prod1 Costs'!E9</f>
        <v>5653</v>
      </c>
      <c r="G9" s="164">
        <f>+'Provider Costs'!F10</f>
        <v>12100.000000000002</v>
      </c>
      <c r="H9" s="164">
        <f t="shared" ref="H9:H26" si="4">+G9*F9</f>
        <v>68401300.000000015</v>
      </c>
      <c r="I9" s="91">
        <f>+'Prod2 Costs'!J9+'Prod1 Costs'!H9</f>
        <v>2</v>
      </c>
      <c r="J9" s="254">
        <f>+'Provider Costs'!J10</f>
        <v>38500</v>
      </c>
      <c r="K9" s="30">
        <f t="shared" ref="K9:K26" si="5">+J9*I9</f>
        <v>77000</v>
      </c>
      <c r="M9" s="35" t="str">
        <f t="shared" ref="M9:M26" si="6">+A34</f>
        <v>0 - 4</v>
      </c>
      <c r="N9" s="91">
        <f t="shared" ref="N9:N26" si="7">+C9+C34</f>
        <v>21753</v>
      </c>
      <c r="O9" s="407">
        <f t="shared" ref="O9:O26" si="8">(E9+E34)/1000000</f>
        <v>4.3609850000000003</v>
      </c>
      <c r="P9" s="63"/>
      <c r="Q9" s="91">
        <f t="shared" ref="Q9:Q26" si="9">+F9+F34</f>
        <v>5925</v>
      </c>
      <c r="R9" s="407">
        <f t="shared" ref="R9:R26" si="10">(H9+H34)/1000000</f>
        <v>91.589300000000009</v>
      </c>
      <c r="S9" s="91"/>
      <c r="T9" s="91">
        <f t="shared" ref="T9:T26" si="11">+I9+I34</f>
        <v>2</v>
      </c>
      <c r="U9" s="407">
        <f t="shared" ref="U9:U26" si="12">(K9+K34)/1000000</f>
        <v>7.6999999999999999E-2</v>
      </c>
    </row>
    <row r="10" spans="1:21" s="28" customFormat="1">
      <c r="A10" s="35" t="str">
        <f>+'Morbidity Distribution'!A24</f>
        <v>5 - 9</v>
      </c>
      <c r="B10" s="133">
        <f t="shared" si="2"/>
        <v>0.9</v>
      </c>
      <c r="C10" s="91">
        <f>+'Prod2 Costs'!B10+'Prod1 Costs'!B10</f>
        <v>14818</v>
      </c>
      <c r="D10" s="194">
        <f>+'Provider Costs'!B11</f>
        <v>150</v>
      </c>
      <c r="E10" s="164">
        <f t="shared" si="3"/>
        <v>2222700</v>
      </c>
      <c r="F10" s="91">
        <f>+'Prod2 Costs'!F10+'Prod1 Costs'!E10</f>
        <v>1293</v>
      </c>
      <c r="G10" s="164">
        <f>+'Provider Costs'!F11</f>
        <v>15950.000000000002</v>
      </c>
      <c r="H10" s="164">
        <f t="shared" si="4"/>
        <v>20623350.000000004</v>
      </c>
      <c r="I10" s="91">
        <f>+'Prod2 Costs'!J10+'Prod1 Costs'!H10</f>
        <v>2</v>
      </c>
      <c r="J10" s="254">
        <f>+'Provider Costs'!J11</f>
        <v>27500.000000000004</v>
      </c>
      <c r="K10" s="30">
        <f t="shared" si="5"/>
        <v>55000.000000000007</v>
      </c>
      <c r="M10" s="35" t="str">
        <f t="shared" si="6"/>
        <v>5 - 9</v>
      </c>
      <c r="N10" s="91">
        <f t="shared" si="7"/>
        <v>16338</v>
      </c>
      <c r="O10" s="407">
        <f t="shared" si="8"/>
        <v>3.1726999999999999</v>
      </c>
      <c r="P10" s="63"/>
      <c r="Q10" s="91">
        <f t="shared" si="9"/>
        <v>1425</v>
      </c>
      <c r="R10" s="407">
        <f t="shared" si="10"/>
        <v>26.431350000000005</v>
      </c>
      <c r="S10" s="91"/>
      <c r="T10" s="91">
        <f t="shared" si="11"/>
        <v>2</v>
      </c>
      <c r="U10" s="407">
        <f t="shared" si="12"/>
        <v>5.5000000000000007E-2</v>
      </c>
    </row>
    <row r="11" spans="1:21" s="28" customFormat="1">
      <c r="A11" s="35" t="str">
        <f>+'Morbidity Distribution'!A25</f>
        <v>10 - 14</v>
      </c>
      <c r="B11" s="133">
        <f t="shared" si="2"/>
        <v>0.9</v>
      </c>
      <c r="C11" s="91">
        <f>+'Prod2 Costs'!B11+'Prod1 Costs'!B11</f>
        <v>15050</v>
      </c>
      <c r="D11" s="194">
        <f>+'Provider Costs'!B12</f>
        <v>150</v>
      </c>
      <c r="E11" s="164">
        <f t="shared" si="3"/>
        <v>2257500</v>
      </c>
      <c r="F11" s="91">
        <f>+'Prod2 Costs'!F11+'Prod1 Costs'!E11</f>
        <v>1312</v>
      </c>
      <c r="G11" s="164">
        <f>+'Provider Costs'!F12</f>
        <v>15950.000000000002</v>
      </c>
      <c r="H11" s="164">
        <f t="shared" si="4"/>
        <v>20926400.000000004</v>
      </c>
      <c r="I11" s="91">
        <f>+'Prod2 Costs'!J11+'Prod1 Costs'!H11</f>
        <v>2</v>
      </c>
      <c r="J11" s="254">
        <f>+'Provider Costs'!J12</f>
        <v>27500.000000000004</v>
      </c>
      <c r="K11" s="30">
        <f t="shared" si="5"/>
        <v>55000.000000000007</v>
      </c>
      <c r="M11" s="35" t="str">
        <f t="shared" si="6"/>
        <v>10 - 14</v>
      </c>
      <c r="N11" s="91">
        <f t="shared" si="7"/>
        <v>16593</v>
      </c>
      <c r="O11" s="407">
        <f t="shared" si="8"/>
        <v>3.2218749999999998</v>
      </c>
      <c r="P11" s="63"/>
      <c r="Q11" s="91">
        <f t="shared" si="9"/>
        <v>1447</v>
      </c>
      <c r="R11" s="407">
        <f t="shared" si="10"/>
        <v>26.866400000000002</v>
      </c>
      <c r="S11" s="91"/>
      <c r="T11" s="91">
        <f t="shared" si="11"/>
        <v>2</v>
      </c>
      <c r="U11" s="407">
        <f t="shared" si="12"/>
        <v>5.5000000000000007E-2</v>
      </c>
    </row>
    <row r="12" spans="1:21" s="28" customFormat="1">
      <c r="A12" s="35" t="str">
        <f>+'Morbidity Distribution'!A26</f>
        <v>15 - 19</v>
      </c>
      <c r="B12" s="133">
        <f t="shared" si="2"/>
        <v>0.9</v>
      </c>
      <c r="C12" s="91">
        <f>+'Prod2 Costs'!B12+'Prod1 Costs'!B12</f>
        <v>15281</v>
      </c>
      <c r="D12" s="194">
        <f>+'Provider Costs'!B13</f>
        <v>150</v>
      </c>
      <c r="E12" s="164">
        <f t="shared" si="3"/>
        <v>2292150</v>
      </c>
      <c r="F12" s="91">
        <f>+'Prod2 Costs'!F12+'Prod1 Costs'!E12</f>
        <v>2664</v>
      </c>
      <c r="G12" s="164">
        <f>+'Provider Costs'!F13</f>
        <v>15950.000000000002</v>
      </c>
      <c r="H12" s="164">
        <f t="shared" si="4"/>
        <v>42490800.000000007</v>
      </c>
      <c r="I12" s="91">
        <f>+'Prod2 Costs'!J12+'Prod1 Costs'!H12</f>
        <v>2</v>
      </c>
      <c r="J12" s="254">
        <f>+'Provider Costs'!J13</f>
        <v>27500.000000000004</v>
      </c>
      <c r="K12" s="30">
        <f t="shared" si="5"/>
        <v>55000.000000000007</v>
      </c>
      <c r="M12" s="35" t="str">
        <f t="shared" si="6"/>
        <v>15 - 19</v>
      </c>
      <c r="N12" s="91">
        <f t="shared" si="7"/>
        <v>16848</v>
      </c>
      <c r="O12" s="407">
        <f t="shared" si="8"/>
        <v>3.271525</v>
      </c>
      <c r="P12" s="63"/>
      <c r="Q12" s="91">
        <f t="shared" si="9"/>
        <v>2937</v>
      </c>
      <c r="R12" s="407">
        <f t="shared" si="10"/>
        <v>54.502800000000008</v>
      </c>
      <c r="S12" s="91"/>
      <c r="T12" s="91">
        <f t="shared" si="11"/>
        <v>2</v>
      </c>
      <c r="U12" s="407">
        <f t="shared" si="12"/>
        <v>5.5000000000000007E-2</v>
      </c>
    </row>
    <row r="13" spans="1:21" s="28" customFormat="1">
      <c r="A13" s="35" t="str">
        <f>+'Morbidity Distribution'!A27</f>
        <v>20 - 24</v>
      </c>
      <c r="B13" s="133">
        <f t="shared" si="2"/>
        <v>0.85</v>
      </c>
      <c r="C13" s="91">
        <f>+'Prod2 Costs'!B13+'Prod1 Costs'!B13</f>
        <v>17813</v>
      </c>
      <c r="D13" s="194">
        <f>+'Provider Costs'!B14</f>
        <v>180</v>
      </c>
      <c r="E13" s="164">
        <f t="shared" si="3"/>
        <v>3206340</v>
      </c>
      <c r="F13" s="91">
        <f>+'Prod2 Costs'!F13+'Prod1 Costs'!E13</f>
        <v>3977</v>
      </c>
      <c r="G13" s="164">
        <f>+'Provider Costs'!F14</f>
        <v>20350</v>
      </c>
      <c r="H13" s="164">
        <f t="shared" si="4"/>
        <v>80931950</v>
      </c>
      <c r="I13" s="91">
        <f>+'Prod2 Costs'!J13+'Prod1 Costs'!H13</f>
        <v>5</v>
      </c>
      <c r="J13" s="254">
        <f>+'Provider Costs'!J14</f>
        <v>82500</v>
      </c>
      <c r="K13" s="30">
        <f t="shared" si="5"/>
        <v>412500</v>
      </c>
      <c r="M13" s="35" t="str">
        <f t="shared" si="6"/>
        <v>20 - 24</v>
      </c>
      <c r="N13" s="91">
        <f t="shared" si="7"/>
        <v>20688</v>
      </c>
      <c r="O13" s="407">
        <f t="shared" si="8"/>
        <v>5.5063399999999998</v>
      </c>
      <c r="P13" s="63"/>
      <c r="Q13" s="91">
        <f t="shared" si="9"/>
        <v>4619</v>
      </c>
      <c r="R13" s="407">
        <f t="shared" si="10"/>
        <v>112.71095</v>
      </c>
      <c r="S13" s="91"/>
      <c r="T13" s="91">
        <f t="shared" si="11"/>
        <v>5</v>
      </c>
      <c r="U13" s="407">
        <f t="shared" si="12"/>
        <v>0.41249999999999998</v>
      </c>
    </row>
    <row r="14" spans="1:21" s="28" customFormat="1">
      <c r="A14" s="35" t="str">
        <f>+'Morbidity Distribution'!A28</f>
        <v>25 - 29</v>
      </c>
      <c r="B14" s="133">
        <f t="shared" si="2"/>
        <v>0.85</v>
      </c>
      <c r="C14" s="91">
        <f>+'Prod2 Costs'!B14+'Prod1 Costs'!B14</f>
        <v>17070</v>
      </c>
      <c r="D14" s="194">
        <f>+'Provider Costs'!B15</f>
        <v>180</v>
      </c>
      <c r="E14" s="164">
        <f t="shared" si="3"/>
        <v>3072600</v>
      </c>
      <c r="F14" s="91">
        <f>+'Prod2 Costs'!F14+'Prod1 Costs'!E14</f>
        <v>4938</v>
      </c>
      <c r="G14" s="164">
        <f>+'Provider Costs'!F15</f>
        <v>20350</v>
      </c>
      <c r="H14" s="164">
        <f t="shared" si="4"/>
        <v>100488300</v>
      </c>
      <c r="I14" s="91">
        <f>+'Prod2 Costs'!J14+'Prod1 Costs'!H14</f>
        <v>5</v>
      </c>
      <c r="J14" s="164">
        <f>+'Provider Costs'!J15</f>
        <v>82500</v>
      </c>
      <c r="K14" s="91">
        <f t="shared" si="5"/>
        <v>412500</v>
      </c>
      <c r="M14" s="35" t="str">
        <f t="shared" si="6"/>
        <v>25 - 29</v>
      </c>
      <c r="N14" s="91">
        <f t="shared" si="7"/>
        <v>19826</v>
      </c>
      <c r="O14" s="407">
        <f t="shared" si="8"/>
        <v>5.2774000000000001</v>
      </c>
      <c r="P14" s="63"/>
      <c r="Q14" s="91">
        <f t="shared" si="9"/>
        <v>5735</v>
      </c>
      <c r="R14" s="407">
        <f t="shared" si="10"/>
        <v>139.93979999999999</v>
      </c>
      <c r="S14" s="91"/>
      <c r="T14" s="91">
        <f t="shared" si="11"/>
        <v>5</v>
      </c>
      <c r="U14" s="407">
        <f t="shared" si="12"/>
        <v>0.41249999999999998</v>
      </c>
    </row>
    <row r="15" spans="1:21" s="28" customFormat="1">
      <c r="A15" s="35" t="str">
        <f>+'Morbidity Distribution'!A29</f>
        <v>30 - 34</v>
      </c>
      <c r="B15" s="133">
        <f t="shared" si="2"/>
        <v>0.85</v>
      </c>
      <c r="C15" s="91">
        <f>+'Prod2 Costs'!B15+'Prod1 Costs'!B15</f>
        <v>16822</v>
      </c>
      <c r="D15" s="194">
        <f>+'Provider Costs'!B16</f>
        <v>180</v>
      </c>
      <c r="E15" s="164">
        <f t="shared" si="3"/>
        <v>3027960</v>
      </c>
      <c r="F15" s="91">
        <f>+'Prod2 Costs'!F15+'Prod1 Costs'!E15</f>
        <v>4866</v>
      </c>
      <c r="G15" s="164">
        <f>+'Provider Costs'!F16</f>
        <v>20350</v>
      </c>
      <c r="H15" s="164">
        <f t="shared" si="4"/>
        <v>99023100</v>
      </c>
      <c r="I15" s="91">
        <f>+'Prod2 Costs'!J15+'Prod1 Costs'!H15</f>
        <v>5</v>
      </c>
      <c r="J15" s="164">
        <f>+'Provider Costs'!J16</f>
        <v>82500</v>
      </c>
      <c r="K15" s="91">
        <f t="shared" si="5"/>
        <v>412500</v>
      </c>
      <c r="M15" s="35" t="str">
        <f t="shared" si="6"/>
        <v>30 - 34</v>
      </c>
      <c r="N15" s="91">
        <f t="shared" si="7"/>
        <v>19538</v>
      </c>
      <c r="O15" s="407">
        <f t="shared" si="8"/>
        <v>5.2007599999999998</v>
      </c>
      <c r="P15" s="63"/>
      <c r="Q15" s="91">
        <f t="shared" si="9"/>
        <v>5652</v>
      </c>
      <c r="R15" s="407">
        <f t="shared" si="10"/>
        <v>137.93010000000001</v>
      </c>
      <c r="S15" s="91"/>
      <c r="T15" s="91">
        <f t="shared" si="11"/>
        <v>5</v>
      </c>
      <c r="U15" s="407">
        <f t="shared" si="12"/>
        <v>0.41249999999999998</v>
      </c>
    </row>
    <row r="16" spans="1:21" s="28" customFormat="1">
      <c r="A16" s="35" t="str">
        <f>+'Morbidity Distribution'!A30</f>
        <v>35 - 39</v>
      </c>
      <c r="B16" s="133">
        <f t="shared" si="2"/>
        <v>0.85</v>
      </c>
      <c r="C16" s="91">
        <f>+'Prod2 Costs'!B16+'Prod1 Costs'!B16</f>
        <v>15339</v>
      </c>
      <c r="D16" s="194">
        <f>+'Provider Costs'!B17</f>
        <v>180</v>
      </c>
      <c r="E16" s="164">
        <f t="shared" si="3"/>
        <v>2761020</v>
      </c>
      <c r="F16" s="91">
        <f>+'Prod2 Costs'!F16+'Prod1 Costs'!E16</f>
        <v>3424</v>
      </c>
      <c r="G16" s="164">
        <f>+'Provider Costs'!F17</f>
        <v>20350</v>
      </c>
      <c r="H16" s="164">
        <f t="shared" si="4"/>
        <v>69678400</v>
      </c>
      <c r="I16" s="91">
        <f>+'Prod2 Costs'!J16+'Prod1 Costs'!H16</f>
        <v>5</v>
      </c>
      <c r="J16" s="164">
        <f>+'Provider Costs'!J17</f>
        <v>82500</v>
      </c>
      <c r="K16" s="91">
        <f t="shared" si="5"/>
        <v>412500</v>
      </c>
      <c r="M16" s="35" t="str">
        <f t="shared" si="6"/>
        <v>35 - 39</v>
      </c>
      <c r="N16" s="91">
        <f t="shared" si="7"/>
        <v>17815</v>
      </c>
      <c r="O16" s="407">
        <f t="shared" si="8"/>
        <v>4.7418199999999997</v>
      </c>
      <c r="P16" s="63"/>
      <c r="Q16" s="91">
        <f t="shared" si="9"/>
        <v>3977</v>
      </c>
      <c r="R16" s="407">
        <f t="shared" si="10"/>
        <v>97.051900000000003</v>
      </c>
      <c r="S16" s="91"/>
      <c r="T16" s="91">
        <f t="shared" si="11"/>
        <v>5</v>
      </c>
      <c r="U16" s="407">
        <f t="shared" si="12"/>
        <v>0.41249999999999998</v>
      </c>
    </row>
    <row r="17" spans="1:21" s="28" customFormat="1">
      <c r="A17" s="35" t="str">
        <f>+'Morbidity Distribution'!A31</f>
        <v>40 - 44</v>
      </c>
      <c r="B17" s="133">
        <f t="shared" si="2"/>
        <v>0.85</v>
      </c>
      <c r="C17" s="91">
        <f>+'Prod2 Costs'!B17+'Prod1 Costs'!B17</f>
        <v>16080</v>
      </c>
      <c r="D17" s="194">
        <f>+'Provider Costs'!B18</f>
        <v>180</v>
      </c>
      <c r="E17" s="164">
        <f t="shared" si="3"/>
        <v>2894400</v>
      </c>
      <c r="F17" s="91">
        <f>+'Prod2 Costs'!F17+'Prod1 Costs'!E17</f>
        <v>2491</v>
      </c>
      <c r="G17" s="164">
        <f>+'Provider Costs'!F18</f>
        <v>20350</v>
      </c>
      <c r="H17" s="164">
        <f t="shared" si="4"/>
        <v>50691850</v>
      </c>
      <c r="I17" s="91">
        <f>+'Prod2 Costs'!J17+'Prod1 Costs'!H17</f>
        <v>5</v>
      </c>
      <c r="J17" s="164">
        <f>+'Provider Costs'!J18</f>
        <v>82500</v>
      </c>
      <c r="K17" s="91">
        <f t="shared" si="5"/>
        <v>412500</v>
      </c>
      <c r="M17" s="35" t="str">
        <f t="shared" si="6"/>
        <v>40 - 44</v>
      </c>
      <c r="N17" s="91">
        <f t="shared" si="7"/>
        <v>18677</v>
      </c>
      <c r="O17" s="407">
        <f t="shared" si="8"/>
        <v>4.9720000000000004</v>
      </c>
      <c r="P17" s="63"/>
      <c r="Q17" s="91">
        <f t="shared" si="9"/>
        <v>2893</v>
      </c>
      <c r="R17" s="407">
        <f t="shared" si="10"/>
        <v>70.590850000000003</v>
      </c>
      <c r="S17" s="91"/>
      <c r="T17" s="91">
        <f t="shared" si="11"/>
        <v>5</v>
      </c>
      <c r="U17" s="407">
        <f t="shared" si="12"/>
        <v>0.41249999999999998</v>
      </c>
    </row>
    <row r="18" spans="1:21" s="28" customFormat="1">
      <c r="A18" s="35" t="str">
        <f>+'Morbidity Distribution'!A32</f>
        <v>45 - 49</v>
      </c>
      <c r="B18" s="133">
        <f t="shared" si="2"/>
        <v>0.8</v>
      </c>
      <c r="C18" s="91">
        <f>+'Prod2 Costs'!B18+'Prod1 Costs'!B18</f>
        <v>15455</v>
      </c>
      <c r="D18" s="194">
        <f>+'Provider Costs'!B19</f>
        <v>180</v>
      </c>
      <c r="E18" s="164">
        <f t="shared" si="3"/>
        <v>2781900</v>
      </c>
      <c r="F18" s="91">
        <f>+'Prod2 Costs'!F18+'Prod1 Costs'!E18</f>
        <v>1725</v>
      </c>
      <c r="G18" s="164">
        <f>+'Provider Costs'!F19</f>
        <v>20350</v>
      </c>
      <c r="H18" s="164">
        <f t="shared" si="4"/>
        <v>35103750</v>
      </c>
      <c r="I18" s="91">
        <f>+'Prod2 Costs'!J18+'Prod1 Costs'!H18</f>
        <v>5</v>
      </c>
      <c r="J18" s="164">
        <f>+'Provider Costs'!J19</f>
        <v>99000.000000000015</v>
      </c>
      <c r="K18" s="91">
        <f t="shared" si="5"/>
        <v>495000.00000000006</v>
      </c>
      <c r="M18" s="35" t="str">
        <f t="shared" si="6"/>
        <v>45 - 49</v>
      </c>
      <c r="N18" s="91">
        <f t="shared" si="7"/>
        <v>18963</v>
      </c>
      <c r="O18" s="407">
        <f t="shared" si="8"/>
        <v>5.5883000000000003</v>
      </c>
      <c r="P18" s="63"/>
      <c r="Q18" s="91">
        <f t="shared" si="9"/>
        <v>2117</v>
      </c>
      <c r="R18" s="407">
        <f t="shared" si="10"/>
        <v>54.507750000000001</v>
      </c>
      <c r="S18" s="91"/>
      <c r="T18" s="91">
        <f t="shared" si="11"/>
        <v>5</v>
      </c>
      <c r="U18" s="407">
        <f t="shared" si="12"/>
        <v>0.49500000000000005</v>
      </c>
    </row>
    <row r="19" spans="1:21" s="28" customFormat="1">
      <c r="A19" s="35" t="str">
        <f>+'Morbidity Distribution'!A33</f>
        <v>50 - 54</v>
      </c>
      <c r="B19" s="133">
        <f t="shared" si="2"/>
        <v>0.75</v>
      </c>
      <c r="C19" s="91">
        <f>+'Prod2 Costs'!B19+'Prod1 Costs'!B19</f>
        <v>15689</v>
      </c>
      <c r="D19" s="194">
        <f>+'Provider Costs'!B20</f>
        <v>250</v>
      </c>
      <c r="E19" s="164">
        <f t="shared" si="3"/>
        <v>3922250</v>
      </c>
      <c r="F19" s="91">
        <f>+'Prod2 Costs'!F19+'Prod1 Costs'!E19</f>
        <v>1215</v>
      </c>
      <c r="G19" s="164">
        <f>+'Provider Costs'!F20</f>
        <v>24750.000000000004</v>
      </c>
      <c r="H19" s="164">
        <f t="shared" si="4"/>
        <v>30071250.000000004</v>
      </c>
      <c r="I19" s="91">
        <f>+'Prod2 Costs'!J19+'Prod1 Costs'!H19</f>
        <v>4</v>
      </c>
      <c r="J19" s="164">
        <f>+'Provider Costs'!J20</f>
        <v>132000</v>
      </c>
      <c r="K19" s="91">
        <f t="shared" si="5"/>
        <v>528000</v>
      </c>
      <c r="M19" s="35" t="str">
        <f t="shared" si="6"/>
        <v>50 - 54</v>
      </c>
      <c r="N19" s="91">
        <f t="shared" si="7"/>
        <v>20401</v>
      </c>
      <c r="O19" s="407">
        <f t="shared" si="8"/>
        <v>7.6918499999999996</v>
      </c>
      <c r="P19" s="63"/>
      <c r="Q19" s="91">
        <f t="shared" si="9"/>
        <v>1580</v>
      </c>
      <c r="R19" s="407">
        <f t="shared" si="10"/>
        <v>46.131250000000001</v>
      </c>
      <c r="S19" s="91"/>
      <c r="T19" s="91">
        <f t="shared" si="11"/>
        <v>5</v>
      </c>
      <c r="U19" s="407">
        <f t="shared" si="12"/>
        <v>0.66</v>
      </c>
    </row>
    <row r="20" spans="1:21" s="28" customFormat="1">
      <c r="A20" s="35" t="str">
        <f>+'Morbidity Distribution'!A34</f>
        <v>55 - 59</v>
      </c>
      <c r="B20" s="133">
        <f t="shared" si="2"/>
        <v>0.65</v>
      </c>
      <c r="C20" s="91">
        <f>+'Prod2 Costs'!B20+'Prod1 Costs'!B20</f>
        <v>10108</v>
      </c>
      <c r="D20" s="194">
        <f>+'Provider Costs'!B21</f>
        <v>250</v>
      </c>
      <c r="E20" s="164">
        <f t="shared" si="3"/>
        <v>2527000</v>
      </c>
      <c r="F20" s="91">
        <f>+'Prod2 Costs'!F20+'Prod1 Costs'!E20</f>
        <v>711</v>
      </c>
      <c r="G20" s="164">
        <f>+'Provider Costs'!F21</f>
        <v>24750.000000000004</v>
      </c>
      <c r="H20" s="164">
        <f t="shared" si="4"/>
        <v>17597250.000000004</v>
      </c>
      <c r="I20" s="91">
        <f>+'Prod2 Costs'!J20+'Prod1 Costs'!H20</f>
        <v>3</v>
      </c>
      <c r="J20" s="164">
        <f>+'Provider Costs'!J21</f>
        <v>132000</v>
      </c>
      <c r="K20" s="91">
        <f t="shared" si="5"/>
        <v>396000</v>
      </c>
      <c r="M20" s="35" t="str">
        <f t="shared" si="6"/>
        <v>55 - 59</v>
      </c>
      <c r="N20" s="91">
        <f t="shared" si="7"/>
        <v>14954</v>
      </c>
      <c r="O20" s="407">
        <f t="shared" si="8"/>
        <v>6.4038000000000004</v>
      </c>
      <c r="P20" s="63"/>
      <c r="Q20" s="91">
        <f t="shared" si="9"/>
        <v>1052</v>
      </c>
      <c r="R20" s="407">
        <f t="shared" si="10"/>
        <v>32.60125</v>
      </c>
      <c r="S20" s="91"/>
      <c r="T20" s="91">
        <f t="shared" si="11"/>
        <v>5</v>
      </c>
      <c r="U20" s="407">
        <f t="shared" si="12"/>
        <v>0.66</v>
      </c>
    </row>
    <row r="21" spans="1:21" s="28" customFormat="1">
      <c r="A21" s="35" t="str">
        <f>+'Morbidity Distribution'!A35</f>
        <v>60 - 64</v>
      </c>
      <c r="B21" s="133">
        <f t="shared" si="2"/>
        <v>0.6</v>
      </c>
      <c r="C21" s="91">
        <f>+'Prod2 Costs'!B21+'Prod1 Costs'!B21</f>
        <v>5836</v>
      </c>
      <c r="D21" s="194">
        <f>+'Provider Costs'!B22</f>
        <v>250</v>
      </c>
      <c r="E21" s="164">
        <f t="shared" si="3"/>
        <v>1459000</v>
      </c>
      <c r="F21" s="91">
        <f>+'Prod2 Costs'!F21+'Prod1 Costs'!E21</f>
        <v>359</v>
      </c>
      <c r="G21" s="164">
        <f>+'Provider Costs'!F22</f>
        <v>24750.000000000004</v>
      </c>
      <c r="H21" s="164">
        <f t="shared" si="4"/>
        <v>8885250.0000000019</v>
      </c>
      <c r="I21" s="91">
        <f>+'Prod2 Costs'!J21+'Prod1 Costs'!H21</f>
        <v>3</v>
      </c>
      <c r="J21" s="164">
        <f>+'Provider Costs'!J22</f>
        <v>132000</v>
      </c>
      <c r="K21" s="91">
        <f t="shared" si="5"/>
        <v>396000</v>
      </c>
      <c r="M21" s="35" t="str">
        <f t="shared" si="6"/>
        <v>60 - 64</v>
      </c>
      <c r="N21" s="91">
        <f t="shared" si="7"/>
        <v>9263</v>
      </c>
      <c r="O21" s="407">
        <f t="shared" si="8"/>
        <v>4.2005999999999997</v>
      </c>
      <c r="P21" s="63"/>
      <c r="Q21" s="91">
        <f t="shared" si="9"/>
        <v>569</v>
      </c>
      <c r="R21" s="407">
        <f t="shared" si="10"/>
        <v>18.125250000000001</v>
      </c>
      <c r="S21" s="91"/>
      <c r="T21" s="91">
        <f t="shared" si="11"/>
        <v>5</v>
      </c>
      <c r="U21" s="407">
        <f t="shared" si="12"/>
        <v>0.66</v>
      </c>
    </row>
    <row r="22" spans="1:21" s="28" customFormat="1">
      <c r="A22" s="35" t="str">
        <f>+'Morbidity Distribution'!A36</f>
        <v>65 - 69</v>
      </c>
      <c r="B22" s="133">
        <f t="shared" si="2"/>
        <v>0.55000000000000004</v>
      </c>
      <c r="C22" s="91">
        <f>+'Prod2 Costs'!B22+'Prod1 Costs'!B22</f>
        <v>2679</v>
      </c>
      <c r="D22" s="194">
        <f>+'Provider Costs'!B23</f>
        <v>225</v>
      </c>
      <c r="E22" s="164">
        <f t="shared" si="3"/>
        <v>602775</v>
      </c>
      <c r="F22" s="91">
        <f>+'Prod2 Costs'!F22+'Prod1 Costs'!E22</f>
        <v>183</v>
      </c>
      <c r="G22" s="164">
        <f>+'Provider Costs'!F23</f>
        <v>13750.000000000002</v>
      </c>
      <c r="H22" s="164">
        <f t="shared" si="4"/>
        <v>2516250.0000000005</v>
      </c>
      <c r="I22" s="91">
        <f>+'Prod2 Costs'!J22+'Prod1 Costs'!H22</f>
        <v>2</v>
      </c>
      <c r="J22" s="164">
        <f>+'Provider Costs'!J23</f>
        <v>66000</v>
      </c>
      <c r="K22" s="91">
        <f t="shared" si="5"/>
        <v>132000</v>
      </c>
      <c r="M22" s="35" t="str">
        <f t="shared" si="6"/>
        <v>65 - 69</v>
      </c>
      <c r="N22" s="91">
        <f t="shared" si="7"/>
        <v>4587</v>
      </c>
      <c r="O22" s="407">
        <f t="shared" si="8"/>
        <v>1.842975</v>
      </c>
      <c r="P22" s="63"/>
      <c r="Q22" s="91">
        <f t="shared" si="9"/>
        <v>314</v>
      </c>
      <c r="R22" s="407">
        <f t="shared" si="10"/>
        <v>6.1187500000000012</v>
      </c>
      <c r="S22" s="91"/>
      <c r="T22" s="91">
        <f t="shared" si="11"/>
        <v>3</v>
      </c>
      <c r="U22" s="407">
        <f t="shared" si="12"/>
        <v>0.19800000000000001</v>
      </c>
    </row>
    <row r="23" spans="1:21" s="28" customFormat="1">
      <c r="A23" s="35" t="str">
        <f>+'Morbidity Distribution'!A37</f>
        <v>70 - 74</v>
      </c>
      <c r="B23" s="133">
        <f t="shared" si="2"/>
        <v>0.5</v>
      </c>
      <c r="C23" s="91">
        <f>+'Prod2 Costs'!B23+'Prod1 Costs'!B23</f>
        <v>1797</v>
      </c>
      <c r="D23" s="194">
        <f>+'Provider Costs'!B24</f>
        <v>225</v>
      </c>
      <c r="E23" s="164">
        <f t="shared" si="3"/>
        <v>404325</v>
      </c>
      <c r="F23" s="91">
        <f>+'Prod2 Costs'!F23+'Prod1 Costs'!E23</f>
        <v>123</v>
      </c>
      <c r="G23" s="164">
        <f>+'Provider Costs'!F24</f>
        <v>12650.000000000002</v>
      </c>
      <c r="H23" s="164">
        <f t="shared" si="4"/>
        <v>1555950.0000000002</v>
      </c>
      <c r="I23" s="91">
        <f>+'Prod2 Costs'!J23+'Prod1 Costs'!H23</f>
        <v>2</v>
      </c>
      <c r="J23" s="164">
        <f>+'Provider Costs'!J24</f>
        <v>39050</v>
      </c>
      <c r="K23" s="91">
        <f t="shared" si="5"/>
        <v>78100</v>
      </c>
      <c r="M23" s="35" t="str">
        <f t="shared" si="6"/>
        <v>70 - 74</v>
      </c>
      <c r="N23" s="91">
        <f t="shared" si="7"/>
        <v>3345</v>
      </c>
      <c r="O23" s="407">
        <f t="shared" si="8"/>
        <v>1.1783250000000001</v>
      </c>
      <c r="P23" s="63"/>
      <c r="Q23" s="91">
        <f t="shared" si="9"/>
        <v>229</v>
      </c>
      <c r="R23" s="407">
        <f t="shared" si="10"/>
        <v>3.3049499999999998</v>
      </c>
      <c r="S23" s="91"/>
      <c r="T23" s="91">
        <f t="shared" si="11"/>
        <v>2</v>
      </c>
      <c r="U23" s="407">
        <f t="shared" si="12"/>
        <v>7.8100000000000003E-2</v>
      </c>
    </row>
    <row r="24" spans="1:21" s="28" customFormat="1">
      <c r="A24" s="35" t="str">
        <f>+'Morbidity Distribution'!A38</f>
        <v>75 - 79</v>
      </c>
      <c r="B24" s="133">
        <f t="shared" si="2"/>
        <v>0.44999999999999996</v>
      </c>
      <c r="C24" s="91">
        <f>+'Prod2 Costs'!B24+'Prod1 Costs'!B24</f>
        <v>1173</v>
      </c>
      <c r="D24" s="194">
        <f>+'Provider Costs'!B25</f>
        <v>225</v>
      </c>
      <c r="E24" s="164">
        <f t="shared" si="3"/>
        <v>263925</v>
      </c>
      <c r="F24" s="91">
        <f>+'Prod2 Costs'!F24+'Prod1 Costs'!E24</f>
        <v>80</v>
      </c>
      <c r="G24" s="164">
        <f>+'Provider Costs'!F25</f>
        <v>12650.000000000002</v>
      </c>
      <c r="H24" s="164">
        <f t="shared" si="4"/>
        <v>1012000.0000000001</v>
      </c>
      <c r="I24" s="91">
        <f>+'Prod2 Costs'!J24+'Prod1 Costs'!H24</f>
        <v>2</v>
      </c>
      <c r="J24" s="164">
        <f>+'Provider Costs'!J25</f>
        <v>39050</v>
      </c>
      <c r="K24" s="91">
        <f t="shared" si="5"/>
        <v>78100</v>
      </c>
      <c r="M24" s="35" t="str">
        <f t="shared" si="6"/>
        <v>75 - 79</v>
      </c>
      <c r="N24" s="91">
        <f t="shared" si="7"/>
        <v>2389</v>
      </c>
      <c r="O24" s="407">
        <f t="shared" si="8"/>
        <v>0.87192499999999995</v>
      </c>
      <c r="P24" s="63"/>
      <c r="Q24" s="91">
        <f t="shared" si="9"/>
        <v>163</v>
      </c>
      <c r="R24" s="407">
        <f t="shared" si="10"/>
        <v>2.3815</v>
      </c>
      <c r="S24" s="91"/>
      <c r="T24" s="91">
        <f t="shared" si="11"/>
        <v>2</v>
      </c>
      <c r="U24" s="407">
        <f t="shared" si="12"/>
        <v>7.8100000000000003E-2</v>
      </c>
    </row>
    <row r="25" spans="1:21" s="28" customFormat="1">
      <c r="A25" s="35" t="str">
        <f>+'Morbidity Distribution'!A39</f>
        <v>80 - 84</v>
      </c>
      <c r="B25" s="133">
        <f t="shared" si="2"/>
        <v>0.44999999999999996</v>
      </c>
      <c r="C25" s="91">
        <f>+'Prod2 Costs'!B25+'Prod1 Costs'!B25</f>
        <v>845</v>
      </c>
      <c r="D25" s="194">
        <f>+'Provider Costs'!B26</f>
        <v>225</v>
      </c>
      <c r="E25" s="164">
        <f t="shared" si="3"/>
        <v>190125</v>
      </c>
      <c r="F25" s="91">
        <f>+'Prod2 Costs'!F25+'Prod1 Costs'!E25</f>
        <v>58</v>
      </c>
      <c r="G25" s="164">
        <f>+'Provider Costs'!F26</f>
        <v>12650.000000000002</v>
      </c>
      <c r="H25" s="164">
        <f t="shared" si="4"/>
        <v>733700.00000000012</v>
      </c>
      <c r="I25" s="91">
        <f>+'Prod2 Costs'!J25+'Prod1 Costs'!H25</f>
        <v>1</v>
      </c>
      <c r="J25" s="164">
        <f>+'Provider Costs'!J26</f>
        <v>39050</v>
      </c>
      <c r="K25" s="91">
        <f t="shared" si="5"/>
        <v>39050</v>
      </c>
      <c r="M25" s="35" t="str">
        <f t="shared" si="6"/>
        <v>80 - 84</v>
      </c>
      <c r="N25" s="91">
        <f t="shared" si="7"/>
        <v>1720</v>
      </c>
      <c r="O25" s="407">
        <f t="shared" si="8"/>
        <v>0.62762499999999999</v>
      </c>
      <c r="P25" s="63"/>
      <c r="Q25" s="91">
        <f t="shared" si="9"/>
        <v>118</v>
      </c>
      <c r="R25" s="407">
        <f t="shared" si="10"/>
        <v>1.7237</v>
      </c>
      <c r="S25" s="91"/>
      <c r="T25" s="91">
        <f t="shared" si="11"/>
        <v>1</v>
      </c>
      <c r="U25" s="407">
        <f t="shared" si="12"/>
        <v>3.9050000000000001E-2</v>
      </c>
    </row>
    <row r="26" spans="1:21" s="28" customFormat="1">
      <c r="A26" s="35" t="str">
        <f>+'Morbidity Distribution'!A40</f>
        <v>85+</v>
      </c>
      <c r="B26" s="133">
        <f t="shared" si="2"/>
        <v>0.44999999999999996</v>
      </c>
      <c r="C26" s="91">
        <f>+'Prod2 Costs'!B26+'Prod1 Costs'!B26</f>
        <v>891</v>
      </c>
      <c r="D26" s="194">
        <f>+'Provider Costs'!B27</f>
        <v>225</v>
      </c>
      <c r="E26" s="164">
        <f t="shared" si="3"/>
        <v>200475</v>
      </c>
      <c r="F26" s="91">
        <f>+'Prod2 Costs'!F26+'Prod1 Costs'!E26</f>
        <v>61</v>
      </c>
      <c r="G26" s="164">
        <f>+'Provider Costs'!F27</f>
        <v>12650.000000000002</v>
      </c>
      <c r="H26" s="164">
        <f t="shared" si="4"/>
        <v>771650.00000000012</v>
      </c>
      <c r="I26" s="91">
        <f>+'Prod2 Costs'!J26+'Prod1 Costs'!H26</f>
        <v>1</v>
      </c>
      <c r="J26" s="164">
        <f>+'Provider Costs'!J27</f>
        <v>39050</v>
      </c>
      <c r="K26" s="91">
        <f t="shared" si="5"/>
        <v>39050</v>
      </c>
      <c r="M26" s="35" t="str">
        <f t="shared" si="6"/>
        <v>85+</v>
      </c>
      <c r="N26" s="91">
        <f t="shared" si="7"/>
        <v>1816</v>
      </c>
      <c r="O26" s="407">
        <f t="shared" si="8"/>
        <v>0.66297499999999998</v>
      </c>
      <c r="P26" s="63"/>
      <c r="Q26" s="91">
        <f t="shared" si="9"/>
        <v>124</v>
      </c>
      <c r="R26" s="407">
        <f t="shared" si="10"/>
        <v>1.81115</v>
      </c>
      <c r="S26" s="91"/>
      <c r="T26" s="91">
        <f t="shared" si="11"/>
        <v>1</v>
      </c>
      <c r="U26" s="407">
        <f t="shared" si="12"/>
        <v>3.9050000000000001E-2</v>
      </c>
    </row>
    <row r="27" spans="1:21" s="28" customFormat="1" ht="5.0999999999999996" customHeight="1">
      <c r="A27" s="35"/>
      <c r="B27" s="133"/>
      <c r="C27" s="91"/>
      <c r="D27" s="194"/>
      <c r="E27" s="164"/>
      <c r="F27" s="91"/>
      <c r="G27" s="164"/>
      <c r="H27" s="164"/>
      <c r="I27" s="91"/>
      <c r="J27" s="164"/>
      <c r="K27" s="91"/>
      <c r="M27" s="35"/>
      <c r="N27" s="91"/>
      <c r="O27" s="407"/>
      <c r="P27" s="63"/>
      <c r="Q27" s="91"/>
      <c r="R27" s="407"/>
      <c r="S27" s="91"/>
      <c r="T27" s="91"/>
      <c r="U27" s="407"/>
    </row>
    <row r="28" spans="1:21" s="28" customFormat="1">
      <c r="A28" s="72" t="str">
        <f>+'Morbidity Distribution'!A41</f>
        <v>Total</v>
      </c>
      <c r="C28" s="91">
        <f>SUM(C9:C26)</f>
        <v>203498</v>
      </c>
      <c r="D28" s="194"/>
      <c r="E28" s="164">
        <f>SUM(E9:E26)</f>
        <v>37821805</v>
      </c>
      <c r="F28" s="164">
        <f>SUM(F9:F26)</f>
        <v>35133</v>
      </c>
      <c r="G28" s="164"/>
      <c r="H28" s="164">
        <f>SUM(H9:H26)</f>
        <v>651502500</v>
      </c>
      <c r="I28" s="164">
        <f>SUM(I9:I26)</f>
        <v>56</v>
      </c>
      <c r="J28" s="164"/>
      <c r="K28" s="91">
        <f>SUM(K9:K26)</f>
        <v>4485800</v>
      </c>
      <c r="M28" s="35" t="s">
        <v>1</v>
      </c>
      <c r="N28" s="137">
        <f>SUM(N9:N26)</f>
        <v>245514</v>
      </c>
      <c r="O28" s="407">
        <f>SUM(O9:O26)</f>
        <v>68.793780000000012</v>
      </c>
      <c r="P28" s="63"/>
      <c r="Q28" s="137">
        <f>SUM(Q9:Q26)</f>
        <v>40876</v>
      </c>
      <c r="R28" s="407">
        <f>SUM(R9:R26)</f>
        <v>924.31900000000019</v>
      </c>
      <c r="S28" s="91"/>
      <c r="T28" s="137">
        <f>SUM(T9:T26)</f>
        <v>62</v>
      </c>
      <c r="U28" s="407">
        <f>SUM(U9:U26)</f>
        <v>5.2118000000000002</v>
      </c>
    </row>
    <row r="29" spans="1:21" s="28" customFormat="1">
      <c r="A29" s="72"/>
      <c r="C29" s="91"/>
      <c r="D29" s="194"/>
      <c r="E29" s="164"/>
      <c r="F29" s="164"/>
      <c r="G29" s="164"/>
      <c r="H29" s="164"/>
      <c r="I29" s="164"/>
      <c r="J29" s="164"/>
      <c r="K29" s="91"/>
      <c r="O29" s="133"/>
      <c r="P29" s="137"/>
      <c r="Q29" s="137"/>
      <c r="S29" s="91"/>
      <c r="T29" s="137"/>
      <c r="U29" s="409"/>
    </row>
    <row r="30" spans="1:21" s="28" customFormat="1">
      <c r="A30" s="32" t="s">
        <v>34</v>
      </c>
      <c r="B30" s="32" t="s">
        <v>6</v>
      </c>
      <c r="C30" s="131" t="s">
        <v>52</v>
      </c>
      <c r="D30" s="165"/>
      <c r="E30" s="165"/>
      <c r="F30" s="165" t="s">
        <v>67</v>
      </c>
      <c r="G30" s="261"/>
      <c r="H30" s="261"/>
      <c r="I30" s="259" t="s">
        <v>53</v>
      </c>
      <c r="J30" s="259"/>
      <c r="K30" s="75"/>
      <c r="U30" s="35"/>
    </row>
    <row r="31" spans="1:21" s="28" customFormat="1">
      <c r="A31" s="32" t="s">
        <v>35</v>
      </c>
      <c r="B31" s="32" t="s">
        <v>47</v>
      </c>
      <c r="C31" s="135" t="s">
        <v>32</v>
      </c>
      <c r="D31" s="220" t="s">
        <v>121</v>
      </c>
      <c r="E31" s="220" t="s">
        <v>140</v>
      </c>
      <c r="F31" s="220" t="s">
        <v>32</v>
      </c>
      <c r="G31" s="220" t="s">
        <v>121</v>
      </c>
      <c r="H31" s="220" t="s">
        <v>140</v>
      </c>
      <c r="I31" s="221" t="s">
        <v>36</v>
      </c>
      <c r="J31" s="220" t="s">
        <v>121</v>
      </c>
      <c r="K31" s="220" t="s">
        <v>140</v>
      </c>
      <c r="O31" s="133"/>
      <c r="S31" s="91"/>
      <c r="T31" s="91"/>
    </row>
    <row r="32" spans="1:21" s="28" customFormat="1">
      <c r="A32" s="32"/>
      <c r="B32" s="360">
        <f>K7-1</f>
        <v>-11</v>
      </c>
      <c r="C32" s="360">
        <f t="shared" ref="C32:H32" si="13">B32-1</f>
        <v>-12</v>
      </c>
      <c r="D32" s="360">
        <f t="shared" si="13"/>
        <v>-13</v>
      </c>
      <c r="E32" s="360">
        <f t="shared" si="13"/>
        <v>-14</v>
      </c>
      <c r="F32" s="360">
        <f t="shared" si="13"/>
        <v>-15</v>
      </c>
      <c r="G32" s="360">
        <f t="shared" si="13"/>
        <v>-16</v>
      </c>
      <c r="H32" s="360">
        <f t="shared" si="13"/>
        <v>-17</v>
      </c>
      <c r="I32" s="360">
        <f t="shared" ref="I32" si="14">H32-1</f>
        <v>-18</v>
      </c>
      <c r="J32" s="360">
        <f>I32-1</f>
        <v>-19</v>
      </c>
      <c r="K32" s="360">
        <f>J32-1</f>
        <v>-20</v>
      </c>
      <c r="O32" s="133"/>
      <c r="S32" s="91"/>
      <c r="T32" s="91"/>
    </row>
    <row r="33" spans="1:18" s="28" customFormat="1" ht="5.0999999999999996" customHeight="1">
      <c r="A33" s="32"/>
      <c r="B33" s="32"/>
      <c r="C33" s="135"/>
      <c r="D33" s="220"/>
      <c r="E33" s="220"/>
      <c r="F33" s="220"/>
      <c r="G33" s="260"/>
      <c r="H33" s="260"/>
      <c r="I33" s="221"/>
      <c r="J33" s="221"/>
      <c r="K33" s="215"/>
      <c r="Q33" s="131"/>
      <c r="R33" s="131"/>
    </row>
    <row r="34" spans="1:18" s="28" customFormat="1">
      <c r="A34" s="35" t="str">
        <f t="shared" ref="A34:A51" si="15">+A9</f>
        <v>0 - 4</v>
      </c>
      <c r="B34" s="133">
        <f>'Pandemic Calculations'!N14</f>
        <v>0.05</v>
      </c>
      <c r="C34" s="91">
        <f>+'Prod2 Costs'!B33+'Prod1 Costs'!K9</f>
        <v>1001</v>
      </c>
      <c r="D34" s="194">
        <f>+'Provider Costs'!B33</f>
        <v>625</v>
      </c>
      <c r="E34" s="164">
        <f t="shared" ref="E34:E51" si="16">+D34*C34</f>
        <v>625625</v>
      </c>
      <c r="F34" s="91">
        <f>+'Prod2 Costs'!F33+'Prod1 Costs'!N9</f>
        <v>272</v>
      </c>
      <c r="G34" s="164">
        <f>+'Provider Costs'!F33</f>
        <v>85250</v>
      </c>
      <c r="H34" s="164">
        <f t="shared" ref="H34:H51" si="17">+G34*F34</f>
        <v>23188000</v>
      </c>
      <c r="I34" s="91">
        <f>+'Prod2 Costs'!J33+'Prod1 Costs'!Q9</f>
        <v>0</v>
      </c>
      <c r="J34" s="254">
        <f>+'Provider Costs'!J33</f>
        <v>275000</v>
      </c>
      <c r="K34" s="30">
        <f t="shared" ref="K34:K51" si="18">+J34*I34</f>
        <v>0</v>
      </c>
      <c r="N34" s="265"/>
    </row>
    <row r="35" spans="1:18" s="28" customFormat="1">
      <c r="A35" s="35" t="str">
        <f t="shared" si="15"/>
        <v>5 - 9</v>
      </c>
      <c r="B35" s="133">
        <f>'Pandemic Calculations'!N15</f>
        <v>0.1</v>
      </c>
      <c r="C35" s="91">
        <f>+'Prod2 Costs'!B34+'Prod1 Costs'!K10</f>
        <v>1520</v>
      </c>
      <c r="D35" s="194">
        <f>+'Provider Costs'!B34</f>
        <v>625</v>
      </c>
      <c r="E35" s="164">
        <f t="shared" si="16"/>
        <v>950000</v>
      </c>
      <c r="F35" s="91">
        <f>+'Prod2 Costs'!F34+'Prod1 Costs'!N10</f>
        <v>132</v>
      </c>
      <c r="G35" s="164">
        <f>+'Provider Costs'!F34</f>
        <v>44000</v>
      </c>
      <c r="H35" s="164">
        <f t="shared" si="17"/>
        <v>5808000</v>
      </c>
      <c r="I35" s="91">
        <f>+'Prod2 Costs'!J34+'Prod1 Costs'!Q10</f>
        <v>0</v>
      </c>
      <c r="J35" s="254">
        <f>+'Provider Costs'!J34</f>
        <v>165000</v>
      </c>
      <c r="K35" s="30">
        <f t="shared" si="18"/>
        <v>0</v>
      </c>
      <c r="N35" s="50"/>
      <c r="O35" s="194"/>
    </row>
    <row r="36" spans="1:18">
      <c r="A36" s="35" t="str">
        <f t="shared" si="15"/>
        <v>10 - 14</v>
      </c>
      <c r="B36" s="133">
        <f>'Pandemic Calculations'!N16</f>
        <v>0.1</v>
      </c>
      <c r="C36" s="91">
        <f>+'Prod2 Costs'!B35+'Prod1 Costs'!K11</f>
        <v>1543</v>
      </c>
      <c r="D36" s="194">
        <f>+'Provider Costs'!B35</f>
        <v>625</v>
      </c>
      <c r="E36" s="164">
        <f t="shared" si="16"/>
        <v>964375</v>
      </c>
      <c r="F36" s="91">
        <f>+'Prod2 Costs'!F35+'Prod1 Costs'!N11</f>
        <v>135</v>
      </c>
      <c r="G36" s="164">
        <f>+'Provider Costs'!F35</f>
        <v>44000</v>
      </c>
      <c r="H36" s="164">
        <f t="shared" si="17"/>
        <v>5940000</v>
      </c>
      <c r="I36" s="91">
        <f>+'Prod2 Costs'!J35+'Prod1 Costs'!Q11</f>
        <v>0</v>
      </c>
      <c r="J36" s="254">
        <f>+'Provider Costs'!J35</f>
        <v>165000</v>
      </c>
      <c r="K36" s="30">
        <f t="shared" si="18"/>
        <v>0</v>
      </c>
      <c r="N36" s="91"/>
      <c r="O36" s="194"/>
    </row>
    <row r="37" spans="1:18">
      <c r="A37" s="35" t="str">
        <f t="shared" si="15"/>
        <v>15 - 19</v>
      </c>
      <c r="B37" s="133">
        <f>'Pandemic Calculations'!N17</f>
        <v>0.1</v>
      </c>
      <c r="C37" s="91">
        <f>+'Prod2 Costs'!B36+'Prod1 Costs'!K12</f>
        <v>1567</v>
      </c>
      <c r="D37" s="194">
        <f>+'Provider Costs'!B36</f>
        <v>625</v>
      </c>
      <c r="E37" s="164">
        <f t="shared" si="16"/>
        <v>979375</v>
      </c>
      <c r="F37" s="91">
        <f>+'Prod2 Costs'!F36+'Prod1 Costs'!N12</f>
        <v>273</v>
      </c>
      <c r="G37" s="164">
        <f>+'Provider Costs'!F36</f>
        <v>44000</v>
      </c>
      <c r="H37" s="164">
        <f t="shared" si="17"/>
        <v>12012000</v>
      </c>
      <c r="I37" s="91">
        <f>+'Prod2 Costs'!J36+'Prod1 Costs'!Q12</f>
        <v>0</v>
      </c>
      <c r="J37" s="254">
        <f>+'Provider Costs'!J36</f>
        <v>165000</v>
      </c>
      <c r="K37" s="30">
        <f t="shared" si="18"/>
        <v>0</v>
      </c>
      <c r="N37" s="91"/>
      <c r="O37" s="194"/>
    </row>
    <row r="38" spans="1:18">
      <c r="A38" s="35" t="str">
        <f t="shared" si="15"/>
        <v>20 - 24</v>
      </c>
      <c r="B38" s="133">
        <f>'Pandemic Calculations'!N18</f>
        <v>0.15</v>
      </c>
      <c r="C38" s="91">
        <f>+'Prod2 Costs'!B37+'Prod1 Costs'!K13</f>
        <v>2875</v>
      </c>
      <c r="D38" s="194">
        <f>+'Provider Costs'!B37</f>
        <v>800</v>
      </c>
      <c r="E38" s="164">
        <f t="shared" si="16"/>
        <v>2300000</v>
      </c>
      <c r="F38" s="91">
        <f>+'Prod2 Costs'!F37+'Prod1 Costs'!N13</f>
        <v>642</v>
      </c>
      <c r="G38" s="164">
        <f>+'Provider Costs'!F37</f>
        <v>49500.000000000007</v>
      </c>
      <c r="H38" s="164">
        <f t="shared" si="17"/>
        <v>31779000.000000004</v>
      </c>
      <c r="I38" s="91">
        <f>+'Prod2 Costs'!J37+'Prod1 Costs'!Q13</f>
        <v>0</v>
      </c>
      <c r="J38" s="164">
        <f>+'Provider Costs'!J37</f>
        <v>82500</v>
      </c>
      <c r="K38" s="91">
        <f t="shared" si="18"/>
        <v>0</v>
      </c>
      <c r="N38" s="91"/>
      <c r="O38" s="28"/>
    </row>
    <row r="39" spans="1:18">
      <c r="A39" s="35" t="str">
        <f t="shared" si="15"/>
        <v>25 - 29</v>
      </c>
      <c r="B39" s="133">
        <f>'Pandemic Calculations'!N19</f>
        <v>0.15</v>
      </c>
      <c r="C39" s="91">
        <f>+'Prod2 Costs'!B38+'Prod1 Costs'!K14</f>
        <v>2756</v>
      </c>
      <c r="D39" s="194">
        <f>+'Provider Costs'!B38</f>
        <v>800</v>
      </c>
      <c r="E39" s="164">
        <f t="shared" si="16"/>
        <v>2204800</v>
      </c>
      <c r="F39" s="91">
        <f>+'Prod2 Costs'!F38+'Prod1 Costs'!N14</f>
        <v>797</v>
      </c>
      <c r="G39" s="164">
        <f>+'Provider Costs'!F38</f>
        <v>49500.000000000007</v>
      </c>
      <c r="H39" s="164">
        <f t="shared" si="17"/>
        <v>39451500.000000007</v>
      </c>
      <c r="I39" s="91">
        <f>+'Prod2 Costs'!J38+'Prod1 Costs'!Q14</f>
        <v>0</v>
      </c>
      <c r="J39" s="164">
        <f>+'Provider Costs'!J38</f>
        <v>82500</v>
      </c>
      <c r="K39" s="91">
        <f t="shared" si="18"/>
        <v>0</v>
      </c>
      <c r="O39" s="28"/>
    </row>
    <row r="40" spans="1:18">
      <c r="A40" s="35" t="str">
        <f t="shared" si="15"/>
        <v>30 - 34</v>
      </c>
      <c r="B40" s="133">
        <f>'Pandemic Calculations'!N20</f>
        <v>0.15</v>
      </c>
      <c r="C40" s="91">
        <f>+'Prod2 Costs'!B39+'Prod1 Costs'!K15</f>
        <v>2716</v>
      </c>
      <c r="D40" s="194">
        <f>+'Provider Costs'!B39</f>
        <v>800</v>
      </c>
      <c r="E40" s="164">
        <f t="shared" si="16"/>
        <v>2172800</v>
      </c>
      <c r="F40" s="91">
        <f>+'Prod2 Costs'!F39+'Prod1 Costs'!N15</f>
        <v>786</v>
      </c>
      <c r="G40" s="164">
        <f>+'Provider Costs'!F39</f>
        <v>49500.000000000007</v>
      </c>
      <c r="H40" s="164">
        <f t="shared" si="17"/>
        <v>38907000.000000007</v>
      </c>
      <c r="I40" s="91">
        <f>+'Prod2 Costs'!J39+'Prod1 Costs'!Q15</f>
        <v>0</v>
      </c>
      <c r="J40" s="164">
        <f>+'Provider Costs'!J39</f>
        <v>82500</v>
      </c>
      <c r="K40" s="91">
        <f t="shared" si="18"/>
        <v>0</v>
      </c>
      <c r="O40" s="28"/>
    </row>
    <row r="41" spans="1:18">
      <c r="A41" s="35" t="str">
        <f t="shared" si="15"/>
        <v>35 - 39</v>
      </c>
      <c r="B41" s="133">
        <f>'Pandemic Calculations'!N21</f>
        <v>0.15</v>
      </c>
      <c r="C41" s="91">
        <f>+'Prod2 Costs'!B40+'Prod1 Costs'!K16</f>
        <v>2476</v>
      </c>
      <c r="D41" s="194">
        <f>+'Provider Costs'!B40</f>
        <v>800</v>
      </c>
      <c r="E41" s="164">
        <f t="shared" si="16"/>
        <v>1980800</v>
      </c>
      <c r="F41" s="91">
        <f>+'Prod2 Costs'!F40+'Prod1 Costs'!N16</f>
        <v>553</v>
      </c>
      <c r="G41" s="164">
        <f>+'Provider Costs'!F40</f>
        <v>49500.000000000007</v>
      </c>
      <c r="H41" s="164">
        <f t="shared" si="17"/>
        <v>27373500.000000004</v>
      </c>
      <c r="I41" s="91">
        <f>+'Prod2 Costs'!J40+'Prod1 Costs'!Q16</f>
        <v>0</v>
      </c>
      <c r="J41" s="164">
        <f>+'Provider Costs'!J40</f>
        <v>82500</v>
      </c>
      <c r="K41" s="91">
        <f t="shared" si="18"/>
        <v>0</v>
      </c>
      <c r="O41" s="28"/>
    </row>
    <row r="42" spans="1:18">
      <c r="A42" s="35" t="str">
        <f t="shared" si="15"/>
        <v>40 - 44</v>
      </c>
      <c r="B42" s="133">
        <f>'Pandemic Calculations'!N22</f>
        <v>0.15</v>
      </c>
      <c r="C42" s="91">
        <f>+'Prod2 Costs'!B41+'Prod1 Costs'!K17</f>
        <v>2597</v>
      </c>
      <c r="D42" s="194">
        <f>+'Provider Costs'!B41</f>
        <v>800</v>
      </c>
      <c r="E42" s="164">
        <f t="shared" si="16"/>
        <v>2077600</v>
      </c>
      <c r="F42" s="91">
        <f>+'Prod2 Costs'!F41+'Prod1 Costs'!N17</f>
        <v>402</v>
      </c>
      <c r="G42" s="164">
        <f>+'Provider Costs'!F41</f>
        <v>49500.000000000007</v>
      </c>
      <c r="H42" s="164">
        <f t="shared" si="17"/>
        <v>19899000.000000004</v>
      </c>
      <c r="I42" s="91">
        <f>+'Prod2 Costs'!J41+'Prod1 Costs'!Q17</f>
        <v>0</v>
      </c>
      <c r="J42" s="164">
        <f>+'Provider Costs'!J41</f>
        <v>82500</v>
      </c>
      <c r="K42" s="91">
        <f t="shared" si="18"/>
        <v>0</v>
      </c>
      <c r="O42" s="28"/>
    </row>
    <row r="43" spans="1:18">
      <c r="A43" s="35" t="str">
        <f t="shared" si="15"/>
        <v>45 - 49</v>
      </c>
      <c r="B43" s="133">
        <f>'Pandemic Calculations'!N23</f>
        <v>0.2</v>
      </c>
      <c r="C43" s="91">
        <f>+'Prod2 Costs'!B42+'Prod1 Costs'!K18</f>
        <v>3508</v>
      </c>
      <c r="D43" s="194">
        <f>+'Provider Costs'!B42</f>
        <v>800</v>
      </c>
      <c r="E43" s="164">
        <f t="shared" si="16"/>
        <v>2806400</v>
      </c>
      <c r="F43" s="91">
        <f>+'Prod2 Costs'!F42+'Prod1 Costs'!N18</f>
        <v>392</v>
      </c>
      <c r="G43" s="164">
        <f>+'Provider Costs'!F42</f>
        <v>49500.000000000007</v>
      </c>
      <c r="H43" s="164">
        <f t="shared" si="17"/>
        <v>19404000.000000004</v>
      </c>
      <c r="I43" s="91">
        <f>+'Prod2 Costs'!J42+'Prod1 Costs'!Q18</f>
        <v>0</v>
      </c>
      <c r="J43" s="164">
        <f>+'Provider Costs'!J42</f>
        <v>99000.000000000015</v>
      </c>
      <c r="K43" s="91">
        <f t="shared" si="18"/>
        <v>0</v>
      </c>
      <c r="O43" s="28"/>
    </row>
    <row r="44" spans="1:18">
      <c r="A44" s="35" t="str">
        <f t="shared" si="15"/>
        <v>50 - 54</v>
      </c>
      <c r="B44" s="133">
        <f>'Pandemic Calculations'!N24</f>
        <v>0.25</v>
      </c>
      <c r="C44" s="91">
        <f>+'Prod2 Costs'!B43+'Prod1 Costs'!K19</f>
        <v>4712</v>
      </c>
      <c r="D44" s="194">
        <f>+'Provider Costs'!B43</f>
        <v>800</v>
      </c>
      <c r="E44" s="164">
        <f t="shared" si="16"/>
        <v>3769600</v>
      </c>
      <c r="F44" s="91">
        <f>+'Prod2 Costs'!F43+'Prod1 Costs'!N19</f>
        <v>365</v>
      </c>
      <c r="G44" s="164">
        <f>+'Provider Costs'!F43</f>
        <v>44000</v>
      </c>
      <c r="H44" s="164">
        <f t="shared" si="17"/>
        <v>16060000</v>
      </c>
      <c r="I44" s="91">
        <f>+'Prod2 Costs'!J43+'Prod1 Costs'!Q19</f>
        <v>1</v>
      </c>
      <c r="J44" s="164">
        <f>+'Provider Costs'!J43</f>
        <v>132000</v>
      </c>
      <c r="K44" s="91">
        <f t="shared" si="18"/>
        <v>132000</v>
      </c>
      <c r="O44" s="28"/>
    </row>
    <row r="45" spans="1:18">
      <c r="A45" s="35" t="str">
        <f t="shared" si="15"/>
        <v>55 - 59</v>
      </c>
      <c r="B45" s="133">
        <f>'Pandemic Calculations'!N25</f>
        <v>0.35</v>
      </c>
      <c r="C45" s="91">
        <f>+'Prod2 Costs'!B44+'Prod1 Costs'!K20</f>
        <v>4846</v>
      </c>
      <c r="D45" s="194">
        <f>+'Provider Costs'!B44</f>
        <v>800</v>
      </c>
      <c r="E45" s="164">
        <f t="shared" si="16"/>
        <v>3876800</v>
      </c>
      <c r="F45" s="91">
        <f>+'Prod2 Costs'!F44+'Prod1 Costs'!N20</f>
        <v>341</v>
      </c>
      <c r="G45" s="164">
        <f>+'Provider Costs'!F44</f>
        <v>44000</v>
      </c>
      <c r="H45" s="164">
        <f t="shared" si="17"/>
        <v>15004000</v>
      </c>
      <c r="I45" s="91">
        <f>+'Prod2 Costs'!J44+'Prod1 Costs'!Q20</f>
        <v>2</v>
      </c>
      <c r="J45" s="164">
        <f>+'Provider Costs'!J44</f>
        <v>132000</v>
      </c>
      <c r="K45" s="91">
        <f t="shared" si="18"/>
        <v>264000</v>
      </c>
      <c r="O45" s="28"/>
    </row>
    <row r="46" spans="1:18">
      <c r="A46" s="35" t="str">
        <f t="shared" si="15"/>
        <v>60 - 64</v>
      </c>
      <c r="B46" s="133">
        <f>'Pandemic Calculations'!N26</f>
        <v>0.4</v>
      </c>
      <c r="C46" s="91">
        <f>+'Prod2 Costs'!B45+'Prod1 Costs'!K21</f>
        <v>3427</v>
      </c>
      <c r="D46" s="194">
        <f>+'Provider Costs'!B45</f>
        <v>800</v>
      </c>
      <c r="E46" s="164">
        <f t="shared" si="16"/>
        <v>2741600</v>
      </c>
      <c r="F46" s="91">
        <f>+'Prod2 Costs'!F45+'Prod1 Costs'!N21</f>
        <v>210</v>
      </c>
      <c r="G46" s="164">
        <f>+'Provider Costs'!F45</f>
        <v>44000</v>
      </c>
      <c r="H46" s="164">
        <f t="shared" si="17"/>
        <v>9240000</v>
      </c>
      <c r="I46" s="91">
        <f>+'Prod2 Costs'!J45+'Prod1 Costs'!Q21</f>
        <v>2</v>
      </c>
      <c r="J46" s="164">
        <f>+'Provider Costs'!J45</f>
        <v>132000</v>
      </c>
      <c r="K46" s="91">
        <f t="shared" si="18"/>
        <v>264000</v>
      </c>
      <c r="O46" s="28"/>
    </row>
    <row r="47" spans="1:18">
      <c r="A47" s="35" t="str">
        <f t="shared" si="15"/>
        <v>65 - 69</v>
      </c>
      <c r="B47" s="133">
        <f>'Pandemic Calculations'!N27</f>
        <v>0.45</v>
      </c>
      <c r="C47" s="91">
        <f>+'Prod2 Costs'!B46+'Prod1 Costs'!K22</f>
        <v>1908</v>
      </c>
      <c r="D47" s="194">
        <f>+'Provider Costs'!B46</f>
        <v>650</v>
      </c>
      <c r="E47" s="164">
        <f t="shared" si="16"/>
        <v>1240200</v>
      </c>
      <c r="F47" s="91">
        <f>+'Prod2 Costs'!F46+'Prod1 Costs'!N22</f>
        <v>131</v>
      </c>
      <c r="G47" s="164">
        <f>+'Provider Costs'!F46</f>
        <v>27500.000000000004</v>
      </c>
      <c r="H47" s="164">
        <f t="shared" si="17"/>
        <v>3602500.0000000005</v>
      </c>
      <c r="I47" s="91">
        <f>+'Prod2 Costs'!J46+'Prod1 Costs'!Q22</f>
        <v>1</v>
      </c>
      <c r="J47" s="164">
        <f>+'Provider Costs'!J46</f>
        <v>66000</v>
      </c>
      <c r="K47" s="91">
        <f t="shared" si="18"/>
        <v>66000</v>
      </c>
      <c r="O47" s="28"/>
    </row>
    <row r="48" spans="1:18">
      <c r="A48" s="35" t="str">
        <f t="shared" si="15"/>
        <v>70 - 74</v>
      </c>
      <c r="B48" s="133">
        <f>'Pandemic Calculations'!N28</f>
        <v>0.5</v>
      </c>
      <c r="C48" s="91">
        <f>+'Prod2 Costs'!B47+'Prod1 Costs'!K23</f>
        <v>1548</v>
      </c>
      <c r="D48" s="194">
        <f>+'Provider Costs'!B47</f>
        <v>500</v>
      </c>
      <c r="E48" s="164">
        <f t="shared" si="16"/>
        <v>774000</v>
      </c>
      <c r="F48" s="91">
        <f>+'Prod2 Costs'!F47+'Prod1 Costs'!N23</f>
        <v>106</v>
      </c>
      <c r="G48" s="164">
        <f>+'Provider Costs'!F47</f>
        <v>16500</v>
      </c>
      <c r="H48" s="164">
        <f t="shared" si="17"/>
        <v>1749000</v>
      </c>
      <c r="I48" s="91">
        <f>+'Prod2 Costs'!J47+'Prod1 Costs'!Q23</f>
        <v>0</v>
      </c>
      <c r="J48" s="164">
        <f>+'Provider Costs'!J47</f>
        <v>39050</v>
      </c>
      <c r="K48" s="91">
        <f t="shared" si="18"/>
        <v>0</v>
      </c>
      <c r="O48" s="28"/>
    </row>
    <row r="49" spans="1:15">
      <c r="A49" s="35" t="str">
        <f t="shared" si="15"/>
        <v>75 - 79</v>
      </c>
      <c r="B49" s="133">
        <f>'Pandemic Calculations'!N29</f>
        <v>0.55000000000000004</v>
      </c>
      <c r="C49" s="91">
        <f>+'Prod2 Costs'!B48+'Prod1 Costs'!K24</f>
        <v>1216</v>
      </c>
      <c r="D49" s="194">
        <f>+'Provider Costs'!B48</f>
        <v>500</v>
      </c>
      <c r="E49" s="164">
        <f t="shared" si="16"/>
        <v>608000</v>
      </c>
      <c r="F49" s="91">
        <f>+'Prod2 Costs'!F48+'Prod1 Costs'!N24</f>
        <v>83</v>
      </c>
      <c r="G49" s="164">
        <f>+'Provider Costs'!F48</f>
        <v>16500</v>
      </c>
      <c r="H49" s="164">
        <f t="shared" si="17"/>
        <v>1369500</v>
      </c>
      <c r="I49" s="91">
        <f>+'Prod2 Costs'!J48+'Prod1 Costs'!Q24</f>
        <v>0</v>
      </c>
      <c r="J49" s="164">
        <f>+'Provider Costs'!J48</f>
        <v>39050</v>
      </c>
      <c r="K49" s="91">
        <f t="shared" si="18"/>
        <v>0</v>
      </c>
      <c r="O49" s="28"/>
    </row>
    <row r="50" spans="1:15">
      <c r="A50" s="35" t="str">
        <f t="shared" si="15"/>
        <v>80 - 84</v>
      </c>
      <c r="B50" s="133">
        <f>'Pandemic Calculations'!N30</f>
        <v>0.55000000000000004</v>
      </c>
      <c r="C50" s="91">
        <f>+'Prod2 Costs'!B49+'Prod1 Costs'!K25</f>
        <v>875</v>
      </c>
      <c r="D50" s="194">
        <f>+'Provider Costs'!B49</f>
        <v>500</v>
      </c>
      <c r="E50" s="164">
        <f t="shared" si="16"/>
        <v>437500</v>
      </c>
      <c r="F50" s="91">
        <f>+'Prod2 Costs'!F49+'Prod1 Costs'!N25</f>
        <v>60</v>
      </c>
      <c r="G50" s="164">
        <f>+'Provider Costs'!F49</f>
        <v>16500</v>
      </c>
      <c r="H50" s="164">
        <f t="shared" si="17"/>
        <v>990000</v>
      </c>
      <c r="I50" s="91">
        <f>+'Prod2 Costs'!J49+'Prod1 Costs'!Q25</f>
        <v>0</v>
      </c>
      <c r="J50" s="164">
        <f>+'Provider Costs'!J49</f>
        <v>39050</v>
      </c>
      <c r="K50" s="91">
        <f t="shared" si="18"/>
        <v>0</v>
      </c>
      <c r="O50" s="28"/>
    </row>
    <row r="51" spans="1:15">
      <c r="A51" s="35" t="str">
        <f t="shared" si="15"/>
        <v>85+</v>
      </c>
      <c r="B51" s="133">
        <f>'Pandemic Calculations'!N31</f>
        <v>0.55000000000000004</v>
      </c>
      <c r="C51" s="91">
        <f>+'Prod2 Costs'!B50+'Prod1 Costs'!K26</f>
        <v>925</v>
      </c>
      <c r="D51" s="194">
        <f>+'Provider Costs'!B50</f>
        <v>500</v>
      </c>
      <c r="E51" s="164">
        <f t="shared" si="16"/>
        <v>462500</v>
      </c>
      <c r="F51" s="91">
        <f>+'Prod2 Costs'!F50+'Prod1 Costs'!N26</f>
        <v>63</v>
      </c>
      <c r="G51" s="164">
        <f>+'Provider Costs'!F50</f>
        <v>16500</v>
      </c>
      <c r="H51" s="164">
        <f t="shared" si="17"/>
        <v>1039500</v>
      </c>
      <c r="I51" s="91">
        <f>+'Prod2 Costs'!J50+'Prod1 Costs'!Q26</f>
        <v>0</v>
      </c>
      <c r="J51" s="164">
        <f>+'Provider Costs'!J50</f>
        <v>39050</v>
      </c>
      <c r="K51" s="91">
        <f t="shared" si="18"/>
        <v>0</v>
      </c>
      <c r="O51" s="28"/>
    </row>
    <row r="52" spans="1:15" s="28" customFormat="1">
      <c r="A52" s="72" t="str">
        <f>+A28</f>
        <v>Total</v>
      </c>
      <c r="C52" s="91">
        <f>SUM(C34:C51)</f>
        <v>42016</v>
      </c>
      <c r="D52" s="19"/>
      <c r="E52" s="91">
        <f>SUM(E34:E51)</f>
        <v>30971975</v>
      </c>
      <c r="F52" s="91">
        <f>SUM(F34:F51)</f>
        <v>5743</v>
      </c>
      <c r="G52" s="50"/>
      <c r="H52" s="91">
        <f>SUM(H34:H51)</f>
        <v>272816500</v>
      </c>
      <c r="I52" s="91">
        <f>SUM(I34:I51)</f>
        <v>6</v>
      </c>
      <c r="J52" s="50"/>
      <c r="K52" s="91">
        <f>SUM(K34:K51)</f>
        <v>726000</v>
      </c>
    </row>
    <row r="53" spans="1:15" s="28" customFormat="1" ht="12" customHeight="1">
      <c r="A53" s="72"/>
      <c r="C53" s="91"/>
      <c r="D53" s="19"/>
      <c r="E53" s="91"/>
      <c r="F53" s="91"/>
      <c r="G53" s="50"/>
      <c r="H53" s="91"/>
      <c r="I53" s="91"/>
      <c r="J53" s="50"/>
      <c r="K53" s="91"/>
    </row>
    <row r="54" spans="1:15">
      <c r="A54" s="72"/>
      <c r="B54" s="39"/>
      <c r="C54" s="91"/>
      <c r="D54" s="19"/>
      <c r="E54" s="155"/>
      <c r="F54" s="30"/>
      <c r="J54" s="91"/>
      <c r="K54" s="50"/>
      <c r="L54" s="91"/>
      <c r="O54" s="28"/>
    </row>
    <row r="56" spans="1:15">
      <c r="A56" s="3"/>
      <c r="B56" s="3"/>
      <c r="C56" s="3"/>
    </row>
    <row r="57" spans="1:15">
      <c r="A57" s="3"/>
      <c r="B57" s="3"/>
      <c r="C57" s="3"/>
    </row>
    <row r="66" spans="1:12">
      <c r="A66" s="35"/>
    </row>
    <row r="67" spans="1:12">
      <c r="A67" s="35"/>
    </row>
    <row r="68" spans="1:12">
      <c r="L68" s="137"/>
    </row>
  </sheetData>
  <phoneticPr fontId="0" type="noConversion"/>
  <printOptions horizontalCentered="1"/>
  <pageMargins left="0.5" right="0.5" top="0.5" bottom="0.75" header="0.5" footer="0.35"/>
  <pageSetup scale="67" orientation="landscape" r:id="rId1"/>
  <headerFooter alignWithMargins="0">
    <oddFooter>&amp;L&amp;8&amp;F 
&amp;A&amp;C&amp;8MBA Actuaries, Inc.&amp;R&amp;8&amp;D 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sqref="A1:B61"/>
    </sheetView>
  </sheetViews>
  <sheetFormatPr defaultRowHeight="12.75"/>
  <cols>
    <col min="1" max="1" width="40.140625" bestFit="1" customWidth="1"/>
    <col min="2" max="2" width="12.28515625" bestFit="1" customWidth="1"/>
  </cols>
  <sheetData>
    <row r="1" spans="1:2" ht="13.5" thickBot="1">
      <c r="A1" s="588"/>
      <c r="B1" s="589"/>
    </row>
    <row r="2" spans="1:2" ht="14.25" thickTop="1" thickBot="1">
      <c r="A2" s="590"/>
      <c r="B2" s="591">
        <v>2013</v>
      </c>
    </row>
    <row r="3" spans="1:2" ht="13.5" thickTop="1">
      <c r="A3" s="588" t="s">
        <v>396</v>
      </c>
      <c r="B3" s="592"/>
    </row>
    <row r="4" spans="1:2">
      <c r="A4" s="588"/>
      <c r="B4" s="588"/>
    </row>
    <row r="5" spans="1:2" ht="25.5" customHeight="1">
      <c r="A5" s="588" t="s">
        <v>397</v>
      </c>
      <c r="B5" s="593">
        <v>3236663</v>
      </c>
    </row>
    <row r="6" spans="1:2">
      <c r="A6" s="588"/>
      <c r="B6" s="588"/>
    </row>
    <row r="7" spans="1:2" ht="24.75" customHeight="1">
      <c r="A7" s="588" t="s">
        <v>398</v>
      </c>
      <c r="B7" s="594">
        <v>283572</v>
      </c>
    </row>
    <row r="8" spans="1:2" ht="13.5" thickBot="1">
      <c r="A8" s="588"/>
      <c r="B8" s="595"/>
    </row>
    <row r="9" spans="1:2" ht="24.75" customHeight="1" thickTop="1">
      <c r="A9" s="588" t="s">
        <v>399</v>
      </c>
      <c r="B9" s="596">
        <v>3520235</v>
      </c>
    </row>
    <row r="10" spans="1:2" ht="13.5" thickBot="1">
      <c r="A10" s="588"/>
      <c r="B10" s="595"/>
    </row>
    <row r="11" spans="1:2" ht="25.5" customHeight="1" thickTop="1">
      <c r="A11" s="588" t="s">
        <v>400</v>
      </c>
      <c r="B11" s="592"/>
    </row>
    <row r="12" spans="1:2">
      <c r="A12" s="588"/>
      <c r="B12" s="588"/>
    </row>
    <row r="13" spans="1:2" ht="12.75" customHeight="1">
      <c r="A13" s="588" t="s">
        <v>401</v>
      </c>
      <c r="B13" s="594">
        <v>2686651</v>
      </c>
    </row>
    <row r="14" spans="1:2">
      <c r="A14" s="588"/>
      <c r="B14" s="594"/>
    </row>
    <row r="15" spans="1:2" ht="12.75" customHeight="1">
      <c r="A15" s="588" t="s">
        <v>402</v>
      </c>
      <c r="B15" s="594">
        <v>59485</v>
      </c>
    </row>
    <row r="16" spans="1:2">
      <c r="A16" s="588"/>
      <c r="B16" s="594"/>
    </row>
    <row r="17" spans="1:2" ht="51" customHeight="1">
      <c r="A17" s="588" t="s">
        <v>403</v>
      </c>
      <c r="B17" s="594">
        <v>520300</v>
      </c>
    </row>
    <row r="18" spans="1:2">
      <c r="A18" s="588"/>
      <c r="B18" s="594"/>
    </row>
    <row r="19" spans="1:2" ht="37.5" customHeight="1">
      <c r="A19" s="588" t="s">
        <v>404</v>
      </c>
      <c r="B19" s="594">
        <v>37631</v>
      </c>
    </row>
    <row r="20" spans="1:2" ht="13.5" thickBot="1">
      <c r="A20" s="588"/>
      <c r="B20" s="595"/>
    </row>
    <row r="21" spans="1:2" ht="24.75" customHeight="1" thickTop="1">
      <c r="A21" s="588" t="s">
        <v>405</v>
      </c>
      <c r="B21" s="596">
        <v>3304067</v>
      </c>
    </row>
    <row r="22" spans="1:2" ht="13.5" thickBot="1">
      <c r="A22" s="588"/>
      <c r="B22" s="595"/>
    </row>
    <row r="23" spans="1:2" ht="13.5" thickTop="1">
      <c r="A23" s="588"/>
      <c r="B23" s="592"/>
    </row>
    <row r="24" spans="1:2" ht="12.75" customHeight="1">
      <c r="A24" s="588" t="s">
        <v>406</v>
      </c>
      <c r="B24" s="594">
        <v>216168</v>
      </c>
    </row>
    <row r="25" spans="1:2">
      <c r="A25" s="588"/>
      <c r="B25" s="594"/>
    </row>
    <row r="26" spans="1:2">
      <c r="A26" s="588"/>
      <c r="B26" s="588"/>
    </row>
    <row r="27" spans="1:2" ht="12.75" customHeight="1">
      <c r="A27" s="588" t="s">
        <v>407</v>
      </c>
      <c r="B27" s="594">
        <v>24582</v>
      </c>
    </row>
    <row r="28" spans="1:2">
      <c r="A28" s="588"/>
      <c r="B28" s="594"/>
    </row>
    <row r="29" spans="1:2" ht="24.75" customHeight="1">
      <c r="A29" s="588" t="s">
        <v>408</v>
      </c>
      <c r="B29" s="594">
        <v>30330</v>
      </c>
    </row>
    <row r="30" spans="1:2" ht="13.5" thickBot="1">
      <c r="A30" s="588"/>
      <c r="B30" s="595"/>
    </row>
    <row r="31" spans="1:2" ht="13.5" thickTop="1">
      <c r="A31" s="588"/>
      <c r="B31" s="592"/>
    </row>
    <row r="32" spans="1:2" ht="38.25" customHeight="1">
      <c r="A32" s="588" t="s">
        <v>409</v>
      </c>
      <c r="B32" s="594">
        <v>221916</v>
      </c>
    </row>
    <row r="33" spans="1:2">
      <c r="A33" s="588"/>
      <c r="B33" s="594"/>
    </row>
    <row r="34" spans="1:2">
      <c r="A34" s="588"/>
      <c r="B34" s="588"/>
    </row>
    <row r="35" spans="1:2" ht="38.25" customHeight="1">
      <c r="A35" s="588" t="s">
        <v>410</v>
      </c>
      <c r="B35" s="594">
        <v>86547</v>
      </c>
    </row>
    <row r="36" spans="1:2">
      <c r="A36" s="588"/>
      <c r="B36" s="594"/>
    </row>
    <row r="37" spans="1:2" ht="13.5" thickBot="1">
      <c r="A37" s="588"/>
      <c r="B37" s="597"/>
    </row>
    <row r="38" spans="1:2" ht="13.5" thickTop="1">
      <c r="A38" s="588" t="s">
        <v>411</v>
      </c>
      <c r="B38" s="598">
        <v>135369</v>
      </c>
    </row>
    <row r="39" spans="1:2" ht="13.5" thickBot="1">
      <c r="A39" s="588"/>
      <c r="B39" s="599"/>
    </row>
    <row r="40" spans="1:2" ht="13.5" thickTop="1">
      <c r="A40" s="588"/>
      <c r="B40" s="600"/>
    </row>
    <row r="41" spans="1:2" ht="51" customHeight="1">
      <c r="A41" s="588" t="s">
        <v>412</v>
      </c>
      <c r="B41" s="588"/>
    </row>
    <row r="42" spans="1:2">
      <c r="A42" s="588"/>
      <c r="B42" s="588"/>
    </row>
    <row r="43" spans="1:2" ht="50.25" customHeight="1">
      <c r="A43" s="588" t="s">
        <v>413</v>
      </c>
      <c r="B43" s="601">
        <v>1.01</v>
      </c>
    </row>
    <row r="44" spans="1:2" ht="13.5" thickBot="1">
      <c r="A44" s="588"/>
      <c r="B44" s="599"/>
    </row>
    <row r="45" spans="1:2" ht="50.25" customHeight="1" thickTop="1">
      <c r="A45" s="588" t="s">
        <v>414</v>
      </c>
      <c r="B45" s="602">
        <v>1</v>
      </c>
    </row>
    <row r="46" spans="1:2" ht="13.5" thickBot="1">
      <c r="A46" s="588"/>
      <c r="B46" s="599"/>
    </row>
    <row r="47" spans="1:2" ht="13.5" thickTop="1">
      <c r="A47" s="588"/>
      <c r="B47" s="600"/>
    </row>
    <row r="48" spans="1:2" ht="38.25" customHeight="1">
      <c r="A48" s="588" t="s">
        <v>415</v>
      </c>
      <c r="B48" s="601">
        <v>0.125</v>
      </c>
    </row>
    <row r="49" spans="1:2">
      <c r="A49" s="588"/>
      <c r="B49" s="588"/>
    </row>
    <row r="50" spans="1:2">
      <c r="A50" s="588"/>
      <c r="B50" s="588"/>
    </row>
    <row r="51" spans="1:2" ht="51" customHeight="1">
      <c r="A51" s="588" t="s">
        <v>416</v>
      </c>
      <c r="B51" s="588"/>
    </row>
    <row r="52" spans="1:2">
      <c r="A52" s="588"/>
      <c r="B52" s="588"/>
    </row>
    <row r="53" spans="1:2" ht="51" customHeight="1">
      <c r="A53" s="588" t="s">
        <v>417</v>
      </c>
      <c r="B53" s="594">
        <v>-10326</v>
      </c>
    </row>
    <row r="54" spans="1:2">
      <c r="A54" s="588"/>
      <c r="B54" s="588"/>
    </row>
    <row r="55" spans="1:2">
      <c r="A55" s="590" t="s">
        <v>418</v>
      </c>
      <c r="B55" s="594">
        <v>-12513</v>
      </c>
    </row>
    <row r="56" spans="1:2" ht="37.5" customHeight="1">
      <c r="A56" s="588" t="s">
        <v>419</v>
      </c>
      <c r="B56" s="594">
        <v>7376</v>
      </c>
    </row>
    <row r="57" spans="1:2" ht="13.5" thickBot="1">
      <c r="A57" s="588"/>
      <c r="B57" s="595"/>
    </row>
    <row r="58" spans="1:2" ht="50.25" customHeight="1" thickTop="1">
      <c r="A58" s="588" t="s">
        <v>420</v>
      </c>
      <c r="B58" s="598">
        <v>-15463</v>
      </c>
    </row>
    <row r="59" spans="1:2" ht="13.5" thickBot="1">
      <c r="A59" s="588"/>
      <c r="B59" s="603"/>
    </row>
    <row r="60" spans="1:2" ht="24.75" customHeight="1" thickTop="1">
      <c r="A60" s="588" t="s">
        <v>421</v>
      </c>
      <c r="B60" s="598">
        <v>119906</v>
      </c>
    </row>
    <row r="61" spans="1:2" ht="13.5" thickBot="1">
      <c r="A61" s="588"/>
      <c r="B61" s="599"/>
    </row>
    <row r="62" spans="1:2" ht="13.5" thickTop="1">
      <c r="A62" s="582"/>
    </row>
    <row r="63" spans="1:2">
      <c r="A63" s="5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N38"/>
  <sheetViews>
    <sheetView zoomScaleNormal="100" workbookViewId="0">
      <selection activeCell="D6" sqref="D6"/>
    </sheetView>
  </sheetViews>
  <sheetFormatPr defaultRowHeight="12.75"/>
  <cols>
    <col min="1" max="1" width="4.140625" style="3" bestFit="1" customWidth="1"/>
    <col min="2" max="2" width="24.85546875" style="3" customWidth="1"/>
    <col min="3" max="3" width="0.85546875" style="3" customWidth="1"/>
    <col min="4" max="4" width="16.7109375" style="3" customWidth="1"/>
    <col min="5" max="5" width="28.28515625" style="3" bestFit="1" customWidth="1"/>
    <col min="6" max="7" width="16.7109375" style="3" customWidth="1"/>
    <col min="8" max="16384" width="9.140625" style="3"/>
  </cols>
  <sheetData>
    <row r="1" spans="1:13">
      <c r="G1" s="157" t="s">
        <v>258</v>
      </c>
    </row>
    <row r="2" spans="1:13" ht="23.25">
      <c r="B2" s="448" t="s">
        <v>248</v>
      </c>
      <c r="C2" s="24"/>
      <c r="D2" s="24"/>
      <c r="E2" s="24"/>
      <c r="F2" s="24"/>
      <c r="G2" s="24"/>
    </row>
    <row r="3" spans="1:13" ht="5.0999999999999996" customHeight="1"/>
    <row r="4" spans="1:13">
      <c r="A4" s="174">
        <v>-1</v>
      </c>
      <c r="B4" s="157" t="s">
        <v>263</v>
      </c>
      <c r="D4" s="446" t="s">
        <v>4</v>
      </c>
      <c r="E4" s="160" t="s">
        <v>241</v>
      </c>
    </row>
    <row r="5" spans="1:13">
      <c r="E5" s="34"/>
    </row>
    <row r="6" spans="1:13">
      <c r="A6" s="359">
        <f>+A4-1</f>
        <v>-2</v>
      </c>
      <c r="B6" s="157" t="s">
        <v>254</v>
      </c>
      <c r="D6" s="364" t="s">
        <v>165</v>
      </c>
      <c r="E6" s="160" t="s">
        <v>241</v>
      </c>
      <c r="L6" s="158"/>
      <c r="M6" s="158"/>
    </row>
    <row r="7" spans="1:13">
      <c r="E7" s="74"/>
      <c r="I7" s="158"/>
      <c r="J7" s="158"/>
      <c r="L7" s="158"/>
      <c r="M7" s="158"/>
    </row>
    <row r="8" spans="1:13">
      <c r="A8" s="359">
        <f>+A6-1</f>
        <v>-3</v>
      </c>
      <c r="B8" s="157" t="s">
        <v>227</v>
      </c>
      <c r="D8" s="459" t="str">
        <f>Severity &amp; " Scenario, " &amp; Curve&amp;" Curve"</f>
        <v>Severe Scenario, V\ Curve</v>
      </c>
      <c r="E8" s="460"/>
      <c r="I8" s="158"/>
      <c r="J8" s="504"/>
      <c r="L8" s="158"/>
      <c r="M8" s="158"/>
    </row>
    <row r="9" spans="1:13">
      <c r="D9" s="406"/>
      <c r="E9" s="406"/>
      <c r="F9" s="406"/>
      <c r="G9" s="406"/>
      <c r="I9" s="158"/>
    </row>
    <row r="10" spans="1:13">
      <c r="A10" s="359">
        <f>+A8-1</f>
        <v>-4</v>
      </c>
      <c r="B10" s="157" t="s">
        <v>257</v>
      </c>
      <c r="D10" s="449" t="s">
        <v>50</v>
      </c>
      <c r="E10" s="400" t="s">
        <v>5</v>
      </c>
      <c r="F10" s="400" t="s">
        <v>4</v>
      </c>
      <c r="G10" s="400" t="s">
        <v>4</v>
      </c>
      <c r="I10" s="301"/>
      <c r="J10" s="363"/>
      <c r="K10" s="445"/>
    </row>
    <row r="11" spans="1:13">
      <c r="A11" s="62"/>
      <c r="B11" s="157"/>
      <c r="D11" s="449"/>
      <c r="E11" s="400"/>
      <c r="F11" s="400"/>
      <c r="G11" s="406"/>
    </row>
    <row r="12" spans="1:13">
      <c r="A12" s="359">
        <f>+A10-1</f>
        <v>-5</v>
      </c>
      <c r="B12" s="157" t="s">
        <v>255</v>
      </c>
      <c r="D12" s="400" t="s">
        <v>137</v>
      </c>
      <c r="E12" s="400" t="s">
        <v>138</v>
      </c>
      <c r="F12" s="400" t="s">
        <v>142</v>
      </c>
      <c r="G12" s="400" t="s">
        <v>165</v>
      </c>
    </row>
    <row r="14" spans="1:13">
      <c r="A14" s="359">
        <f>+A12-1</f>
        <v>-6</v>
      </c>
      <c r="B14" s="157" t="s">
        <v>256</v>
      </c>
      <c r="D14" s="449" t="s">
        <v>245</v>
      </c>
      <c r="E14" s="449" t="s">
        <v>246</v>
      </c>
      <c r="F14" s="449" t="s">
        <v>240</v>
      </c>
      <c r="G14" s="449" t="s">
        <v>247</v>
      </c>
    </row>
    <row r="15" spans="1:13">
      <c r="D15" s="112"/>
    </row>
    <row r="16" spans="1:13">
      <c r="A16" s="359">
        <f>+A14-1</f>
        <v>-7</v>
      </c>
      <c r="B16" s="157" t="s">
        <v>226</v>
      </c>
      <c r="D16" s="449" t="s">
        <v>42</v>
      </c>
      <c r="E16" s="449" t="s">
        <v>41</v>
      </c>
      <c r="F16" s="449" t="s">
        <v>39</v>
      </c>
      <c r="G16" s="449" t="s">
        <v>36</v>
      </c>
    </row>
    <row r="17" spans="1:14">
      <c r="B17" s="157"/>
      <c r="D17" s="449"/>
      <c r="E17" s="449"/>
      <c r="F17" s="449"/>
      <c r="G17" s="449"/>
    </row>
    <row r="18" spans="1:14" ht="23.25">
      <c r="B18" s="448" t="s">
        <v>253</v>
      </c>
      <c r="C18" s="24"/>
      <c r="D18" s="24"/>
      <c r="E18" s="24"/>
      <c r="F18" s="24"/>
      <c r="G18" s="24"/>
    </row>
    <row r="19" spans="1:14" ht="5.0999999999999996" customHeight="1">
      <c r="A19" s="7"/>
    </row>
    <row r="20" spans="1:14" ht="15.75">
      <c r="A20" s="359">
        <f>+A16-1</f>
        <v>-8</v>
      </c>
      <c r="D20" s="157" t="s">
        <v>228</v>
      </c>
      <c r="E20" s="365">
        <f>'Mic Assumptions'!B3</f>
        <v>2.8060000000000002E-2</v>
      </c>
      <c r="F20" s="249"/>
      <c r="I20" s="46"/>
      <c r="J20" s="12"/>
      <c r="K20" s="12"/>
      <c r="L20" s="12"/>
      <c r="M20" s="12"/>
      <c r="N20" s="12"/>
    </row>
    <row r="21" spans="1:14">
      <c r="A21" s="335">
        <f>+A20-1</f>
        <v>-9</v>
      </c>
      <c r="D21" s="157" t="s">
        <v>251</v>
      </c>
      <c r="E21" s="405">
        <f ca="1">YEAR(TODAY())</f>
        <v>2016</v>
      </c>
      <c r="F21" s="249"/>
      <c r="I21"/>
      <c r="J21" s="41" t="s">
        <v>250</v>
      </c>
      <c r="K21"/>
      <c r="L21" s="11" t="str">
        <f>L26</f>
        <v>Seasonal</v>
      </c>
      <c r="M21" s="11" t="str">
        <f t="shared" ref="M21:N21" si="0">M26</f>
        <v>Moderate</v>
      </c>
      <c r="N21" s="11" t="str">
        <f t="shared" si="0"/>
        <v>Severe</v>
      </c>
    </row>
    <row r="22" spans="1:14">
      <c r="A22" s="335">
        <f>+A21-1</f>
        <v>-10</v>
      </c>
      <c r="D22" s="157" t="s">
        <v>252</v>
      </c>
      <c r="E22" s="405">
        <f ca="1">E21+5</f>
        <v>2021</v>
      </c>
      <c r="F22" s="249"/>
      <c r="I22"/>
      <c r="J22" s="461" t="s">
        <v>249</v>
      </c>
      <c r="K22" s="107">
        <f>HLOOKUP(Severity,$L$21:$N$22,2,0)</f>
        <v>6.48</v>
      </c>
      <c r="L22" s="381">
        <v>0.14000000000000001</v>
      </c>
      <c r="M22" s="381">
        <v>0.71</v>
      </c>
      <c r="N22" s="382">
        <v>6.48</v>
      </c>
    </row>
    <row r="23" spans="1:14">
      <c r="A23" s="335">
        <f>+A22-1</f>
        <v>-11</v>
      </c>
      <c r="D23" s="200" t="s">
        <v>229</v>
      </c>
      <c r="E23" s="399">
        <f ca="1">(1+E20)^(E22-E21)-1</f>
        <v>0.14839768732890946</v>
      </c>
      <c r="I23"/>
      <c r="J23"/>
      <c r="K23" s="52"/>
      <c r="L23"/>
      <c r="M23"/>
      <c r="N23"/>
    </row>
    <row r="24" spans="1:14">
      <c r="D24" s="200"/>
      <c r="E24" s="399"/>
      <c r="F24" s="249"/>
      <c r="I24"/>
      <c r="J24" s="2" t="s">
        <v>40</v>
      </c>
      <c r="K24" s="138" t="str">
        <f>Curve</f>
        <v>V\</v>
      </c>
      <c r="L24" s="34" t="s">
        <v>168</v>
      </c>
      <c r="M24"/>
      <c r="N24" s="40"/>
    </row>
    <row r="25" spans="1:14">
      <c r="A25" s="335">
        <f>+A23-1</f>
        <v>-12</v>
      </c>
      <c r="D25" s="157" t="s">
        <v>230</v>
      </c>
      <c r="E25" s="365">
        <v>0.35</v>
      </c>
      <c r="F25" s="249"/>
      <c r="I25"/>
      <c r="J25" s="42"/>
      <c r="K25" s="109"/>
      <c r="L25"/>
      <c r="M25" s="78"/>
      <c r="N25" s="79"/>
    </row>
    <row r="26" spans="1:14">
      <c r="D26" s="157"/>
      <c r="E26" s="365"/>
      <c r="F26" s="249"/>
      <c r="I26"/>
      <c r="J26" s="47" t="s">
        <v>29</v>
      </c>
      <c r="K26" s="110"/>
      <c r="L26" s="543" t="s">
        <v>50</v>
      </c>
      <c r="M26" s="220" t="s">
        <v>5</v>
      </c>
      <c r="N26" s="220" t="s">
        <v>4</v>
      </c>
    </row>
    <row r="27" spans="1:14">
      <c r="A27" s="335">
        <f>+A25-1</f>
        <v>-13</v>
      </c>
      <c r="D27" s="157" t="s">
        <v>243</v>
      </c>
      <c r="E27" s="365" t="str">
        <f>'Mic Assumptions'!D5</f>
        <v>Health Plan Commercial Risk</v>
      </c>
      <c r="F27" s="249"/>
      <c r="I27"/>
      <c r="J27" s="47" t="s">
        <v>43</v>
      </c>
      <c r="K27" s="140">
        <f>HLOOKUP(Severity,$L$26:$N$27,2,0)</f>
        <v>0.76900000000000002</v>
      </c>
      <c r="L27" s="383">
        <v>0.57099999999999995</v>
      </c>
      <c r="M27" s="383">
        <v>0.57099999999999995</v>
      </c>
      <c r="N27" s="383">
        <v>0.76900000000000002</v>
      </c>
    </row>
    <row r="28" spans="1:14">
      <c r="A28" s="335">
        <f>+A27-1</f>
        <v>-14</v>
      </c>
      <c r="D28" s="157" t="s">
        <v>244</v>
      </c>
      <c r="E28" s="365" t="str">
        <f>'Mic Assumptions'!D6</f>
        <v>Health Plan Commercial ASO</v>
      </c>
      <c r="F28" s="249"/>
    </row>
    <row r="29" spans="1:14">
      <c r="A29" s="335">
        <f>+A28-1</f>
        <v>-15</v>
      </c>
      <c r="D29" s="157" t="s">
        <v>231</v>
      </c>
      <c r="E29" s="366">
        <f>VLOOKUP(LOB_1,'Mic Assumptions'!$D$5:$E$11,2,FALSE)</f>
        <v>1404000</v>
      </c>
      <c r="F29" s="249" t="s">
        <v>238</v>
      </c>
    </row>
    <row r="30" spans="1:14">
      <c r="A30" s="335">
        <f>+A29-1</f>
        <v>-16</v>
      </c>
      <c r="D30" s="157" t="s">
        <v>234</v>
      </c>
      <c r="E30" s="366">
        <f>VLOOKUP(LOB_2,'Mic Assumptions'!$D$5:$E$11,2,FALSE)</f>
        <v>778000</v>
      </c>
      <c r="F30" s="249" t="s">
        <v>238</v>
      </c>
    </row>
    <row r="31" spans="1:14">
      <c r="D31" s="157"/>
      <c r="E31" s="249"/>
      <c r="F31" s="249"/>
    </row>
    <row r="32" spans="1:14">
      <c r="A32" s="335">
        <f>+A30-1</f>
        <v>-17</v>
      </c>
      <c r="D32" s="157" t="s">
        <v>235</v>
      </c>
      <c r="E32" s="232">
        <f>+LOB2Pop+LOB1Pop</f>
        <v>2182000</v>
      </c>
      <c r="F32" s="249"/>
    </row>
    <row r="33" spans="1:6">
      <c r="A33" s="335">
        <f>+A32-1</f>
        <v>-18</v>
      </c>
      <c r="D33" s="157" t="s">
        <v>236</v>
      </c>
      <c r="E33" s="232">
        <v>175000000</v>
      </c>
      <c r="F33" s="249"/>
    </row>
    <row r="34" spans="1:6">
      <c r="A34" s="335">
        <f>+A33-1</f>
        <v>-19</v>
      </c>
      <c r="D34" s="157"/>
      <c r="E34" s="232"/>
      <c r="F34" s="249"/>
    </row>
    <row r="35" spans="1:6">
      <c r="D35" s="157"/>
      <c r="E35" s="249"/>
      <c r="F35" s="249"/>
    </row>
    <row r="36" spans="1:6">
      <c r="F36" s="249"/>
    </row>
    <row r="37" spans="1:6">
      <c r="B37" s="250"/>
      <c r="D37" s="249"/>
      <c r="E37" s="249"/>
    </row>
    <row r="38" spans="1:6">
      <c r="E38" s="249"/>
    </row>
  </sheetData>
  <phoneticPr fontId="0" type="noConversion"/>
  <dataValidations count="2">
    <dataValidation type="list" allowBlank="1" showInputMessage="1" showErrorMessage="1" sqref="D6">
      <formula1>$D$12:$G$12</formula1>
    </dataValidation>
    <dataValidation type="list" allowBlank="1" showInputMessage="1" showErrorMessage="1" sqref="D4">
      <formula1>Severity_Listing</formula1>
    </dataValidation>
  </dataValidations>
  <pageMargins left="0.5" right="0.5" top="0.75" bottom="0.75" header="0.5" footer="0.35"/>
  <pageSetup scale="98" orientation="portrait" r:id="rId1"/>
  <headerFooter alignWithMargins="0">
    <oddFooter>&amp;L&amp;8&amp;F  &amp;A&amp;C&amp;8MBA Actuaries, Inc.&amp;R&amp;8&amp;D 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R55"/>
  <sheetViews>
    <sheetView topLeftCell="A46" workbookViewId="0">
      <selection activeCell="B55" sqref="B55"/>
    </sheetView>
  </sheetViews>
  <sheetFormatPr defaultRowHeight="12.75"/>
  <cols>
    <col min="1" max="1" width="21.140625" bestFit="1" customWidth="1"/>
    <col min="4" max="4" width="25.85546875" bestFit="1" customWidth="1"/>
    <col min="5" max="5" width="12.85546875" bestFit="1" customWidth="1"/>
    <col min="10" max="12" width="14" bestFit="1" customWidth="1"/>
    <col min="14" max="14" width="17.85546875" style="33" bestFit="1" customWidth="1"/>
    <col min="15" max="18" width="9.140625" style="33"/>
  </cols>
  <sheetData>
    <row r="3" spans="1:18" ht="18">
      <c r="A3" s="62" t="s">
        <v>269</v>
      </c>
      <c r="B3" s="479">
        <f>AVERAGE(B5:B54)</f>
        <v>2.8060000000000002E-2</v>
      </c>
      <c r="D3" s="62" t="s">
        <v>302</v>
      </c>
      <c r="E3" s="158" t="s">
        <v>309</v>
      </c>
      <c r="I3" s="158" t="s">
        <v>314</v>
      </c>
      <c r="N3" s="608"/>
      <c r="O3" s="608"/>
      <c r="P3" s="608"/>
      <c r="Q3" s="608"/>
      <c r="R3" s="608"/>
    </row>
    <row r="4" spans="1:18" ht="12.75" customHeight="1">
      <c r="D4" s="158" t="s">
        <v>303</v>
      </c>
      <c r="E4" s="158" t="s">
        <v>150</v>
      </c>
      <c r="F4" s="158" t="s">
        <v>424</v>
      </c>
      <c r="J4" s="158" t="s">
        <v>1</v>
      </c>
      <c r="K4" s="158" t="s">
        <v>315</v>
      </c>
      <c r="L4" s="158" t="s">
        <v>316</v>
      </c>
      <c r="N4" s="609"/>
      <c r="O4" s="609"/>
      <c r="P4" s="609"/>
      <c r="Q4" s="609"/>
      <c r="R4" s="609"/>
    </row>
    <row r="5" spans="1:18" ht="13.5" thickBot="1">
      <c r="A5" s="478" t="s">
        <v>270</v>
      </c>
      <c r="B5" s="480">
        <v>3.5000000000000003E-2</v>
      </c>
      <c r="D5" s="158" t="s">
        <v>304</v>
      </c>
      <c r="E5" s="106">
        <f>1000*1404</f>
        <v>1404000</v>
      </c>
      <c r="F5" s="585">
        <f>E5/$E$11</f>
        <v>0.27146171693735499</v>
      </c>
      <c r="I5" t="s">
        <v>9</v>
      </c>
      <c r="J5" s="106">
        <v>19876883</v>
      </c>
      <c r="K5" s="106">
        <v>10155728</v>
      </c>
      <c r="L5" s="106">
        <v>9721155</v>
      </c>
      <c r="N5" s="610"/>
      <c r="O5" s="610"/>
      <c r="P5" s="610"/>
      <c r="Q5" s="610"/>
      <c r="R5" s="610"/>
    </row>
    <row r="6" spans="1:18" ht="13.5" thickBot="1">
      <c r="A6" s="478" t="s">
        <v>271</v>
      </c>
      <c r="B6" s="480">
        <v>2.9899999999999999E-2</v>
      </c>
      <c r="D6" s="158" t="s">
        <v>305</v>
      </c>
      <c r="E6" s="232">
        <f>778*1000</f>
        <v>778000</v>
      </c>
      <c r="F6" s="585">
        <f t="shared" ref="F6:F10" si="0">E6/$E$11</f>
        <v>0.15042536736272236</v>
      </c>
      <c r="I6" t="s">
        <v>10</v>
      </c>
      <c r="J6" s="106">
        <v>20519566</v>
      </c>
      <c r="K6" s="106">
        <v>10478429</v>
      </c>
      <c r="L6" s="106">
        <v>10041137</v>
      </c>
      <c r="N6" s="611"/>
      <c r="O6" s="611"/>
      <c r="P6" s="611"/>
      <c r="Q6" s="611"/>
      <c r="R6" s="611"/>
    </row>
    <row r="7" spans="1:18" ht="13.5" thickBot="1">
      <c r="A7" s="478" t="s">
        <v>272</v>
      </c>
      <c r="B7" s="480">
        <v>2.58E-2</v>
      </c>
      <c r="D7" s="158" t="s">
        <v>306</v>
      </c>
      <c r="E7" s="232">
        <f>309*1000</f>
        <v>309000</v>
      </c>
      <c r="F7" s="585">
        <f t="shared" si="0"/>
        <v>5.974477958236659E-2</v>
      </c>
      <c r="I7" t="s">
        <v>11</v>
      </c>
      <c r="J7" s="106">
        <v>20671506</v>
      </c>
      <c r="K7" s="106">
        <v>10551219</v>
      </c>
      <c r="L7" s="106">
        <v>10120287</v>
      </c>
      <c r="N7" s="612"/>
      <c r="O7" s="613"/>
      <c r="P7" s="614"/>
      <c r="Q7" s="614"/>
      <c r="R7" s="615"/>
    </row>
    <row r="8" spans="1:18" ht="13.5" thickBot="1">
      <c r="A8" s="478" t="s">
        <v>273</v>
      </c>
      <c r="B8" s="480">
        <v>2.9499999999999998E-2</v>
      </c>
      <c r="D8" s="158" t="s">
        <v>317</v>
      </c>
      <c r="E8" s="232">
        <f>892*1000</f>
        <v>892000</v>
      </c>
      <c r="F8" s="585">
        <f t="shared" si="0"/>
        <v>0.17246713070378963</v>
      </c>
      <c r="I8" t="s">
        <v>12</v>
      </c>
      <c r="J8" s="106">
        <v>21067647</v>
      </c>
      <c r="K8" s="106">
        <v>10784023</v>
      </c>
      <c r="L8" s="106">
        <v>10283624</v>
      </c>
      <c r="N8" s="616"/>
      <c r="O8" s="616"/>
      <c r="P8" s="617"/>
      <c r="Q8" s="617"/>
      <c r="R8" s="618"/>
    </row>
    <row r="9" spans="1:18" ht="13.5" thickBot="1">
      <c r="A9" s="478" t="s">
        <v>274</v>
      </c>
      <c r="B9" s="480">
        <v>2.98E-2</v>
      </c>
      <c r="D9" s="158" t="s">
        <v>307</v>
      </c>
      <c r="E9" s="106">
        <f>339*1000</f>
        <v>339000</v>
      </c>
      <c r="F9" s="585">
        <f t="shared" si="0"/>
        <v>6.554524361948956E-2</v>
      </c>
      <c r="I9" t="s">
        <v>13</v>
      </c>
      <c r="J9" s="106">
        <v>22912174</v>
      </c>
      <c r="K9" s="106">
        <v>11739427</v>
      </c>
      <c r="L9" s="106">
        <v>11172747</v>
      </c>
      <c r="N9" s="616"/>
      <c r="O9" s="616"/>
      <c r="P9" s="618"/>
      <c r="Q9" s="619"/>
      <c r="R9" s="618"/>
    </row>
    <row r="10" spans="1:18" ht="13.5" thickBot="1">
      <c r="A10" s="478" t="s">
        <v>275</v>
      </c>
      <c r="B10" s="480">
        <v>2.4500000000000001E-2</v>
      </c>
      <c r="D10" s="158" t="s">
        <v>308</v>
      </c>
      <c r="E10" s="106">
        <f>1450000</f>
        <v>1450000</v>
      </c>
      <c r="F10" s="585">
        <f t="shared" si="0"/>
        <v>0.2803557617942769</v>
      </c>
      <c r="I10" t="s">
        <v>14</v>
      </c>
      <c r="J10" s="106">
        <v>21987938</v>
      </c>
      <c r="K10" s="106">
        <v>11161389</v>
      </c>
      <c r="L10" s="106">
        <v>10826549</v>
      </c>
      <c r="N10" s="616"/>
      <c r="O10" s="616"/>
      <c r="P10" s="618"/>
      <c r="Q10" s="618"/>
      <c r="R10" s="618"/>
    </row>
    <row r="11" spans="1:18" ht="13.5" thickBot="1">
      <c r="A11" s="478" t="s">
        <v>276</v>
      </c>
      <c r="B11" s="480">
        <v>2.47E-2</v>
      </c>
      <c r="D11" s="62" t="s">
        <v>1</v>
      </c>
      <c r="E11" s="14">
        <f>SUM(E5:E10)</f>
        <v>5172000</v>
      </c>
      <c r="I11" t="s">
        <v>15</v>
      </c>
      <c r="J11" s="106">
        <v>21528566</v>
      </c>
      <c r="K11" s="106">
        <v>10808825</v>
      </c>
      <c r="L11" s="106">
        <v>10719741</v>
      </c>
      <c r="N11" s="616"/>
      <c r="O11" s="616"/>
      <c r="P11" s="617"/>
      <c r="Q11" s="617"/>
      <c r="R11" s="618"/>
    </row>
    <row r="12" spans="1:18" ht="13.5" thickBot="1">
      <c r="A12" s="481">
        <v>42216</v>
      </c>
      <c r="B12" s="480">
        <v>2.4899999999999999E-2</v>
      </c>
      <c r="I12" t="s">
        <v>16</v>
      </c>
      <c r="J12" s="106">
        <v>19921650</v>
      </c>
      <c r="K12" s="106">
        <v>9939836</v>
      </c>
      <c r="L12" s="106">
        <v>9981814</v>
      </c>
      <c r="N12" s="616"/>
      <c r="O12" s="616"/>
      <c r="P12" s="618"/>
      <c r="Q12" s="619"/>
      <c r="R12" s="618"/>
    </row>
    <row r="13" spans="1:18" ht="13.5" thickBot="1">
      <c r="A13" s="481">
        <v>42185</v>
      </c>
      <c r="B13" s="480">
        <v>2.5100000000000001E-2</v>
      </c>
      <c r="I13" t="s">
        <v>17</v>
      </c>
      <c r="J13" s="106">
        <v>20591483</v>
      </c>
      <c r="K13" s="106">
        <v>10219393</v>
      </c>
      <c r="L13" s="106">
        <v>10372090</v>
      </c>
      <c r="N13" s="616"/>
      <c r="O13" s="616"/>
      <c r="P13" s="617"/>
      <c r="Q13" s="617"/>
      <c r="R13" s="618"/>
    </row>
    <row r="14" spans="1:18" ht="13.5" thickBot="1">
      <c r="A14" s="481">
        <v>42155</v>
      </c>
      <c r="B14" s="480">
        <v>2.8400000000000002E-2</v>
      </c>
      <c r="I14" t="s">
        <v>18</v>
      </c>
      <c r="J14" s="106">
        <v>20888042</v>
      </c>
      <c r="K14" s="106">
        <v>10347463</v>
      </c>
      <c r="L14" s="106">
        <v>10540579</v>
      </c>
      <c r="N14" s="616"/>
      <c r="O14" s="616"/>
      <c r="P14" s="617"/>
      <c r="Q14" s="617"/>
      <c r="R14" s="618"/>
    </row>
    <row r="15" spans="1:18" ht="13.5" thickBot="1">
      <c r="A15" s="481">
        <v>42124</v>
      </c>
      <c r="B15" s="480">
        <v>2.9000000000000001E-2</v>
      </c>
      <c r="I15" t="s">
        <v>19</v>
      </c>
      <c r="J15" s="106">
        <v>22570809</v>
      </c>
      <c r="K15" s="106">
        <v>11077581</v>
      </c>
      <c r="L15" s="106">
        <v>11493228</v>
      </c>
      <c r="N15" s="620"/>
      <c r="O15" s="620"/>
      <c r="P15" s="618"/>
      <c r="Q15" s="617"/>
      <c r="R15" s="618"/>
    </row>
    <row r="16" spans="1:18" ht="13.5" thickBot="1">
      <c r="A16" s="481">
        <v>42094</v>
      </c>
      <c r="B16" s="480">
        <v>2.46E-2</v>
      </c>
      <c r="I16" t="s">
        <v>20</v>
      </c>
      <c r="J16" s="106">
        <v>21511449</v>
      </c>
      <c r="K16" s="106">
        <v>10443988</v>
      </c>
      <c r="L16" s="106">
        <v>11067461</v>
      </c>
      <c r="R16" s="621"/>
    </row>
    <row r="17" spans="1:12" ht="13.5" thickBot="1">
      <c r="A17" s="478" t="s">
        <v>277</v>
      </c>
      <c r="B17" s="480">
        <v>2.3099999999999999E-2</v>
      </c>
      <c r="I17" t="s">
        <v>21</v>
      </c>
      <c r="J17" s="106">
        <v>18566132</v>
      </c>
      <c r="K17" s="106">
        <v>8877894</v>
      </c>
      <c r="L17" s="106">
        <v>9688238</v>
      </c>
    </row>
    <row r="18" spans="1:12" ht="13.5" thickBot="1">
      <c r="A18" s="478" t="s">
        <v>278</v>
      </c>
      <c r="B18" s="480">
        <v>2.64E-2</v>
      </c>
      <c r="I18" t="s">
        <v>22</v>
      </c>
      <c r="J18" s="106">
        <v>15325266</v>
      </c>
      <c r="K18" s="106">
        <v>7249106</v>
      </c>
      <c r="L18" s="106">
        <v>8076160</v>
      </c>
    </row>
    <row r="19" spans="1:12" ht="13.5" thickBot="1">
      <c r="A19" s="478" t="s">
        <v>279</v>
      </c>
      <c r="B19" s="480">
        <v>2.9600000000000001E-2</v>
      </c>
      <c r="I19" t="s">
        <v>23</v>
      </c>
      <c r="J19" s="106">
        <v>11073024</v>
      </c>
      <c r="K19" s="106">
        <v>5099939</v>
      </c>
      <c r="L19" s="106">
        <v>5973085</v>
      </c>
    </row>
    <row r="20" spans="1:12" ht="13.5" thickBot="1">
      <c r="A20" s="478" t="s">
        <v>280</v>
      </c>
      <c r="B20" s="480">
        <v>2.5000000000000001E-2</v>
      </c>
      <c r="I20" t="s">
        <v>24</v>
      </c>
      <c r="J20" s="106">
        <v>7922324</v>
      </c>
      <c r="K20" s="106">
        <v>3511566</v>
      </c>
      <c r="L20" s="106">
        <v>4410758</v>
      </c>
    </row>
    <row r="21" spans="1:12" ht="13.5" thickBot="1">
      <c r="A21" s="478" t="s">
        <v>281</v>
      </c>
      <c r="B21" s="480">
        <v>2.0899999999999998E-2</v>
      </c>
      <c r="I21" t="s">
        <v>25</v>
      </c>
      <c r="J21" s="106">
        <v>5760366</v>
      </c>
      <c r="K21" s="106">
        <v>2381812</v>
      </c>
      <c r="L21" s="106">
        <v>3378554</v>
      </c>
    </row>
    <row r="22" spans="1:12" ht="13.5" thickBot="1">
      <c r="A22" s="478" t="s">
        <v>282</v>
      </c>
      <c r="B22" s="480">
        <v>0.02</v>
      </c>
      <c r="I22" t="s">
        <v>7</v>
      </c>
      <c r="J22" s="106">
        <v>6162231</v>
      </c>
      <c r="K22" s="106">
        <v>2108869</v>
      </c>
      <c r="L22" s="106">
        <v>4053362</v>
      </c>
    </row>
    <row r="23" spans="1:12" ht="13.5" thickBot="1">
      <c r="A23" s="478" t="s">
        <v>283</v>
      </c>
      <c r="B23" s="480">
        <v>2.0899999999999998E-2</v>
      </c>
    </row>
    <row r="24" spans="1:12" ht="13.5" thickBot="1">
      <c r="A24" s="481">
        <v>41851</v>
      </c>
      <c r="B24" s="480">
        <v>2.6100000000000002E-2</v>
      </c>
    </row>
    <row r="25" spans="1:12" ht="13.5" thickBot="1">
      <c r="A25" s="481">
        <v>41820</v>
      </c>
      <c r="B25" s="480">
        <v>2.6100000000000002E-2</v>
      </c>
    </row>
    <row r="26" spans="1:12" ht="13.5" thickBot="1">
      <c r="A26" s="481">
        <v>41790</v>
      </c>
      <c r="B26" s="480">
        <v>2.8500000000000001E-2</v>
      </c>
    </row>
    <row r="27" spans="1:12" ht="13.5" thickBot="1">
      <c r="A27" s="481">
        <v>41759</v>
      </c>
      <c r="B27" s="480">
        <v>2.4199999999999999E-2</v>
      </c>
    </row>
    <row r="28" spans="1:12" ht="13.5" thickBot="1">
      <c r="A28" s="481">
        <v>41729</v>
      </c>
      <c r="B28" s="480">
        <v>2.1700000000000001E-2</v>
      </c>
    </row>
    <row r="29" spans="1:12" ht="13.5" thickBot="1">
      <c r="A29" s="478" t="s">
        <v>284</v>
      </c>
      <c r="B29" s="480">
        <v>2.2599999999999999E-2</v>
      </c>
    </row>
    <row r="30" spans="1:12" ht="13.5" thickBot="1">
      <c r="A30" s="478" t="s">
        <v>285</v>
      </c>
      <c r="B30" s="480">
        <v>2.12E-2</v>
      </c>
    </row>
    <row r="31" spans="1:12" ht="13.5" thickBot="1">
      <c r="A31" s="478" t="s">
        <v>286</v>
      </c>
      <c r="B31" s="480">
        <v>2.01E-2</v>
      </c>
    </row>
    <row r="32" spans="1:12" ht="13.5" thickBot="1">
      <c r="A32" s="478" t="s">
        <v>287</v>
      </c>
      <c r="B32" s="480">
        <v>2.1700000000000001E-2</v>
      </c>
    </row>
    <row r="33" spans="1:2" ht="13.5" thickBot="1">
      <c r="A33" s="478" t="s">
        <v>288</v>
      </c>
      <c r="B33" s="480">
        <v>2.3199999999999998E-2</v>
      </c>
    </row>
    <row r="34" spans="1:2" ht="13.5" thickBot="1">
      <c r="A34" s="478" t="s">
        <v>289</v>
      </c>
      <c r="B34" s="480">
        <v>2.3900000000000001E-2</v>
      </c>
    </row>
    <row r="35" spans="1:2" ht="13.5" thickBot="1">
      <c r="A35" s="478" t="s">
        <v>290</v>
      </c>
      <c r="B35" s="480">
        <v>2.3400000000000001E-2</v>
      </c>
    </row>
    <row r="36" spans="1:2" ht="13.5" thickBot="1">
      <c r="A36" s="481">
        <v>41486</v>
      </c>
      <c r="B36" s="480">
        <v>1.9400000000000001E-2</v>
      </c>
    </row>
    <row r="37" spans="1:2" ht="13.5" thickBot="1">
      <c r="A37" s="481">
        <v>41455</v>
      </c>
      <c r="B37" s="480">
        <v>2.1499999999999998E-2</v>
      </c>
    </row>
    <row r="38" spans="1:2" ht="13.5" thickBot="1">
      <c r="A38" s="481">
        <v>41425</v>
      </c>
      <c r="B38" s="480">
        <v>2.2200000000000001E-2</v>
      </c>
    </row>
    <row r="39" spans="1:2" ht="13.5" thickBot="1">
      <c r="A39" s="481">
        <v>41394</v>
      </c>
      <c r="B39" s="480">
        <v>2.75E-2</v>
      </c>
    </row>
    <row r="40" spans="1:2" ht="13.5" thickBot="1">
      <c r="A40" s="481">
        <v>41364</v>
      </c>
      <c r="B40" s="480">
        <v>3.0800000000000001E-2</v>
      </c>
    </row>
    <row r="41" spans="1:2" ht="13.5" thickBot="1">
      <c r="A41" s="478" t="s">
        <v>291</v>
      </c>
      <c r="B41" s="480">
        <v>3.1099999999999999E-2</v>
      </c>
    </row>
    <row r="42" spans="1:2" ht="13.5" thickBot="1">
      <c r="A42" s="478" t="s">
        <v>292</v>
      </c>
      <c r="B42" s="480">
        <v>3.1E-2</v>
      </c>
    </row>
    <row r="43" spans="1:2" ht="13.5" thickBot="1">
      <c r="A43" s="478" t="s">
        <v>293</v>
      </c>
      <c r="B43" s="480">
        <v>3.2099999999999997E-2</v>
      </c>
    </row>
    <row r="44" spans="1:2" ht="13.5" thickBot="1">
      <c r="A44" s="478" t="s">
        <v>294</v>
      </c>
      <c r="B44" s="480">
        <v>3.4099999999999998E-2</v>
      </c>
    </row>
    <row r="45" spans="1:2" ht="13.5" thickBot="1">
      <c r="A45" s="478" t="s">
        <v>295</v>
      </c>
      <c r="B45" s="480">
        <v>3.6999999999999998E-2</v>
      </c>
    </row>
    <row r="46" spans="1:2" ht="13.5" thickBot="1">
      <c r="A46" s="478" t="s">
        <v>296</v>
      </c>
      <c r="B46" s="480">
        <v>4.0899999999999999E-2</v>
      </c>
    </row>
    <row r="47" spans="1:2" ht="13.5" thickBot="1">
      <c r="A47" s="478" t="s">
        <v>297</v>
      </c>
      <c r="B47" s="480">
        <v>4.0500000000000001E-2</v>
      </c>
    </row>
    <row r="48" spans="1:2" ht="13.5" thickBot="1">
      <c r="A48" s="481">
        <v>41121</v>
      </c>
      <c r="B48" s="480">
        <v>4.1099999999999998E-2</v>
      </c>
    </row>
    <row r="49" spans="1:2" ht="13.5" thickBot="1">
      <c r="A49" s="481">
        <v>41090</v>
      </c>
      <c r="B49" s="480">
        <v>3.95E-2</v>
      </c>
    </row>
    <row r="50" spans="1:2" ht="13.5" thickBot="1">
      <c r="A50" s="481">
        <v>41060</v>
      </c>
      <c r="B50" s="480">
        <v>3.5799999999999998E-2</v>
      </c>
    </row>
    <row r="51" spans="1:2" ht="13.5" thickBot="1">
      <c r="A51" s="481">
        <v>41029</v>
      </c>
      <c r="B51" s="480">
        <v>3.4299999999999997E-2</v>
      </c>
    </row>
    <row r="52" spans="1:2" ht="13.5" thickBot="1">
      <c r="A52" s="481">
        <v>40999</v>
      </c>
      <c r="B52" s="480">
        <v>3.4599999999999999E-2</v>
      </c>
    </row>
    <row r="53" spans="1:2" ht="13.5" thickBot="1">
      <c r="A53" s="478" t="s">
        <v>298</v>
      </c>
      <c r="B53" s="480">
        <v>3.3799999999999997E-2</v>
      </c>
    </row>
    <row r="54" spans="1:2" ht="13.5" thickBot="1">
      <c r="A54" s="478" t="s">
        <v>299</v>
      </c>
      <c r="B54" s="480">
        <v>3.5999999999999997E-2</v>
      </c>
    </row>
    <row r="55" spans="1:2" ht="13.5" thickBot="1">
      <c r="A55" s="477" t="s">
        <v>300</v>
      </c>
      <c r="B55" s="478" t="s">
        <v>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105"/>
  <sheetViews>
    <sheetView workbookViewId="0">
      <selection activeCell="A6" sqref="A6"/>
    </sheetView>
  </sheetViews>
  <sheetFormatPr defaultRowHeight="12.75"/>
  <cols>
    <col min="1" max="1" width="10.140625" style="249" bestFit="1" customWidth="1"/>
    <col min="2" max="2" width="14" style="249" bestFit="1" customWidth="1"/>
    <col min="3" max="3" width="15.5703125" style="249" bestFit="1" customWidth="1"/>
    <col min="4" max="4" width="14" style="249" bestFit="1" customWidth="1"/>
    <col min="5" max="7" width="9.5703125" style="249" bestFit="1" customWidth="1"/>
    <col min="8" max="8" width="9.140625" style="249"/>
    <col min="9" max="9" width="18.5703125" style="249" customWidth="1"/>
    <col min="10" max="10" width="12.5703125" style="249" bestFit="1" customWidth="1"/>
    <col min="11" max="16384" width="9.140625" style="249"/>
  </cols>
  <sheetData>
    <row r="2" spans="1:15">
      <c r="A2" s="625" t="s">
        <v>328</v>
      </c>
      <c r="B2" s="625"/>
      <c r="C2" s="625"/>
      <c r="D2" s="625"/>
      <c r="E2" s="625"/>
      <c r="F2" s="625"/>
      <c r="G2" s="625"/>
    </row>
    <row r="3" spans="1:15">
      <c r="A3" s="625"/>
      <c r="B3" s="625"/>
      <c r="C3" s="625"/>
      <c r="D3" s="625"/>
      <c r="E3" s="625"/>
      <c r="F3" s="625"/>
      <c r="G3" s="625"/>
    </row>
    <row r="4" spans="1:15">
      <c r="A4" s="625"/>
      <c r="B4" s="625"/>
      <c r="C4" s="625"/>
      <c r="D4" s="625"/>
      <c r="E4" s="625"/>
      <c r="F4" s="625"/>
      <c r="G4" s="625"/>
    </row>
    <row r="5" spans="1:15">
      <c r="A5" s="249" t="s">
        <v>318</v>
      </c>
      <c r="I5" s="502" t="s">
        <v>370</v>
      </c>
    </row>
    <row r="6" spans="1:15">
      <c r="A6" s="249" t="s">
        <v>326</v>
      </c>
      <c r="I6" s="503">
        <f>AVERAGE(I58:I105)/100</f>
        <v>1.7723541666666665E-2</v>
      </c>
    </row>
    <row r="7" spans="1:15">
      <c r="A7" s="625" t="s">
        <v>327</v>
      </c>
      <c r="B7" s="625"/>
      <c r="C7" s="625"/>
      <c r="D7" s="625"/>
      <c r="I7" s="625" t="s">
        <v>358</v>
      </c>
      <c r="J7" s="625"/>
      <c r="K7" s="625"/>
      <c r="L7" s="625"/>
    </row>
    <row r="8" spans="1:15">
      <c r="A8" s="482" t="s">
        <v>2</v>
      </c>
      <c r="B8" s="249" t="s">
        <v>319</v>
      </c>
      <c r="C8" s="249" t="s">
        <v>324</v>
      </c>
      <c r="D8" s="249" t="s">
        <v>323</v>
      </c>
      <c r="E8" s="249" t="s">
        <v>352</v>
      </c>
      <c r="F8" s="249" t="s">
        <v>353</v>
      </c>
      <c r="G8" s="249" t="s">
        <v>354</v>
      </c>
      <c r="I8" s="482" t="s">
        <v>2</v>
      </c>
      <c r="J8" s="249" t="s">
        <v>319</v>
      </c>
      <c r="K8" s="249" t="s">
        <v>352</v>
      </c>
      <c r="M8" s="483"/>
    </row>
    <row r="9" spans="1:15">
      <c r="A9" s="249" t="s">
        <v>320</v>
      </c>
      <c r="B9" s="232">
        <v>19000000</v>
      </c>
      <c r="C9" s="232">
        <v>14000000</v>
      </c>
      <c r="D9" s="232">
        <v>28000000</v>
      </c>
      <c r="E9" s="587">
        <f>B9/$D$32</f>
        <v>0.25519997209240558</v>
      </c>
      <c r="F9" s="482">
        <f t="shared" ref="F9:G9" si="0">C9/$D$32</f>
        <v>0.18804208469966727</v>
      </c>
      <c r="G9" s="482">
        <f t="shared" si="0"/>
        <v>0.37608416939933453</v>
      </c>
      <c r="I9" s="249" t="s">
        <v>320</v>
      </c>
      <c r="J9" s="232">
        <f>K30+M31+M32+M33+M34+M35+M36+M37+M38+M39+M40+M41+M42+M43</f>
        <v>287593.05</v>
      </c>
      <c r="K9" s="586">
        <f>J9/$D$32</f>
        <v>3.8628283333668315E-3</v>
      </c>
      <c r="L9" s="232"/>
      <c r="N9" s="499"/>
      <c r="O9" s="499"/>
    </row>
    <row r="10" spans="1:15">
      <c r="A10" s="249" t="s">
        <v>321</v>
      </c>
      <c r="B10" s="232">
        <v>35000000</v>
      </c>
      <c r="C10" s="232">
        <v>25000000</v>
      </c>
      <c r="D10" s="232">
        <v>51000000</v>
      </c>
      <c r="E10" s="587">
        <f>B10/$D$33</f>
        <v>0.1803880696995917</v>
      </c>
      <c r="F10" s="482">
        <f t="shared" ref="F10:G10" si="1">C10/$D$33</f>
        <v>0.12884862121399407</v>
      </c>
      <c r="G10" s="482">
        <f t="shared" si="1"/>
        <v>0.26285118727654788</v>
      </c>
      <c r="I10" s="249" t="s">
        <v>321</v>
      </c>
      <c r="J10" s="232">
        <f>M30+M44+M45</f>
        <v>146643.70000000001</v>
      </c>
      <c r="K10" s="586">
        <f>J10/$D$33</f>
        <v>7.5579354218874338E-4</v>
      </c>
      <c r="L10" s="232"/>
      <c r="N10" s="499"/>
      <c r="O10" s="499"/>
    </row>
    <row r="11" spans="1:15">
      <c r="A11" s="249" t="s">
        <v>322</v>
      </c>
      <c r="B11" s="232">
        <v>6000000</v>
      </c>
      <c r="C11" s="232">
        <v>4000000</v>
      </c>
      <c r="D11" s="232">
        <v>9000000</v>
      </c>
      <c r="E11" s="587">
        <f>B11/$D$34</f>
        <v>0.14900174788983725</v>
      </c>
      <c r="F11" s="482">
        <f t="shared" ref="F11:G11" si="2">C11/$D$34</f>
        <v>9.9334498593224838E-2</v>
      </c>
      <c r="G11" s="482">
        <f t="shared" si="2"/>
        <v>0.22350262183475586</v>
      </c>
      <c r="I11" s="249" t="s">
        <v>322</v>
      </c>
      <c r="J11" s="232">
        <f>N30</f>
        <v>20511</v>
      </c>
      <c r="K11" s="586">
        <f>J11/$D$34</f>
        <v>5.0936247516140867E-4</v>
      </c>
      <c r="L11" s="232"/>
      <c r="N11" s="499"/>
      <c r="O11" s="499"/>
    </row>
    <row r="12" spans="1:15">
      <c r="A12" s="483" t="s">
        <v>1</v>
      </c>
      <c r="B12" s="232">
        <f>SUM(B9:B11)</f>
        <v>60000000</v>
      </c>
      <c r="C12" s="232">
        <f t="shared" ref="C12:D12" si="3">SUM(C9:C11)</f>
        <v>43000000</v>
      </c>
      <c r="D12" s="232">
        <f t="shared" si="3"/>
        <v>88000000</v>
      </c>
      <c r="E12" s="587">
        <f>B12/$D$35</f>
        <v>0.19433479229746795</v>
      </c>
      <c r="F12" s="482">
        <f t="shared" ref="F12:G12" si="4">C12/$D$35</f>
        <v>0.13927326781318536</v>
      </c>
      <c r="G12" s="482">
        <f t="shared" si="4"/>
        <v>0.28502436203628634</v>
      </c>
      <c r="I12" s="483" t="s">
        <v>1</v>
      </c>
      <c r="J12" s="232">
        <f>SUM(J9:J11)</f>
        <v>454747.75</v>
      </c>
      <c r="K12" s="586">
        <f>J12/$D$35</f>
        <v>1.472888492399848E-3</v>
      </c>
      <c r="L12" s="232"/>
      <c r="N12" s="499"/>
      <c r="O12" s="499"/>
    </row>
    <row r="14" spans="1:15">
      <c r="A14" s="625" t="s">
        <v>36</v>
      </c>
      <c r="B14" s="625"/>
      <c r="C14" s="625"/>
      <c r="D14" s="625"/>
    </row>
    <row r="15" spans="1:15" ht="13.5" customHeight="1">
      <c r="A15" s="482" t="s">
        <v>2</v>
      </c>
      <c r="B15" s="249" t="s">
        <v>319</v>
      </c>
      <c r="C15" s="249" t="s">
        <v>324</v>
      </c>
      <c r="D15" s="249" t="s">
        <v>323</v>
      </c>
      <c r="E15" s="249" t="s">
        <v>349</v>
      </c>
      <c r="F15" s="249" t="s">
        <v>350</v>
      </c>
      <c r="G15" s="249" t="s">
        <v>351</v>
      </c>
      <c r="H15" s="249" t="s">
        <v>349</v>
      </c>
    </row>
    <row r="16" spans="1:15">
      <c r="A16" s="249" t="s">
        <v>320</v>
      </c>
      <c r="B16" s="232">
        <v>1270</v>
      </c>
      <c r="C16" s="232">
        <v>900</v>
      </c>
      <c r="D16" s="232">
        <v>1870</v>
      </c>
      <c r="E16" s="586">
        <f>B16/$D$32</f>
        <v>1.7058103397755532E-5</v>
      </c>
      <c r="F16" s="499">
        <f t="shared" ref="F16" si="5">C16/$D$32</f>
        <v>1.2088419730692897E-5</v>
      </c>
      <c r="G16" s="499">
        <f t="shared" ref="G16" si="6">D16/$D$32</f>
        <v>2.511704988488413E-5</v>
      </c>
      <c r="H16" s="499">
        <v>1.7058103397755532E-5</v>
      </c>
    </row>
    <row r="17" spans="1:16">
      <c r="A17" s="249" t="s">
        <v>321</v>
      </c>
      <c r="B17" s="232">
        <v>9420</v>
      </c>
      <c r="C17" s="232">
        <v>6700</v>
      </c>
      <c r="D17" s="232">
        <v>13860</v>
      </c>
      <c r="E17" s="586">
        <f>B17/$D$33</f>
        <v>4.8550160473432964E-5</v>
      </c>
      <c r="F17" s="499">
        <f t="shared" ref="F17" si="7">C17/$D$33</f>
        <v>3.4531430485350409E-5</v>
      </c>
      <c r="G17" s="499">
        <f t="shared" ref="G17" si="8">D17/$D$33</f>
        <v>7.1433675601038308E-5</v>
      </c>
      <c r="H17" s="499">
        <v>4.8550160473432964E-5</v>
      </c>
    </row>
    <row r="18" spans="1:16">
      <c r="A18" s="249" t="s">
        <v>322</v>
      </c>
      <c r="B18" s="232">
        <v>1580</v>
      </c>
      <c r="C18" s="232">
        <v>1120</v>
      </c>
      <c r="D18" s="232">
        <v>2320</v>
      </c>
      <c r="E18" s="586">
        <f>B18/$D$34</f>
        <v>3.9237126944323811E-5</v>
      </c>
      <c r="F18" s="499">
        <f t="shared" ref="F18" si="9">C18/$D$34</f>
        <v>2.7813659606102952E-5</v>
      </c>
      <c r="G18" s="499">
        <f t="shared" ref="G18" si="10">D18/$D$34</f>
        <v>5.7614009184070402E-5</v>
      </c>
      <c r="H18" s="499">
        <v>3.9237126944323811E-5</v>
      </c>
    </row>
    <row r="19" spans="1:16">
      <c r="A19" s="483" t="s">
        <v>1</v>
      </c>
      <c r="B19" s="232">
        <f>SUM(B16:B18)</f>
        <v>12270</v>
      </c>
      <c r="C19" s="232">
        <f t="shared" ref="C19" si="11">SUM(C16:C18)</f>
        <v>8720</v>
      </c>
      <c r="D19" s="232">
        <f t="shared" ref="D19" si="12">SUM(D16:D18)</f>
        <v>18050</v>
      </c>
      <c r="E19" s="586">
        <f>B19/$D$35</f>
        <v>3.9741465024832197E-5</v>
      </c>
      <c r="F19" s="499">
        <f t="shared" ref="F19" si="13">C19/$D$35</f>
        <v>2.824332314723201E-5</v>
      </c>
      <c r="G19" s="499">
        <f t="shared" ref="G19" si="14">D19/$D$35</f>
        <v>5.8462383349488279E-5</v>
      </c>
      <c r="H19" s="499">
        <v>3.9741465024832197E-5</v>
      </c>
    </row>
    <row r="21" spans="1:16">
      <c r="A21" s="625" t="s">
        <v>325</v>
      </c>
      <c r="B21" s="625"/>
      <c r="C21" s="625"/>
      <c r="D21" s="625"/>
    </row>
    <row r="22" spans="1:16">
      <c r="A22" s="482" t="s">
        <v>2</v>
      </c>
      <c r="B22" s="249" t="s">
        <v>319</v>
      </c>
      <c r="C22" s="249" t="s">
        <v>324</v>
      </c>
      <c r="D22" s="249" t="s">
        <v>323</v>
      </c>
      <c r="E22" s="249" t="s">
        <v>352</v>
      </c>
      <c r="F22" s="249" t="s">
        <v>353</v>
      </c>
      <c r="G22" s="249" t="s">
        <v>354</v>
      </c>
      <c r="H22" s="249" t="s">
        <v>352</v>
      </c>
    </row>
    <row r="23" spans="1:16">
      <c r="A23" s="249" t="s">
        <v>320</v>
      </c>
      <c r="B23" s="232">
        <v>86000</v>
      </c>
      <c r="C23" s="232">
        <v>61000</v>
      </c>
      <c r="D23" s="232">
        <v>127000</v>
      </c>
      <c r="E23" s="586">
        <f>B23/$D$32</f>
        <v>1.1551156631550989E-3</v>
      </c>
      <c r="F23" s="499">
        <f t="shared" ref="F23" si="15">C23/$D$32</f>
        <v>8.193262261914074E-4</v>
      </c>
      <c r="G23" s="499">
        <f t="shared" ref="G23" si="16">D23/$D$32</f>
        <v>1.7058103397755531E-3</v>
      </c>
      <c r="H23" s="249">
        <v>1.1551156631550989E-3</v>
      </c>
    </row>
    <row r="24" spans="1:16">
      <c r="A24" s="249" t="s">
        <v>321</v>
      </c>
      <c r="B24" s="232">
        <v>158000</v>
      </c>
      <c r="C24" s="232">
        <v>112000</v>
      </c>
      <c r="D24" s="232">
        <v>232000</v>
      </c>
      <c r="E24" s="586">
        <f>B24/$D$33</f>
        <v>8.1432328607244247E-4</v>
      </c>
      <c r="F24" s="499">
        <f t="shared" ref="F24" si="17">C24/$D$33</f>
        <v>5.7724182303869344E-4</v>
      </c>
      <c r="G24" s="499">
        <f t="shared" ref="G24" si="18">D24/$D$33</f>
        <v>1.1957152048658649E-3</v>
      </c>
      <c r="H24" s="249">
        <v>8.1432328607244247E-4</v>
      </c>
    </row>
    <row r="25" spans="1:16">
      <c r="A25" s="249" t="s">
        <v>322</v>
      </c>
      <c r="B25" s="232">
        <v>26000</v>
      </c>
      <c r="C25" s="232">
        <v>19000</v>
      </c>
      <c r="D25" s="232">
        <v>39000</v>
      </c>
      <c r="E25" s="586">
        <f>B25/$D$34</f>
        <v>6.4567424085596142E-4</v>
      </c>
      <c r="F25" s="499">
        <f t="shared" ref="F25" si="19">C25/$D$34</f>
        <v>4.7183886831781796E-4</v>
      </c>
      <c r="G25" s="499">
        <f t="shared" ref="G25" si="20">D25/$D$34</f>
        <v>9.6851136128394213E-4</v>
      </c>
      <c r="H25" s="249">
        <v>6.4567424085596142E-4</v>
      </c>
    </row>
    <row r="26" spans="1:16">
      <c r="A26" s="483" t="s">
        <v>1</v>
      </c>
      <c r="B26" s="232">
        <f>SUM(B23:B25)</f>
        <v>270000</v>
      </c>
      <c r="C26" s="232">
        <f t="shared" ref="C26" si="21">SUM(C23:C25)</f>
        <v>192000</v>
      </c>
      <c r="D26" s="232">
        <f t="shared" ref="D26" si="22">SUM(D23:D25)</f>
        <v>398000</v>
      </c>
      <c r="E26" s="586">
        <f>B26/$D$35</f>
        <v>8.7450656533860584E-4</v>
      </c>
      <c r="F26" s="499">
        <f t="shared" ref="F26" si="23">C26/$D$35</f>
        <v>6.2187133535189748E-4</v>
      </c>
      <c r="G26" s="499">
        <f t="shared" ref="G26" si="24">D26/$D$35</f>
        <v>1.2890874555732041E-3</v>
      </c>
      <c r="H26" s="249">
        <v>8.7450656533860584E-4</v>
      </c>
    </row>
    <row r="28" spans="1:16" ht="13.5" thickBot="1"/>
    <row r="29" spans="1:16" ht="13.5" thickBot="1">
      <c r="A29" s="628" t="s">
        <v>34</v>
      </c>
      <c r="B29" s="484">
        <v>40269</v>
      </c>
      <c r="J29" s="249" t="s">
        <v>360</v>
      </c>
      <c r="K29" s="249" t="s">
        <v>361</v>
      </c>
      <c r="L29" s="249" t="s">
        <v>362</v>
      </c>
      <c r="M29" s="249" t="s">
        <v>363</v>
      </c>
      <c r="N29" s="249" t="s">
        <v>364</v>
      </c>
      <c r="O29" s="249" t="s">
        <v>365</v>
      </c>
      <c r="P29" s="249" t="s">
        <v>366</v>
      </c>
    </row>
    <row r="30" spans="1:16" ht="13.5" thickBot="1">
      <c r="A30" s="629"/>
      <c r="B30" s="485" t="s">
        <v>329</v>
      </c>
      <c r="C30" s="626" t="s">
        <v>355</v>
      </c>
      <c r="D30" s="627"/>
      <c r="J30" s="249" t="s">
        <v>1</v>
      </c>
      <c r="K30" s="249">
        <v>142619</v>
      </c>
      <c r="L30" s="249">
        <v>223037</v>
      </c>
      <c r="M30" s="249">
        <v>124340</v>
      </c>
      <c r="N30" s="249">
        <v>20511</v>
      </c>
      <c r="O30" s="249">
        <v>510507</v>
      </c>
      <c r="P30" s="249">
        <v>26102122</v>
      </c>
    </row>
    <row r="31" spans="1:16" ht="13.5" thickBot="1">
      <c r="A31" s="630"/>
      <c r="B31" s="486" t="s">
        <v>330</v>
      </c>
      <c r="C31" s="626"/>
      <c r="D31" s="627"/>
      <c r="L31" s="249">
        <v>5</v>
      </c>
      <c r="M31" s="249">
        <f t="shared" ref="M31:M50" si="25">$L$30/20</f>
        <v>11151.85</v>
      </c>
    </row>
    <row r="32" spans="1:16">
      <c r="A32" s="487" t="s">
        <v>1</v>
      </c>
      <c r="B32" s="488">
        <v>308745538</v>
      </c>
      <c r="C32" s="249" t="s">
        <v>320</v>
      </c>
      <c r="D32" s="497">
        <f>B33+B34+B35+G33+G34+G35</f>
        <v>74451418.799999997</v>
      </c>
      <c r="L32" s="249">
        <f>L31+1</f>
        <v>6</v>
      </c>
      <c r="M32" s="249">
        <f t="shared" si="25"/>
        <v>11151.85</v>
      </c>
    </row>
    <row r="33" spans="1:13" ht="22.5">
      <c r="A33" s="489" t="s">
        <v>331</v>
      </c>
      <c r="B33" s="490">
        <v>20201362</v>
      </c>
      <c r="C33" s="249" t="s">
        <v>321</v>
      </c>
      <c r="D33" s="497">
        <f>G36+G37+B37+B38+B39+B40+B41+B42+B43+B44+B45</f>
        <v>194026135.19999999</v>
      </c>
      <c r="F33" s="249">
        <v>15</v>
      </c>
      <c r="G33" s="249">
        <f>$B$36/5</f>
        <v>4408068.5999999996</v>
      </c>
      <c r="L33" s="249">
        <f t="shared" ref="L33:L50" si="26">L32+1</f>
        <v>7</v>
      </c>
      <c r="M33" s="249">
        <f t="shared" si="25"/>
        <v>11151.85</v>
      </c>
    </row>
    <row r="34" spans="1:13" ht="22.5">
      <c r="A34" s="491" t="s">
        <v>332</v>
      </c>
      <c r="B34" s="492">
        <v>20348657</v>
      </c>
      <c r="C34" s="249" t="s">
        <v>322</v>
      </c>
      <c r="D34" s="497">
        <f>SUM(B46:B50)</f>
        <v>40267984</v>
      </c>
      <c r="F34" s="249">
        <v>16</v>
      </c>
      <c r="G34" s="249">
        <f t="shared" ref="G34:G37" si="27">$B$36/5</f>
        <v>4408068.5999999996</v>
      </c>
      <c r="L34" s="249">
        <f t="shared" si="26"/>
        <v>8</v>
      </c>
      <c r="M34" s="249">
        <f t="shared" si="25"/>
        <v>11151.85</v>
      </c>
    </row>
    <row r="35" spans="1:13" ht="22.5">
      <c r="A35" s="489" t="s">
        <v>333</v>
      </c>
      <c r="B35" s="490">
        <v>20677194</v>
      </c>
      <c r="D35" s="498">
        <f>SUM(D32:D34)</f>
        <v>308745538</v>
      </c>
      <c r="F35" s="249">
        <v>17</v>
      </c>
      <c r="G35" s="249">
        <f t="shared" si="27"/>
        <v>4408068.5999999996</v>
      </c>
      <c r="L35" s="249">
        <f t="shared" si="26"/>
        <v>9</v>
      </c>
      <c r="M35" s="249">
        <f t="shared" si="25"/>
        <v>11151.85</v>
      </c>
    </row>
    <row r="36" spans="1:13" ht="22.5">
      <c r="A36" s="491" t="s">
        <v>334</v>
      </c>
      <c r="B36" s="492">
        <v>22040343</v>
      </c>
      <c r="F36" s="249">
        <v>18</v>
      </c>
      <c r="G36" s="249">
        <f t="shared" si="27"/>
        <v>4408068.5999999996</v>
      </c>
      <c r="L36" s="249">
        <f t="shared" si="26"/>
        <v>10</v>
      </c>
      <c r="M36" s="249">
        <f t="shared" si="25"/>
        <v>11151.85</v>
      </c>
    </row>
    <row r="37" spans="1:13" ht="22.5">
      <c r="A37" s="489" t="s">
        <v>335</v>
      </c>
      <c r="B37" s="490">
        <v>21585999</v>
      </c>
      <c r="F37" s="249">
        <v>19</v>
      </c>
      <c r="G37" s="249">
        <f t="shared" si="27"/>
        <v>4408068.5999999996</v>
      </c>
      <c r="L37" s="249">
        <f t="shared" si="26"/>
        <v>11</v>
      </c>
      <c r="M37" s="249">
        <f t="shared" si="25"/>
        <v>11151.85</v>
      </c>
    </row>
    <row r="38" spans="1:13" ht="22.5">
      <c r="A38" s="491" t="s">
        <v>336</v>
      </c>
      <c r="B38" s="492">
        <v>21101849</v>
      </c>
      <c r="L38" s="249">
        <f t="shared" si="26"/>
        <v>12</v>
      </c>
      <c r="M38" s="249">
        <f t="shared" si="25"/>
        <v>11151.85</v>
      </c>
    </row>
    <row r="39" spans="1:13" ht="22.5">
      <c r="A39" s="489" t="s">
        <v>337</v>
      </c>
      <c r="B39" s="490">
        <v>19962099</v>
      </c>
      <c r="L39" s="249">
        <f t="shared" si="26"/>
        <v>13</v>
      </c>
      <c r="M39" s="249">
        <f t="shared" si="25"/>
        <v>11151.85</v>
      </c>
    </row>
    <row r="40" spans="1:13" ht="22.5">
      <c r="A40" s="491" t="s">
        <v>338</v>
      </c>
      <c r="B40" s="492">
        <v>20179642</v>
      </c>
      <c r="L40" s="249">
        <f t="shared" si="26"/>
        <v>14</v>
      </c>
      <c r="M40" s="249">
        <f t="shared" si="25"/>
        <v>11151.85</v>
      </c>
    </row>
    <row r="41" spans="1:13" ht="22.5">
      <c r="A41" s="489" t="s">
        <v>339</v>
      </c>
      <c r="B41" s="490">
        <v>20890964</v>
      </c>
      <c r="L41" s="249">
        <f t="shared" si="26"/>
        <v>15</v>
      </c>
      <c r="M41" s="249">
        <f t="shared" si="25"/>
        <v>11151.85</v>
      </c>
    </row>
    <row r="42" spans="1:13" ht="22.5">
      <c r="A42" s="491" t="s">
        <v>340</v>
      </c>
      <c r="B42" s="492">
        <v>22708591</v>
      </c>
      <c r="L42" s="249">
        <f t="shared" si="26"/>
        <v>16</v>
      </c>
      <c r="M42" s="249">
        <f t="shared" si="25"/>
        <v>11151.85</v>
      </c>
    </row>
    <row r="43" spans="1:13" ht="22.5">
      <c r="A43" s="489" t="s">
        <v>341</v>
      </c>
      <c r="B43" s="490">
        <v>22298125</v>
      </c>
      <c r="L43" s="249">
        <f t="shared" si="26"/>
        <v>17</v>
      </c>
      <c r="M43" s="249">
        <f t="shared" si="25"/>
        <v>11151.85</v>
      </c>
    </row>
    <row r="44" spans="1:13" ht="22.5">
      <c r="A44" s="491" t="s">
        <v>342</v>
      </c>
      <c r="B44" s="492">
        <v>19664805</v>
      </c>
      <c r="L44" s="249">
        <f t="shared" si="26"/>
        <v>18</v>
      </c>
      <c r="M44" s="249">
        <f t="shared" si="25"/>
        <v>11151.85</v>
      </c>
    </row>
    <row r="45" spans="1:13" ht="22.5">
      <c r="A45" s="489" t="s">
        <v>343</v>
      </c>
      <c r="B45" s="490">
        <v>16817924</v>
      </c>
      <c r="L45" s="249">
        <f t="shared" si="26"/>
        <v>19</v>
      </c>
      <c r="M45" s="249">
        <f t="shared" si="25"/>
        <v>11151.85</v>
      </c>
    </row>
    <row r="46" spans="1:13" ht="22.5">
      <c r="A46" s="491" t="s">
        <v>344</v>
      </c>
      <c r="B46" s="492">
        <v>12435263</v>
      </c>
      <c r="L46" s="249">
        <f t="shared" si="26"/>
        <v>20</v>
      </c>
      <c r="M46" s="249">
        <f t="shared" si="25"/>
        <v>11151.85</v>
      </c>
    </row>
    <row r="47" spans="1:13" ht="22.5">
      <c r="A47" s="489" t="s">
        <v>345</v>
      </c>
      <c r="B47" s="490">
        <v>9278166</v>
      </c>
      <c r="L47" s="249">
        <f t="shared" si="26"/>
        <v>21</v>
      </c>
      <c r="M47" s="249">
        <f t="shared" si="25"/>
        <v>11151.85</v>
      </c>
    </row>
    <row r="48" spans="1:13" ht="22.5">
      <c r="A48" s="493" t="s">
        <v>346</v>
      </c>
      <c r="B48" s="494">
        <v>7317795</v>
      </c>
      <c r="L48" s="249">
        <f t="shared" si="26"/>
        <v>22</v>
      </c>
      <c r="M48" s="249">
        <f t="shared" si="25"/>
        <v>11151.85</v>
      </c>
    </row>
    <row r="49" spans="1:13" ht="22.5">
      <c r="A49" s="489" t="s">
        <v>347</v>
      </c>
      <c r="B49" s="490">
        <v>5743327</v>
      </c>
      <c r="L49" s="249">
        <f t="shared" si="26"/>
        <v>23</v>
      </c>
      <c r="M49" s="249">
        <f t="shared" si="25"/>
        <v>11151.85</v>
      </c>
    </row>
    <row r="50" spans="1:13" ht="23.25" thickBot="1">
      <c r="A50" s="495" t="s">
        <v>348</v>
      </c>
      <c r="B50" s="496">
        <v>5493433</v>
      </c>
      <c r="L50" s="249">
        <f t="shared" si="26"/>
        <v>24</v>
      </c>
      <c r="M50" s="249">
        <f t="shared" si="25"/>
        <v>11151.85</v>
      </c>
    </row>
    <row r="53" spans="1:13">
      <c r="A53" s="249" t="s">
        <v>369</v>
      </c>
    </row>
    <row r="54" spans="1:13">
      <c r="A54" s="624" t="s">
        <v>359</v>
      </c>
      <c r="B54" s="624"/>
      <c r="C54" s="624"/>
      <c r="D54" s="624"/>
      <c r="E54" s="624"/>
      <c r="F54" s="624"/>
      <c r="G54" s="624"/>
      <c r="H54" s="624"/>
      <c r="I54" s="624"/>
    </row>
    <row r="55" spans="1:13" ht="38.25">
      <c r="A55" s="500" t="s">
        <v>360</v>
      </c>
      <c r="B55" s="500" t="s">
        <v>361</v>
      </c>
      <c r="C55" s="500" t="s">
        <v>362</v>
      </c>
      <c r="D55" s="500" t="s">
        <v>363</v>
      </c>
      <c r="E55" s="500" t="s">
        <v>364</v>
      </c>
      <c r="F55" s="500" t="s">
        <v>365</v>
      </c>
      <c r="G55" s="500" t="s">
        <v>366</v>
      </c>
      <c r="H55" s="500" t="s">
        <v>367</v>
      </c>
      <c r="I55" s="500" t="s">
        <v>368</v>
      </c>
    </row>
    <row r="56" spans="1:13">
      <c r="A56" s="500" t="s">
        <v>1</v>
      </c>
      <c r="B56" s="500">
        <f>SUM(B58:B105)</f>
        <v>142619</v>
      </c>
      <c r="C56" s="500">
        <f t="shared" ref="C56:E56" si="28">SUM(C58:C105)</f>
        <v>223037</v>
      </c>
      <c r="D56" s="500">
        <f t="shared" si="28"/>
        <v>124340</v>
      </c>
      <c r="E56" s="500">
        <f t="shared" si="28"/>
        <v>20511</v>
      </c>
      <c r="F56" s="500">
        <f>SUM(F58:F105)</f>
        <v>510507</v>
      </c>
      <c r="G56" s="500">
        <f>SUM(G58:G105)</f>
        <v>26102122</v>
      </c>
      <c r="H56" s="500"/>
      <c r="I56" s="500"/>
    </row>
    <row r="57" spans="1:13">
      <c r="A57" s="500"/>
      <c r="B57" s="500"/>
      <c r="C57" s="500"/>
      <c r="D57" s="500"/>
      <c r="E57" s="500"/>
      <c r="F57" s="500"/>
      <c r="G57" s="500"/>
      <c r="H57" s="500"/>
      <c r="I57" s="500"/>
    </row>
    <row r="58" spans="1:13">
      <c r="A58" s="501">
        <v>40</v>
      </c>
      <c r="B58" s="501">
        <v>1466</v>
      </c>
      <c r="C58" s="501">
        <v>1753</v>
      </c>
      <c r="D58" s="501">
        <v>1301</v>
      </c>
      <c r="E58" s="501">
        <v>302</v>
      </c>
      <c r="F58" s="501">
        <v>4822</v>
      </c>
      <c r="G58" s="501">
        <v>530911</v>
      </c>
      <c r="H58" s="501">
        <v>0.90800000000000003</v>
      </c>
      <c r="I58" s="501">
        <v>0.93899999999999995</v>
      </c>
    </row>
    <row r="59" spans="1:13">
      <c r="A59" s="501">
        <v>41</v>
      </c>
      <c r="B59" s="501">
        <v>1838</v>
      </c>
      <c r="C59" s="501">
        <v>2237</v>
      </c>
      <c r="D59" s="501">
        <v>1455</v>
      </c>
      <c r="E59" s="501">
        <v>314</v>
      </c>
      <c r="F59" s="501">
        <v>5844</v>
      </c>
      <c r="G59" s="501">
        <v>572292</v>
      </c>
      <c r="H59" s="501">
        <v>1.0209999999999999</v>
      </c>
      <c r="I59" s="501">
        <v>0.98799999999999999</v>
      </c>
    </row>
    <row r="60" spans="1:13">
      <c r="A60" s="501">
        <v>42</v>
      </c>
      <c r="B60" s="501">
        <v>1841</v>
      </c>
      <c r="C60" s="501">
        <v>2256</v>
      </c>
      <c r="D60" s="501">
        <v>1448</v>
      </c>
      <c r="E60" s="501">
        <v>340</v>
      </c>
      <c r="F60" s="501">
        <v>5885</v>
      </c>
      <c r="G60" s="501">
        <v>577981</v>
      </c>
      <c r="H60" s="501">
        <v>1.018</v>
      </c>
      <c r="I60" s="501">
        <v>0.98299999999999998</v>
      </c>
    </row>
    <row r="61" spans="1:13">
      <c r="A61" s="501">
        <v>43</v>
      </c>
      <c r="B61" s="501">
        <v>1952</v>
      </c>
      <c r="C61" s="501">
        <v>2390</v>
      </c>
      <c r="D61" s="501">
        <v>1622</v>
      </c>
      <c r="E61" s="501">
        <v>363</v>
      </c>
      <c r="F61" s="501">
        <v>6327</v>
      </c>
      <c r="G61" s="501">
        <v>594412</v>
      </c>
      <c r="H61" s="501">
        <v>1.0640000000000001</v>
      </c>
      <c r="I61" s="501">
        <v>1.0309999999999999</v>
      </c>
    </row>
    <row r="62" spans="1:13">
      <c r="A62" s="501">
        <v>44</v>
      </c>
      <c r="B62" s="501">
        <v>2095</v>
      </c>
      <c r="C62" s="501">
        <v>2425</v>
      </c>
      <c r="D62" s="501">
        <v>1799</v>
      </c>
      <c r="E62" s="501">
        <v>442</v>
      </c>
      <c r="F62" s="501">
        <v>6761</v>
      </c>
      <c r="G62" s="501">
        <v>594534</v>
      </c>
      <c r="H62" s="501">
        <v>1.137</v>
      </c>
      <c r="I62" s="501">
        <v>1.103</v>
      </c>
    </row>
    <row r="63" spans="1:13">
      <c r="A63" s="501">
        <v>45</v>
      </c>
      <c r="B63" s="501">
        <v>2225</v>
      </c>
      <c r="C63" s="501">
        <v>2533</v>
      </c>
      <c r="D63" s="501">
        <v>1972</v>
      </c>
      <c r="E63" s="501">
        <v>373</v>
      </c>
      <c r="F63" s="501">
        <v>7103</v>
      </c>
      <c r="G63" s="501">
        <v>607506</v>
      </c>
      <c r="H63" s="501">
        <v>1.169</v>
      </c>
      <c r="I63" s="501">
        <v>1.087</v>
      </c>
    </row>
    <row r="64" spans="1:13">
      <c r="A64" s="501">
        <v>46</v>
      </c>
      <c r="B64" s="501">
        <v>2456</v>
      </c>
      <c r="C64" s="501">
        <v>2712</v>
      </c>
      <c r="D64" s="501">
        <v>1853</v>
      </c>
      <c r="E64" s="501">
        <v>411</v>
      </c>
      <c r="F64" s="501">
        <v>7432</v>
      </c>
      <c r="G64" s="501">
        <v>592990</v>
      </c>
      <c r="H64" s="501">
        <v>1.2529999999999999</v>
      </c>
      <c r="I64" s="501">
        <v>1.123</v>
      </c>
    </row>
    <row r="65" spans="1:9">
      <c r="A65" s="501">
        <v>47</v>
      </c>
      <c r="B65" s="501">
        <v>2593</v>
      </c>
      <c r="C65" s="501">
        <v>2777</v>
      </c>
      <c r="D65" s="501">
        <v>1891</v>
      </c>
      <c r="E65" s="501">
        <v>413</v>
      </c>
      <c r="F65" s="501">
        <v>7674</v>
      </c>
      <c r="G65" s="501">
        <v>606437</v>
      </c>
      <c r="H65" s="501">
        <v>1.2649999999999999</v>
      </c>
      <c r="I65" s="501">
        <v>1.202</v>
      </c>
    </row>
    <row r="66" spans="1:9">
      <c r="A66" s="501">
        <v>48</v>
      </c>
      <c r="B66" s="501">
        <v>3021</v>
      </c>
      <c r="C66" s="501">
        <v>2420</v>
      </c>
      <c r="D66" s="501">
        <v>1739</v>
      </c>
      <c r="E66" s="501">
        <v>456</v>
      </c>
      <c r="F66" s="501">
        <v>7636</v>
      </c>
      <c r="G66" s="501">
        <v>476341</v>
      </c>
      <c r="H66" s="501">
        <v>1.603</v>
      </c>
      <c r="I66" s="501">
        <v>1.3680000000000001</v>
      </c>
    </row>
    <row r="67" spans="1:9">
      <c r="A67" s="501">
        <v>49</v>
      </c>
      <c r="B67" s="501">
        <v>3103</v>
      </c>
      <c r="C67" s="501">
        <v>2901</v>
      </c>
      <c r="D67" s="501">
        <v>2202</v>
      </c>
      <c r="E67" s="501">
        <v>469</v>
      </c>
      <c r="F67" s="501">
        <v>8675</v>
      </c>
      <c r="G67" s="501">
        <v>595026</v>
      </c>
      <c r="H67" s="501">
        <v>1.458</v>
      </c>
      <c r="I67" s="501">
        <v>1.3129999999999999</v>
      </c>
    </row>
    <row r="68" spans="1:9">
      <c r="A68" s="501">
        <v>50</v>
      </c>
      <c r="B68" s="501">
        <v>3239</v>
      </c>
      <c r="C68" s="501">
        <v>3007</v>
      </c>
      <c r="D68" s="501">
        <v>1975</v>
      </c>
      <c r="E68" s="501">
        <v>440</v>
      </c>
      <c r="F68" s="501">
        <v>8661</v>
      </c>
      <c r="G68" s="501">
        <v>575577</v>
      </c>
      <c r="H68" s="501">
        <v>1.5049999999999999</v>
      </c>
      <c r="I68" s="501">
        <v>1.3129999999999999</v>
      </c>
    </row>
    <row r="69" spans="1:9">
      <c r="A69" s="501">
        <v>51</v>
      </c>
      <c r="B69" s="501">
        <v>3123</v>
      </c>
      <c r="C69" s="501">
        <v>2513</v>
      </c>
      <c r="D69" s="501">
        <v>1638</v>
      </c>
      <c r="E69" s="501">
        <v>457</v>
      </c>
      <c r="F69" s="501">
        <v>7731</v>
      </c>
      <c r="G69" s="501">
        <v>476276</v>
      </c>
      <c r="H69" s="501">
        <v>1.623</v>
      </c>
      <c r="I69" s="501">
        <v>1.456</v>
      </c>
    </row>
    <row r="70" spans="1:9">
      <c r="A70" s="501">
        <v>52</v>
      </c>
      <c r="B70" s="501">
        <v>3885</v>
      </c>
      <c r="C70" s="501">
        <v>2358</v>
      </c>
      <c r="D70" s="501">
        <v>1947</v>
      </c>
      <c r="E70" s="501">
        <v>493</v>
      </c>
      <c r="F70" s="501">
        <v>8683</v>
      </c>
      <c r="G70" s="501">
        <v>401843</v>
      </c>
      <c r="H70" s="501">
        <v>2.161</v>
      </c>
      <c r="I70" s="501">
        <v>1.81</v>
      </c>
    </row>
    <row r="71" spans="1:9">
      <c r="A71" s="501">
        <v>53</v>
      </c>
      <c r="B71" s="501">
        <v>3795</v>
      </c>
      <c r="C71" s="501">
        <v>2038</v>
      </c>
      <c r="D71" s="501">
        <v>2163</v>
      </c>
      <c r="E71" s="501">
        <v>588</v>
      </c>
      <c r="F71" s="501">
        <v>8584</v>
      </c>
      <c r="G71" s="501">
        <v>422658</v>
      </c>
      <c r="H71" s="501">
        <v>2.0310000000000001</v>
      </c>
      <c r="I71" s="501">
        <v>2.1339999999999999</v>
      </c>
    </row>
    <row r="72" spans="1:9">
      <c r="A72" s="501">
        <v>1</v>
      </c>
      <c r="B72" s="501">
        <v>3225</v>
      </c>
      <c r="C72" s="501">
        <v>2555</v>
      </c>
      <c r="D72" s="501">
        <v>2612</v>
      </c>
      <c r="E72" s="501">
        <v>560</v>
      </c>
      <c r="F72" s="501">
        <v>8952</v>
      </c>
      <c r="G72" s="501">
        <v>578031</v>
      </c>
      <c r="H72" s="501">
        <v>1.5489999999999999</v>
      </c>
      <c r="I72" s="501">
        <v>1.4570000000000001</v>
      </c>
    </row>
    <row r="73" spans="1:9">
      <c r="A73" s="501">
        <v>2</v>
      </c>
      <c r="B73" s="501">
        <v>3114</v>
      </c>
      <c r="C73" s="501">
        <v>3337</v>
      </c>
      <c r="D73" s="501">
        <v>2328</v>
      </c>
      <c r="E73" s="501">
        <v>474</v>
      </c>
      <c r="F73" s="501">
        <v>9253</v>
      </c>
      <c r="G73" s="501">
        <v>561615</v>
      </c>
      <c r="H73" s="501">
        <v>1.6479999999999999</v>
      </c>
      <c r="I73" s="501">
        <v>1.627</v>
      </c>
    </row>
    <row r="74" spans="1:9">
      <c r="A74" s="501">
        <v>3</v>
      </c>
      <c r="B74" s="501">
        <v>3614</v>
      </c>
      <c r="C74" s="501">
        <v>4643</v>
      </c>
      <c r="D74" s="501">
        <v>2824</v>
      </c>
      <c r="E74" s="501">
        <v>441</v>
      </c>
      <c r="F74" s="501">
        <v>11522</v>
      </c>
      <c r="G74" s="501">
        <v>579666</v>
      </c>
      <c r="H74" s="501">
        <v>1.988</v>
      </c>
      <c r="I74" s="501">
        <v>1.9710000000000001</v>
      </c>
    </row>
    <row r="75" spans="1:9">
      <c r="A75" s="501">
        <v>4</v>
      </c>
      <c r="B75" s="501">
        <v>4104</v>
      </c>
      <c r="C75" s="501">
        <v>6412</v>
      </c>
      <c r="D75" s="501">
        <v>3261</v>
      </c>
      <c r="E75" s="501">
        <v>478</v>
      </c>
      <c r="F75" s="501">
        <v>14255</v>
      </c>
      <c r="G75" s="501">
        <v>609153</v>
      </c>
      <c r="H75" s="501">
        <v>2.34</v>
      </c>
      <c r="I75" s="501">
        <v>2.4300000000000002</v>
      </c>
    </row>
    <row r="76" spans="1:9">
      <c r="A76" s="501">
        <v>5</v>
      </c>
      <c r="B76" s="501">
        <v>4619</v>
      </c>
      <c r="C76" s="501">
        <v>8627</v>
      </c>
      <c r="D76" s="501">
        <v>4230</v>
      </c>
      <c r="E76" s="501">
        <v>546</v>
      </c>
      <c r="F76" s="501">
        <v>18022</v>
      </c>
      <c r="G76" s="501">
        <v>639223</v>
      </c>
      <c r="H76" s="501">
        <v>2.819</v>
      </c>
      <c r="I76" s="501">
        <v>2.9550000000000001</v>
      </c>
    </row>
    <row r="77" spans="1:9">
      <c r="A77" s="501">
        <v>6</v>
      </c>
      <c r="B77" s="501">
        <v>5023</v>
      </c>
      <c r="C77" s="501">
        <v>10913</v>
      </c>
      <c r="D77" s="501">
        <v>4553</v>
      </c>
      <c r="E77" s="501">
        <v>748</v>
      </c>
      <c r="F77" s="501">
        <v>21237</v>
      </c>
      <c r="G77" s="501">
        <v>642425</v>
      </c>
      <c r="H77" s="501">
        <v>3.306</v>
      </c>
      <c r="I77" s="501">
        <v>3.5659999999999998</v>
      </c>
    </row>
    <row r="78" spans="1:9">
      <c r="A78" s="501">
        <v>7</v>
      </c>
      <c r="B78" s="501">
        <v>4838</v>
      </c>
      <c r="C78" s="501">
        <v>9806</v>
      </c>
      <c r="D78" s="501">
        <v>4661</v>
      </c>
      <c r="E78" s="501">
        <v>639</v>
      </c>
      <c r="F78" s="501">
        <v>19944</v>
      </c>
      <c r="G78" s="501">
        <v>619477</v>
      </c>
      <c r="H78" s="501">
        <v>3.2189999999999999</v>
      </c>
      <c r="I78" s="501">
        <v>3.3929999999999998</v>
      </c>
    </row>
    <row r="79" spans="1:9">
      <c r="A79" s="501">
        <v>8</v>
      </c>
      <c r="B79" s="501">
        <v>4720</v>
      </c>
      <c r="C79" s="501">
        <v>10456</v>
      </c>
      <c r="D79" s="501">
        <v>5054</v>
      </c>
      <c r="E79" s="501">
        <v>675</v>
      </c>
      <c r="F79" s="501">
        <v>20905</v>
      </c>
      <c r="G79" s="501">
        <v>655560</v>
      </c>
      <c r="H79" s="501">
        <v>3.1890000000000001</v>
      </c>
      <c r="I79" s="501">
        <v>3.5190000000000001</v>
      </c>
    </row>
    <row r="80" spans="1:9">
      <c r="A80" s="501">
        <v>9</v>
      </c>
      <c r="B80" s="501">
        <v>4407</v>
      </c>
      <c r="C80" s="501">
        <v>9063</v>
      </c>
      <c r="D80" s="501">
        <v>4257</v>
      </c>
      <c r="E80" s="501">
        <v>634</v>
      </c>
      <c r="F80" s="501">
        <v>18361</v>
      </c>
      <c r="G80" s="501">
        <v>619815</v>
      </c>
      <c r="H80" s="501">
        <v>2.9620000000000002</v>
      </c>
      <c r="I80" s="501">
        <v>3.2029999999999998</v>
      </c>
    </row>
    <row r="81" spans="1:9">
      <c r="A81" s="501">
        <v>10</v>
      </c>
      <c r="B81" s="501">
        <v>4027</v>
      </c>
      <c r="C81" s="501">
        <v>7422</v>
      </c>
      <c r="D81" s="501">
        <v>3569</v>
      </c>
      <c r="E81" s="501">
        <v>627</v>
      </c>
      <c r="F81" s="501">
        <v>15645</v>
      </c>
      <c r="G81" s="501">
        <v>631430</v>
      </c>
      <c r="H81" s="501">
        <v>2.4780000000000002</v>
      </c>
      <c r="I81" s="501">
        <v>2.6269999999999998</v>
      </c>
    </row>
    <row r="82" spans="1:9">
      <c r="A82" s="501">
        <v>11</v>
      </c>
      <c r="B82" s="501">
        <v>3634</v>
      </c>
      <c r="C82" s="501">
        <v>5980</v>
      </c>
      <c r="D82" s="501">
        <v>2993</v>
      </c>
      <c r="E82" s="501">
        <v>582</v>
      </c>
      <c r="F82" s="501">
        <v>13189</v>
      </c>
      <c r="G82" s="501">
        <v>599545</v>
      </c>
      <c r="H82" s="501">
        <v>2.2000000000000002</v>
      </c>
      <c r="I82" s="501">
        <v>2.4700000000000002</v>
      </c>
    </row>
    <row r="83" spans="1:9">
      <c r="A83" s="501">
        <v>12</v>
      </c>
      <c r="B83" s="501">
        <v>3225</v>
      </c>
      <c r="C83" s="501">
        <v>4981</v>
      </c>
      <c r="D83" s="501">
        <v>2635</v>
      </c>
      <c r="E83" s="501">
        <v>452</v>
      </c>
      <c r="F83" s="501">
        <v>11293</v>
      </c>
      <c r="G83" s="501">
        <v>601888</v>
      </c>
      <c r="H83" s="501">
        <v>1.8759999999999999</v>
      </c>
      <c r="I83" s="501">
        <v>2.0150000000000001</v>
      </c>
    </row>
    <row r="84" spans="1:9">
      <c r="A84" s="501">
        <v>13</v>
      </c>
      <c r="B84" s="501">
        <v>2844</v>
      </c>
      <c r="C84" s="501">
        <v>4046</v>
      </c>
      <c r="D84" s="501">
        <v>2129</v>
      </c>
      <c r="E84" s="501">
        <v>399</v>
      </c>
      <c r="F84" s="501">
        <v>9418</v>
      </c>
      <c r="G84" s="501">
        <v>581762</v>
      </c>
      <c r="H84" s="501">
        <v>1.619</v>
      </c>
      <c r="I84" s="501">
        <v>1.821</v>
      </c>
    </row>
    <row r="85" spans="1:9">
      <c r="A85" s="501">
        <v>14</v>
      </c>
      <c r="B85" s="501">
        <v>2560</v>
      </c>
      <c r="C85" s="501">
        <v>3490</v>
      </c>
      <c r="D85" s="501">
        <v>2067</v>
      </c>
      <c r="E85" s="501">
        <v>386</v>
      </c>
      <c r="F85" s="501">
        <v>8503</v>
      </c>
      <c r="G85" s="501">
        <v>560727</v>
      </c>
      <c r="H85" s="501">
        <v>1.516</v>
      </c>
      <c r="I85" s="501">
        <v>1.6220000000000001</v>
      </c>
    </row>
    <row r="86" spans="1:9">
      <c r="A86" s="501">
        <v>15</v>
      </c>
      <c r="B86" s="501">
        <v>2344</v>
      </c>
      <c r="C86" s="501">
        <v>2746</v>
      </c>
      <c r="D86" s="501">
        <v>1724</v>
      </c>
      <c r="E86" s="501">
        <v>361</v>
      </c>
      <c r="F86" s="501">
        <v>7175</v>
      </c>
      <c r="G86" s="501">
        <v>555013</v>
      </c>
      <c r="H86" s="501">
        <v>1.2929999999999999</v>
      </c>
      <c r="I86" s="501">
        <v>1.292</v>
      </c>
    </row>
    <row r="87" spans="1:9">
      <c r="A87" s="501">
        <v>16</v>
      </c>
      <c r="B87" s="501">
        <v>2343</v>
      </c>
      <c r="C87" s="501">
        <v>2836</v>
      </c>
      <c r="D87" s="501">
        <v>1726</v>
      </c>
      <c r="E87" s="501">
        <v>408</v>
      </c>
      <c r="F87" s="501">
        <v>7313</v>
      </c>
      <c r="G87" s="501">
        <v>572275</v>
      </c>
      <c r="H87" s="501">
        <v>1.278</v>
      </c>
      <c r="I87" s="501">
        <v>1.3140000000000001</v>
      </c>
    </row>
    <row r="88" spans="1:9">
      <c r="A88" s="501">
        <v>17</v>
      </c>
      <c r="B88" s="501">
        <v>4774</v>
      </c>
      <c r="C88" s="501">
        <v>7842</v>
      </c>
      <c r="D88" s="501">
        <v>5049</v>
      </c>
      <c r="E88" s="501">
        <v>665</v>
      </c>
      <c r="F88" s="501">
        <v>18330</v>
      </c>
      <c r="G88" s="501">
        <v>609745</v>
      </c>
      <c r="H88" s="501">
        <v>3.0059999999999998</v>
      </c>
      <c r="I88" s="501">
        <v>2.7629999999999999</v>
      </c>
    </row>
    <row r="89" spans="1:9">
      <c r="A89" s="501">
        <v>18</v>
      </c>
      <c r="B89" s="501">
        <v>3921</v>
      </c>
      <c r="C89" s="501">
        <v>6171</v>
      </c>
      <c r="D89" s="501">
        <v>3863</v>
      </c>
      <c r="E89" s="501">
        <v>560</v>
      </c>
      <c r="F89" s="501">
        <v>14515</v>
      </c>
      <c r="G89" s="501">
        <v>585067</v>
      </c>
      <c r="H89" s="501">
        <v>2.4809999999999999</v>
      </c>
      <c r="I89" s="501">
        <v>2.2450000000000001</v>
      </c>
    </row>
    <row r="90" spans="1:9">
      <c r="A90" s="501">
        <v>19</v>
      </c>
      <c r="B90" s="501">
        <v>3080</v>
      </c>
      <c r="C90" s="501">
        <v>5713</v>
      </c>
      <c r="D90" s="501">
        <v>2905</v>
      </c>
      <c r="E90" s="501">
        <v>387</v>
      </c>
      <c r="F90" s="501">
        <v>12085</v>
      </c>
      <c r="G90" s="501">
        <v>524184</v>
      </c>
      <c r="H90" s="501">
        <v>2.3050000000000002</v>
      </c>
      <c r="I90" s="501">
        <v>1.7749999999999999</v>
      </c>
    </row>
    <row r="91" spans="1:9">
      <c r="A91" s="501">
        <v>20</v>
      </c>
      <c r="B91" s="501">
        <v>4054</v>
      </c>
      <c r="C91" s="501">
        <v>11854</v>
      </c>
      <c r="D91" s="501">
        <v>3996</v>
      </c>
      <c r="E91" s="501">
        <v>393</v>
      </c>
      <c r="F91" s="501">
        <v>20297</v>
      </c>
      <c r="G91" s="501">
        <v>519583</v>
      </c>
      <c r="H91" s="501">
        <v>3.9060000000000001</v>
      </c>
      <c r="I91" s="501">
        <v>1.9359999999999999</v>
      </c>
    </row>
    <row r="92" spans="1:9">
      <c r="A92" s="501">
        <v>21</v>
      </c>
      <c r="B92" s="501">
        <v>4475</v>
      </c>
      <c r="C92" s="501">
        <v>12402</v>
      </c>
      <c r="D92" s="501">
        <v>4942</v>
      </c>
      <c r="E92" s="501">
        <v>485</v>
      </c>
      <c r="F92" s="501">
        <v>22304</v>
      </c>
      <c r="G92" s="501">
        <v>517593</v>
      </c>
      <c r="H92" s="501">
        <v>4.3090000000000002</v>
      </c>
      <c r="I92" s="501">
        <v>1.901</v>
      </c>
    </row>
    <row r="93" spans="1:9">
      <c r="A93" s="501">
        <v>22</v>
      </c>
      <c r="B93" s="501">
        <v>3834</v>
      </c>
      <c r="C93" s="501">
        <v>8509</v>
      </c>
      <c r="D93" s="501">
        <v>4145</v>
      </c>
      <c r="E93" s="501">
        <v>406</v>
      </c>
      <c r="F93" s="501">
        <v>16894</v>
      </c>
      <c r="G93" s="501">
        <v>517614</v>
      </c>
      <c r="H93" s="501">
        <v>3.2639999999999998</v>
      </c>
      <c r="I93" s="501">
        <v>1.7130000000000001</v>
      </c>
    </row>
    <row r="94" spans="1:9">
      <c r="A94" s="501">
        <v>23</v>
      </c>
      <c r="B94" s="501">
        <v>3043</v>
      </c>
      <c r="C94" s="501">
        <v>5569</v>
      </c>
      <c r="D94" s="501">
        <v>3230</v>
      </c>
      <c r="E94" s="501">
        <v>378</v>
      </c>
      <c r="F94" s="501">
        <v>12220</v>
      </c>
      <c r="G94" s="501">
        <v>474582</v>
      </c>
      <c r="H94" s="501">
        <v>2.5750000000000002</v>
      </c>
      <c r="I94" s="501">
        <v>1.7869999999999999</v>
      </c>
    </row>
    <row r="95" spans="1:9">
      <c r="A95" s="501">
        <v>24</v>
      </c>
      <c r="B95" s="501">
        <v>2575</v>
      </c>
      <c r="C95" s="501">
        <v>4682</v>
      </c>
      <c r="D95" s="501">
        <v>3020</v>
      </c>
      <c r="E95" s="501">
        <v>324</v>
      </c>
      <c r="F95" s="501">
        <v>10601</v>
      </c>
      <c r="G95" s="501">
        <v>497715</v>
      </c>
      <c r="H95" s="501">
        <v>2.13</v>
      </c>
      <c r="I95" s="501">
        <v>1.9179999999999999</v>
      </c>
    </row>
    <row r="96" spans="1:9">
      <c r="A96" s="501">
        <v>25</v>
      </c>
      <c r="B96" s="501">
        <v>2265</v>
      </c>
      <c r="C96" s="501">
        <v>3672</v>
      </c>
      <c r="D96" s="501">
        <v>2441</v>
      </c>
      <c r="E96" s="501">
        <v>318</v>
      </c>
      <c r="F96" s="501">
        <v>8696</v>
      </c>
      <c r="G96" s="501">
        <v>497441</v>
      </c>
      <c r="H96" s="501">
        <v>1.748</v>
      </c>
      <c r="I96" s="501">
        <v>1.615</v>
      </c>
    </row>
    <row r="97" spans="1:9">
      <c r="A97" s="501">
        <v>26</v>
      </c>
      <c r="B97" s="501">
        <v>2132</v>
      </c>
      <c r="C97" s="501">
        <v>2863</v>
      </c>
      <c r="D97" s="501">
        <v>1962</v>
      </c>
      <c r="E97" s="501">
        <v>343</v>
      </c>
      <c r="F97" s="501">
        <v>7300</v>
      </c>
      <c r="G97" s="501">
        <v>463713</v>
      </c>
      <c r="H97" s="501">
        <v>1.5740000000000001</v>
      </c>
      <c r="I97" s="501">
        <v>1.48</v>
      </c>
    </row>
    <row r="98" spans="1:9">
      <c r="A98" s="501">
        <v>27</v>
      </c>
      <c r="B98" s="501">
        <v>1654</v>
      </c>
      <c r="C98" s="501">
        <v>2391</v>
      </c>
      <c r="D98" s="501">
        <v>1749</v>
      </c>
      <c r="E98" s="501">
        <v>285</v>
      </c>
      <c r="F98" s="501">
        <v>6079</v>
      </c>
      <c r="G98" s="501">
        <v>457829</v>
      </c>
      <c r="H98" s="501">
        <v>1.3280000000000001</v>
      </c>
      <c r="I98" s="501">
        <v>1.393</v>
      </c>
    </row>
    <row r="99" spans="1:9">
      <c r="A99" s="501">
        <v>28</v>
      </c>
      <c r="B99" s="501">
        <v>1464</v>
      </c>
      <c r="C99" s="501">
        <v>2262</v>
      </c>
      <c r="D99" s="501">
        <v>1587</v>
      </c>
      <c r="E99" s="501">
        <v>207</v>
      </c>
      <c r="F99" s="501">
        <v>5520</v>
      </c>
      <c r="G99" s="501">
        <v>478887</v>
      </c>
      <c r="H99" s="501">
        <v>1.153</v>
      </c>
      <c r="I99" s="501">
        <v>1.208</v>
      </c>
    </row>
    <row r="100" spans="1:9">
      <c r="A100" s="501">
        <v>29</v>
      </c>
      <c r="B100" s="501">
        <v>1550</v>
      </c>
      <c r="C100" s="501">
        <v>2214</v>
      </c>
      <c r="D100" s="501">
        <v>1526</v>
      </c>
      <c r="E100" s="501">
        <v>210</v>
      </c>
      <c r="F100" s="501">
        <v>5500</v>
      </c>
      <c r="G100" s="501">
        <v>474914</v>
      </c>
      <c r="H100" s="501">
        <v>1.1579999999999999</v>
      </c>
      <c r="I100" s="501">
        <v>1.145</v>
      </c>
    </row>
    <row r="101" spans="1:9">
      <c r="A101" s="501">
        <v>30</v>
      </c>
      <c r="B101" s="501">
        <v>1451</v>
      </c>
      <c r="C101" s="501">
        <v>2087</v>
      </c>
      <c r="D101" s="501">
        <v>1459</v>
      </c>
      <c r="E101" s="501">
        <v>266</v>
      </c>
      <c r="F101" s="501">
        <v>5263</v>
      </c>
      <c r="G101" s="501">
        <v>449107</v>
      </c>
      <c r="H101" s="501">
        <v>1.1719999999999999</v>
      </c>
      <c r="I101" s="501">
        <v>1.214</v>
      </c>
    </row>
    <row r="102" spans="1:9">
      <c r="A102" s="501">
        <v>31</v>
      </c>
      <c r="B102" s="501">
        <v>1602</v>
      </c>
      <c r="C102" s="501">
        <v>2015</v>
      </c>
      <c r="D102" s="501">
        <v>1443</v>
      </c>
      <c r="E102" s="501">
        <v>238</v>
      </c>
      <c r="F102" s="501">
        <v>5298</v>
      </c>
      <c r="G102" s="501">
        <v>460509</v>
      </c>
      <c r="H102" s="501">
        <v>1.1499999999999999</v>
      </c>
      <c r="I102" s="501">
        <v>1.151</v>
      </c>
    </row>
    <row r="103" spans="1:9">
      <c r="A103" s="501">
        <v>32</v>
      </c>
      <c r="B103" s="501">
        <v>1563</v>
      </c>
      <c r="C103" s="501">
        <v>2210</v>
      </c>
      <c r="D103" s="501">
        <v>1484</v>
      </c>
      <c r="E103" s="501">
        <v>235</v>
      </c>
      <c r="F103" s="501">
        <v>5492</v>
      </c>
      <c r="G103" s="501">
        <v>456961</v>
      </c>
      <c r="H103" s="501">
        <v>1.202</v>
      </c>
      <c r="I103" s="501">
        <v>1.1679999999999999</v>
      </c>
    </row>
    <row r="104" spans="1:9">
      <c r="A104" s="501">
        <v>33</v>
      </c>
      <c r="B104" s="501">
        <v>1942</v>
      </c>
      <c r="C104" s="501">
        <v>3832</v>
      </c>
      <c r="D104" s="501">
        <v>1984</v>
      </c>
      <c r="E104" s="501">
        <v>353</v>
      </c>
      <c r="F104" s="501">
        <v>8111</v>
      </c>
      <c r="G104" s="501">
        <v>476419</v>
      </c>
      <c r="H104" s="501">
        <v>1.702</v>
      </c>
      <c r="I104" s="501">
        <v>1.3959999999999999</v>
      </c>
    </row>
    <row r="105" spans="1:9">
      <c r="A105" s="501">
        <v>34</v>
      </c>
      <c r="B105" s="501">
        <v>1967</v>
      </c>
      <c r="C105" s="501">
        <v>5116</v>
      </c>
      <c r="D105" s="501">
        <v>1927</v>
      </c>
      <c r="E105" s="501">
        <v>187</v>
      </c>
      <c r="F105" s="501">
        <v>9197</v>
      </c>
      <c r="G105" s="501">
        <v>407870</v>
      </c>
      <c r="H105" s="501">
        <v>2.2549999999999999</v>
      </c>
      <c r="I105" s="501">
        <v>2.133</v>
      </c>
    </row>
  </sheetData>
  <mergeCells count="8">
    <mergeCell ref="A54:I54"/>
    <mergeCell ref="A2:G4"/>
    <mergeCell ref="C30:D31"/>
    <mergeCell ref="I7:L7"/>
    <mergeCell ref="A7:D7"/>
    <mergeCell ref="A14:D14"/>
    <mergeCell ref="A21:D21"/>
    <mergeCell ref="A29:A31"/>
  </mergeCells>
  <pageMargins left="0.5" right="0.5" top="0.75" bottom="0.75" header="0.5" footer="0.35"/>
  <pageSetup orientation="portrait" r:id="rId1"/>
  <headerFooter alignWithMargins="0">
    <oddFooter>&amp;L&amp;8&amp;F 
&amp;A&amp;C&amp;8MBA Actuaries, Inc.&amp;R&amp;8&amp;D 
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58"/>
  <sheetViews>
    <sheetView workbookViewId="0">
      <selection activeCell="H6" sqref="H6"/>
    </sheetView>
  </sheetViews>
  <sheetFormatPr defaultRowHeight="12.75"/>
  <cols>
    <col min="2" max="2" width="12.28515625" bestFit="1" customWidth="1"/>
    <col min="3" max="3" width="10.28515625" bestFit="1" customWidth="1"/>
    <col min="5" max="5" width="11.28515625" bestFit="1" customWidth="1"/>
    <col min="6" max="6" width="12.85546875" bestFit="1" customWidth="1"/>
    <col min="7" max="8" width="13.28515625" bestFit="1" customWidth="1"/>
    <col min="9" max="10" width="10.42578125" customWidth="1"/>
    <col min="11" max="12" width="11.140625" customWidth="1"/>
    <col min="13" max="14" width="10.42578125" customWidth="1"/>
    <col min="15" max="15" width="11.28515625" customWidth="1"/>
    <col min="16" max="17" width="10.42578125" customWidth="1"/>
    <col min="18" max="18" width="11.28515625" customWidth="1"/>
    <col min="19" max="19" width="7.7109375" customWidth="1"/>
    <col min="20" max="20" width="9.28515625" customWidth="1"/>
    <col min="21" max="21" width="12.28515625" bestFit="1" customWidth="1"/>
    <col min="26" max="26" width="12.28515625" bestFit="1" customWidth="1"/>
  </cols>
  <sheetData>
    <row r="1" spans="1:27">
      <c r="A1" s="402" t="str">
        <f>scenario</f>
        <v>Severe Scenario, V\ Curve</v>
      </c>
      <c r="Y1" s="157"/>
    </row>
    <row r="2" spans="1:27" ht="15.75">
      <c r="A2" s="46" t="s">
        <v>374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7" ht="15">
      <c r="A3" s="12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5.75">
      <c r="A4" s="46"/>
      <c r="B4" s="12"/>
      <c r="C4" s="12"/>
      <c r="D4" s="12"/>
      <c r="E4" s="12"/>
      <c r="F4" s="12"/>
      <c r="Y4" s="249"/>
    </row>
    <row r="5" spans="1:27">
      <c r="A5" s="15"/>
      <c r="B5" s="516"/>
      <c r="C5" s="462"/>
      <c r="D5" s="16"/>
      <c r="E5" s="16"/>
      <c r="F5" s="16"/>
      <c r="AA5" s="29"/>
    </row>
    <row r="6" spans="1:27">
      <c r="A6" s="15"/>
      <c r="B6" s="516"/>
      <c r="C6" s="462"/>
      <c r="D6" s="383"/>
      <c r="E6" s="383"/>
      <c r="F6" s="383"/>
      <c r="G6" s="37"/>
      <c r="W6" s="28"/>
      <c r="X6" s="249"/>
      <c r="Y6" s="249"/>
      <c r="AA6" s="29"/>
    </row>
    <row r="7" spans="1:27">
      <c r="A7" s="47"/>
      <c r="B7" s="115"/>
      <c r="C7" s="61"/>
      <c r="D7" s="61"/>
      <c r="E7" s="61"/>
      <c r="F7" s="89"/>
      <c r="AA7" s="29"/>
    </row>
    <row r="8" spans="1:27">
      <c r="A8" s="42"/>
      <c r="B8" s="43"/>
      <c r="F8" s="158"/>
    </row>
    <row r="9" spans="1:27">
      <c r="C9" s="97" t="s">
        <v>373</v>
      </c>
      <c r="D9" s="103"/>
      <c r="E9" s="103"/>
      <c r="F9" s="103"/>
      <c r="G9" s="104"/>
      <c r="H9" s="105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27">
      <c r="A10" s="11"/>
      <c r="B10" s="186"/>
      <c r="C10" s="80" t="s">
        <v>44</v>
      </c>
      <c r="D10" s="86" t="s">
        <v>1</v>
      </c>
      <c r="E10" s="508" t="s">
        <v>371</v>
      </c>
      <c r="F10" s="86" t="s">
        <v>1</v>
      </c>
      <c r="G10" s="508" t="s">
        <v>325</v>
      </c>
      <c r="H10" s="86" t="s">
        <v>1</v>
      </c>
      <c r="I10" s="508" t="s">
        <v>41</v>
      </c>
      <c r="J10" s="86" t="s">
        <v>1</v>
      </c>
      <c r="K10" s="517" t="s">
        <v>42</v>
      </c>
      <c r="L10" s="517" t="s">
        <v>1</v>
      </c>
      <c r="M10" s="76" t="s">
        <v>6</v>
      </c>
      <c r="N10" s="77" t="s">
        <v>6</v>
      </c>
      <c r="O10" s="631" t="s">
        <v>376</v>
      </c>
      <c r="P10" s="632"/>
      <c r="Q10" s="632"/>
      <c r="R10" s="631" t="s">
        <v>377</v>
      </c>
      <c r="S10" s="632"/>
      <c r="T10" s="633"/>
      <c r="U10" s="11">
        <v>2014</v>
      </c>
    </row>
    <row r="11" spans="1:27">
      <c r="A11" s="1" t="s">
        <v>2</v>
      </c>
      <c r="B11" s="81" t="s">
        <v>0</v>
      </c>
      <c r="C11" s="81" t="s">
        <v>3</v>
      </c>
      <c r="D11" s="293" t="s">
        <v>36</v>
      </c>
      <c r="E11" s="185" t="s">
        <v>143</v>
      </c>
      <c r="F11" s="293" t="s">
        <v>375</v>
      </c>
      <c r="G11" s="185" t="s">
        <v>143</v>
      </c>
      <c r="H11" s="293" t="s">
        <v>325</v>
      </c>
      <c r="I11" s="185" t="s">
        <v>143</v>
      </c>
      <c r="J11" s="293" t="s">
        <v>372</v>
      </c>
      <c r="K11" s="220" t="s">
        <v>143</v>
      </c>
      <c r="L11" s="220" t="s">
        <v>375</v>
      </c>
      <c r="M11" s="146" t="s">
        <v>45</v>
      </c>
      <c r="N11" s="149" t="s">
        <v>47</v>
      </c>
      <c r="O11" s="220" t="s">
        <v>42</v>
      </c>
      <c r="P11" s="220" t="s">
        <v>39</v>
      </c>
      <c r="Q11" s="293" t="s">
        <v>41</v>
      </c>
      <c r="R11" s="220" t="s">
        <v>42</v>
      </c>
      <c r="S11" s="220" t="s">
        <v>39</v>
      </c>
      <c r="T11" s="293" t="s">
        <v>41</v>
      </c>
      <c r="U11" s="16" t="s">
        <v>28</v>
      </c>
    </row>
    <row r="12" spans="1:27">
      <c r="A12" s="13"/>
      <c r="B12" s="57"/>
      <c r="C12" s="57"/>
      <c r="D12" s="58"/>
      <c r="G12" s="57"/>
      <c r="H12" s="58"/>
      <c r="I12" s="57"/>
      <c r="J12" s="510" t="s">
        <v>32</v>
      </c>
      <c r="K12" s="361"/>
      <c r="L12" s="361" t="s">
        <v>42</v>
      </c>
      <c r="M12" s="57"/>
      <c r="N12" s="143"/>
      <c r="O12" s="361"/>
      <c r="P12" s="361"/>
      <c r="Q12" s="510"/>
      <c r="R12" s="361"/>
      <c r="S12" s="361"/>
      <c r="T12" s="510"/>
      <c r="U12" s="18" t="s">
        <v>0</v>
      </c>
    </row>
    <row r="13" spans="1:27">
      <c r="A13" s="13"/>
      <c r="B13" s="81"/>
      <c r="C13" s="81"/>
      <c r="D13" s="85"/>
      <c r="G13" s="55"/>
      <c r="H13" s="16"/>
      <c r="I13" s="55"/>
      <c r="J13" s="59"/>
      <c r="K13" s="16"/>
      <c r="L13" s="16"/>
      <c r="M13" s="96"/>
      <c r="N13" s="123"/>
      <c r="O13" s="16"/>
      <c r="P13" s="16"/>
      <c r="Q13" s="59"/>
      <c r="R13" s="16"/>
      <c r="S13" s="16"/>
      <c r="T13" s="59"/>
      <c r="U13" s="18"/>
    </row>
    <row r="14" spans="1:27">
      <c r="A14" s="68" t="s">
        <v>9</v>
      </c>
      <c r="B14" s="303">
        <f t="shared" ref="B14:B31" si="0">ROUND($B$32*V14,0)</f>
        <v>322412</v>
      </c>
      <c r="C14" s="126">
        <f>'Pandemic Assumptions'!$E$16*1000</f>
        <v>1.7058103397755531E-2</v>
      </c>
      <c r="D14" s="505">
        <f t="shared" ref="D14:D31" si="1">+C14*B14/1000</f>
        <v>5.4997372326771563</v>
      </c>
      <c r="E14" s="327">
        <f>'Pandemic Assumptions'!$E$9</f>
        <v>0.25519997209240558</v>
      </c>
      <c r="F14" s="29">
        <f>E14*B14</f>
        <v>82279.533402256668</v>
      </c>
      <c r="G14" s="514">
        <f>'Pandemic Assumptions'!$E$23</f>
        <v>1.1551156631550989E-3</v>
      </c>
      <c r="H14" s="124">
        <f>B14*G14</f>
        <v>372.42315118916179</v>
      </c>
      <c r="I14" s="512">
        <f>'Pandemic Assumptions'!$K$9</f>
        <v>3.8628283333668315E-3</v>
      </c>
      <c r="J14" s="124">
        <f>B14*I14</f>
        <v>1245.4222086174668</v>
      </c>
      <c r="K14" s="518">
        <f>E14-G14-I14</f>
        <v>0.25018202809588364</v>
      </c>
      <c r="L14" s="506">
        <f>K14*B14</f>
        <v>80661.688042450041</v>
      </c>
      <c r="M14" s="147">
        <f t="shared" ref="M14:M31" si="2">1-N14</f>
        <v>0.95</v>
      </c>
      <c r="N14" s="456">
        <v>0.05</v>
      </c>
      <c r="O14" s="506">
        <f>M14*L14</f>
        <v>76628.603640327536</v>
      </c>
      <c r="P14" s="506">
        <f>M14*H14</f>
        <v>353.8019936297037</v>
      </c>
      <c r="Q14" s="124">
        <f>M14*J14</f>
        <v>1183.1510981865933</v>
      </c>
      <c r="R14" s="506">
        <f>N14*L14</f>
        <v>4033.0844021225021</v>
      </c>
      <c r="S14" s="506">
        <f>N14*H14</f>
        <v>18.621157559458091</v>
      </c>
      <c r="T14" s="124">
        <f>N14*J14</f>
        <v>62.271110430873343</v>
      </c>
      <c r="U14" s="387">
        <f>'Mic Assumptions'!J5</f>
        <v>19876883</v>
      </c>
      <c r="V14" s="307">
        <f t="shared" ref="V14:V31" si="3">+U14/$U$32</f>
        <v>6.2337911694198167E-2</v>
      </c>
    </row>
    <row r="15" spans="1:27">
      <c r="A15" s="69" t="s">
        <v>10</v>
      </c>
      <c r="B15" s="303">
        <f t="shared" si="0"/>
        <v>332836</v>
      </c>
      <c r="C15" s="126">
        <f>'Pandemic Assumptions'!$E$16*1000</f>
        <v>1.7058103397755531E-2</v>
      </c>
      <c r="D15" s="113">
        <f t="shared" si="1"/>
        <v>5.6775509024953603</v>
      </c>
      <c r="E15" s="327">
        <f>'Pandemic Assumptions'!$E$9</f>
        <v>0.25519997209240558</v>
      </c>
      <c r="F15" s="29">
        <f t="shared" ref="F15:F31" si="4">E15*B15</f>
        <v>84939.737911347911</v>
      </c>
      <c r="G15" s="514">
        <f>'Pandemic Assumptions'!$E$23</f>
        <v>1.1551156631550989E-3</v>
      </c>
      <c r="H15" s="124">
        <f t="shared" ref="H15:H31" si="5">B15*G15</f>
        <v>384.46407686189053</v>
      </c>
      <c r="I15" s="512">
        <f>'Pandemic Assumptions'!$K$9</f>
        <v>3.8628283333668315E-3</v>
      </c>
      <c r="J15" s="124">
        <f t="shared" ref="J15:J31" si="6">B15*I15</f>
        <v>1285.6883311644826</v>
      </c>
      <c r="K15" s="518">
        <f t="shared" ref="K15:K31" si="7">E15-G15-I15</f>
        <v>0.25018202809588364</v>
      </c>
      <c r="L15" s="506">
        <f t="shared" ref="L15:L31" si="8">K15*B15</f>
        <v>83269.585503321519</v>
      </c>
      <c r="M15" s="147">
        <f t="shared" si="2"/>
        <v>0.9</v>
      </c>
      <c r="N15" s="456">
        <v>0.1</v>
      </c>
      <c r="O15" s="506">
        <f t="shared" ref="O15:O31" si="9">M15*L15</f>
        <v>74942.626952989376</v>
      </c>
      <c r="P15" s="506">
        <f t="shared" ref="P15:P31" si="10">M15*H15</f>
        <v>346.01766917570149</v>
      </c>
      <c r="Q15" s="124">
        <f t="shared" ref="Q15:Q31" si="11">M15*J15</f>
        <v>1157.1194980480343</v>
      </c>
      <c r="R15" s="506">
        <f t="shared" ref="R15:R31" si="12">N15*L15</f>
        <v>8326.9585503321523</v>
      </c>
      <c r="S15" s="506">
        <f t="shared" ref="S15:S31" si="13">N15*H15</f>
        <v>38.446407686189055</v>
      </c>
      <c r="T15" s="124">
        <f t="shared" ref="T15:T31" si="14">N15*J15</f>
        <v>128.56883311644827</v>
      </c>
      <c r="U15" s="387">
        <f>'Mic Assumptions'!J6</f>
        <v>20519566</v>
      </c>
      <c r="V15" s="308">
        <f t="shared" si="3"/>
        <v>6.4353495128550639E-2</v>
      </c>
    </row>
    <row r="16" spans="1:27">
      <c r="A16" s="69" t="s">
        <v>11</v>
      </c>
      <c r="B16" s="303">
        <f t="shared" si="0"/>
        <v>335301</v>
      </c>
      <c r="C16" s="126">
        <f>'Pandemic Assumptions'!$E$16*1000</f>
        <v>1.7058103397755531E-2</v>
      </c>
      <c r="D16" s="113">
        <f t="shared" si="1"/>
        <v>5.7195991273708282</v>
      </c>
      <c r="E16" s="327">
        <f>'Pandemic Assumptions'!$E$9</f>
        <v>0.25519997209240558</v>
      </c>
      <c r="F16" s="29">
        <f t="shared" si="4"/>
        <v>85568.805842555681</v>
      </c>
      <c r="G16" s="514">
        <f>'Pandemic Assumptions'!$E$23</f>
        <v>1.1551156631550989E-3</v>
      </c>
      <c r="H16" s="124">
        <f t="shared" si="5"/>
        <v>387.31143697156784</v>
      </c>
      <c r="I16" s="512">
        <f>'Pandemic Assumptions'!$K$9</f>
        <v>3.8628283333668315E-3</v>
      </c>
      <c r="J16" s="124">
        <f t="shared" si="6"/>
        <v>1295.2102030062319</v>
      </c>
      <c r="K16" s="518">
        <f t="shared" si="7"/>
        <v>0.25018202809588364</v>
      </c>
      <c r="L16" s="506">
        <f t="shared" si="8"/>
        <v>83886.284202577881</v>
      </c>
      <c r="M16" s="147">
        <f t="shared" si="2"/>
        <v>0.9</v>
      </c>
      <c r="N16" s="456">
        <v>0.1</v>
      </c>
      <c r="O16" s="506">
        <f t="shared" si="9"/>
        <v>75497.6557823201</v>
      </c>
      <c r="P16" s="506">
        <f t="shared" si="10"/>
        <v>348.58029327441108</v>
      </c>
      <c r="Q16" s="124">
        <f t="shared" si="11"/>
        <v>1165.6891827056088</v>
      </c>
      <c r="R16" s="506">
        <f t="shared" si="12"/>
        <v>8388.6284202577881</v>
      </c>
      <c r="S16" s="506">
        <f t="shared" si="13"/>
        <v>38.731143697156789</v>
      </c>
      <c r="T16" s="124">
        <f t="shared" si="14"/>
        <v>129.52102030062321</v>
      </c>
      <c r="U16" s="387">
        <f>'Mic Assumptions'!J7</f>
        <v>20671506</v>
      </c>
      <c r="V16" s="308">
        <f t="shared" si="3"/>
        <v>6.4830009595271437E-2</v>
      </c>
    </row>
    <row r="17" spans="1:22">
      <c r="A17" s="69" t="s">
        <v>12</v>
      </c>
      <c r="B17" s="303">
        <f t="shared" si="0"/>
        <v>341726</v>
      </c>
      <c r="C17" s="126">
        <f>'Pandemic Assumptions'!$E$16*1000</f>
        <v>1.7058103397755531E-2</v>
      </c>
      <c r="D17" s="113">
        <f t="shared" si="1"/>
        <v>5.8291974417014067</v>
      </c>
      <c r="E17" s="327">
        <f>'Pandemic Assumptions'!$E$9</f>
        <v>0.25519997209240558</v>
      </c>
      <c r="F17" s="29">
        <f t="shared" si="4"/>
        <v>87208.465663249386</v>
      </c>
      <c r="G17" s="514">
        <f>'Pandemic Assumptions'!$E$23</f>
        <v>1.1551156631550989E-3</v>
      </c>
      <c r="H17" s="124">
        <f t="shared" si="5"/>
        <v>394.73305510733934</v>
      </c>
      <c r="I17" s="512">
        <f>'Pandemic Assumptions'!$K$9</f>
        <v>3.8628283333668315E-3</v>
      </c>
      <c r="J17" s="124">
        <f t="shared" si="6"/>
        <v>1320.0288750481138</v>
      </c>
      <c r="K17" s="518">
        <f t="shared" si="7"/>
        <v>0.25018202809588364</v>
      </c>
      <c r="L17" s="506">
        <f t="shared" si="8"/>
        <v>85493.703733093935</v>
      </c>
      <c r="M17" s="147">
        <f t="shared" si="2"/>
        <v>0.9</v>
      </c>
      <c r="N17" s="456">
        <v>0.1</v>
      </c>
      <c r="O17" s="506">
        <f t="shared" si="9"/>
        <v>76944.333359784549</v>
      </c>
      <c r="P17" s="506">
        <f t="shared" si="10"/>
        <v>355.25974959660539</v>
      </c>
      <c r="Q17" s="124">
        <f t="shared" si="11"/>
        <v>1188.0259875433026</v>
      </c>
      <c r="R17" s="506">
        <f t="shared" si="12"/>
        <v>8549.3703733093935</v>
      </c>
      <c r="S17" s="506">
        <f t="shared" si="13"/>
        <v>39.473305510733937</v>
      </c>
      <c r="T17" s="124">
        <f t="shared" si="14"/>
        <v>132.00288750481138</v>
      </c>
      <c r="U17" s="387">
        <f>'Mic Assumptions'!J8</f>
        <v>21067647</v>
      </c>
      <c r="V17" s="308">
        <f t="shared" si="3"/>
        <v>6.6072387621869025E-2</v>
      </c>
    </row>
    <row r="18" spans="1:22">
      <c r="A18" s="69" t="s">
        <v>13</v>
      </c>
      <c r="B18" s="303">
        <f t="shared" si="0"/>
        <v>371645</v>
      </c>
      <c r="C18" s="126">
        <f>'Pandemic Assumptions'!$E$17*1000</f>
        <v>4.8550160473432961E-2</v>
      </c>
      <c r="D18" s="113">
        <f t="shared" si="1"/>
        <v>18.043424389148992</v>
      </c>
      <c r="E18" s="327">
        <f>'Pandemic Assumptions'!$E$10</f>
        <v>0.1803880696995917</v>
      </c>
      <c r="F18" s="29">
        <f t="shared" si="4"/>
        <v>67040.32416350476</v>
      </c>
      <c r="G18" s="514">
        <f>'Pandemic Assumptions'!$E$24</f>
        <v>8.1432328607244247E-4</v>
      </c>
      <c r="H18" s="124">
        <f t="shared" si="5"/>
        <v>302.6391776523929</v>
      </c>
      <c r="I18" s="512">
        <f>'Pandemic Assumptions'!$K$10</f>
        <v>7.5579354218874338E-4</v>
      </c>
      <c r="J18" s="124">
        <f t="shared" si="6"/>
        <v>280.88689098673552</v>
      </c>
      <c r="K18" s="518">
        <f t="shared" si="7"/>
        <v>0.17881795287133051</v>
      </c>
      <c r="L18" s="506">
        <f t="shared" si="8"/>
        <v>66456.798094865633</v>
      </c>
      <c r="M18" s="147">
        <f t="shared" si="2"/>
        <v>0.85</v>
      </c>
      <c r="N18" s="456">
        <v>0.15</v>
      </c>
      <c r="O18" s="506">
        <f t="shared" si="9"/>
        <v>56488.278380635784</v>
      </c>
      <c r="P18" s="506">
        <f t="shared" si="10"/>
        <v>257.24330100453398</v>
      </c>
      <c r="Q18" s="124">
        <f t="shared" si="11"/>
        <v>238.7538573387252</v>
      </c>
      <c r="R18" s="506">
        <f t="shared" si="12"/>
        <v>9968.5197142298439</v>
      </c>
      <c r="S18" s="506">
        <f t="shared" si="13"/>
        <v>45.395876647858934</v>
      </c>
      <c r="T18" s="124">
        <f t="shared" si="14"/>
        <v>42.133033648010326</v>
      </c>
      <c r="U18" s="387">
        <f>'Mic Assumptions'!J9</f>
        <v>22912174</v>
      </c>
      <c r="V18" s="308">
        <f t="shared" si="3"/>
        <v>7.1857196097300735E-2</v>
      </c>
    </row>
    <row r="19" spans="1:22">
      <c r="A19" s="68" t="s">
        <v>14</v>
      </c>
      <c r="B19" s="303">
        <f t="shared" si="0"/>
        <v>356654</v>
      </c>
      <c r="C19" s="126">
        <f>'Pandemic Assumptions'!$E$17*1000</f>
        <v>4.8550160473432961E-2</v>
      </c>
      <c r="D19" s="113">
        <f t="shared" si="1"/>
        <v>17.31560893349176</v>
      </c>
      <c r="E19" s="327">
        <f>'Pandemic Assumptions'!$E$10</f>
        <v>0.1803880696995917</v>
      </c>
      <c r="F19" s="29">
        <f t="shared" si="4"/>
        <v>64336.126610638181</v>
      </c>
      <c r="G19" s="514">
        <f>'Pandemic Assumptions'!$E$24</f>
        <v>8.1432328607244247E-4</v>
      </c>
      <c r="H19" s="124">
        <f t="shared" si="5"/>
        <v>290.43165727088092</v>
      </c>
      <c r="I19" s="512">
        <f>'Pandemic Assumptions'!$K$10</f>
        <v>7.5579354218874338E-4</v>
      </c>
      <c r="J19" s="124">
        <f t="shared" si="6"/>
        <v>269.55678999578407</v>
      </c>
      <c r="K19" s="518">
        <f t="shared" si="7"/>
        <v>0.17881795287133051</v>
      </c>
      <c r="L19" s="506">
        <f t="shared" si="8"/>
        <v>63776.138163371514</v>
      </c>
      <c r="M19" s="147">
        <f t="shared" si="2"/>
        <v>0.85</v>
      </c>
      <c r="N19" s="456">
        <v>0.15</v>
      </c>
      <c r="O19" s="506">
        <f t="shared" si="9"/>
        <v>54209.717438865788</v>
      </c>
      <c r="P19" s="506">
        <f t="shared" si="10"/>
        <v>246.86690868024877</v>
      </c>
      <c r="Q19" s="124">
        <f t="shared" si="11"/>
        <v>229.12327149641646</v>
      </c>
      <c r="R19" s="506">
        <f t="shared" si="12"/>
        <v>9566.420724505726</v>
      </c>
      <c r="S19" s="506">
        <f t="shared" si="13"/>
        <v>43.564748590632135</v>
      </c>
      <c r="T19" s="124">
        <f t="shared" si="14"/>
        <v>40.433518499367608</v>
      </c>
      <c r="U19" s="387">
        <f>'Mic Assumptions'!J10</f>
        <v>21987938</v>
      </c>
      <c r="V19" s="307">
        <f t="shared" si="3"/>
        <v>6.8958605701985781E-2</v>
      </c>
    </row>
    <row r="20" spans="1:22">
      <c r="A20" s="68" t="s">
        <v>15</v>
      </c>
      <c r="B20" s="303">
        <f t="shared" si="0"/>
        <v>349203</v>
      </c>
      <c r="C20" s="126">
        <f>'Pandemic Assumptions'!$E$17*1000</f>
        <v>4.8550160473432961E-2</v>
      </c>
      <c r="D20" s="113">
        <f t="shared" si="1"/>
        <v>16.953861687804213</v>
      </c>
      <c r="E20" s="327">
        <f>'Pandemic Assumptions'!$E$10</f>
        <v>0.1803880696995917</v>
      </c>
      <c r="F20" s="29">
        <f t="shared" si="4"/>
        <v>62992.05510330652</v>
      </c>
      <c r="G20" s="514">
        <f>'Pandemic Assumptions'!$E$24</f>
        <v>8.1432328607244247E-4</v>
      </c>
      <c r="H20" s="124">
        <f t="shared" si="5"/>
        <v>284.36413446635515</v>
      </c>
      <c r="I20" s="512">
        <f>'Pandemic Assumptions'!$K$10</f>
        <v>7.5579354218874338E-4</v>
      </c>
      <c r="J20" s="124">
        <f t="shared" si="6"/>
        <v>263.92537231293574</v>
      </c>
      <c r="K20" s="518">
        <f t="shared" si="7"/>
        <v>0.17881795287133051</v>
      </c>
      <c r="L20" s="506">
        <f t="shared" si="8"/>
        <v>62443.765596527228</v>
      </c>
      <c r="M20" s="147">
        <f t="shared" si="2"/>
        <v>0.85</v>
      </c>
      <c r="N20" s="456">
        <v>0.15</v>
      </c>
      <c r="O20" s="506">
        <f t="shared" si="9"/>
        <v>53077.200757048144</v>
      </c>
      <c r="P20" s="506">
        <f t="shared" si="10"/>
        <v>241.70951429640186</v>
      </c>
      <c r="Q20" s="124">
        <f t="shared" si="11"/>
        <v>224.33656646599536</v>
      </c>
      <c r="R20" s="506">
        <f t="shared" si="12"/>
        <v>9366.5648394790842</v>
      </c>
      <c r="S20" s="506">
        <f t="shared" si="13"/>
        <v>42.654620169953269</v>
      </c>
      <c r="T20" s="124">
        <f t="shared" si="14"/>
        <v>39.58880584694036</v>
      </c>
      <c r="U20" s="387">
        <f>'Mic Assumptions'!J11</f>
        <v>21528566</v>
      </c>
      <c r="V20" s="307">
        <f t="shared" si="3"/>
        <v>6.7517922513842699E-2</v>
      </c>
    </row>
    <row r="21" spans="1:22">
      <c r="A21" s="68" t="s">
        <v>16</v>
      </c>
      <c r="B21" s="303">
        <f t="shared" si="0"/>
        <v>323138</v>
      </c>
      <c r="C21" s="126">
        <f>'Pandemic Assumptions'!$E$17*1000</f>
        <v>4.8550160473432961E-2</v>
      </c>
      <c r="D21" s="113">
        <f t="shared" si="1"/>
        <v>15.688401755064181</v>
      </c>
      <c r="E21" s="327">
        <f>'Pandemic Assumptions'!$E$10</f>
        <v>0.1803880696995917</v>
      </c>
      <c r="F21" s="29">
        <f t="shared" si="4"/>
        <v>58290.240066586666</v>
      </c>
      <c r="G21" s="514">
        <f>'Pandemic Assumptions'!$E$24</f>
        <v>8.1432328607244247E-4</v>
      </c>
      <c r="H21" s="124">
        <f t="shared" si="5"/>
        <v>263.1387980148769</v>
      </c>
      <c r="I21" s="512">
        <f>'Pandemic Assumptions'!$K$10</f>
        <v>7.5579354218874338E-4</v>
      </c>
      <c r="J21" s="124">
        <f t="shared" si="6"/>
        <v>244.22561363578615</v>
      </c>
      <c r="K21" s="518">
        <f t="shared" si="7"/>
        <v>0.17881795287133051</v>
      </c>
      <c r="L21" s="506">
        <f t="shared" si="8"/>
        <v>57782.875654935997</v>
      </c>
      <c r="M21" s="147">
        <f t="shared" si="2"/>
        <v>0.85</v>
      </c>
      <c r="N21" s="456">
        <v>0.15</v>
      </c>
      <c r="O21" s="506">
        <f t="shared" si="9"/>
        <v>49115.444306695594</v>
      </c>
      <c r="P21" s="506">
        <f t="shared" si="10"/>
        <v>223.66797831264535</v>
      </c>
      <c r="Q21" s="124">
        <f t="shared" si="11"/>
        <v>207.59177159041823</v>
      </c>
      <c r="R21" s="506">
        <f t="shared" si="12"/>
        <v>8667.4313482403995</v>
      </c>
      <c r="S21" s="506">
        <f t="shared" si="13"/>
        <v>39.47081970223153</v>
      </c>
      <c r="T21" s="124">
        <f t="shared" si="14"/>
        <v>36.633842045367921</v>
      </c>
      <c r="U21" s="387">
        <f>'Mic Assumptions'!J12</f>
        <v>19921650</v>
      </c>
      <c r="V21" s="307">
        <f t="shared" si="3"/>
        <v>6.2478310029933912E-2</v>
      </c>
    </row>
    <row r="22" spans="1:22">
      <c r="A22" s="68" t="s">
        <v>17</v>
      </c>
      <c r="B22" s="303">
        <f t="shared" si="0"/>
        <v>334003</v>
      </c>
      <c r="C22" s="126">
        <f>'Pandemic Assumptions'!$E$17*1000</f>
        <v>4.8550160473432961E-2</v>
      </c>
      <c r="D22" s="113">
        <f t="shared" si="1"/>
        <v>16.215899248608029</v>
      </c>
      <c r="E22" s="327">
        <f>'Pandemic Assumptions'!$E$10</f>
        <v>0.1803880696995917</v>
      </c>
      <c r="F22" s="29">
        <f t="shared" si="4"/>
        <v>60250.156443872729</v>
      </c>
      <c r="G22" s="514">
        <f>'Pandemic Assumptions'!$E$24</f>
        <v>8.1432328607244247E-4</v>
      </c>
      <c r="H22" s="124">
        <f t="shared" si="5"/>
        <v>271.98642051805399</v>
      </c>
      <c r="I22" s="512">
        <f>'Pandemic Assumptions'!$K$10</f>
        <v>7.5579354218874338E-4</v>
      </c>
      <c r="J22" s="124">
        <f t="shared" si="6"/>
        <v>252.43731047166685</v>
      </c>
      <c r="K22" s="518">
        <f t="shared" si="7"/>
        <v>0.17881795287133051</v>
      </c>
      <c r="L22" s="506">
        <f t="shared" si="8"/>
        <v>59725.732712883007</v>
      </c>
      <c r="M22" s="147">
        <f t="shared" si="2"/>
        <v>0.85</v>
      </c>
      <c r="N22" s="456">
        <v>0.15</v>
      </c>
      <c r="O22" s="506">
        <f t="shared" si="9"/>
        <v>50766.872805950552</v>
      </c>
      <c r="P22" s="506">
        <f t="shared" si="10"/>
        <v>231.18845744034587</v>
      </c>
      <c r="Q22" s="124">
        <f t="shared" si="11"/>
        <v>214.57171390091682</v>
      </c>
      <c r="R22" s="506">
        <f t="shared" si="12"/>
        <v>8958.85990693245</v>
      </c>
      <c r="S22" s="506">
        <f t="shared" si="13"/>
        <v>40.797963077708097</v>
      </c>
      <c r="T22" s="124">
        <f t="shared" si="14"/>
        <v>37.865596570750029</v>
      </c>
      <c r="U22" s="387">
        <f>'Mic Assumptions'!J13</f>
        <v>20591483</v>
      </c>
      <c r="V22" s="307">
        <f t="shared" si="3"/>
        <v>6.4579041336943158E-2</v>
      </c>
    </row>
    <row r="23" spans="1:22">
      <c r="A23" s="68" t="s">
        <v>18</v>
      </c>
      <c r="B23" s="303">
        <f t="shared" si="0"/>
        <v>338813</v>
      </c>
      <c r="C23" s="126">
        <f>'Pandemic Assumptions'!$E$17*1000</f>
        <v>4.8550160473432961E-2</v>
      </c>
      <c r="D23" s="113">
        <f t="shared" si="1"/>
        <v>16.449425520485242</v>
      </c>
      <c r="E23" s="327">
        <f>'Pandemic Assumptions'!$E$10</f>
        <v>0.1803880696995917</v>
      </c>
      <c r="F23" s="29">
        <f t="shared" si="4"/>
        <v>61117.823059127761</v>
      </c>
      <c r="G23" s="514">
        <f>'Pandemic Assumptions'!$E$24</f>
        <v>8.1432328607244247E-4</v>
      </c>
      <c r="H23" s="124">
        <f t="shared" si="5"/>
        <v>275.90331552406246</v>
      </c>
      <c r="I23" s="512">
        <f>'Pandemic Assumptions'!$K$10</f>
        <v>7.5579354218874338E-4</v>
      </c>
      <c r="J23" s="124">
        <f t="shared" si="6"/>
        <v>256.07267740959469</v>
      </c>
      <c r="K23" s="518">
        <f t="shared" si="7"/>
        <v>0.17881795287133051</v>
      </c>
      <c r="L23" s="506">
        <f t="shared" si="8"/>
        <v>60585.847066194103</v>
      </c>
      <c r="M23" s="147">
        <f t="shared" si="2"/>
        <v>0.8</v>
      </c>
      <c r="N23" s="456">
        <v>0.2</v>
      </c>
      <c r="O23" s="506">
        <f t="shared" si="9"/>
        <v>48468.677652955288</v>
      </c>
      <c r="P23" s="506">
        <f t="shared" si="10"/>
        <v>220.72265241924998</v>
      </c>
      <c r="Q23" s="124">
        <f t="shared" si="11"/>
        <v>204.85814192767577</v>
      </c>
      <c r="R23" s="506">
        <f t="shared" si="12"/>
        <v>12117.169413238822</v>
      </c>
      <c r="S23" s="506">
        <f t="shared" si="13"/>
        <v>55.180663104812496</v>
      </c>
      <c r="T23" s="124">
        <f t="shared" si="14"/>
        <v>51.214535481918944</v>
      </c>
      <c r="U23" s="387">
        <f>'Mic Assumptions'!J14</f>
        <v>20888042</v>
      </c>
      <c r="V23" s="307">
        <f t="shared" si="3"/>
        <v>6.5509110138682325E-2</v>
      </c>
    </row>
    <row r="24" spans="1:22">
      <c r="A24" s="68" t="s">
        <v>19</v>
      </c>
      <c r="B24" s="303">
        <f t="shared" si="0"/>
        <v>366108</v>
      </c>
      <c r="C24" s="126">
        <f>'Pandemic Assumptions'!$E$17*1000</f>
        <v>4.8550160473432961E-2</v>
      </c>
      <c r="D24" s="113">
        <f t="shared" si="1"/>
        <v>17.774602150607596</v>
      </c>
      <c r="E24" s="327">
        <f>'Pandemic Assumptions'!$E$10</f>
        <v>0.1803880696995917</v>
      </c>
      <c r="F24" s="29">
        <f t="shared" si="4"/>
        <v>66041.515421578122</v>
      </c>
      <c r="G24" s="514">
        <f>'Pandemic Assumptions'!$E$24</f>
        <v>8.1432328607244247E-4</v>
      </c>
      <c r="H24" s="124">
        <f t="shared" si="5"/>
        <v>298.13026961740979</v>
      </c>
      <c r="I24" s="512">
        <f>'Pandemic Assumptions'!$K$10</f>
        <v>7.5579354218874338E-4</v>
      </c>
      <c r="J24" s="124">
        <f t="shared" si="6"/>
        <v>276.70206214363645</v>
      </c>
      <c r="K24" s="518">
        <f t="shared" si="7"/>
        <v>0.17881795287133051</v>
      </c>
      <c r="L24" s="506">
        <f t="shared" si="8"/>
        <v>65466.683089817074</v>
      </c>
      <c r="M24" s="147">
        <f t="shared" si="2"/>
        <v>0.75</v>
      </c>
      <c r="N24" s="456">
        <v>0.25</v>
      </c>
      <c r="O24" s="506">
        <f t="shared" si="9"/>
        <v>49100.012317362809</v>
      </c>
      <c r="P24" s="506">
        <f t="shared" si="10"/>
        <v>223.59770221305735</v>
      </c>
      <c r="Q24" s="124">
        <f t="shared" si="11"/>
        <v>207.52654660772734</v>
      </c>
      <c r="R24" s="506">
        <f t="shared" si="12"/>
        <v>16366.670772454268</v>
      </c>
      <c r="S24" s="506">
        <f t="shared" si="13"/>
        <v>74.532567404352449</v>
      </c>
      <c r="T24" s="124">
        <f t="shared" si="14"/>
        <v>69.175515535909113</v>
      </c>
      <c r="U24" s="387">
        <f>'Mic Assumptions'!J15</f>
        <v>22570809</v>
      </c>
      <c r="V24" s="307">
        <f t="shared" si="3"/>
        <v>7.0786606647964531E-2</v>
      </c>
    </row>
    <row r="25" spans="1:22">
      <c r="A25" s="68" t="s">
        <v>20</v>
      </c>
      <c r="B25" s="303">
        <f t="shared" si="0"/>
        <v>348925</v>
      </c>
      <c r="C25" s="126">
        <f>'Pandemic Assumptions'!$E$17*1000</f>
        <v>4.8550160473432961E-2</v>
      </c>
      <c r="D25" s="113">
        <f t="shared" si="1"/>
        <v>16.940364743192596</v>
      </c>
      <c r="E25" s="327">
        <f>'Pandemic Assumptions'!$E$10</f>
        <v>0.1803880696995917</v>
      </c>
      <c r="F25" s="29">
        <f t="shared" si="4"/>
        <v>62941.907219930035</v>
      </c>
      <c r="G25" s="514">
        <f>'Pandemic Assumptions'!$E$24</f>
        <v>8.1432328607244247E-4</v>
      </c>
      <c r="H25" s="124">
        <f t="shared" si="5"/>
        <v>284.13775259282698</v>
      </c>
      <c r="I25" s="512">
        <f>'Pandemic Assumptions'!$K$10</f>
        <v>7.5579354218874338E-4</v>
      </c>
      <c r="J25" s="124">
        <f t="shared" si="6"/>
        <v>263.71526170820727</v>
      </c>
      <c r="K25" s="518">
        <f t="shared" si="7"/>
        <v>0.17881795287133051</v>
      </c>
      <c r="L25" s="506">
        <f t="shared" si="8"/>
        <v>62394.054205629</v>
      </c>
      <c r="M25" s="147">
        <f t="shared" si="2"/>
        <v>0.65</v>
      </c>
      <c r="N25" s="456">
        <v>0.35</v>
      </c>
      <c r="O25" s="506">
        <f t="shared" si="9"/>
        <v>40556.135233658853</v>
      </c>
      <c r="P25" s="506">
        <f t="shared" si="10"/>
        <v>184.68953918533754</v>
      </c>
      <c r="Q25" s="124">
        <f t="shared" si="11"/>
        <v>171.41492011033472</v>
      </c>
      <c r="R25" s="506">
        <f t="shared" si="12"/>
        <v>21837.91897197015</v>
      </c>
      <c r="S25" s="506">
        <f t="shared" si="13"/>
        <v>99.448213407489433</v>
      </c>
      <c r="T25" s="124">
        <f t="shared" si="14"/>
        <v>92.300341597872531</v>
      </c>
      <c r="U25" s="387">
        <f>'Mic Assumptions'!J16</f>
        <v>21511449</v>
      </c>
      <c r="V25" s="307">
        <f t="shared" si="3"/>
        <v>6.7464240151549282E-2</v>
      </c>
    </row>
    <row r="26" spans="1:22">
      <c r="A26" s="68" t="s">
        <v>21</v>
      </c>
      <c r="B26" s="303">
        <f t="shared" si="0"/>
        <v>301151</v>
      </c>
      <c r="C26" s="126">
        <f>'Pandemic Assumptions'!$E$17*1000</f>
        <v>4.8550160473432961E-2</v>
      </c>
      <c r="D26" s="113">
        <f t="shared" si="1"/>
        <v>14.620929376734811</v>
      </c>
      <c r="E26" s="327">
        <f>'Pandemic Assumptions'!$E$10</f>
        <v>0.1803880696995917</v>
      </c>
      <c r="F26" s="29">
        <f t="shared" si="4"/>
        <v>54324.047578101738</v>
      </c>
      <c r="G26" s="514">
        <f>'Pandemic Assumptions'!$E$24</f>
        <v>8.1432328607244247E-4</v>
      </c>
      <c r="H26" s="124">
        <f t="shared" si="5"/>
        <v>245.23427192400212</v>
      </c>
      <c r="I26" s="512">
        <f>'Pandemic Assumptions'!$K$10</f>
        <v>7.5579354218874338E-4</v>
      </c>
      <c r="J26" s="124">
        <f t="shared" si="6"/>
        <v>227.60798102368227</v>
      </c>
      <c r="K26" s="518">
        <f t="shared" si="7"/>
        <v>0.17881795287133051</v>
      </c>
      <c r="L26" s="506">
        <f t="shared" si="8"/>
        <v>53851.205325154056</v>
      </c>
      <c r="M26" s="147">
        <f t="shared" si="2"/>
        <v>0.6</v>
      </c>
      <c r="N26" s="456">
        <v>0.4</v>
      </c>
      <c r="O26" s="506">
        <f t="shared" si="9"/>
        <v>32310.723195092432</v>
      </c>
      <c r="P26" s="506">
        <f t="shared" si="10"/>
        <v>147.14056315440126</v>
      </c>
      <c r="Q26" s="124">
        <f t="shared" si="11"/>
        <v>136.56478861420936</v>
      </c>
      <c r="R26" s="506">
        <f t="shared" si="12"/>
        <v>21540.482130061624</v>
      </c>
      <c r="S26" s="506">
        <f t="shared" si="13"/>
        <v>98.093708769600852</v>
      </c>
      <c r="T26" s="124">
        <f t="shared" si="14"/>
        <v>91.043192409472908</v>
      </c>
      <c r="U26" s="387">
        <f>'Mic Assumptions'!J17</f>
        <v>18566132</v>
      </c>
      <c r="V26" s="307">
        <f t="shared" si="3"/>
        <v>5.8227132348609531E-2</v>
      </c>
    </row>
    <row r="27" spans="1:22">
      <c r="A27" s="68" t="s">
        <v>22</v>
      </c>
      <c r="B27" s="303">
        <f t="shared" si="0"/>
        <v>248582</v>
      </c>
      <c r="C27" s="126">
        <f>'Pandemic Assumptions'!$E$18*1000</f>
        <v>3.9237126944323811E-2</v>
      </c>
      <c r="D27" s="113">
        <f t="shared" si="1"/>
        <v>9.7536434900739017</v>
      </c>
      <c r="E27" s="327">
        <f>'Pandemic Assumptions'!$E$11</f>
        <v>0.14900174788983725</v>
      </c>
      <c r="F27" s="29">
        <f t="shared" si="4"/>
        <v>37039.152493951522</v>
      </c>
      <c r="G27" s="514">
        <f>'Pandemic Assumptions'!$E$25</f>
        <v>6.4567424085596142E-4</v>
      </c>
      <c r="H27" s="124">
        <f t="shared" si="5"/>
        <v>160.50299414045659</v>
      </c>
      <c r="I27" s="512">
        <f>'Pandemic Assumptions'!$K$11</f>
        <v>5.0936247516140867E-4</v>
      </c>
      <c r="J27" s="124">
        <f t="shared" si="6"/>
        <v>126.61834280057329</v>
      </c>
      <c r="K27" s="518">
        <f t="shared" si="7"/>
        <v>0.14784671117381989</v>
      </c>
      <c r="L27" s="506">
        <f t="shared" si="8"/>
        <v>36752.031157010497</v>
      </c>
      <c r="M27" s="147">
        <f t="shared" si="2"/>
        <v>0.55000000000000004</v>
      </c>
      <c r="N27" s="456">
        <v>0.45</v>
      </c>
      <c r="O27" s="506">
        <f t="shared" si="9"/>
        <v>20213.617136355773</v>
      </c>
      <c r="P27" s="506">
        <f t="shared" si="10"/>
        <v>88.276646777251131</v>
      </c>
      <c r="Q27" s="124">
        <f t="shared" si="11"/>
        <v>69.640088540315318</v>
      </c>
      <c r="R27" s="506">
        <f t="shared" si="12"/>
        <v>16538.414020654724</v>
      </c>
      <c r="S27" s="506">
        <f t="shared" si="13"/>
        <v>72.226347363205463</v>
      </c>
      <c r="T27" s="124">
        <f t="shared" si="14"/>
        <v>56.978254260257984</v>
      </c>
      <c r="U27" s="387">
        <f>'Mic Assumptions'!J18</f>
        <v>15325266</v>
      </c>
      <c r="V27" s="307">
        <f t="shared" si="3"/>
        <v>4.8063123307517462E-2</v>
      </c>
    </row>
    <row r="28" spans="1:22">
      <c r="A28" s="68" t="s">
        <v>23</v>
      </c>
      <c r="B28" s="303">
        <f t="shared" si="0"/>
        <v>179609</v>
      </c>
      <c r="C28" s="126">
        <f>'Pandemic Assumptions'!$E$18*1000</f>
        <v>3.9237126944323811E-2</v>
      </c>
      <c r="D28" s="113">
        <f t="shared" si="1"/>
        <v>7.0473411333430551</v>
      </c>
      <c r="E28" s="327">
        <f>'Pandemic Assumptions'!$E$11</f>
        <v>0.14900174788983725</v>
      </c>
      <c r="F28" s="29">
        <f t="shared" si="4"/>
        <v>26762.054936745779</v>
      </c>
      <c r="G28" s="514">
        <f>'Pandemic Assumptions'!$E$25</f>
        <v>6.4567424085596142E-4</v>
      </c>
      <c r="H28" s="124">
        <f t="shared" si="5"/>
        <v>115.96890472589837</v>
      </c>
      <c r="I28" s="512">
        <f>'Pandemic Assumptions'!$K$11</f>
        <v>5.0936247516140867E-4</v>
      </c>
      <c r="J28" s="124">
        <f t="shared" si="6"/>
        <v>91.486084801265449</v>
      </c>
      <c r="K28" s="518">
        <f t="shared" si="7"/>
        <v>0.14784671117381989</v>
      </c>
      <c r="L28" s="506">
        <f t="shared" si="8"/>
        <v>26554.599947218616</v>
      </c>
      <c r="M28" s="147">
        <f t="shared" si="2"/>
        <v>0.5</v>
      </c>
      <c r="N28" s="456">
        <v>0.5</v>
      </c>
      <c r="O28" s="506">
        <f t="shared" si="9"/>
        <v>13277.299973609308</v>
      </c>
      <c r="P28" s="506">
        <f t="shared" si="10"/>
        <v>57.984452362949185</v>
      </c>
      <c r="Q28" s="124">
        <f t="shared" si="11"/>
        <v>45.743042400632724</v>
      </c>
      <c r="R28" s="506">
        <f t="shared" si="12"/>
        <v>13277.299973609308</v>
      </c>
      <c r="S28" s="506">
        <f t="shared" si="13"/>
        <v>57.984452362949185</v>
      </c>
      <c r="T28" s="124">
        <f t="shared" si="14"/>
        <v>45.743042400632724</v>
      </c>
      <c r="U28" s="387">
        <f>'Mic Assumptions'!J19</f>
        <v>11073024</v>
      </c>
      <c r="V28" s="307">
        <f t="shared" si="3"/>
        <v>3.4727235266200286E-2</v>
      </c>
    </row>
    <row r="29" spans="1:22">
      <c r="A29" s="68" t="s">
        <v>24</v>
      </c>
      <c r="B29" s="303">
        <f t="shared" si="0"/>
        <v>128504</v>
      </c>
      <c r="C29" s="126">
        <f>'Pandemic Assumptions'!$E$18*1000</f>
        <v>3.9237126944323811E-2</v>
      </c>
      <c r="D29" s="113">
        <f t="shared" si="1"/>
        <v>5.0421277608533872</v>
      </c>
      <c r="E29" s="327">
        <f>'Pandemic Assumptions'!$E$11</f>
        <v>0.14900174788983725</v>
      </c>
      <c r="F29" s="29">
        <f t="shared" si="4"/>
        <v>19147.320610835646</v>
      </c>
      <c r="G29" s="514">
        <f>'Pandemic Assumptions'!$E$25</f>
        <v>6.4567424085596142E-4</v>
      </c>
      <c r="H29" s="124">
        <f t="shared" si="5"/>
        <v>82.971722646954461</v>
      </c>
      <c r="I29" s="512">
        <f>'Pandemic Assumptions'!$K$11</f>
        <v>5.0936247516140867E-4</v>
      </c>
      <c r="J29" s="124">
        <f t="shared" si="6"/>
        <v>65.45511550814166</v>
      </c>
      <c r="K29" s="518">
        <f t="shared" si="7"/>
        <v>0.14784671117381989</v>
      </c>
      <c r="L29" s="506">
        <f t="shared" si="8"/>
        <v>18998.893772680553</v>
      </c>
      <c r="M29" s="147">
        <f t="shared" si="2"/>
        <v>0.44999999999999996</v>
      </c>
      <c r="N29" s="456">
        <v>0.55000000000000004</v>
      </c>
      <c r="O29" s="506">
        <f t="shared" si="9"/>
        <v>8549.5021977062479</v>
      </c>
      <c r="P29" s="506">
        <f t="shared" si="10"/>
        <v>37.337275191129507</v>
      </c>
      <c r="Q29" s="124">
        <f t="shared" si="11"/>
        <v>29.454801978663745</v>
      </c>
      <c r="R29" s="506">
        <f t="shared" si="12"/>
        <v>10449.391574974305</v>
      </c>
      <c r="S29" s="506">
        <f t="shared" si="13"/>
        <v>45.634447455824954</v>
      </c>
      <c r="T29" s="124">
        <f t="shared" si="14"/>
        <v>36.000313529477914</v>
      </c>
      <c r="U29" s="387">
        <f>'Mic Assumptions'!J20</f>
        <v>7922324</v>
      </c>
      <c r="V29" s="307">
        <f t="shared" si="3"/>
        <v>2.4846004975972683E-2</v>
      </c>
    </row>
    <row r="30" spans="1:22">
      <c r="A30" s="68" t="s">
        <v>25</v>
      </c>
      <c r="B30" s="303">
        <f t="shared" si="0"/>
        <v>93436</v>
      </c>
      <c r="C30" s="126">
        <f>'Pandemic Assumptions'!$E$18*1000</f>
        <v>3.9237126944323811E-2</v>
      </c>
      <c r="D30" s="113">
        <f t="shared" si="1"/>
        <v>3.6661601931698398</v>
      </c>
      <c r="E30" s="327">
        <f>'Pandemic Assumptions'!$E$11</f>
        <v>0.14900174788983725</v>
      </c>
      <c r="F30" s="29">
        <f t="shared" si="4"/>
        <v>13922.127315834834</v>
      </c>
      <c r="G30" s="514">
        <f>'Pandemic Assumptions'!$E$25</f>
        <v>6.4567424085596142E-4</v>
      </c>
      <c r="H30" s="124">
        <f t="shared" si="5"/>
        <v>60.32921836861761</v>
      </c>
      <c r="I30" s="512">
        <f>'Pandemic Assumptions'!$K$11</f>
        <v>5.0936247516140867E-4</v>
      </c>
      <c r="J30" s="124">
        <f t="shared" si="6"/>
        <v>47.592792229181377</v>
      </c>
      <c r="K30" s="518">
        <f t="shared" si="7"/>
        <v>0.14784671117381989</v>
      </c>
      <c r="L30" s="506">
        <f t="shared" si="8"/>
        <v>13814.205305237036</v>
      </c>
      <c r="M30" s="147">
        <f t="shared" si="2"/>
        <v>0.44999999999999996</v>
      </c>
      <c r="N30" s="456">
        <v>0.55000000000000004</v>
      </c>
      <c r="O30" s="506">
        <f t="shared" si="9"/>
        <v>6216.3923873566655</v>
      </c>
      <c r="P30" s="506">
        <f t="shared" si="10"/>
        <v>27.148148265877921</v>
      </c>
      <c r="Q30" s="124">
        <f t="shared" si="11"/>
        <v>21.416756503131619</v>
      </c>
      <c r="R30" s="506">
        <f t="shared" si="12"/>
        <v>7597.8129178803702</v>
      </c>
      <c r="S30" s="506">
        <f t="shared" si="13"/>
        <v>33.181070102739689</v>
      </c>
      <c r="T30" s="124">
        <f t="shared" si="14"/>
        <v>26.176035726049758</v>
      </c>
      <c r="U30" s="387">
        <f>'Mic Assumptions'!J21</f>
        <v>5760366</v>
      </c>
      <c r="V30" s="307">
        <f t="shared" si="3"/>
        <v>1.8065668899608731E-2</v>
      </c>
    </row>
    <row r="31" spans="1:22">
      <c r="A31" s="70" t="s">
        <v>7</v>
      </c>
      <c r="B31" s="309">
        <f t="shared" si="0"/>
        <v>99954</v>
      </c>
      <c r="C31" s="127">
        <f>'Pandemic Assumptions'!$E$18*1000</f>
        <v>3.9237126944323811E-2</v>
      </c>
      <c r="D31" s="114">
        <f t="shared" si="1"/>
        <v>3.9219077865929419</v>
      </c>
      <c r="E31" s="509">
        <f>'Pandemic Assumptions'!$E$11</f>
        <v>0.14900174788983725</v>
      </c>
      <c r="F31" s="511">
        <f t="shared" si="4"/>
        <v>14893.320708580792</v>
      </c>
      <c r="G31" s="515">
        <f>'Pandemic Assumptions'!$E$25</f>
        <v>6.4567424085596142E-4</v>
      </c>
      <c r="H31" s="125">
        <f t="shared" si="5"/>
        <v>64.537723070516762</v>
      </c>
      <c r="I31" s="513">
        <f>'Pandemic Assumptions'!$K$11</f>
        <v>5.0936247516140867E-4</v>
      </c>
      <c r="J31" s="125">
        <f t="shared" si="6"/>
        <v>50.912816842283441</v>
      </c>
      <c r="K31" s="519">
        <f t="shared" si="7"/>
        <v>0.14784671117381989</v>
      </c>
      <c r="L31" s="125">
        <f t="shared" si="8"/>
        <v>14777.870168667994</v>
      </c>
      <c r="M31" s="148">
        <f t="shared" si="2"/>
        <v>0.44999999999999996</v>
      </c>
      <c r="N31" s="457">
        <v>0.55000000000000004</v>
      </c>
      <c r="O31" s="520">
        <f t="shared" si="9"/>
        <v>6650.0415759005964</v>
      </c>
      <c r="P31" s="507">
        <f t="shared" si="10"/>
        <v>29.041975381732541</v>
      </c>
      <c r="Q31" s="125">
        <f t="shared" si="11"/>
        <v>22.910767579027546</v>
      </c>
      <c r="R31" s="507">
        <f t="shared" si="12"/>
        <v>8127.8285927673978</v>
      </c>
      <c r="S31" s="507">
        <f t="shared" si="13"/>
        <v>35.49574768878422</v>
      </c>
      <c r="T31" s="125">
        <f t="shared" si="14"/>
        <v>28.002049263255895</v>
      </c>
      <c r="U31" s="387">
        <f>'Mic Assumptions'!J22</f>
        <v>6162231</v>
      </c>
      <c r="V31" s="239">
        <f t="shared" si="3"/>
        <v>1.9325998543999603E-2</v>
      </c>
    </row>
    <row r="32" spans="1:22">
      <c r="A32" s="2" t="s">
        <v>1</v>
      </c>
      <c r="B32" s="386">
        <f>'Mic Assumptions'!E11</f>
        <v>5172000</v>
      </c>
      <c r="C32" s="29"/>
      <c r="D32" s="14">
        <f>SUM(D14:D31)</f>
        <v>202.15978287341528</v>
      </c>
      <c r="F32" s="29">
        <f>SUM(F14:F31)</f>
        <v>1009094.7145520047</v>
      </c>
      <c r="G32" s="65"/>
      <c r="H32" s="65">
        <f>SUM(H14:H31)</f>
        <v>4539.2080806632657</v>
      </c>
      <c r="I32" s="65"/>
      <c r="J32" s="65">
        <f>SUM(J14:J31)</f>
        <v>7863.5447297057699</v>
      </c>
      <c r="K32" s="65"/>
      <c r="L32" s="65">
        <f>SUM(L14:L31)</f>
        <v>996691.96174163569</v>
      </c>
      <c r="M32" s="65"/>
      <c r="N32" s="65"/>
      <c r="O32" s="65">
        <f>SUM(O14:O31)</f>
        <v>793013.13509461528</v>
      </c>
      <c r="P32" s="65">
        <f t="shared" ref="P32:Q32" si="15">SUM(P14:P31)</f>
        <v>3620.2748203615847</v>
      </c>
      <c r="Q32" s="65">
        <f t="shared" si="15"/>
        <v>6717.8928015377278</v>
      </c>
      <c r="R32" s="65">
        <f>SUM(R14:R31)</f>
        <v>203678.82664702029</v>
      </c>
      <c r="S32" s="65">
        <f t="shared" ref="S32:T32" si="16">SUM(S14:S31)</f>
        <v>918.93326030168078</v>
      </c>
      <c r="T32" s="65">
        <f t="shared" si="16"/>
        <v>1145.6519281680401</v>
      </c>
      <c r="U32" s="137">
        <f>SUM(U14:U31)</f>
        <v>318857056</v>
      </c>
    </row>
    <row r="37" spans="1:16">
      <c r="B37" s="545" t="s">
        <v>50</v>
      </c>
      <c r="D37" s="158" t="s">
        <v>385</v>
      </c>
      <c r="E37" s="158" t="s">
        <v>389</v>
      </c>
      <c r="F37" s="158" t="s">
        <v>388</v>
      </c>
      <c r="G37" s="158" t="s">
        <v>390</v>
      </c>
      <c r="H37" s="545" t="s">
        <v>5</v>
      </c>
      <c r="I37" s="158" t="s">
        <v>385</v>
      </c>
      <c r="J37" s="158" t="s">
        <v>386</v>
      </c>
      <c r="K37" s="158" t="s">
        <v>387</v>
      </c>
      <c r="M37" s="545" t="s">
        <v>381</v>
      </c>
      <c r="N37" s="158" t="s">
        <v>385</v>
      </c>
      <c r="O37" s="158" t="s">
        <v>386</v>
      </c>
      <c r="P37" s="158" t="s">
        <v>387</v>
      </c>
    </row>
    <row r="38" spans="1:16">
      <c r="A38" s="68" t="s">
        <v>9</v>
      </c>
      <c r="B38" s="544">
        <v>0.05</v>
      </c>
      <c r="C38" s="548">
        <f>B38/SUM($B$38:$B$41)</f>
        <v>0.64935064935064934</v>
      </c>
      <c r="D38" s="126">
        <f>'Pandemic Assumptions'!$E$16*1000</f>
        <v>1.7058103397755531E-2</v>
      </c>
      <c r="E38">
        <f>D38*B14/1000</f>
        <v>5.4997372326771563</v>
      </c>
      <c r="F38">
        <f>C38*SUM($E$38:$E$41)</f>
        <v>14.75719785989919</v>
      </c>
      <c r="G38">
        <f>D38*(F38/E38)</f>
        <v>4.5771242571303772E-2</v>
      </c>
      <c r="H38" s="544">
        <v>1</v>
      </c>
      <c r="I38" s="126">
        <f>'Pandemic Assumptions'!$E$16*1000</f>
        <v>1.7058103397755531E-2</v>
      </c>
      <c r="J38">
        <f>I38*B14/1000</f>
        <v>5.4997372326771563</v>
      </c>
      <c r="M38" s="544">
        <v>1.7669999999999999</v>
      </c>
      <c r="N38" s="126">
        <f>'Pandemic Assumptions'!$E$16*1000</f>
        <v>1.7058103397755531E-2</v>
      </c>
      <c r="O38">
        <f>N38*B14/1000</f>
        <v>5.4997372326771563</v>
      </c>
    </row>
    <row r="39" spans="1:16">
      <c r="A39" s="69" t="s">
        <v>10</v>
      </c>
      <c r="B39" s="544">
        <v>8.9999999999999993E-3</v>
      </c>
      <c r="C39" s="548">
        <f t="shared" ref="C39:C41" si="17">B39/SUM($B$38:$B$41)</f>
        <v>0.11688311688311688</v>
      </c>
      <c r="D39" s="126">
        <f>'Pandemic Assumptions'!$E$16*1000</f>
        <v>1.7058103397755531E-2</v>
      </c>
      <c r="E39">
        <f>D39*B15/1000</f>
        <v>5.6775509024953603</v>
      </c>
      <c r="F39">
        <f t="shared" ref="F39:F41" si="18">C39*SUM($E$38:$E$41)</f>
        <v>2.6562956147818539</v>
      </c>
      <c r="G39">
        <f t="shared" ref="G39:G41" si="19">D39*(F39/E39)</f>
        <v>7.9807941892759623E-3</v>
      </c>
      <c r="H39" s="544">
        <v>0.1</v>
      </c>
      <c r="I39" s="126">
        <f>'Pandemic Assumptions'!$E$16*1000</f>
        <v>1.7058103397755531E-2</v>
      </c>
      <c r="J39">
        <f>I39*B15/1000</f>
        <v>5.6775509024953603</v>
      </c>
      <c r="M39" s="544">
        <v>0.35339999999999999</v>
      </c>
      <c r="N39" s="126">
        <f>'Pandemic Assumptions'!$E$16*1000</f>
        <v>1.7058103397755531E-2</v>
      </c>
      <c r="O39">
        <f>N39*B15/1000</f>
        <v>5.6775509024953603</v>
      </c>
    </row>
    <row r="40" spans="1:16">
      <c r="A40" s="69" t="s">
        <v>11</v>
      </c>
      <c r="B40" s="544">
        <v>8.9999999999999993E-3</v>
      </c>
      <c r="C40" s="548">
        <f t="shared" si="17"/>
        <v>0.11688311688311688</v>
      </c>
      <c r="D40" s="126">
        <f>'Pandemic Assumptions'!$E$16*1000</f>
        <v>1.7058103397755531E-2</v>
      </c>
      <c r="E40">
        <f>D40*B16/1000</f>
        <v>5.7195991273708282</v>
      </c>
      <c r="F40">
        <f t="shared" si="18"/>
        <v>2.6562956147818539</v>
      </c>
      <c r="G40">
        <f t="shared" si="19"/>
        <v>7.9221225549039632E-3</v>
      </c>
      <c r="H40" s="544">
        <v>0.1</v>
      </c>
      <c r="I40" s="126">
        <f>'Pandemic Assumptions'!$E$16*1000</f>
        <v>1.7058103397755531E-2</v>
      </c>
      <c r="J40">
        <f>I40*B16/1000</f>
        <v>5.7195991273708282</v>
      </c>
      <c r="M40" s="544">
        <v>0.35339999999999999</v>
      </c>
      <c r="N40" s="126">
        <f>'Pandemic Assumptions'!$E$16*1000</f>
        <v>1.7058103397755531E-2</v>
      </c>
      <c r="O40">
        <f>N40*B16/1000</f>
        <v>5.7195991273708282</v>
      </c>
    </row>
    <row r="41" spans="1:16">
      <c r="A41" s="69" t="s">
        <v>12</v>
      </c>
      <c r="B41" s="544">
        <v>8.9999999999999993E-3</v>
      </c>
      <c r="C41" s="548">
        <f t="shared" si="17"/>
        <v>0.11688311688311688</v>
      </c>
      <c r="D41" s="126">
        <f>'Pandemic Assumptions'!$E$16*1000</f>
        <v>1.7058103397755531E-2</v>
      </c>
      <c r="E41">
        <f>D41*B17/1000</f>
        <v>5.8291974417014067</v>
      </c>
      <c r="F41">
        <f t="shared" si="18"/>
        <v>2.6562956147818539</v>
      </c>
      <c r="G41">
        <f t="shared" si="19"/>
        <v>7.7731738725817E-3</v>
      </c>
      <c r="H41" s="544">
        <v>0.1</v>
      </c>
      <c r="I41" s="126">
        <f>'Pandemic Assumptions'!$E$16*1000</f>
        <v>1.7058103397755531E-2</v>
      </c>
      <c r="J41">
        <f>I41*B17/1000</f>
        <v>5.8291974417014067</v>
      </c>
      <c r="M41" s="544">
        <v>1.0601999999999998</v>
      </c>
      <c r="N41" s="126">
        <f>'Pandemic Assumptions'!$E$16*1000</f>
        <v>1.7058103397755531E-2</v>
      </c>
      <c r="O41">
        <f>N41*B17/1000</f>
        <v>5.8291974417014067</v>
      </c>
    </row>
    <row r="42" spans="1:16">
      <c r="A42" s="69"/>
      <c r="B42" s="544"/>
      <c r="C42" s="548"/>
      <c r="D42" s="126"/>
      <c r="H42" s="544"/>
      <c r="I42" s="126"/>
      <c r="M42" s="544"/>
      <c r="N42" s="126"/>
    </row>
    <row r="43" spans="1:16">
      <c r="A43" s="69" t="s">
        <v>13</v>
      </c>
      <c r="B43" s="544">
        <v>0.01</v>
      </c>
      <c r="C43" s="547">
        <f>B43/SUM($B$43:$B$51)</f>
        <v>4.6511627906976744E-3</v>
      </c>
      <c r="D43" s="126">
        <f>'Pandemic Assumptions'!$E$17*1000</f>
        <v>4.8550160473432961E-2</v>
      </c>
      <c r="E43">
        <f t="shared" ref="E43:E51" si="20">D43*B18/1000</f>
        <v>18.043424389148992</v>
      </c>
      <c r="F43">
        <f>C43*SUM($E$43:$E$51)</f>
        <v>0.69768612932622054</v>
      </c>
      <c r="G43">
        <f>D43*(F43/E43)</f>
        <v>1.8772918492814933E-3</v>
      </c>
      <c r="H43" s="544">
        <v>0.1</v>
      </c>
      <c r="I43" s="126">
        <f>'Pandemic Assumptions'!$E$17*1000</f>
        <v>4.8550160473432961E-2</v>
      </c>
      <c r="J43">
        <f t="shared" ref="J43:J51" si="21">I43*B18/1000</f>
        <v>18.043424389148992</v>
      </c>
      <c r="M43" s="544">
        <v>1.5314000000000001</v>
      </c>
      <c r="N43" s="126">
        <f>'Pandemic Assumptions'!$E$17*1000</f>
        <v>4.8550160473432961E-2</v>
      </c>
      <c r="O43">
        <f t="shared" ref="O43:O51" si="22">N43*B18/1000</f>
        <v>18.043424389148992</v>
      </c>
    </row>
    <row r="44" spans="1:16">
      <c r="A44" s="68" t="s">
        <v>14</v>
      </c>
      <c r="B44" s="544">
        <v>0.02</v>
      </c>
      <c r="C44" s="547">
        <f t="shared" ref="C44:C51" si="23">B44/SUM($B$43:$B$51)</f>
        <v>9.3023255813953487E-3</v>
      </c>
      <c r="D44" s="126">
        <f>'Pandemic Assumptions'!$E$17*1000</f>
        <v>4.8550160473432961E-2</v>
      </c>
      <c r="E44">
        <f t="shared" si="20"/>
        <v>17.31560893349176</v>
      </c>
      <c r="F44">
        <f t="shared" ref="F44:F51" si="24">C44*SUM($E$43:$E$51)</f>
        <v>1.3953722586524411</v>
      </c>
      <c r="G44">
        <f t="shared" ref="G44:G57" si="25">D44*(F44/E44)</f>
        <v>3.9123976140809889E-3</v>
      </c>
      <c r="H44" s="544">
        <v>0.15</v>
      </c>
      <c r="I44" s="126">
        <f>'Pandemic Assumptions'!$E$17*1000</f>
        <v>4.8550160473432961E-2</v>
      </c>
      <c r="J44">
        <f t="shared" si="21"/>
        <v>17.31560893349176</v>
      </c>
      <c r="M44" s="544">
        <v>2.2382</v>
      </c>
      <c r="N44" s="126">
        <f>'Pandemic Assumptions'!$E$17*1000</f>
        <v>4.8550160473432961E-2</v>
      </c>
      <c r="O44">
        <f t="shared" si="22"/>
        <v>17.31560893349176</v>
      </c>
    </row>
    <row r="45" spans="1:16">
      <c r="A45" s="68" t="s">
        <v>15</v>
      </c>
      <c r="B45" s="544">
        <v>0.03</v>
      </c>
      <c r="C45" s="547">
        <f t="shared" si="23"/>
        <v>1.3953488372093023E-2</v>
      </c>
      <c r="D45" s="126">
        <f>'Pandemic Assumptions'!$E$17*1000</f>
        <v>4.8550160473432961E-2</v>
      </c>
      <c r="E45">
        <f t="shared" si="20"/>
        <v>16.953861687804213</v>
      </c>
      <c r="F45">
        <f t="shared" si="24"/>
        <v>2.0930583879786617</v>
      </c>
      <c r="G45">
        <f t="shared" si="25"/>
        <v>5.9938155971703032E-3</v>
      </c>
      <c r="H45" s="544">
        <v>0.2</v>
      </c>
      <c r="I45" s="126">
        <f>'Pandemic Assumptions'!$E$17*1000</f>
        <v>4.8550160473432961E-2</v>
      </c>
      <c r="J45">
        <f t="shared" si="21"/>
        <v>16.953861687804213</v>
      </c>
      <c r="M45" s="544">
        <v>2.2382</v>
      </c>
      <c r="N45" s="126">
        <f>'Pandemic Assumptions'!$E$17*1000</f>
        <v>4.8550160473432961E-2</v>
      </c>
      <c r="O45">
        <f t="shared" si="22"/>
        <v>16.953861687804213</v>
      </c>
    </row>
    <row r="46" spans="1:16">
      <c r="A46" s="68" t="s">
        <v>16</v>
      </c>
      <c r="B46" s="544">
        <v>0.04</v>
      </c>
      <c r="C46" s="547">
        <f t="shared" si="23"/>
        <v>1.8604651162790697E-2</v>
      </c>
      <c r="D46" s="126">
        <f>'Pandemic Assumptions'!$E$17*1000</f>
        <v>4.8550160473432961E-2</v>
      </c>
      <c r="E46">
        <f t="shared" si="20"/>
        <v>15.688401755064181</v>
      </c>
      <c r="F46">
        <f t="shared" si="24"/>
        <v>2.7907445173048822</v>
      </c>
      <c r="G46">
        <f t="shared" si="25"/>
        <v>8.6363860558178931E-3</v>
      </c>
      <c r="H46" s="544">
        <v>0.3</v>
      </c>
      <c r="I46" s="126">
        <f>'Pandemic Assumptions'!$E$17*1000</f>
        <v>4.8550160473432961E-2</v>
      </c>
      <c r="J46">
        <f t="shared" si="21"/>
        <v>15.688401755064181</v>
      </c>
      <c r="M46" s="544">
        <v>1.2957999999999998</v>
      </c>
      <c r="N46" s="126">
        <f>'Pandemic Assumptions'!$E$17*1000</f>
        <v>4.8550160473432961E-2</v>
      </c>
      <c r="O46">
        <f t="shared" si="22"/>
        <v>15.688401755064181</v>
      </c>
    </row>
    <row r="47" spans="1:16">
      <c r="A47" s="68" t="s">
        <v>17</v>
      </c>
      <c r="B47" s="544">
        <v>0.05</v>
      </c>
      <c r="C47" s="547">
        <f t="shared" si="23"/>
        <v>2.3255813953488375E-2</v>
      </c>
      <c r="D47" s="126">
        <f>'Pandemic Assumptions'!$E$17*1000</f>
        <v>4.8550160473432961E-2</v>
      </c>
      <c r="E47">
        <f t="shared" si="20"/>
        <v>16.215899248608029</v>
      </c>
      <c r="F47">
        <f t="shared" si="24"/>
        <v>3.488430646631103</v>
      </c>
      <c r="G47">
        <f t="shared" si="25"/>
        <v>1.0444309322464479E-2</v>
      </c>
      <c r="H47" s="544">
        <v>0.4</v>
      </c>
      <c r="I47" s="126">
        <f>'Pandemic Assumptions'!$E$17*1000</f>
        <v>4.8550160473432961E-2</v>
      </c>
      <c r="J47">
        <f t="shared" si="21"/>
        <v>16.215899248608029</v>
      </c>
      <c r="M47" s="544">
        <v>1.0601999999999998</v>
      </c>
      <c r="N47" s="126">
        <f>'Pandemic Assumptions'!$E$17*1000</f>
        <v>4.8550160473432961E-2</v>
      </c>
      <c r="O47">
        <f t="shared" si="22"/>
        <v>16.215899248608029</v>
      </c>
    </row>
    <row r="48" spans="1:16">
      <c r="A48" s="68" t="s">
        <v>18</v>
      </c>
      <c r="B48" s="544">
        <v>0.1</v>
      </c>
      <c r="C48" s="547">
        <f t="shared" si="23"/>
        <v>4.651162790697675E-2</v>
      </c>
      <c r="D48" s="126">
        <f>'Pandemic Assumptions'!$E$17*1000</f>
        <v>4.8550160473432961E-2</v>
      </c>
      <c r="E48">
        <f t="shared" si="20"/>
        <v>16.449425520485242</v>
      </c>
      <c r="F48">
        <f t="shared" si="24"/>
        <v>6.9768612932622061</v>
      </c>
      <c r="G48">
        <f t="shared" si="25"/>
        <v>2.0592070827454099E-2</v>
      </c>
      <c r="H48" s="544">
        <v>0.6</v>
      </c>
      <c r="I48" s="126">
        <f>'Pandemic Assumptions'!$E$17*1000</f>
        <v>4.8550160473432961E-2</v>
      </c>
      <c r="J48">
        <f t="shared" si="21"/>
        <v>16.449425520485242</v>
      </c>
      <c r="M48" s="544">
        <v>0.8246</v>
      </c>
      <c r="N48" s="126">
        <f>'Pandemic Assumptions'!$E$17*1000</f>
        <v>4.8550160473432961E-2</v>
      </c>
      <c r="O48">
        <f t="shared" si="22"/>
        <v>16.449425520485242</v>
      </c>
    </row>
    <row r="49" spans="1:15">
      <c r="A49" s="68" t="s">
        <v>19</v>
      </c>
      <c r="B49" s="544">
        <v>0.3</v>
      </c>
      <c r="C49" s="547">
        <f t="shared" si="23"/>
        <v>0.13953488372093023</v>
      </c>
      <c r="D49" s="126">
        <f>'Pandemic Assumptions'!$E$17*1000</f>
        <v>4.8550160473432961E-2</v>
      </c>
      <c r="E49">
        <f t="shared" si="20"/>
        <v>17.774602150607596</v>
      </c>
      <c r="F49">
        <f t="shared" si="24"/>
        <v>20.930583879786617</v>
      </c>
      <c r="G49">
        <f t="shared" si="25"/>
        <v>5.7170517660872243E-2</v>
      </c>
      <c r="H49" s="544">
        <v>0.85</v>
      </c>
      <c r="I49" s="126">
        <f>'Pandemic Assumptions'!$E$17*1000</f>
        <v>4.8550160473432961E-2</v>
      </c>
      <c r="J49">
        <f t="shared" si="21"/>
        <v>17.774602150607596</v>
      </c>
      <c r="M49" s="544">
        <v>0.58899999999999997</v>
      </c>
      <c r="N49" s="126">
        <f>'Pandemic Assumptions'!$E$17*1000</f>
        <v>4.8550160473432961E-2</v>
      </c>
      <c r="O49">
        <f t="shared" si="22"/>
        <v>17.774602150607596</v>
      </c>
    </row>
    <row r="50" spans="1:15">
      <c r="A50" s="68" t="s">
        <v>20</v>
      </c>
      <c r="B50" s="544">
        <v>0.6</v>
      </c>
      <c r="C50" s="547">
        <f t="shared" si="23"/>
        <v>0.27906976744186046</v>
      </c>
      <c r="D50" s="126">
        <f>'Pandemic Assumptions'!$E$17*1000</f>
        <v>4.8550160473432961E-2</v>
      </c>
      <c r="E50">
        <f t="shared" si="20"/>
        <v>16.940364743192596</v>
      </c>
      <c r="F50">
        <f t="shared" si="24"/>
        <v>41.861167759573235</v>
      </c>
      <c r="G50">
        <f t="shared" si="25"/>
        <v>0.11997182133574044</v>
      </c>
      <c r="H50" s="544">
        <v>1.2</v>
      </c>
      <c r="I50" s="126">
        <f>'Pandemic Assumptions'!$E$17*1000</f>
        <v>4.8550160473432961E-2</v>
      </c>
      <c r="J50">
        <f t="shared" si="21"/>
        <v>16.940364743192596</v>
      </c>
      <c r="M50" s="544">
        <v>0.47119999999999995</v>
      </c>
      <c r="N50" s="126">
        <f>'Pandemic Assumptions'!$E$17*1000</f>
        <v>4.8550160473432961E-2</v>
      </c>
      <c r="O50">
        <f t="shared" si="22"/>
        <v>16.940364743192596</v>
      </c>
    </row>
    <row r="51" spans="1:15">
      <c r="A51" s="68" t="s">
        <v>21</v>
      </c>
      <c r="B51" s="544">
        <v>1</v>
      </c>
      <c r="C51" s="547">
        <f t="shared" si="23"/>
        <v>0.46511627906976744</v>
      </c>
      <c r="D51" s="126">
        <f>'Pandemic Assumptions'!$E$17*1000</f>
        <v>4.8550160473432961E-2</v>
      </c>
      <c r="E51">
        <f t="shared" si="20"/>
        <v>14.620929376734811</v>
      </c>
      <c r="F51">
        <f t="shared" si="24"/>
        <v>69.768612932622048</v>
      </c>
      <c r="G51">
        <f t="shared" si="25"/>
        <v>0.23167319030194833</v>
      </c>
      <c r="H51" s="544">
        <v>1.6</v>
      </c>
      <c r="I51" s="126">
        <f>'Pandemic Assumptions'!$E$17*1000</f>
        <v>4.8550160473432961E-2</v>
      </c>
      <c r="J51">
        <f t="shared" si="21"/>
        <v>14.620929376734811</v>
      </c>
      <c r="M51" s="544">
        <v>0.35339999999999999</v>
      </c>
      <c r="N51" s="126">
        <f>'Pandemic Assumptions'!$E$17*1000</f>
        <v>4.8550160473432961E-2</v>
      </c>
      <c r="O51">
        <f t="shared" si="22"/>
        <v>14.620929376734811</v>
      </c>
    </row>
    <row r="52" spans="1:15">
      <c r="A52" s="68"/>
      <c r="B52" s="544"/>
      <c r="D52" s="126"/>
      <c r="H52" s="544"/>
      <c r="I52" s="126"/>
      <c r="M52" s="544"/>
      <c r="N52" s="126"/>
    </row>
    <row r="53" spans="1:15">
      <c r="A53" s="68" t="s">
        <v>22</v>
      </c>
      <c r="B53" s="544">
        <v>1.75</v>
      </c>
      <c r="C53" s="546">
        <f>B53/SUM($B$53:$B$57)</f>
        <v>4.142011834319527E-2</v>
      </c>
      <c r="D53" s="126">
        <f>'Pandemic Assumptions'!$E$18*1000</f>
        <v>3.9237126944323811E-2</v>
      </c>
      <c r="E53">
        <f>D53*B27/1000</f>
        <v>9.7536434900739017</v>
      </c>
      <c r="F53">
        <f>SUM($E$53:$E$57)*C53</f>
        <v>1.2190429736581769</v>
      </c>
      <c r="G53">
        <f t="shared" si="25"/>
        <v>4.9039873106587637E-3</v>
      </c>
      <c r="H53" s="544">
        <v>2</v>
      </c>
      <c r="I53" s="126">
        <f>'Pandemic Assumptions'!$E$18*1000</f>
        <v>3.9237126944323811E-2</v>
      </c>
      <c r="J53">
        <f>I53*B27/1000</f>
        <v>9.7536434900739017</v>
      </c>
      <c r="M53" s="544">
        <v>0.23559999999999998</v>
      </c>
      <c r="N53" s="126">
        <f>'Pandemic Assumptions'!$E$18*1000</f>
        <v>3.9237126944323811E-2</v>
      </c>
      <c r="O53">
        <f>N53*B27/1000</f>
        <v>9.7536434900739017</v>
      </c>
    </row>
    <row r="54" spans="1:15">
      <c r="A54" s="68" t="s">
        <v>23</v>
      </c>
      <c r="B54" s="544">
        <v>3.5</v>
      </c>
      <c r="C54" s="546">
        <f t="shared" ref="C54:C57" si="26">B54/SUM($B$53:$B$57)</f>
        <v>8.2840236686390539E-2</v>
      </c>
      <c r="D54" s="126">
        <f>'Pandemic Assumptions'!$E$18*1000</f>
        <v>3.9237126944323811E-2</v>
      </c>
      <c r="E54">
        <f>D54*B28/1000</f>
        <v>7.0473411333430551</v>
      </c>
      <c r="F54">
        <f t="shared" ref="F54:F57" si="27">SUM($E$53:$E$57)*C54</f>
        <v>2.4380859473163539</v>
      </c>
      <c r="G54">
        <f t="shared" si="25"/>
        <v>1.357440856146604E-2</v>
      </c>
      <c r="H54" s="544">
        <v>3</v>
      </c>
      <c r="I54" s="126">
        <f>'Pandemic Assumptions'!$E$18*1000</f>
        <v>3.9237126944323811E-2</v>
      </c>
      <c r="J54">
        <f>I54*B28/1000</f>
        <v>7.0473411333430551</v>
      </c>
      <c r="M54" s="544">
        <v>0.23559999999999998</v>
      </c>
      <c r="N54" s="126">
        <f>'Pandemic Assumptions'!$E$18*1000</f>
        <v>3.9237126944323811E-2</v>
      </c>
      <c r="O54">
        <f>N54*B28/1000</f>
        <v>7.0473411333430551</v>
      </c>
    </row>
    <row r="55" spans="1:15">
      <c r="A55" s="68" t="s">
        <v>24</v>
      </c>
      <c r="B55" s="544">
        <v>8.5</v>
      </c>
      <c r="C55" s="546">
        <f t="shared" si="26"/>
        <v>0.20118343195266272</v>
      </c>
      <c r="D55" s="126">
        <f>'Pandemic Assumptions'!$E$18*1000</f>
        <v>3.9237126944323811E-2</v>
      </c>
      <c r="E55">
        <f>D55*B29/1000</f>
        <v>5.0421277608533872</v>
      </c>
      <c r="F55">
        <f t="shared" si="27"/>
        <v>5.9210658720540019</v>
      </c>
      <c r="G55">
        <f t="shared" si="25"/>
        <v>4.6076899334293105E-2</v>
      </c>
      <c r="H55" s="544">
        <v>5</v>
      </c>
      <c r="I55" s="126">
        <f>'Pandemic Assumptions'!$E$18*1000</f>
        <v>3.9237126944323811E-2</v>
      </c>
      <c r="J55">
        <f>I55*B29/1000</f>
        <v>5.0421277608533872</v>
      </c>
      <c r="M55" s="544">
        <v>0.11779999999999999</v>
      </c>
      <c r="N55" s="126">
        <f>'Pandemic Assumptions'!$E$18*1000</f>
        <v>3.9237126944323811E-2</v>
      </c>
      <c r="O55">
        <f>N55*B29/1000</f>
        <v>5.0421277608533872</v>
      </c>
    </row>
    <row r="56" spans="1:15">
      <c r="A56" s="68" t="s">
        <v>25</v>
      </c>
      <c r="B56" s="544">
        <v>14</v>
      </c>
      <c r="C56" s="546">
        <f t="shared" si="26"/>
        <v>0.33136094674556216</v>
      </c>
      <c r="D56" s="126">
        <f>'Pandemic Assumptions'!$E$18*1000</f>
        <v>3.9237126944323811E-2</v>
      </c>
      <c r="E56">
        <f>D56*B30/1000</f>
        <v>3.6661601931698398</v>
      </c>
      <c r="F56">
        <f t="shared" si="27"/>
        <v>9.7523437892654155</v>
      </c>
      <c r="G56">
        <f t="shared" si="25"/>
        <v>0.1043745856978618</v>
      </c>
      <c r="H56" s="544">
        <v>7.5</v>
      </c>
      <c r="I56" s="126">
        <f>'Pandemic Assumptions'!$E$18*1000</f>
        <v>3.9237126944323811E-2</v>
      </c>
      <c r="J56">
        <f>I56*B30/1000</f>
        <v>3.6661601931698398</v>
      </c>
      <c r="M56" s="544">
        <v>0.11779999999999999</v>
      </c>
      <c r="N56" s="126">
        <f>'Pandemic Assumptions'!$E$18*1000</f>
        <v>3.9237126944323811E-2</v>
      </c>
      <c r="O56">
        <f>N56*B30/1000</f>
        <v>3.6661601931698398</v>
      </c>
    </row>
    <row r="57" spans="1:15">
      <c r="A57" s="70" t="s">
        <v>7</v>
      </c>
      <c r="B57" s="544">
        <v>14.5</v>
      </c>
      <c r="C57" s="546">
        <f t="shared" si="26"/>
        <v>0.34319526627218933</v>
      </c>
      <c r="D57" s="127">
        <f>'Pandemic Assumptions'!$E$18*1000</f>
        <v>3.9237126944323811E-2</v>
      </c>
      <c r="E57">
        <f>D57*B31/1000</f>
        <v>3.9219077865929419</v>
      </c>
      <c r="F57">
        <f t="shared" si="27"/>
        <v>10.10064178173918</v>
      </c>
      <c r="G57">
        <f t="shared" si="25"/>
        <v>0.1010529021523819</v>
      </c>
      <c r="H57" s="544">
        <v>10.050000000000001</v>
      </c>
      <c r="I57" s="127">
        <f>'Pandemic Assumptions'!$E$18*1000</f>
        <v>3.9237126944323811E-2</v>
      </c>
      <c r="J57">
        <f>I57*B31/1000</f>
        <v>3.9219077865929419</v>
      </c>
      <c r="M57" s="544">
        <v>0.11779999999999999</v>
      </c>
      <c r="N57" s="127">
        <f>'Pandemic Assumptions'!$E$18*1000</f>
        <v>3.9237126944323811E-2</v>
      </c>
      <c r="O57">
        <f>N57*B31/1000</f>
        <v>3.9219077865929419</v>
      </c>
    </row>
    <row r="58" spans="1:15">
      <c r="J58">
        <f>SUM(J38:J57)</f>
        <v>202.15978287341528</v>
      </c>
      <c r="O58">
        <f>SUM(O38:O57)</f>
        <v>202.15978287341528</v>
      </c>
    </row>
  </sheetData>
  <mergeCells count="2">
    <mergeCell ref="O10:Q10"/>
    <mergeCell ref="R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84</vt:i4>
      </vt:variant>
    </vt:vector>
  </HeadingPairs>
  <TitlesOfParts>
    <vt:vector size="105" baseType="lpstr">
      <vt:lpstr>Changes made to SOA Calculator</vt:lpstr>
      <vt:lpstr>Results</vt:lpstr>
      <vt:lpstr>Total Summary</vt:lpstr>
      <vt:lpstr>Total Costs</vt:lpstr>
      <vt:lpstr>Income Statement</vt:lpstr>
      <vt:lpstr>Scenario</vt:lpstr>
      <vt:lpstr>Mic Assumptions</vt:lpstr>
      <vt:lpstr>Pandemic Assumptions</vt:lpstr>
      <vt:lpstr>Pandemic Calculations</vt:lpstr>
      <vt:lpstr>Morbidity Distribution</vt:lpstr>
      <vt:lpstr>Case Distribution</vt:lpstr>
      <vt:lpstr>Capacity</vt:lpstr>
      <vt:lpstr>Weekly Distributions</vt:lpstr>
      <vt:lpstr>Dist by Provider H1N1</vt:lpstr>
      <vt:lpstr>Provider Costs</vt:lpstr>
      <vt:lpstr>Prod1 Dist</vt:lpstr>
      <vt:lpstr>Prod1 Costs</vt:lpstr>
      <vt:lpstr>Prod1 Sum</vt:lpstr>
      <vt:lpstr>Prod2 Dist</vt:lpstr>
      <vt:lpstr>Prod2 Costs</vt:lpstr>
      <vt:lpstr>Prod2 Sum</vt:lpstr>
      <vt:lpstr>_PR1</vt:lpstr>
      <vt:lpstr>_PR2</vt:lpstr>
      <vt:lpstr>_PR3</vt:lpstr>
      <vt:lpstr>CareFactor</vt:lpstr>
      <vt:lpstr>Curve</vt:lpstr>
      <vt:lpstr>DthHospPct</vt:lpstr>
      <vt:lpstr>DthPct</vt:lpstr>
      <vt:lpstr>duration</vt:lpstr>
      <vt:lpstr>HospAdmitHigh</vt:lpstr>
      <vt:lpstr>HospAdmitLow</vt:lpstr>
      <vt:lpstr>HospAdmits</vt:lpstr>
      <vt:lpstr>HospBeds</vt:lpstr>
      <vt:lpstr>HospCap</vt:lpstr>
      <vt:lpstr>HospChgAdj</vt:lpstr>
      <vt:lpstr>HospPct</vt:lpstr>
      <vt:lpstr>HospUse</vt:lpstr>
      <vt:lpstr>ICUBeds</vt:lpstr>
      <vt:lpstr>ICUCap</vt:lpstr>
      <vt:lpstr>ICUPct</vt:lpstr>
      <vt:lpstr>ICUStay</vt:lpstr>
      <vt:lpstr>ICUStepdown</vt:lpstr>
      <vt:lpstr>ICUUse</vt:lpstr>
      <vt:lpstr>inflation</vt:lpstr>
      <vt:lpstr>InfRate</vt:lpstr>
      <vt:lpstr>InsPop</vt:lpstr>
      <vt:lpstr>LOB_1</vt:lpstr>
      <vt:lpstr>LOB_2</vt:lpstr>
      <vt:lpstr>LOB1Pop</vt:lpstr>
      <vt:lpstr>LOB2Pop</vt:lpstr>
      <vt:lpstr>MorbCurve</vt:lpstr>
      <vt:lpstr>Morbidity</vt:lpstr>
      <vt:lpstr>Mortality</vt:lpstr>
      <vt:lpstr>MortCurve</vt:lpstr>
      <vt:lpstr>MortRatio</vt:lpstr>
      <vt:lpstr>NonICUBeds</vt:lpstr>
      <vt:lpstr>NonICUCap</vt:lpstr>
      <vt:lpstr>NonICUStay</vt:lpstr>
      <vt:lpstr>NonICUUse</vt:lpstr>
      <vt:lpstr>NurseHosp</vt:lpstr>
      <vt:lpstr>NursePerBed</vt:lpstr>
      <vt:lpstr>Nurses</vt:lpstr>
      <vt:lpstr>OutPct</vt:lpstr>
      <vt:lpstr>OutPt</vt:lpstr>
      <vt:lpstr>OutPtHigh</vt:lpstr>
      <vt:lpstr>OutPtLow</vt:lpstr>
      <vt:lpstr>PhysHosp</vt:lpstr>
      <vt:lpstr>Physicians</vt:lpstr>
      <vt:lpstr>PhysPerBed</vt:lpstr>
      <vt:lpstr>Pop0to69</vt:lpstr>
      <vt:lpstr>Population</vt:lpstr>
      <vt:lpstr>Capacity!Print_Area</vt:lpstr>
      <vt:lpstr>'Case Distribution'!Print_Area</vt:lpstr>
      <vt:lpstr>'Dist by Provider H1N1'!Print_Area</vt:lpstr>
      <vt:lpstr>'Morbidity Distribution'!Print_Area</vt:lpstr>
      <vt:lpstr>'Prod1 Costs'!Print_Area</vt:lpstr>
      <vt:lpstr>'Prod1 Dist'!Print_Area</vt:lpstr>
      <vt:lpstr>'Prod1 Sum'!Print_Area</vt:lpstr>
      <vt:lpstr>'Prod2 Costs'!Print_Area</vt:lpstr>
      <vt:lpstr>'Prod2 Sum'!Print_Area</vt:lpstr>
      <vt:lpstr>'Provider Costs'!Print_Area</vt:lpstr>
      <vt:lpstr>'Total Costs'!Print_Area</vt:lpstr>
      <vt:lpstr>'Total Summary'!Print_Area</vt:lpstr>
      <vt:lpstr>'Weekly Distributions'!Print_Area</vt:lpstr>
      <vt:lpstr>'Case Distribution'!Print_Titles</vt:lpstr>
      <vt:lpstr>'Weekly Distributions'!Print_Titles</vt:lpstr>
      <vt:lpstr>RiskAdj</vt:lpstr>
      <vt:lpstr>scenario</vt:lpstr>
      <vt:lpstr>SelfPct</vt:lpstr>
      <vt:lpstr>Severity</vt:lpstr>
      <vt:lpstr>Severity_Listing</vt:lpstr>
      <vt:lpstr>StdFactor</vt:lpstr>
      <vt:lpstr>Tableee</vt:lpstr>
      <vt:lpstr>TaxRate</vt:lpstr>
      <vt:lpstr>TotPI</vt:lpstr>
      <vt:lpstr>UtilAdj</vt:lpstr>
      <vt:lpstr>VentCap</vt:lpstr>
      <vt:lpstr>VentPCT</vt:lpstr>
      <vt:lpstr>Vents</vt:lpstr>
      <vt:lpstr>VentStay</vt:lpstr>
      <vt:lpstr>VentUse</vt:lpstr>
      <vt:lpstr>WaveDur</vt:lpstr>
      <vt:lpstr>Weibull_Alpha</vt:lpstr>
      <vt:lpstr>Weibull_Beta</vt:lpstr>
      <vt:lpstr>XSDths</vt:lpstr>
    </vt:vector>
  </TitlesOfParts>
  <Company>Odell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Toole</dc:creator>
  <cp:lastModifiedBy>Bryan Liu</cp:lastModifiedBy>
  <cp:lastPrinted>2010-05-22T21:53:06Z</cp:lastPrinted>
  <dcterms:created xsi:type="dcterms:W3CDTF">2003-01-12T21:03:41Z</dcterms:created>
  <dcterms:modified xsi:type="dcterms:W3CDTF">2016-04-08T16:34:49Z</dcterms:modified>
</cp:coreProperties>
</file>