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Empresa Unión Familiar\"/>
    </mc:Choice>
  </mc:AlternateContent>
  <bookViews>
    <workbookView xWindow="0" yWindow="0" windowWidth="20325" windowHeight="9630"/>
  </bookViews>
  <sheets>
    <sheet name="Hoja1" sheetId="1" r:id="rId1"/>
  </sheets>
  <definedNames>
    <definedName name="_xlnm._FilterDatabase" localSheetId="0" hidden="1">Hoja1!$A$1:$O$48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  <c r="H20" i="1"/>
  <c r="H4" i="1" l="1"/>
  <c r="H27" i="1"/>
  <c r="H35" i="1"/>
  <c r="H34" i="1"/>
  <c r="H15" i="1"/>
  <c r="H9" i="1"/>
  <c r="G37" i="1" l="1"/>
  <c r="G29" i="1"/>
  <c r="H19" i="1"/>
  <c r="H10" i="1"/>
  <c r="G10" i="1" s="1"/>
  <c r="H31" i="1"/>
  <c r="G31" i="1" s="1"/>
  <c r="G43" i="1"/>
  <c r="I43" i="1" s="1"/>
  <c r="H44" i="1"/>
  <c r="G44" i="1" s="1"/>
  <c r="I44" i="1" s="1"/>
  <c r="H43" i="1"/>
  <c r="H41" i="1"/>
  <c r="H7" i="1"/>
  <c r="G7" i="1" s="1"/>
  <c r="G35" i="1"/>
  <c r="H25" i="1"/>
  <c r="G22" i="1"/>
  <c r="H22" i="1"/>
  <c r="H16" i="1"/>
  <c r="H3" i="1"/>
  <c r="H2" i="1"/>
  <c r="G2" i="1" s="1"/>
  <c r="G4" i="1" l="1"/>
  <c r="G3" i="1"/>
  <c r="H21" i="1"/>
  <c r="H30" i="1"/>
  <c r="H23" i="1"/>
  <c r="H13" i="1"/>
  <c r="G23" i="1" l="1"/>
  <c r="G30" i="1"/>
  <c r="G21" i="1"/>
  <c r="G38" i="1"/>
  <c r="H39" i="1"/>
  <c r="G39" i="1" s="1"/>
  <c r="G9" i="1" l="1"/>
  <c r="G36" i="1" l="1"/>
  <c r="G33" i="1"/>
  <c r="H24" i="1"/>
  <c r="H40" i="1"/>
  <c r="G41" i="1" s="1"/>
  <c r="I41" i="1" s="1"/>
  <c r="H17" i="1"/>
  <c r="H8" i="1"/>
  <c r="H12" i="1"/>
  <c r="G20" i="1"/>
  <c r="G34" i="1" l="1"/>
  <c r="G27" i="1" l="1"/>
  <c r="G15" i="1"/>
  <c r="G32" i="1" l="1"/>
  <c r="L8" i="1" l="1"/>
  <c r="G25" i="1"/>
  <c r="H14" i="1"/>
  <c r="G14" i="1" s="1"/>
  <c r="I14" i="1" s="1"/>
  <c r="G24" i="1"/>
  <c r="I24" i="1" s="1"/>
  <c r="G11" i="1"/>
  <c r="I11" i="1" s="1"/>
  <c r="G12" i="1"/>
  <c r="I12" i="1" s="1"/>
  <c r="G40" i="1"/>
  <c r="I40" i="1" s="1"/>
  <c r="G8" i="1"/>
  <c r="H18" i="1"/>
  <c r="G18" i="1" s="1"/>
  <c r="I18" i="1" s="1"/>
  <c r="G16" i="1"/>
  <c r="G19" i="1"/>
  <c r="G17" i="1"/>
  <c r="I17" i="1" s="1"/>
  <c r="E3" i="1"/>
  <c r="I3" i="1" s="1"/>
  <c r="E4" i="1"/>
  <c r="I4" i="1" s="1"/>
  <c r="E5" i="1"/>
  <c r="I5" i="1" s="1"/>
  <c r="E6" i="1"/>
  <c r="I6" i="1" s="1"/>
  <c r="E7" i="1"/>
  <c r="I7" i="1" s="1"/>
  <c r="E8" i="1"/>
  <c r="E9" i="1"/>
  <c r="I9" i="1" s="1"/>
  <c r="E10" i="1"/>
  <c r="I10" i="1" s="1"/>
  <c r="E11" i="1"/>
  <c r="E12" i="1"/>
  <c r="E13" i="1"/>
  <c r="I13" i="1" s="1"/>
  <c r="E14" i="1"/>
  <c r="E15" i="1"/>
  <c r="I15" i="1" s="1"/>
  <c r="E16" i="1"/>
  <c r="E17" i="1"/>
  <c r="E18" i="1"/>
  <c r="E19" i="1"/>
  <c r="E20" i="1"/>
  <c r="I20" i="1" s="1"/>
  <c r="E21" i="1"/>
  <c r="I21" i="1" s="1"/>
  <c r="E22" i="1"/>
  <c r="I22" i="1" s="1"/>
  <c r="E23" i="1"/>
  <c r="I23" i="1" s="1"/>
  <c r="E24" i="1"/>
  <c r="E25" i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E2" i="1"/>
  <c r="I2" i="1" s="1"/>
  <c r="I16" i="1" l="1"/>
  <c r="I25" i="1"/>
  <c r="I19" i="1"/>
  <c r="I8" i="1"/>
  <c r="O8" i="1"/>
  <c r="H28" i="1" l="1"/>
  <c r="O46" i="1" l="1"/>
  <c r="L46" i="1"/>
  <c r="K46" i="1"/>
  <c r="H26" i="1"/>
  <c r="H6" i="1"/>
  <c r="H5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2" i="1"/>
  <c r="M3" i="1"/>
  <c r="M4" i="1"/>
  <c r="M5" i="1"/>
  <c r="M6" i="1"/>
  <c r="M7" i="1"/>
  <c r="M8" i="1"/>
  <c r="N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3" i="1"/>
  <c r="N46" i="1" l="1"/>
  <c r="H46" i="1"/>
  <c r="I46" i="1"/>
</calcChain>
</file>

<file path=xl/sharedStrings.xml><?xml version="1.0" encoding="utf-8"?>
<sst xmlns="http://schemas.openxmlformats.org/spreadsheetml/2006/main" count="100" uniqueCount="63">
  <si>
    <t>Socios</t>
  </si>
  <si>
    <t>Semanas pagadas</t>
  </si>
  <si>
    <t>Préstamo</t>
  </si>
  <si>
    <t>Cantidad del préstamo</t>
  </si>
  <si>
    <t>Cantidad pagada</t>
  </si>
  <si>
    <t>Cantidad Adeudada</t>
  </si>
  <si>
    <t>Semanas adeudadas</t>
  </si>
  <si>
    <t>Alejandra Ocaña</t>
  </si>
  <si>
    <t>Semanas totales, AP</t>
  </si>
  <si>
    <t>Andres Ocaña</t>
  </si>
  <si>
    <t>Anthony Moromenacho</t>
  </si>
  <si>
    <t>Bryan Ocaña</t>
  </si>
  <si>
    <t>Cintia Moromenacho</t>
  </si>
  <si>
    <t>Daniel Moromenacho</t>
  </si>
  <si>
    <t>Edith Ocaña</t>
  </si>
  <si>
    <t>Elsa Rea</t>
  </si>
  <si>
    <t>Gabriela Moromenacho</t>
  </si>
  <si>
    <t>Gladys Ocaña</t>
  </si>
  <si>
    <t>Judith Barahona</t>
  </si>
  <si>
    <t>Liseth Moromenacho</t>
  </si>
  <si>
    <t>María Moromenacho</t>
  </si>
  <si>
    <t>Milton Ocaña</t>
  </si>
  <si>
    <t>Miguel Chavez</t>
  </si>
  <si>
    <t>Nayeli Muñoz</t>
  </si>
  <si>
    <t>Nelly Moromenacho</t>
  </si>
  <si>
    <t>Paúl Moromenacho</t>
  </si>
  <si>
    <t>Rene Ocaña</t>
  </si>
  <si>
    <t>Tamaris Ocaña</t>
  </si>
  <si>
    <t>Verónica Bedón</t>
  </si>
  <si>
    <t>Vicente Ocaña</t>
  </si>
  <si>
    <t>Víctor Ocaña</t>
  </si>
  <si>
    <t>Washington Ocaña</t>
  </si>
  <si>
    <t>Ana Ocaña</t>
  </si>
  <si>
    <t>Jeremy Machado</t>
  </si>
  <si>
    <t>Dolores Ocaña</t>
  </si>
  <si>
    <t>Amanda Tituaña</t>
  </si>
  <si>
    <t>Merci Herrera</t>
  </si>
  <si>
    <t>Alexis Tituaña</t>
  </si>
  <si>
    <t>Tatiana Martinez</t>
  </si>
  <si>
    <t>Alexandra Remache</t>
  </si>
  <si>
    <t>Dominic Ocaña</t>
  </si>
  <si>
    <t>Dennis Palomo</t>
  </si>
  <si>
    <t>Andersson Simbaña</t>
  </si>
  <si>
    <t>Emili Simbaña</t>
  </si>
  <si>
    <t>Génesis Villalba</t>
  </si>
  <si>
    <t>Juan Muñoz</t>
  </si>
  <si>
    <t>No</t>
  </si>
  <si>
    <t>Si</t>
  </si>
  <si>
    <t>Interes</t>
  </si>
  <si>
    <t>Cuotas pagadas</t>
  </si>
  <si>
    <t>Valor en semanas</t>
  </si>
  <si>
    <t>Semanas pos pandemia</t>
  </si>
  <si>
    <t>hasta el 27 de septiembre</t>
  </si>
  <si>
    <t>hasta el 05 de enero 2021</t>
  </si>
  <si>
    <t>hasta el 08 de abril 2021 del día 11</t>
  </si>
  <si>
    <t>Angel Ocaña</t>
  </si>
  <si>
    <t>Hugo Tituaña</t>
  </si>
  <si>
    <t>Julian Martinez</t>
  </si>
  <si>
    <t>Pamela Martinez</t>
  </si>
  <si>
    <t>Cumpleaños</t>
  </si>
  <si>
    <t>Semanas 2022</t>
  </si>
  <si>
    <t>Heydan Machado</t>
  </si>
  <si>
    <t>hasta el 26 de julio 2022 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</si>
</sst>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2" xfId="0" applyFill="1" applyBorder="1"/>
    <xf numFmtId="0" fontId="1" fillId="0" borderId="2" xfId="0" applyFont="1" applyFill="1" applyBorder="1"/>
    <xf numFmtId="0" fontId="0" fillId="0" borderId="3" xfId="0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0" fillId="3" borderId="0" xfId="0" applyFill="1"/>
    <xf numFmtId="0" fontId="2" fillId="0" borderId="1" xfId="0" applyFont="1" applyFill="1" applyBorder="1"/>
    <xf numFmtId="0" fontId="3" fillId="0" borderId="1" xfId="0" applyFont="1" applyFill="1" applyBorder="1"/>
    <xf numFmtId="0" fontId="0" fillId="0" borderId="0" xfId="0" applyFill="1"/>
    <xf numFmtId="0" fontId="3" fillId="2" borderId="1" xfId="0" applyFont="1" applyFill="1" applyBorder="1"/>
    <xf numFmtId="0" fontId="0" fillId="2" borderId="0" xfId="0" applyFill="1"/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/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1" fillId="5" borderId="1" xfId="0" applyFont="1" applyFill="1" applyBorder="1"/>
    <xf numFmtId="0" fontId="0" fillId="5" borderId="1" xfId="0" applyFill="1" applyBorder="1"/>
    <xf numFmtId="0" fontId="2" fillId="5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3" borderId="4" xfId="0" applyFont="1" applyFill="1" applyBorder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1" fillId="3" borderId="4" xfId="0" applyFont="1" applyFill="1" applyBorder="1"/>
    <xf numFmtId="16" fontId="2" fillId="0" borderId="1" xfId="0" applyNumberFormat="1" applyFont="1" applyFill="1" applyBorder="1"/>
    <xf numFmtId="16" fontId="2" fillId="3" borderId="1" xfId="0" applyNumberFormat="1" applyFont="1" applyFill="1" applyBorder="1"/>
    <xf numFmtId="16" fontId="3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zoomScale="115" zoomScaleNormal="115" workbookViewId="0">
      <selection activeCell="C7" sqref="C7"/>
    </sheetView>
  </sheetViews>
  <sheetFormatPr baseColWidth="10" defaultRowHeight="15" x14ac:dyDescent="0.25"/>
  <cols>
    <col min="1" max="1" width="4" customWidth="1"/>
    <col min="2" max="3" width="22.42578125" customWidth="1"/>
    <col min="4" max="4" width="19.5703125" customWidth="1"/>
    <col min="5" max="6" width="21" customWidth="1"/>
    <col min="7" max="8" width="17.5703125" customWidth="1"/>
    <col min="9" max="9" width="19" customWidth="1"/>
    <col min="10" max="10" width="0" hidden="1" customWidth="1"/>
    <col min="11" max="11" width="21" customWidth="1"/>
    <col min="12" max="13" width="15.5703125" customWidth="1"/>
    <col min="14" max="14" width="18.42578125" customWidth="1"/>
  </cols>
  <sheetData>
    <row r="1" spans="1:15" x14ac:dyDescent="0.25">
      <c r="B1" s="1" t="s">
        <v>0</v>
      </c>
      <c r="C1" s="1" t="s">
        <v>59</v>
      </c>
      <c r="D1" s="1" t="s">
        <v>8</v>
      </c>
      <c r="E1" s="1" t="s">
        <v>51</v>
      </c>
      <c r="F1" s="1" t="s">
        <v>60</v>
      </c>
      <c r="G1" s="1" t="s">
        <v>1</v>
      </c>
      <c r="H1" s="1" t="s">
        <v>50</v>
      </c>
      <c r="I1" s="1" t="s">
        <v>6</v>
      </c>
      <c r="J1" s="1" t="s">
        <v>2</v>
      </c>
      <c r="K1" s="1" t="s">
        <v>3</v>
      </c>
      <c r="L1" s="1" t="s">
        <v>4</v>
      </c>
      <c r="M1" s="1" t="s">
        <v>49</v>
      </c>
      <c r="N1" s="1" t="s">
        <v>5</v>
      </c>
      <c r="O1" s="1" t="s">
        <v>48</v>
      </c>
    </row>
    <row r="2" spans="1:15" x14ac:dyDescent="0.25">
      <c r="A2" s="9">
        <v>1</v>
      </c>
      <c r="B2" s="30" t="s">
        <v>7</v>
      </c>
      <c r="C2" s="30"/>
      <c r="D2" s="1">
        <v>47</v>
      </c>
      <c r="E2" s="1">
        <f>23+14</f>
        <v>37</v>
      </c>
      <c r="F2" s="1">
        <f>17+4</f>
        <v>21</v>
      </c>
      <c r="G2" s="1">
        <f>ROUNDDOWN(H2/0.35,0)</f>
        <v>46</v>
      </c>
      <c r="H2" s="1">
        <f>13.3+0.3+1.5+1</f>
        <v>16.100000000000001</v>
      </c>
      <c r="I2" s="1">
        <f>(D2-G2)+E2+F2</f>
        <v>59</v>
      </c>
      <c r="J2" s="2" t="s">
        <v>46</v>
      </c>
      <c r="K2" s="1"/>
      <c r="L2" s="1"/>
      <c r="M2" s="3">
        <f t="shared" ref="M2:M40" si="0">(L2/30)</f>
        <v>0</v>
      </c>
      <c r="N2" s="3">
        <f>(K2-L2)</f>
        <v>0</v>
      </c>
      <c r="O2" s="1"/>
    </row>
    <row r="3" spans="1:15" x14ac:dyDescent="0.25">
      <c r="A3" s="9">
        <v>2</v>
      </c>
      <c r="B3" s="29" t="s">
        <v>9</v>
      </c>
      <c r="C3" s="29"/>
      <c r="D3" s="4">
        <v>47</v>
      </c>
      <c r="E3" s="1">
        <f t="shared" ref="E3:E40" si="1">23+14</f>
        <v>37</v>
      </c>
      <c r="F3" s="1">
        <f t="shared" ref="F3:F44" si="2">17+4</f>
        <v>21</v>
      </c>
      <c r="G3" s="4">
        <f>ROUNDDOWN(H3/0.35,0)</f>
        <v>40</v>
      </c>
      <c r="H3" s="4">
        <f>13.3+1</f>
        <v>14.3</v>
      </c>
      <c r="I3" s="4">
        <f>(D3-G3)+E3+F3</f>
        <v>65</v>
      </c>
      <c r="J3" s="5" t="s">
        <v>47</v>
      </c>
      <c r="K3" s="4">
        <v>200</v>
      </c>
      <c r="L3" s="4">
        <v>60</v>
      </c>
      <c r="M3" s="4">
        <f t="shared" si="0"/>
        <v>2</v>
      </c>
      <c r="N3" s="4">
        <f>(K3-L3)</f>
        <v>140</v>
      </c>
      <c r="O3" s="6"/>
    </row>
    <row r="4" spans="1:15" x14ac:dyDescent="0.25">
      <c r="A4" s="9">
        <v>3</v>
      </c>
      <c r="B4" s="15" t="s">
        <v>10</v>
      </c>
      <c r="C4" s="15"/>
      <c r="D4" s="1">
        <v>47</v>
      </c>
      <c r="E4" s="1">
        <f t="shared" si="1"/>
        <v>37</v>
      </c>
      <c r="F4" s="1">
        <f t="shared" si="2"/>
        <v>21</v>
      </c>
      <c r="G4" s="1">
        <f>ROUNDDOWN(H3/0.35,0)</f>
        <v>40</v>
      </c>
      <c r="H4" s="1">
        <f>39.5</f>
        <v>39.5</v>
      </c>
      <c r="I4" s="1">
        <f>(D4-G4)+E4+F4</f>
        <v>65</v>
      </c>
      <c r="J4" s="2" t="s">
        <v>46</v>
      </c>
      <c r="K4" s="1"/>
      <c r="L4" s="1"/>
      <c r="M4" s="3">
        <f t="shared" si="0"/>
        <v>0</v>
      </c>
      <c r="N4" s="3">
        <f t="shared" ref="N4:N40" si="3">(K4-L4)</f>
        <v>0</v>
      </c>
      <c r="O4" s="1"/>
    </row>
    <row r="5" spans="1:15" x14ac:dyDescent="0.25">
      <c r="A5" s="9">
        <v>4</v>
      </c>
      <c r="B5" s="15" t="s">
        <v>11</v>
      </c>
      <c r="C5" s="37">
        <v>44747</v>
      </c>
      <c r="D5" s="1">
        <v>47</v>
      </c>
      <c r="E5" s="1">
        <f t="shared" si="1"/>
        <v>37</v>
      </c>
      <c r="F5" s="1">
        <f t="shared" si="2"/>
        <v>21</v>
      </c>
      <c r="G5" s="1">
        <v>47</v>
      </c>
      <c r="H5" s="1">
        <f>(G5*0.35)</f>
        <v>16.45</v>
      </c>
      <c r="I5" s="4">
        <f t="shared" ref="I5:I40" si="4">(D5-G5)+E5+F5</f>
        <v>58</v>
      </c>
      <c r="J5" s="2" t="s">
        <v>46</v>
      </c>
      <c r="K5" s="1"/>
      <c r="L5" s="1"/>
      <c r="M5" s="3">
        <f t="shared" si="0"/>
        <v>0</v>
      </c>
      <c r="N5" s="3">
        <f t="shared" si="3"/>
        <v>0</v>
      </c>
      <c r="O5" s="1"/>
    </row>
    <row r="6" spans="1:15" x14ac:dyDescent="0.25">
      <c r="A6" s="9">
        <v>5</v>
      </c>
      <c r="B6" s="15" t="s">
        <v>12</v>
      </c>
      <c r="C6" s="15"/>
      <c r="D6" s="1">
        <v>47</v>
      </c>
      <c r="E6" s="1">
        <f t="shared" si="1"/>
        <v>37</v>
      </c>
      <c r="F6" s="1">
        <f t="shared" si="2"/>
        <v>21</v>
      </c>
      <c r="G6" s="1">
        <v>32</v>
      </c>
      <c r="H6" s="1">
        <f>(G6*0.35)+0.15</f>
        <v>11.35</v>
      </c>
      <c r="I6" s="1">
        <f t="shared" si="4"/>
        <v>73</v>
      </c>
      <c r="J6" s="2" t="s">
        <v>46</v>
      </c>
      <c r="K6" s="1"/>
      <c r="L6" s="1"/>
      <c r="M6" s="3">
        <f t="shared" si="0"/>
        <v>0</v>
      </c>
      <c r="N6" s="3">
        <f t="shared" si="3"/>
        <v>0</v>
      </c>
      <c r="O6" s="1"/>
    </row>
    <row r="7" spans="1:15" x14ac:dyDescent="0.25">
      <c r="A7" s="9">
        <v>6</v>
      </c>
      <c r="B7" s="15" t="s">
        <v>13</v>
      </c>
      <c r="C7" s="15"/>
      <c r="D7" s="1">
        <v>47</v>
      </c>
      <c r="E7" s="1">
        <f t="shared" si="1"/>
        <v>37</v>
      </c>
      <c r="F7" s="1">
        <f t="shared" si="2"/>
        <v>21</v>
      </c>
      <c r="G7" s="1">
        <f>ROUNDDOWN(H7/0.35,0)</f>
        <v>63</v>
      </c>
      <c r="H7" s="1">
        <f>12.15+10</f>
        <v>22.15</v>
      </c>
      <c r="I7" s="4">
        <f t="shared" si="4"/>
        <v>42</v>
      </c>
      <c r="J7" s="2" t="s">
        <v>46</v>
      </c>
      <c r="K7" s="1"/>
      <c r="L7" s="1"/>
      <c r="M7" s="3">
        <f t="shared" si="0"/>
        <v>0</v>
      </c>
      <c r="N7" s="3">
        <f t="shared" si="3"/>
        <v>0</v>
      </c>
      <c r="O7" s="1"/>
    </row>
    <row r="8" spans="1:15" s="14" customFormat="1" x14ac:dyDescent="0.25">
      <c r="A8" s="20">
        <v>7</v>
      </c>
      <c r="B8" s="13" t="s">
        <v>14</v>
      </c>
      <c r="C8" s="13"/>
      <c r="D8" s="11">
        <v>47</v>
      </c>
      <c r="E8" s="10">
        <f t="shared" si="1"/>
        <v>37</v>
      </c>
      <c r="F8" s="1">
        <f t="shared" si="2"/>
        <v>21</v>
      </c>
      <c r="G8" s="11">
        <f>H8/0.5</f>
        <v>94</v>
      </c>
      <c r="H8" s="11">
        <f>(D8*0.5)+13.5+5+5</f>
        <v>47</v>
      </c>
      <c r="I8" s="1">
        <f t="shared" si="4"/>
        <v>11</v>
      </c>
      <c r="J8" s="32" t="s">
        <v>47</v>
      </c>
      <c r="K8" s="11">
        <v>340</v>
      </c>
      <c r="L8" s="11">
        <f>300+30</f>
        <v>330</v>
      </c>
      <c r="M8" s="11">
        <f>(L8/30)</f>
        <v>11</v>
      </c>
      <c r="N8" s="11">
        <f t="shared" si="3"/>
        <v>10</v>
      </c>
      <c r="O8" s="11">
        <f>2.5+2.5+2.1+2.1+2.1+2.1</f>
        <v>13.399999999999999</v>
      </c>
    </row>
    <row r="9" spans="1:15" x14ac:dyDescent="0.25">
      <c r="A9" s="9">
        <v>8</v>
      </c>
      <c r="B9" s="15" t="s">
        <v>15</v>
      </c>
      <c r="C9" s="15"/>
      <c r="D9" s="1">
        <v>47</v>
      </c>
      <c r="E9" s="1">
        <f t="shared" si="1"/>
        <v>37</v>
      </c>
      <c r="F9" s="1">
        <f t="shared" si="2"/>
        <v>21</v>
      </c>
      <c r="G9" s="1">
        <f>ROUNDDOWN(H9/0.35,0)</f>
        <v>69</v>
      </c>
      <c r="H9" s="1">
        <f>11.2+1+1+5+0.7+0.35+0.35+3.9+0.7</f>
        <v>24.2</v>
      </c>
      <c r="I9" s="4">
        <f t="shared" si="4"/>
        <v>36</v>
      </c>
      <c r="J9" s="2" t="s">
        <v>46</v>
      </c>
      <c r="K9" s="1"/>
      <c r="L9" s="1"/>
      <c r="M9" s="3">
        <f t="shared" si="0"/>
        <v>0</v>
      </c>
      <c r="N9" s="3">
        <f t="shared" si="3"/>
        <v>0</v>
      </c>
      <c r="O9" s="1"/>
    </row>
    <row r="10" spans="1:15" s="14" customFormat="1" x14ac:dyDescent="0.25">
      <c r="A10" s="20">
        <v>9</v>
      </c>
      <c r="B10" s="12" t="s">
        <v>16</v>
      </c>
      <c r="C10" s="12"/>
      <c r="D10" s="10">
        <v>47</v>
      </c>
      <c r="E10" s="10">
        <f t="shared" si="1"/>
        <v>37</v>
      </c>
      <c r="F10" s="1">
        <f t="shared" si="2"/>
        <v>21</v>
      </c>
      <c r="G10" s="10">
        <f>ROUNDDOWN(H10/0.35,0)</f>
        <v>95</v>
      </c>
      <c r="H10" s="10">
        <f>28.25+5</f>
        <v>33.25</v>
      </c>
      <c r="I10" s="1">
        <f t="shared" si="4"/>
        <v>10</v>
      </c>
      <c r="J10" s="21" t="s">
        <v>46</v>
      </c>
      <c r="K10" s="10"/>
      <c r="L10" s="10"/>
      <c r="M10" s="11">
        <f t="shared" si="0"/>
        <v>0</v>
      </c>
      <c r="N10" s="11">
        <f t="shared" si="3"/>
        <v>0</v>
      </c>
      <c r="O10" s="10"/>
    </row>
    <row r="11" spans="1:15" s="28" customFormat="1" x14ac:dyDescent="0.25">
      <c r="A11" s="23">
        <v>10</v>
      </c>
      <c r="B11" s="24" t="s">
        <v>17</v>
      </c>
      <c r="C11" s="24"/>
      <c r="D11" s="25">
        <v>47</v>
      </c>
      <c r="E11" s="26">
        <f t="shared" si="1"/>
        <v>37</v>
      </c>
      <c r="F11" s="1">
        <f t="shared" si="2"/>
        <v>21</v>
      </c>
      <c r="G11" s="25">
        <f>ROUNDDOWN((H11/0.5),0)</f>
        <v>141</v>
      </c>
      <c r="H11" s="25">
        <f>47.5+2+3+2+1.05+10+5</f>
        <v>70.55</v>
      </c>
      <c r="I11" s="4">
        <f t="shared" si="4"/>
        <v>-36</v>
      </c>
      <c r="J11" s="27" t="s">
        <v>47</v>
      </c>
      <c r="K11" s="25">
        <v>300</v>
      </c>
      <c r="L11" s="25">
        <v>60</v>
      </c>
      <c r="M11" s="25">
        <f t="shared" si="0"/>
        <v>2</v>
      </c>
      <c r="N11" s="25">
        <f t="shared" si="3"/>
        <v>240</v>
      </c>
      <c r="O11" s="25">
        <v>2</v>
      </c>
    </row>
    <row r="12" spans="1:15" s="14" customFormat="1" x14ac:dyDescent="0.25">
      <c r="A12" s="20">
        <v>11</v>
      </c>
      <c r="B12" s="12" t="s">
        <v>18</v>
      </c>
      <c r="C12" s="12"/>
      <c r="D12" s="10">
        <v>47</v>
      </c>
      <c r="E12" s="10">
        <f t="shared" si="1"/>
        <v>37</v>
      </c>
      <c r="F12" s="1">
        <f t="shared" si="2"/>
        <v>21</v>
      </c>
      <c r="G12" s="10">
        <f>H12/0.5</f>
        <v>127</v>
      </c>
      <c r="H12" s="10">
        <f>5+5+5+5+5+5+23.5+5+5</f>
        <v>63.5</v>
      </c>
      <c r="I12" s="1">
        <f t="shared" si="4"/>
        <v>-22</v>
      </c>
      <c r="J12" s="21" t="s">
        <v>46</v>
      </c>
      <c r="K12" s="10"/>
      <c r="L12" s="10"/>
      <c r="M12" s="11">
        <f t="shared" si="0"/>
        <v>0</v>
      </c>
      <c r="N12" s="11">
        <f t="shared" si="3"/>
        <v>0</v>
      </c>
      <c r="O12" s="10"/>
    </row>
    <row r="13" spans="1:15" x14ac:dyDescent="0.25">
      <c r="A13" s="9">
        <v>12</v>
      </c>
      <c r="B13" s="15" t="s">
        <v>19</v>
      </c>
      <c r="C13" s="15"/>
      <c r="D13" s="1">
        <v>47</v>
      </c>
      <c r="E13" s="1">
        <f t="shared" si="1"/>
        <v>37</v>
      </c>
      <c r="F13" s="1">
        <f t="shared" si="2"/>
        <v>21</v>
      </c>
      <c r="G13" s="1">
        <v>42</v>
      </c>
      <c r="H13" s="1">
        <f>G13*0.35</f>
        <v>14.7</v>
      </c>
      <c r="I13" s="4">
        <f t="shared" si="4"/>
        <v>63</v>
      </c>
      <c r="J13" s="2" t="s">
        <v>46</v>
      </c>
      <c r="K13" s="1"/>
      <c r="L13" s="1"/>
      <c r="M13" s="3">
        <f t="shared" si="0"/>
        <v>0</v>
      </c>
      <c r="N13" s="3">
        <f t="shared" si="3"/>
        <v>0</v>
      </c>
      <c r="O13" s="1"/>
    </row>
    <row r="14" spans="1:15" s="14" customFormat="1" x14ac:dyDescent="0.25">
      <c r="A14" s="20">
        <v>13</v>
      </c>
      <c r="B14" s="12" t="s">
        <v>20</v>
      </c>
      <c r="C14" s="12"/>
      <c r="D14" s="10">
        <v>47</v>
      </c>
      <c r="E14" s="10">
        <f t="shared" si="1"/>
        <v>37</v>
      </c>
      <c r="F14" s="1">
        <f t="shared" si="2"/>
        <v>21</v>
      </c>
      <c r="G14" s="10">
        <f>ROUNDDOWN((H14/0.35),0)</f>
        <v>87</v>
      </c>
      <c r="H14" s="10">
        <f>29.35+1.4</f>
        <v>30.75</v>
      </c>
      <c r="I14" s="1">
        <f t="shared" si="4"/>
        <v>18</v>
      </c>
      <c r="J14" s="21" t="s">
        <v>46</v>
      </c>
      <c r="K14" s="10"/>
      <c r="L14" s="10"/>
      <c r="M14" s="11">
        <f t="shared" si="0"/>
        <v>0</v>
      </c>
      <c r="N14" s="11">
        <f t="shared" si="3"/>
        <v>0</v>
      </c>
      <c r="O14" s="10"/>
    </row>
    <row r="15" spans="1:15" s="14" customFormat="1" x14ac:dyDescent="0.25">
      <c r="A15" s="9">
        <v>14</v>
      </c>
      <c r="B15" s="12" t="s">
        <v>21</v>
      </c>
      <c r="C15" s="38">
        <v>44614</v>
      </c>
      <c r="D15" s="10">
        <v>47</v>
      </c>
      <c r="E15" s="10">
        <f t="shared" si="1"/>
        <v>37</v>
      </c>
      <c r="F15" s="1">
        <f t="shared" si="2"/>
        <v>21</v>
      </c>
      <c r="G15" s="10">
        <f>ROUNDDOWN((H15/0.35),0)</f>
        <v>54</v>
      </c>
      <c r="H15" s="10">
        <f>11.2+1+1+0.7+0.35+0.35+3.9+0.7</f>
        <v>19.199999999999996</v>
      </c>
      <c r="I15" s="4">
        <f t="shared" si="4"/>
        <v>51</v>
      </c>
      <c r="J15" s="21" t="s">
        <v>46</v>
      </c>
      <c r="K15" s="10"/>
      <c r="L15" s="10"/>
      <c r="M15" s="11">
        <f t="shared" si="0"/>
        <v>0</v>
      </c>
      <c r="N15" s="11">
        <f t="shared" si="3"/>
        <v>0</v>
      </c>
      <c r="O15" s="10"/>
    </row>
    <row r="16" spans="1:15" s="14" customFormat="1" x14ac:dyDescent="0.25">
      <c r="A16" s="9">
        <v>15</v>
      </c>
      <c r="B16" s="31" t="s">
        <v>22</v>
      </c>
      <c r="C16" s="31"/>
      <c r="D16" s="10">
        <v>47</v>
      </c>
      <c r="E16" s="10">
        <f t="shared" si="1"/>
        <v>37</v>
      </c>
      <c r="F16" s="1">
        <f t="shared" si="2"/>
        <v>21</v>
      </c>
      <c r="G16" s="10">
        <f>ROUNDDOWN((H16/0.35),0)</f>
        <v>47</v>
      </c>
      <c r="H16" s="10">
        <f>((D16-7)*0.35)+1.5+1</f>
        <v>16.5</v>
      </c>
      <c r="I16" s="1">
        <f t="shared" si="4"/>
        <v>58</v>
      </c>
      <c r="J16" s="21" t="s">
        <v>46</v>
      </c>
      <c r="K16" s="10"/>
      <c r="L16" s="10"/>
      <c r="M16" s="11">
        <f t="shared" si="0"/>
        <v>0</v>
      </c>
      <c r="N16" s="11">
        <f t="shared" si="3"/>
        <v>0</v>
      </c>
      <c r="O16" s="10"/>
    </row>
    <row r="17" spans="1:15" s="14" customFormat="1" x14ac:dyDescent="0.25">
      <c r="A17" s="9">
        <v>16</v>
      </c>
      <c r="B17" s="12" t="s">
        <v>23</v>
      </c>
      <c r="C17" s="12"/>
      <c r="D17" s="10">
        <v>47</v>
      </c>
      <c r="E17" s="10">
        <f t="shared" si="1"/>
        <v>37</v>
      </c>
      <c r="F17" s="1">
        <f t="shared" si="2"/>
        <v>21</v>
      </c>
      <c r="G17" s="10">
        <f>ROUNDDOWN((H17/0.5),0)</f>
        <v>94</v>
      </c>
      <c r="H17" s="10">
        <f>(D17*0.5)+13.5+5+5</f>
        <v>47</v>
      </c>
      <c r="I17" s="4">
        <f t="shared" si="4"/>
        <v>11</v>
      </c>
      <c r="J17" s="21" t="s">
        <v>46</v>
      </c>
      <c r="K17" s="10"/>
      <c r="L17" s="10"/>
      <c r="M17" s="11">
        <f t="shared" si="0"/>
        <v>0</v>
      </c>
      <c r="N17" s="11">
        <f t="shared" si="3"/>
        <v>0</v>
      </c>
      <c r="O17" s="10"/>
    </row>
    <row r="18" spans="1:15" s="19" customFormat="1" x14ac:dyDescent="0.25">
      <c r="A18" s="9">
        <v>17</v>
      </c>
      <c r="B18" s="18" t="s">
        <v>24</v>
      </c>
      <c r="C18" s="18"/>
      <c r="D18" s="4">
        <v>47</v>
      </c>
      <c r="E18" s="6">
        <f t="shared" si="1"/>
        <v>37</v>
      </c>
      <c r="F18" s="1">
        <f t="shared" si="2"/>
        <v>21</v>
      </c>
      <c r="G18" s="6">
        <f>ROUNDDOWN((H18/0.5259),0)</f>
        <v>47</v>
      </c>
      <c r="H18" s="4">
        <f>ROUND((D20*0.5259),2)</f>
        <v>24.72</v>
      </c>
      <c r="I18" s="1">
        <f t="shared" si="4"/>
        <v>58</v>
      </c>
      <c r="J18" s="5" t="s">
        <v>47</v>
      </c>
      <c r="K18" s="4">
        <v>300</v>
      </c>
      <c r="L18" s="4">
        <v>60</v>
      </c>
      <c r="M18" s="4">
        <f t="shared" si="0"/>
        <v>2</v>
      </c>
      <c r="N18" s="4">
        <f t="shared" si="3"/>
        <v>240</v>
      </c>
      <c r="O18" s="4">
        <v>2</v>
      </c>
    </row>
    <row r="19" spans="1:15" s="14" customFormat="1" x14ac:dyDescent="0.25">
      <c r="A19" s="9">
        <v>18</v>
      </c>
      <c r="B19" s="12" t="s">
        <v>25</v>
      </c>
      <c r="C19" s="12"/>
      <c r="D19" s="10">
        <v>47</v>
      </c>
      <c r="E19" s="10">
        <f t="shared" si="1"/>
        <v>37</v>
      </c>
      <c r="F19" s="1">
        <f t="shared" si="2"/>
        <v>21</v>
      </c>
      <c r="G19" s="10">
        <f>ROUNDDOWN((H19/0.35),0)</f>
        <v>40</v>
      </c>
      <c r="H19" s="10">
        <f>((D19-7)*0.35)</f>
        <v>14</v>
      </c>
      <c r="I19" s="4">
        <f t="shared" si="4"/>
        <v>65</v>
      </c>
      <c r="J19" s="21" t="s">
        <v>46</v>
      </c>
      <c r="K19" s="10"/>
      <c r="L19" s="10"/>
      <c r="M19" s="11">
        <f t="shared" si="0"/>
        <v>0</v>
      </c>
      <c r="N19" s="11">
        <f t="shared" si="3"/>
        <v>0</v>
      </c>
      <c r="O19" s="10"/>
    </row>
    <row r="20" spans="1:15" s="14" customFormat="1" x14ac:dyDescent="0.25">
      <c r="A20" s="9">
        <v>19</v>
      </c>
      <c r="B20" s="13" t="s">
        <v>26</v>
      </c>
      <c r="C20" s="13"/>
      <c r="D20" s="10">
        <v>47</v>
      </c>
      <c r="E20" s="10">
        <f t="shared" si="1"/>
        <v>37</v>
      </c>
      <c r="F20" s="1">
        <f t="shared" si="2"/>
        <v>21</v>
      </c>
      <c r="G20" s="10">
        <f>ROUNDDOWN((H20/0.35),0)</f>
        <v>108</v>
      </c>
      <c r="H20" s="22">
        <f>(D20*0.35)+6+10+1.5+4</f>
        <v>37.950000000000003</v>
      </c>
      <c r="I20" s="1">
        <f t="shared" si="4"/>
        <v>-3</v>
      </c>
      <c r="J20" s="21" t="s">
        <v>46</v>
      </c>
      <c r="K20" s="10">
        <v>300</v>
      </c>
      <c r="L20" s="10"/>
      <c r="M20" s="11">
        <f t="shared" si="0"/>
        <v>0</v>
      </c>
      <c r="N20" s="11">
        <f t="shared" si="3"/>
        <v>300</v>
      </c>
      <c r="O20" s="10"/>
    </row>
    <row r="21" spans="1:15" x14ac:dyDescent="0.25">
      <c r="A21" s="9">
        <v>20</v>
      </c>
      <c r="B21" s="16" t="s">
        <v>27</v>
      </c>
      <c r="C21" s="39">
        <v>44906</v>
      </c>
      <c r="D21" s="1">
        <v>47</v>
      </c>
      <c r="E21" s="1">
        <f t="shared" si="1"/>
        <v>37</v>
      </c>
      <c r="F21" s="1">
        <f t="shared" si="2"/>
        <v>21</v>
      </c>
      <c r="G21" s="1">
        <f>ROUNDDOWN(H21/0.35,0)</f>
        <v>56</v>
      </c>
      <c r="H21" s="1">
        <f>17+1.05+1.75</f>
        <v>19.8</v>
      </c>
      <c r="I21" s="4">
        <f t="shared" si="4"/>
        <v>49</v>
      </c>
      <c r="J21" s="2" t="s">
        <v>46</v>
      </c>
      <c r="K21" s="1"/>
      <c r="L21" s="1"/>
      <c r="M21" s="3">
        <f t="shared" si="0"/>
        <v>0</v>
      </c>
      <c r="N21" s="3">
        <f t="shared" si="3"/>
        <v>0</v>
      </c>
      <c r="O21" s="1"/>
    </row>
    <row r="22" spans="1:15" x14ac:dyDescent="0.25">
      <c r="A22" s="9">
        <v>21</v>
      </c>
      <c r="B22" s="31" t="s">
        <v>28</v>
      </c>
      <c r="C22" s="31"/>
      <c r="D22" s="1">
        <v>47</v>
      </c>
      <c r="E22" s="1">
        <f t="shared" si="1"/>
        <v>37</v>
      </c>
      <c r="F22" s="1">
        <f t="shared" si="2"/>
        <v>21</v>
      </c>
      <c r="G22" s="1">
        <f>ROUNDDOWN(H22/0.35,0)</f>
        <v>40</v>
      </c>
      <c r="H22" s="1">
        <f>13.3+1</f>
        <v>14.3</v>
      </c>
      <c r="I22" s="1">
        <f t="shared" si="4"/>
        <v>65</v>
      </c>
      <c r="J22" s="2" t="s">
        <v>46</v>
      </c>
      <c r="K22" s="1"/>
      <c r="L22" s="1"/>
      <c r="M22" s="3">
        <f t="shared" si="0"/>
        <v>0</v>
      </c>
      <c r="N22" s="3">
        <f t="shared" si="3"/>
        <v>0</v>
      </c>
      <c r="O22" s="1"/>
    </row>
    <row r="23" spans="1:15" x14ac:dyDescent="0.25">
      <c r="A23" s="9">
        <v>22</v>
      </c>
      <c r="B23" s="15" t="s">
        <v>29</v>
      </c>
      <c r="C23" s="37">
        <v>44624</v>
      </c>
      <c r="D23" s="1">
        <v>47</v>
      </c>
      <c r="E23" s="1">
        <f t="shared" si="1"/>
        <v>37</v>
      </c>
      <c r="F23" s="1">
        <f t="shared" si="2"/>
        <v>21</v>
      </c>
      <c r="G23" s="1">
        <f>ROUNDDOWN(H23/0.35,0)</f>
        <v>56</v>
      </c>
      <c r="H23" s="1">
        <f>17+1.05+1.75</f>
        <v>19.8</v>
      </c>
      <c r="I23" s="4">
        <f t="shared" si="4"/>
        <v>49</v>
      </c>
      <c r="J23" s="2" t="s">
        <v>46</v>
      </c>
      <c r="K23" s="1"/>
      <c r="L23" s="1"/>
      <c r="M23" s="3">
        <f t="shared" si="0"/>
        <v>0</v>
      </c>
      <c r="N23" s="3">
        <f t="shared" si="3"/>
        <v>0</v>
      </c>
      <c r="O23" s="1"/>
    </row>
    <row r="24" spans="1:15" s="14" customFormat="1" x14ac:dyDescent="0.25">
      <c r="A24" s="20">
        <v>23</v>
      </c>
      <c r="B24" s="12" t="s">
        <v>30</v>
      </c>
      <c r="C24" s="12"/>
      <c r="D24" s="10">
        <v>47</v>
      </c>
      <c r="E24" s="10">
        <f t="shared" si="1"/>
        <v>37</v>
      </c>
      <c r="F24" s="1">
        <f t="shared" si="2"/>
        <v>21</v>
      </c>
      <c r="G24" s="10">
        <f>ROUNDDOWN((H24/0.35),0)</f>
        <v>132</v>
      </c>
      <c r="H24" s="10">
        <f>(D24*0.35)+10+10+10</f>
        <v>46.45</v>
      </c>
      <c r="I24" s="1">
        <f>(D24-G24)+E24+F24</f>
        <v>-27</v>
      </c>
      <c r="J24" s="21" t="s">
        <v>46</v>
      </c>
      <c r="K24" s="10"/>
      <c r="L24" s="10"/>
      <c r="M24" s="11">
        <f t="shared" si="0"/>
        <v>0</v>
      </c>
      <c r="N24" s="11">
        <f t="shared" si="3"/>
        <v>0</v>
      </c>
      <c r="O24" s="10"/>
    </row>
    <row r="25" spans="1:15" s="14" customFormat="1" x14ac:dyDescent="0.25">
      <c r="A25" s="20">
        <v>24</v>
      </c>
      <c r="B25" s="12" t="s">
        <v>31</v>
      </c>
      <c r="C25" s="12"/>
      <c r="D25" s="10">
        <v>47</v>
      </c>
      <c r="E25" s="10">
        <f t="shared" si="1"/>
        <v>37</v>
      </c>
      <c r="F25" s="1">
        <f t="shared" si="2"/>
        <v>21</v>
      </c>
      <c r="G25" s="10">
        <f>ROUNDDOWN((H25/0.35),0)</f>
        <v>68</v>
      </c>
      <c r="H25" s="10">
        <f>22.8+1</f>
        <v>23.8</v>
      </c>
      <c r="I25" s="4">
        <f t="shared" si="4"/>
        <v>37</v>
      </c>
      <c r="J25" s="21" t="s">
        <v>46</v>
      </c>
      <c r="K25" s="10"/>
      <c r="L25" s="10"/>
      <c r="M25" s="11">
        <f t="shared" si="0"/>
        <v>0</v>
      </c>
      <c r="N25" s="11">
        <f t="shared" si="3"/>
        <v>0</v>
      </c>
      <c r="O25" s="10"/>
    </row>
    <row r="26" spans="1:15" x14ac:dyDescent="0.25">
      <c r="A26" s="9">
        <v>25</v>
      </c>
      <c r="B26" s="15" t="s">
        <v>32</v>
      </c>
      <c r="C26" s="15"/>
      <c r="D26" s="1">
        <v>47</v>
      </c>
      <c r="E26" s="1">
        <f t="shared" si="1"/>
        <v>37</v>
      </c>
      <c r="F26" s="1">
        <f t="shared" si="2"/>
        <v>21</v>
      </c>
      <c r="G26" s="1">
        <v>42</v>
      </c>
      <c r="H26" s="1">
        <f>(0.35*G26)</f>
        <v>14.7</v>
      </c>
      <c r="I26" s="1">
        <f t="shared" si="4"/>
        <v>63</v>
      </c>
      <c r="J26" s="2" t="s">
        <v>46</v>
      </c>
      <c r="K26" s="1"/>
      <c r="L26" s="1"/>
      <c r="M26" s="3">
        <f t="shared" si="0"/>
        <v>0</v>
      </c>
      <c r="N26" s="3">
        <f t="shared" si="3"/>
        <v>0</v>
      </c>
      <c r="O26" s="1"/>
    </row>
    <row r="27" spans="1:15" x14ac:dyDescent="0.25">
      <c r="A27" s="9">
        <v>26</v>
      </c>
      <c r="B27" s="15" t="s">
        <v>33</v>
      </c>
      <c r="C27" s="15"/>
      <c r="D27" s="1">
        <v>47</v>
      </c>
      <c r="E27" s="1">
        <f t="shared" si="1"/>
        <v>37</v>
      </c>
      <c r="F27" s="1">
        <f t="shared" si="2"/>
        <v>21</v>
      </c>
      <c r="G27" s="1">
        <f>ROUNDDOWN((H27/0.35),0)</f>
        <v>54</v>
      </c>
      <c r="H27" s="1">
        <f>11.2+1+1+0.7+0.35+0.35+3.9+0.7</f>
        <v>19.199999999999996</v>
      </c>
      <c r="I27" s="4">
        <f t="shared" si="4"/>
        <v>51</v>
      </c>
      <c r="J27" s="2" t="s">
        <v>46</v>
      </c>
      <c r="K27" s="1"/>
      <c r="L27" s="1"/>
      <c r="M27" s="3">
        <f t="shared" si="0"/>
        <v>0</v>
      </c>
      <c r="N27" s="3">
        <f t="shared" si="3"/>
        <v>0</v>
      </c>
      <c r="O27" s="1"/>
    </row>
    <row r="28" spans="1:15" x14ac:dyDescent="0.25">
      <c r="A28" s="9">
        <v>27</v>
      </c>
      <c r="B28" s="16" t="s">
        <v>34</v>
      </c>
      <c r="C28" s="16"/>
      <c r="D28" s="4">
        <v>47</v>
      </c>
      <c r="E28" s="1">
        <f t="shared" si="1"/>
        <v>37</v>
      </c>
      <c r="F28" s="1">
        <f t="shared" si="2"/>
        <v>21</v>
      </c>
      <c r="G28" s="4">
        <v>51</v>
      </c>
      <c r="H28" s="4">
        <f>17.4+1.5</f>
        <v>18.899999999999999</v>
      </c>
      <c r="I28" s="1">
        <f t="shared" si="4"/>
        <v>54</v>
      </c>
      <c r="J28" s="5" t="s">
        <v>47</v>
      </c>
      <c r="K28" s="4">
        <v>200</v>
      </c>
      <c r="L28" s="4">
        <v>30</v>
      </c>
      <c r="M28" s="4">
        <f t="shared" si="0"/>
        <v>1</v>
      </c>
      <c r="N28" s="4">
        <f t="shared" si="3"/>
        <v>170</v>
      </c>
      <c r="O28" s="4">
        <v>20</v>
      </c>
    </row>
    <row r="29" spans="1:15" x14ac:dyDescent="0.25">
      <c r="A29" s="9">
        <v>28</v>
      </c>
      <c r="B29" s="16" t="s">
        <v>35</v>
      </c>
      <c r="C29" s="16"/>
      <c r="D29" s="4">
        <v>47</v>
      </c>
      <c r="E29" s="1">
        <f t="shared" si="1"/>
        <v>37</v>
      </c>
      <c r="F29" s="1">
        <f t="shared" si="2"/>
        <v>21</v>
      </c>
      <c r="G29" s="4">
        <f>ROUNDDOWN(H29/0.35,0)</f>
        <v>81</v>
      </c>
      <c r="H29" s="4">
        <v>28.6</v>
      </c>
      <c r="I29" s="4">
        <f t="shared" si="4"/>
        <v>24</v>
      </c>
      <c r="J29" s="5" t="s">
        <v>47</v>
      </c>
      <c r="K29" s="4">
        <v>20</v>
      </c>
      <c r="L29" s="4"/>
      <c r="M29" s="4">
        <f t="shared" si="0"/>
        <v>0</v>
      </c>
      <c r="N29" s="4">
        <f t="shared" si="3"/>
        <v>20</v>
      </c>
      <c r="O29" s="4"/>
    </row>
    <row r="30" spans="1:15" x14ac:dyDescent="0.25">
      <c r="A30" s="9">
        <v>29</v>
      </c>
      <c r="B30" s="15" t="s">
        <v>36</v>
      </c>
      <c r="C30" s="37">
        <v>44775</v>
      </c>
      <c r="D30" s="1">
        <v>47</v>
      </c>
      <c r="E30" s="1">
        <f t="shared" si="1"/>
        <v>37</v>
      </c>
      <c r="F30" s="1">
        <f t="shared" si="2"/>
        <v>21</v>
      </c>
      <c r="G30" s="1">
        <f>ROUNDDOWN(H30/0.35,0)</f>
        <v>56</v>
      </c>
      <c r="H30" s="1">
        <f>17+1.05+1.75</f>
        <v>19.8</v>
      </c>
      <c r="I30" s="1">
        <f t="shared" si="4"/>
        <v>49</v>
      </c>
      <c r="J30" s="2" t="s">
        <v>46</v>
      </c>
      <c r="K30" s="1"/>
      <c r="L30" s="1"/>
      <c r="M30" s="3">
        <f t="shared" si="0"/>
        <v>0</v>
      </c>
      <c r="N30" s="3">
        <f t="shared" si="3"/>
        <v>0</v>
      </c>
      <c r="O30" s="1"/>
    </row>
    <row r="31" spans="1:15" x14ac:dyDescent="0.25">
      <c r="A31" s="9">
        <v>30</v>
      </c>
      <c r="B31" s="15" t="s">
        <v>37</v>
      </c>
      <c r="C31" s="15"/>
      <c r="D31" s="1">
        <v>47</v>
      </c>
      <c r="E31" s="1">
        <f t="shared" si="1"/>
        <v>37</v>
      </c>
      <c r="F31" s="1">
        <f t="shared" si="2"/>
        <v>21</v>
      </c>
      <c r="G31" s="1">
        <f>ROUNDDOWN(H31/0.35,0)</f>
        <v>67</v>
      </c>
      <c r="H31" s="1">
        <f>17.15+1.5+5</f>
        <v>23.65</v>
      </c>
      <c r="I31" s="4">
        <f t="shared" si="4"/>
        <v>38</v>
      </c>
      <c r="J31" s="2" t="s">
        <v>46</v>
      </c>
      <c r="K31" s="1"/>
      <c r="L31" s="1"/>
      <c r="M31" s="3">
        <f t="shared" si="0"/>
        <v>0</v>
      </c>
      <c r="N31" s="3">
        <f t="shared" si="3"/>
        <v>0</v>
      </c>
      <c r="O31" s="1"/>
    </row>
    <row r="32" spans="1:15" s="14" customFormat="1" x14ac:dyDescent="0.25">
      <c r="A32" s="20">
        <v>31</v>
      </c>
      <c r="B32" s="12" t="s">
        <v>38</v>
      </c>
      <c r="C32" s="12"/>
      <c r="D32" s="10">
        <v>47</v>
      </c>
      <c r="E32" s="10">
        <f t="shared" si="1"/>
        <v>37</v>
      </c>
      <c r="F32" s="1">
        <f t="shared" si="2"/>
        <v>21</v>
      </c>
      <c r="G32" s="10">
        <f>ROUNDDOWN(H32/0.35,0)</f>
        <v>49</v>
      </c>
      <c r="H32" s="10">
        <v>17.25</v>
      </c>
      <c r="I32" s="1">
        <f t="shared" si="4"/>
        <v>56</v>
      </c>
      <c r="J32" s="21" t="s">
        <v>46</v>
      </c>
      <c r="K32" s="10"/>
      <c r="L32" s="10"/>
      <c r="M32" s="11">
        <f t="shared" si="0"/>
        <v>0</v>
      </c>
      <c r="N32" s="11">
        <f t="shared" si="3"/>
        <v>0</v>
      </c>
      <c r="O32" s="10"/>
    </row>
    <row r="33" spans="1:15" x14ac:dyDescent="0.25">
      <c r="A33" s="9">
        <v>32</v>
      </c>
      <c r="B33" s="16" t="s">
        <v>39</v>
      </c>
      <c r="C33" s="16"/>
      <c r="D33" s="4">
        <v>47</v>
      </c>
      <c r="E33" s="1">
        <f t="shared" si="1"/>
        <v>37</v>
      </c>
      <c r="F33" s="1">
        <f t="shared" si="2"/>
        <v>21</v>
      </c>
      <c r="G33" s="4">
        <f>ROUNDDOWN(H33/0.35,0)</f>
        <v>37</v>
      </c>
      <c r="H33" s="4">
        <v>12.95</v>
      </c>
      <c r="I33" s="4">
        <f t="shared" si="4"/>
        <v>68</v>
      </c>
      <c r="J33" s="5" t="s">
        <v>47</v>
      </c>
      <c r="K33" s="4">
        <v>200</v>
      </c>
      <c r="L33" s="4">
        <v>30</v>
      </c>
      <c r="M33" s="4">
        <f t="shared" si="0"/>
        <v>1</v>
      </c>
      <c r="N33" s="4">
        <f t="shared" si="3"/>
        <v>170</v>
      </c>
      <c r="O33" s="4"/>
    </row>
    <row r="34" spans="1:15" x14ac:dyDescent="0.25">
      <c r="A34" s="9">
        <v>33</v>
      </c>
      <c r="B34" s="15" t="s">
        <v>40</v>
      </c>
      <c r="C34" s="15"/>
      <c r="D34" s="1">
        <v>47</v>
      </c>
      <c r="E34" s="1">
        <f t="shared" si="1"/>
        <v>37</v>
      </c>
      <c r="F34" s="1">
        <f t="shared" si="2"/>
        <v>21</v>
      </c>
      <c r="G34" s="1">
        <f>ROUNDDOWN((H34/0.35),0)</f>
        <v>54</v>
      </c>
      <c r="H34" s="1">
        <f>11.2+1+1+0.7+0.35+0.35+3.9+0.7</f>
        <v>19.199999999999996</v>
      </c>
      <c r="I34" s="1">
        <f t="shared" si="4"/>
        <v>51</v>
      </c>
      <c r="J34" s="2" t="s">
        <v>46</v>
      </c>
      <c r="K34" s="1"/>
      <c r="L34" s="1"/>
      <c r="M34" s="3">
        <f t="shared" si="0"/>
        <v>0</v>
      </c>
      <c r="N34" s="3">
        <f t="shared" si="3"/>
        <v>0</v>
      </c>
      <c r="O34" s="1"/>
    </row>
    <row r="35" spans="1:15" x14ac:dyDescent="0.25">
      <c r="A35" s="9">
        <v>34</v>
      </c>
      <c r="B35" s="15" t="s">
        <v>61</v>
      </c>
      <c r="C35" s="15"/>
      <c r="D35" s="1">
        <v>47</v>
      </c>
      <c r="E35" s="1">
        <f t="shared" si="1"/>
        <v>37</v>
      </c>
      <c r="F35" s="1">
        <f t="shared" si="2"/>
        <v>21</v>
      </c>
      <c r="G35" s="1">
        <f>ROUNDDOWN((H35/0.35),0)</f>
        <v>54</v>
      </c>
      <c r="H35" s="1">
        <f>11.2+1+1+0.7+0.35+0.35+3.9+0.7</f>
        <v>19.199999999999996</v>
      </c>
      <c r="I35" s="4">
        <f t="shared" si="4"/>
        <v>51</v>
      </c>
      <c r="J35" s="2" t="s">
        <v>46</v>
      </c>
      <c r="K35" s="1"/>
      <c r="L35" s="1"/>
      <c r="M35" s="3">
        <f t="shared" si="0"/>
        <v>0</v>
      </c>
      <c r="N35" s="3">
        <f t="shared" si="3"/>
        <v>0</v>
      </c>
      <c r="O35" s="1"/>
    </row>
    <row r="36" spans="1:15" x14ac:dyDescent="0.25">
      <c r="A36" s="9">
        <v>35</v>
      </c>
      <c r="B36" s="15" t="s">
        <v>41</v>
      </c>
      <c r="C36" s="15"/>
      <c r="D36" s="1">
        <v>47</v>
      </c>
      <c r="E36" s="1">
        <f t="shared" si="1"/>
        <v>37</v>
      </c>
      <c r="F36" s="1">
        <f t="shared" si="2"/>
        <v>21</v>
      </c>
      <c r="G36" s="1">
        <f>ROUNDDOWN(H36/0.35,0)</f>
        <v>59</v>
      </c>
      <c r="H36" s="1">
        <v>20.95</v>
      </c>
      <c r="I36" s="1">
        <f t="shared" si="4"/>
        <v>46</v>
      </c>
      <c r="J36" s="2" t="s">
        <v>46</v>
      </c>
      <c r="K36" s="1"/>
      <c r="L36" s="1"/>
      <c r="M36" s="3">
        <f t="shared" si="0"/>
        <v>0</v>
      </c>
      <c r="N36" s="3">
        <f t="shared" si="3"/>
        <v>0</v>
      </c>
      <c r="O36" s="1"/>
    </row>
    <row r="37" spans="1:15" x14ac:dyDescent="0.25">
      <c r="A37" s="9">
        <v>36</v>
      </c>
      <c r="B37" s="15" t="s">
        <v>42</v>
      </c>
      <c r="C37" s="15"/>
      <c r="D37" s="1">
        <v>47</v>
      </c>
      <c r="E37" s="1">
        <f t="shared" si="1"/>
        <v>37</v>
      </c>
      <c r="F37" s="1">
        <f t="shared" si="2"/>
        <v>21</v>
      </c>
      <c r="G37" s="1">
        <f>ROUNDDOWN(H37/0.35,0)</f>
        <v>60</v>
      </c>
      <c r="H37" s="1">
        <v>21.3</v>
      </c>
      <c r="I37" s="4">
        <f t="shared" si="4"/>
        <v>45</v>
      </c>
      <c r="J37" s="2" t="s">
        <v>46</v>
      </c>
      <c r="K37" s="1"/>
      <c r="L37" s="1"/>
      <c r="M37" s="3">
        <f t="shared" si="0"/>
        <v>0</v>
      </c>
      <c r="N37" s="3">
        <f t="shared" si="3"/>
        <v>0</v>
      </c>
      <c r="O37" s="1"/>
    </row>
    <row r="38" spans="1:15" x14ac:dyDescent="0.25">
      <c r="A38" s="9">
        <v>37</v>
      </c>
      <c r="B38" s="16" t="s">
        <v>43</v>
      </c>
      <c r="C38" s="16"/>
      <c r="D38" s="1">
        <v>47</v>
      </c>
      <c r="E38" s="1">
        <f t="shared" si="1"/>
        <v>37</v>
      </c>
      <c r="F38" s="1">
        <f t="shared" si="2"/>
        <v>21</v>
      </c>
      <c r="G38" s="1">
        <f>ROUNDDOWN(H38/0.35,0)</f>
        <v>65</v>
      </c>
      <c r="H38" s="1">
        <v>22.95</v>
      </c>
      <c r="I38" s="1">
        <f t="shared" si="4"/>
        <v>40</v>
      </c>
      <c r="J38" s="2" t="s">
        <v>46</v>
      </c>
      <c r="K38" s="1"/>
      <c r="L38" s="1"/>
      <c r="M38" s="3">
        <f t="shared" si="0"/>
        <v>0</v>
      </c>
      <c r="N38" s="3">
        <f t="shared" si="3"/>
        <v>0</v>
      </c>
      <c r="O38" s="1"/>
    </row>
    <row r="39" spans="1:15" x14ac:dyDescent="0.25">
      <c r="A39" s="9">
        <v>38</v>
      </c>
      <c r="B39" s="16" t="s">
        <v>44</v>
      </c>
      <c r="C39" s="16"/>
      <c r="D39" s="1">
        <v>47</v>
      </c>
      <c r="E39" s="1">
        <f t="shared" si="1"/>
        <v>37</v>
      </c>
      <c r="F39" s="1">
        <f t="shared" si="2"/>
        <v>21</v>
      </c>
      <c r="G39" s="1">
        <f>ROUNDDOWN(H39/0.35,0)</f>
        <v>43</v>
      </c>
      <c r="H39" s="1">
        <f>11.2+4</f>
        <v>15.2</v>
      </c>
      <c r="I39" s="4">
        <f t="shared" si="4"/>
        <v>62</v>
      </c>
      <c r="J39" s="2" t="s">
        <v>46</v>
      </c>
      <c r="K39" s="1"/>
      <c r="L39" s="1"/>
      <c r="M39" s="3">
        <f t="shared" si="0"/>
        <v>0</v>
      </c>
      <c r="N39" s="3">
        <f t="shared" si="3"/>
        <v>0</v>
      </c>
      <c r="O39" s="1"/>
    </row>
    <row r="40" spans="1:15" s="14" customFormat="1" x14ac:dyDescent="0.25">
      <c r="A40" s="20">
        <v>39</v>
      </c>
      <c r="B40" s="33" t="s">
        <v>45</v>
      </c>
      <c r="C40" s="33"/>
      <c r="D40" s="34">
        <v>47</v>
      </c>
      <c r="E40" s="34">
        <f t="shared" si="1"/>
        <v>37</v>
      </c>
      <c r="F40" s="1">
        <f t="shared" si="2"/>
        <v>21</v>
      </c>
      <c r="G40" s="34">
        <f>H40/0.5</f>
        <v>89</v>
      </c>
      <c r="H40" s="34">
        <f>34.5+5+5</f>
        <v>44.5</v>
      </c>
      <c r="I40" s="1">
        <f t="shared" si="4"/>
        <v>16</v>
      </c>
      <c r="J40" s="35" t="s">
        <v>46</v>
      </c>
      <c r="K40" s="34"/>
      <c r="L40" s="34"/>
      <c r="M40" s="36">
        <f t="shared" si="0"/>
        <v>0</v>
      </c>
      <c r="N40" s="36">
        <f t="shared" si="3"/>
        <v>0</v>
      </c>
      <c r="O40" s="34"/>
    </row>
    <row r="41" spans="1:15" s="14" customFormat="1" x14ac:dyDescent="0.25">
      <c r="A41" s="21">
        <v>40</v>
      </c>
      <c r="B41" s="12" t="s">
        <v>55</v>
      </c>
      <c r="C41" s="12"/>
      <c r="D41" s="10">
        <v>47</v>
      </c>
      <c r="E41" s="10">
        <v>37</v>
      </c>
      <c r="F41" s="1">
        <f t="shared" si="2"/>
        <v>21</v>
      </c>
      <c r="G41" s="34">
        <f>ROUNDDOWN(H40/0.35,0)</f>
        <v>127</v>
      </c>
      <c r="H41" s="10">
        <f>9.1+14</f>
        <v>23.1</v>
      </c>
      <c r="I41" s="4">
        <f>(D41-G41)+E41+F41</f>
        <v>-22</v>
      </c>
      <c r="J41" s="21"/>
      <c r="K41" s="10"/>
      <c r="L41" s="10"/>
      <c r="M41" s="11"/>
      <c r="N41" s="11"/>
      <c r="O41" s="10"/>
    </row>
    <row r="42" spans="1:15" s="14" customFormat="1" x14ac:dyDescent="0.25">
      <c r="A42" s="21">
        <v>41</v>
      </c>
      <c r="B42" s="12" t="s">
        <v>56</v>
      </c>
      <c r="C42" s="12"/>
      <c r="D42" s="10">
        <v>47</v>
      </c>
      <c r="E42" s="10">
        <v>37</v>
      </c>
      <c r="F42" s="1">
        <f t="shared" si="2"/>
        <v>21</v>
      </c>
      <c r="G42" s="34"/>
      <c r="H42" s="10"/>
      <c r="I42" s="4"/>
      <c r="J42" s="21"/>
      <c r="K42" s="10"/>
      <c r="L42" s="10"/>
      <c r="M42" s="11"/>
      <c r="N42" s="11"/>
      <c r="O42" s="10"/>
    </row>
    <row r="43" spans="1:15" s="14" customFormat="1" x14ac:dyDescent="0.25">
      <c r="A43" s="21">
        <v>42</v>
      </c>
      <c r="B43" s="12" t="s">
        <v>57</v>
      </c>
      <c r="C43" s="12"/>
      <c r="D43" s="10">
        <v>47</v>
      </c>
      <c r="E43" s="10">
        <v>37</v>
      </c>
      <c r="F43" s="1">
        <f t="shared" si="2"/>
        <v>21</v>
      </c>
      <c r="G43" s="34">
        <f>ROUNDDOWN(H43/0.35,0)</f>
        <v>14</v>
      </c>
      <c r="H43" s="10">
        <f>5</f>
        <v>5</v>
      </c>
      <c r="I43" s="4">
        <f>(D43-G43)+E43+F43</f>
        <v>91</v>
      </c>
      <c r="J43" s="21"/>
      <c r="K43" s="10"/>
      <c r="L43" s="10"/>
      <c r="M43" s="11"/>
      <c r="N43" s="11"/>
      <c r="O43" s="10"/>
    </row>
    <row r="44" spans="1:15" s="14" customFormat="1" x14ac:dyDescent="0.25">
      <c r="A44" s="21">
        <v>43</v>
      </c>
      <c r="B44" s="12" t="s">
        <v>58</v>
      </c>
      <c r="C44" s="12"/>
      <c r="D44" s="10">
        <v>47</v>
      </c>
      <c r="E44" s="10">
        <v>37</v>
      </c>
      <c r="F44" s="1">
        <f t="shared" si="2"/>
        <v>21</v>
      </c>
      <c r="G44" s="34">
        <f>ROUNDDOWN(H44/0.35,0)</f>
        <v>14</v>
      </c>
      <c r="H44" s="10">
        <f>5</f>
        <v>5</v>
      </c>
      <c r="I44" s="4">
        <f>(D44-G44)+E44+F44</f>
        <v>91</v>
      </c>
      <c r="J44" s="21"/>
      <c r="K44" s="10"/>
      <c r="L44" s="10"/>
      <c r="M44" s="11"/>
      <c r="N44" s="11"/>
      <c r="O44" s="10"/>
    </row>
    <row r="45" spans="1:15" s="14" customFormat="1" x14ac:dyDescent="0.25">
      <c r="A45" s="21"/>
      <c r="B45" s="12"/>
      <c r="C45" s="12"/>
      <c r="D45" s="10"/>
      <c r="E45" s="10"/>
      <c r="F45" s="10"/>
      <c r="G45" s="10"/>
      <c r="H45" s="10"/>
      <c r="I45" s="10"/>
      <c r="J45" s="21"/>
      <c r="K45" s="10"/>
      <c r="L45" s="10"/>
      <c r="M45" s="11"/>
      <c r="N45" s="11"/>
      <c r="O45" s="10"/>
    </row>
    <row r="46" spans="1:15" x14ac:dyDescent="0.25">
      <c r="B46" s="17"/>
      <c r="C46" s="17"/>
      <c r="E46" t="s">
        <v>52</v>
      </c>
      <c r="H46">
        <f>SUM(H2:H41)</f>
        <v>1028.77</v>
      </c>
      <c r="I46" s="7">
        <f>SUM(I2:I44)*0.35</f>
        <v>605.15</v>
      </c>
      <c r="K46">
        <f>SUM(K2:K40)</f>
        <v>1860</v>
      </c>
      <c r="L46">
        <f>SUM(L2:L40)</f>
        <v>570</v>
      </c>
      <c r="N46" s="8">
        <f>SUM(N2:N40)</f>
        <v>1290</v>
      </c>
      <c r="O46">
        <f>SUM(O2:O40)</f>
        <v>37.4</v>
      </c>
    </row>
    <row r="47" spans="1:15" x14ac:dyDescent="0.25">
      <c r="B47" s="17"/>
      <c r="C47" s="17"/>
      <c r="E47" t="s">
        <v>53</v>
      </c>
    </row>
    <row r="48" spans="1:15" x14ac:dyDescent="0.25">
      <c r="E48" t="s">
        <v>54</v>
      </c>
    </row>
    <row r="49" spans="5:5" x14ac:dyDescent="0.25">
      <c r="E49" t="s">
        <v>62</v>
      </c>
    </row>
  </sheetData>
  <autoFilter ref="A1:O4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T_User</dc:creator>
  <cp:lastModifiedBy>T_User</cp:lastModifiedBy>
  <dcterms:created xsi:type="dcterms:W3CDTF">2020-11-07T13:41:26Z</dcterms:created>
  <dcterms:modified xsi:type="dcterms:W3CDTF">2023-04-14T10:07:53Z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144158b6-1ed7-431e-92b8-361633631dac</vt:lpwstr>
  </property>
</Properties>
</file>