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immerm/Box Sync/Roman/Data_Challenges/official in-house analysis/"/>
    </mc:Choice>
  </mc:AlternateContent>
  <xr:revisionPtr revIDLastSave="0" documentId="13_ncr:1_{F5896485-653A-794E-8F0C-F32547078D9A}" xr6:coauthVersionLast="45" xr6:coauthVersionMax="45" xr10:uidLastSave="{00000000-0000-0000-0000-000000000000}"/>
  <bookViews>
    <workbookView xWindow="5300" yWindow="460" windowWidth="23060" windowHeight="12540" xr2:uid="{04D11AAC-B01A-F349-BFA6-A2C42B5B1406}"/>
  </bookViews>
  <sheets>
    <sheet name="reduced" sheetId="3" r:id="rId1"/>
    <sheet name="measured" sheetId="1" r:id="rId2"/>
    <sheet name="tru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G6" i="3"/>
  <c r="G5" i="3"/>
  <c r="G4" i="3"/>
  <c r="G3" i="3"/>
  <c r="D7" i="3"/>
  <c r="C7" i="3"/>
  <c r="C6" i="3"/>
  <c r="C5" i="3"/>
  <c r="C4" i="3"/>
  <c r="C3" i="3"/>
  <c r="E7" i="1"/>
  <c r="E6" i="1"/>
  <c r="E5" i="1"/>
  <c r="E4" i="1"/>
  <c r="E3" i="1"/>
  <c r="L7" i="1"/>
  <c r="F7" i="1"/>
  <c r="C7" i="1"/>
  <c r="F6" i="1"/>
  <c r="F5" i="1"/>
  <c r="F4" i="1"/>
  <c r="F3" i="1"/>
  <c r="M8" i="2"/>
  <c r="L8" i="2"/>
  <c r="J8" i="2"/>
  <c r="K8" i="2" s="1"/>
  <c r="M7" i="2"/>
  <c r="L7" i="2"/>
  <c r="J7" i="2"/>
  <c r="K7" i="2" s="1"/>
  <c r="M6" i="2"/>
  <c r="L6" i="2"/>
  <c r="J6" i="2"/>
  <c r="K6" i="2" s="1"/>
  <c r="M5" i="2"/>
  <c r="L5" i="2"/>
  <c r="J5" i="2"/>
  <c r="K5" i="2" s="1"/>
  <c r="M4" i="2"/>
  <c r="L4" i="2"/>
  <c r="J4" i="2"/>
  <c r="K4" i="2" s="1"/>
  <c r="M3" i="2"/>
  <c r="L3" i="2"/>
  <c r="J3" i="2"/>
  <c r="K3" i="2" s="1"/>
  <c r="C6" i="1" l="1"/>
  <c r="D6" i="3" s="1"/>
  <c r="C5" i="1"/>
  <c r="D5" i="3" s="1"/>
  <c r="C4" i="1"/>
  <c r="D4" i="3" s="1"/>
  <c r="C3" i="1"/>
  <c r="D3" i="3" s="1"/>
  <c r="L6" i="1" l="1"/>
  <c r="L3" i="1"/>
  <c r="L4" i="1"/>
  <c r="L5" i="1"/>
  <c r="K7" i="1"/>
  <c r="N7" i="1" s="1"/>
  <c r="K6" i="1"/>
  <c r="M6" i="1" s="1"/>
  <c r="N6" i="1" s="1"/>
  <c r="K5" i="1"/>
  <c r="M5" i="1" s="1"/>
  <c r="N5" i="1" s="1"/>
  <c r="K4" i="1"/>
  <c r="M4" i="1" s="1"/>
  <c r="K3" i="1"/>
  <c r="M3" i="1" s="1"/>
  <c r="P5" i="1" l="1"/>
  <c r="O5" i="1"/>
  <c r="P7" i="1"/>
  <c r="O7" i="1"/>
  <c r="O6" i="1"/>
  <c r="P6" i="1"/>
  <c r="N4" i="1"/>
  <c r="N3" i="1"/>
  <c r="Q6" i="1" l="1"/>
  <c r="E6" i="3"/>
  <c r="F7" i="3"/>
  <c r="R7" i="1"/>
  <c r="Q7" i="1"/>
  <c r="E7" i="3"/>
  <c r="F6" i="3"/>
  <c r="R6" i="1"/>
  <c r="E5" i="3"/>
  <c r="Q5" i="1"/>
  <c r="F5" i="3"/>
  <c r="R5" i="1"/>
  <c r="P4" i="1"/>
  <c r="O4" i="1"/>
  <c r="P3" i="1"/>
  <c r="O3" i="1"/>
  <c r="E3" i="3" l="1"/>
  <c r="Q3" i="1"/>
  <c r="F3" i="3"/>
  <c r="R3" i="1"/>
  <c r="Q4" i="1"/>
  <c r="E4" i="3"/>
  <c r="F4" i="3"/>
  <c r="R4" i="1"/>
</calcChain>
</file>

<file path=xl/sharedStrings.xml><?xml version="1.0" encoding="utf-8"?>
<sst xmlns="http://schemas.openxmlformats.org/spreadsheetml/2006/main" count="40" uniqueCount="36">
  <si>
    <t>epoch</t>
  </si>
  <si>
    <t>x offset (mas)</t>
  </si>
  <si>
    <t>y offset (mas)</t>
  </si>
  <si>
    <t>PA</t>
  </si>
  <si>
    <t>r (mas)</t>
  </si>
  <si>
    <t>PA (deg)</t>
  </si>
  <si>
    <t>flux ratio</t>
  </si>
  <si>
    <t>SNR</t>
  </si>
  <si>
    <t>photocent bias</t>
  </si>
  <si>
    <t>corrected r (mas)</t>
  </si>
  <si>
    <t>corrected RA offset (mas)</t>
  </si>
  <si>
    <t>corrected Dec offset (mas)</t>
  </si>
  <si>
    <t>flux ratio uncertainty</t>
  </si>
  <si>
    <t>planet c true values</t>
  </si>
  <si>
    <t>date (JD)</t>
  </si>
  <si>
    <t>delta T (years)</t>
  </si>
  <si>
    <t>delta x (mas)</t>
  </si>
  <si>
    <t>delta y (mas)</t>
  </si>
  <si>
    <t>phase</t>
  </si>
  <si>
    <t>r (AU)</t>
  </si>
  <si>
    <t>fluxratio_575</t>
  </si>
  <si>
    <t>norm intens</t>
  </si>
  <si>
    <t>sep (mas)</t>
  </si>
  <si>
    <t>sep (pixels)</t>
  </si>
  <si>
    <t>cartesian angle</t>
  </si>
  <si>
    <t>planet c, in-house analysis</t>
  </si>
  <si>
    <t>uncertainty (mas per axis)</t>
  </si>
  <si>
    <t>undetectable ------------------------------------------------------------------------------------------------------</t>
  </si>
  <si>
    <t>RA error (mas)</t>
  </si>
  <si>
    <t>Dec error (mas)</t>
  </si>
  <si>
    <t>flux ratio error vs truth (%)</t>
  </si>
  <si>
    <t>flux ratio error vs truth</t>
  </si>
  <si>
    <t>planet c, in-house analysis, reduced</t>
  </si>
  <si>
    <t>RA offset (mas)</t>
  </si>
  <si>
    <t>Dec offset (mas)</t>
  </si>
  <si>
    <t>astrometric uncertainty (mas per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</si>
</sst>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quotePrefix="1" applyNumberFormat="1" applyAlignment="1">
      <alignment horizontal="center" wrapText="1"/>
    </xf>
    <xf numFmtId="10" fontId="0" fillId="0" borderId="0" xfId="0" applyNumberFormat="1"/>
    <xf numFmtId="10" fontId="0" fillId="0" borderId="0" xfId="0" applyNumberFormat="1" applyAlignment="1">
      <alignment horizontal="center" wrapText="1"/>
    </xf>
    <xf numFmtId="165" fontId="2" fillId="0" borderId="0" xfId="1" applyNumberFormat="1" applyFont="1"/>
    <xf numFmtId="164" fontId="2" fillId="0" borderId="0" xfId="0" applyNumberFormat="1" applyFont="1"/>
    <xf numFmtId="1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E883-2879-6D49-8E28-7FF80C5A3B46}">
  <dimension ref="A1:G7"/>
  <sheetViews>
    <sheetView tabSelected="1" zoomScale="170" zoomScaleNormal="170" workbookViewId="0"/>
  </sheetViews>
  <sheetFormatPr baseColWidth="10" defaultRowHeight="16" x14ac:dyDescent="0.2"/>
  <cols>
    <col min="1" max="1" width="6.1640625" customWidth="1"/>
    <col min="2" max="2" width="10.83203125" style="1"/>
    <col min="3" max="3" width="13.1640625" customWidth="1"/>
    <col min="4" max="4" width="13" customWidth="1"/>
    <col min="5" max="5" width="12" style="2" customWidth="1"/>
    <col min="6" max="6" width="10.83203125" style="2"/>
    <col min="7" max="7" width="13.6640625" customWidth="1"/>
  </cols>
  <sheetData>
    <row r="1" spans="1:7" x14ac:dyDescent="0.2">
      <c r="A1" t="s">
        <v>32</v>
      </c>
    </row>
    <row r="2" spans="1:7" s="6" customFormat="1" ht="51" x14ac:dyDescent="0.2">
      <c r="A2" s="6" t="s">
        <v>0</v>
      </c>
      <c r="B2" s="5" t="s">
        <v>14</v>
      </c>
      <c r="C2" s="6" t="s">
        <v>6</v>
      </c>
      <c r="D2" s="6" t="s">
        <v>12</v>
      </c>
      <c r="E2" s="7" t="s">
        <v>33</v>
      </c>
      <c r="F2" s="7" t="s">
        <v>34</v>
      </c>
      <c r="G2" s="6" t="s">
        <v>35</v>
      </c>
    </row>
    <row r="3" spans="1:7" x14ac:dyDescent="0.2">
      <c r="A3">
        <v>1</v>
      </c>
      <c r="B3" s="1">
        <v>2461345.5</v>
      </c>
      <c r="C3" s="4">
        <f>measured!B3</f>
        <v>4.8220000000000001E-9</v>
      </c>
      <c r="D3" s="4">
        <f>measured!C3</f>
        <v>7.6621773008573767E-10</v>
      </c>
      <c r="E3" s="2">
        <f>measured!O3</f>
        <v>129.39894929768937</v>
      </c>
      <c r="F3" s="2">
        <f>measured!P3</f>
        <v>108.99372972926345</v>
      </c>
      <c r="G3">
        <f>measured!I3</f>
        <v>5.7</v>
      </c>
    </row>
    <row r="4" spans="1:7" x14ac:dyDescent="0.2">
      <c r="A4">
        <v>2</v>
      </c>
      <c r="B4" s="1">
        <v>2461400.29</v>
      </c>
      <c r="C4" s="4">
        <f>measured!B4</f>
        <v>4.1709999999999998E-9</v>
      </c>
      <c r="D4" s="4">
        <f>measured!C4</f>
        <v>6.8589357775095115E-10</v>
      </c>
      <c r="E4" s="2">
        <f>measured!O4</f>
        <v>143.11938498375255</v>
      </c>
      <c r="F4" s="2">
        <f>measured!P4</f>
        <v>78.46890609302946</v>
      </c>
      <c r="G4">
        <f>measured!I4</f>
        <v>6.8</v>
      </c>
    </row>
    <row r="5" spans="1:7" x14ac:dyDescent="0.2">
      <c r="A5">
        <v>3</v>
      </c>
      <c r="B5" s="1">
        <v>2461710.75</v>
      </c>
      <c r="C5" s="4">
        <f>measured!B5</f>
        <v>3.3930000000000002E-9</v>
      </c>
      <c r="D5" s="4">
        <f>measured!C5</f>
        <v>5.2156811055781653E-10</v>
      </c>
      <c r="E5" s="2">
        <f>measured!O5</f>
        <v>227.90000000000006</v>
      </c>
      <c r="F5" s="2">
        <f>measured!P5</f>
        <v>-82.799999999999883</v>
      </c>
      <c r="G5">
        <f>measured!I5</f>
        <v>5.5</v>
      </c>
    </row>
    <row r="6" spans="1:7" x14ac:dyDescent="0.2">
      <c r="A6">
        <v>4</v>
      </c>
      <c r="B6" s="1">
        <v>2462076</v>
      </c>
      <c r="C6" s="4">
        <f>measured!B6</f>
        <v>1.724E-9</v>
      </c>
      <c r="D6" s="4">
        <f>measured!C6</f>
        <v>4.3537574670200292E-10</v>
      </c>
      <c r="E6" s="2">
        <f>measured!O6</f>
        <v>209.29825799999998</v>
      </c>
      <c r="F6" s="2">
        <f>measured!P6</f>
        <v>-245.43609000000004</v>
      </c>
      <c r="G6">
        <f>measured!I6</f>
        <v>8.9</v>
      </c>
    </row>
    <row r="7" spans="1:7" x14ac:dyDescent="0.2">
      <c r="A7">
        <v>5</v>
      </c>
      <c r="B7" s="1">
        <v>2462441.25</v>
      </c>
      <c r="C7" s="4">
        <f>measured!B7</f>
        <v>3.7610000000000002E-10</v>
      </c>
      <c r="D7" s="4">
        <f>measured!C7</f>
        <v>2.6594286040426057E-10</v>
      </c>
      <c r="E7" s="2">
        <f>measured!O7</f>
        <v>84.321600000000018</v>
      </c>
      <c r="F7" s="2">
        <f>measured!P7</f>
        <v>-252.96479999999997</v>
      </c>
      <c r="G7">
        <f>measured!I7</f>
        <v>20.8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319C-4CBE-A147-A500-B749433FC9BC}">
  <dimension ref="A1:R8"/>
  <sheetViews>
    <sheetView zoomScale="170" zoomScaleNormal="170" workbookViewId="0"/>
  </sheetViews>
  <sheetFormatPr baseColWidth="10" defaultRowHeight="16" x14ac:dyDescent="0.2"/>
  <cols>
    <col min="1" max="1" width="7.33203125" customWidth="1"/>
    <col min="2" max="2" width="9" customWidth="1"/>
    <col min="3" max="3" width="10.5" customWidth="1"/>
    <col min="4" max="4" width="6" style="2" customWidth="1"/>
    <col min="5" max="5" width="10.1640625" customWidth="1"/>
    <col min="6" max="6" width="10.1640625" style="9" customWidth="1"/>
    <col min="7" max="7" width="7.6640625" style="2" customWidth="1"/>
    <col min="8" max="8" width="8.5" style="2" customWidth="1"/>
    <col min="9" max="9" width="12.33203125" style="2" customWidth="1"/>
    <col min="11" max="11" width="7.83203125" style="2" customWidth="1"/>
    <col min="12" max="12" width="8.5" style="1" customWidth="1"/>
    <col min="13" max="13" width="9.5" style="1" customWidth="1"/>
    <col min="14" max="14" width="8.5" style="2" customWidth="1"/>
    <col min="15" max="15" width="11.6640625" style="2" customWidth="1"/>
    <col min="16" max="16" width="13" style="2" customWidth="1"/>
    <col min="17" max="18" width="10" style="2" customWidth="1"/>
  </cols>
  <sheetData>
    <row r="1" spans="1:18" x14ac:dyDescent="0.2">
      <c r="A1" t="s">
        <v>25</v>
      </c>
    </row>
    <row r="2" spans="1:18" s="3" customFormat="1" ht="51" x14ac:dyDescent="0.2">
      <c r="A2" s="6" t="s">
        <v>0</v>
      </c>
      <c r="B2" s="6" t="s">
        <v>6</v>
      </c>
      <c r="C2" s="6" t="s">
        <v>12</v>
      </c>
      <c r="D2" s="7" t="s">
        <v>7</v>
      </c>
      <c r="E2" s="10" t="s">
        <v>31</v>
      </c>
      <c r="F2" s="10" t="s">
        <v>30</v>
      </c>
      <c r="G2" s="7" t="s">
        <v>1</v>
      </c>
      <c r="H2" s="7" t="s">
        <v>2</v>
      </c>
      <c r="I2" s="8" t="s">
        <v>26</v>
      </c>
      <c r="K2" s="7" t="s">
        <v>4</v>
      </c>
      <c r="L2" s="5" t="s">
        <v>5</v>
      </c>
      <c r="M2" s="5" t="s">
        <v>8</v>
      </c>
      <c r="N2" s="7" t="s">
        <v>9</v>
      </c>
      <c r="O2" s="7" t="s">
        <v>10</v>
      </c>
      <c r="P2" s="7" t="s">
        <v>11</v>
      </c>
      <c r="Q2" s="7" t="s">
        <v>28</v>
      </c>
      <c r="R2" s="7" t="s">
        <v>29</v>
      </c>
    </row>
    <row r="3" spans="1:18" x14ac:dyDescent="0.2">
      <c r="A3">
        <v>1</v>
      </c>
      <c r="B3" s="4">
        <v>4.8220000000000001E-9</v>
      </c>
      <c r="C3" s="4">
        <f>B3/D3*SQRT(2)</f>
        <v>7.6621773008573767E-10</v>
      </c>
      <c r="D3" s="2">
        <v>8.9</v>
      </c>
      <c r="E3" s="13">
        <f>B3-truth!G3</f>
        <v>2.8200000000000047E-10</v>
      </c>
      <c r="F3" s="11">
        <f>(B3 - truth!G3) / truth!G3</f>
        <v>6.2114537444934032E-2</v>
      </c>
      <c r="G3" s="2">
        <v>-130.49771200000001</v>
      </c>
      <c r="H3" s="2">
        <v>109.91922599999999</v>
      </c>
      <c r="I3" s="2">
        <v>5.7</v>
      </c>
      <c r="K3" s="2">
        <f>SQRT(G3^2+H3^2)</f>
        <v>170.62206504926033</v>
      </c>
      <c r="L3" s="1">
        <f>MOD(ATAN2(G3,H3)*180/PI() - 90, 360)</f>
        <v>49.892307236128033</v>
      </c>
      <c r="M3" s="1">
        <f>MAX(50.917 - 0.29 * K3, 0)</f>
        <v>1.4366011357145112</v>
      </c>
      <c r="N3" s="2">
        <f>K3-M3</f>
        <v>169.18546391354582</v>
      </c>
      <c r="O3" s="2">
        <f>-N3*COS((L3 +90) * PI() / 180)</f>
        <v>129.39894929768937</v>
      </c>
      <c r="P3" s="2">
        <f>N3*SIN((L3 +90) * PI() / 180)</f>
        <v>108.99372972926345</v>
      </c>
      <c r="Q3" s="12">
        <f>O3-(-truth!C3)</f>
        <v>3.7989492976893757</v>
      </c>
      <c r="R3" s="12">
        <f>P3-truth!D3</f>
        <v>3.593729729263444</v>
      </c>
    </row>
    <row r="4" spans="1:18" x14ac:dyDescent="0.2">
      <c r="A4">
        <v>2</v>
      </c>
      <c r="B4" s="4">
        <v>4.1709999999999998E-9</v>
      </c>
      <c r="C4" s="4">
        <f t="shared" ref="C4:C7" si="0">B4/D4*SQRT(2)</f>
        <v>6.8589357775095115E-10</v>
      </c>
      <c r="D4" s="2">
        <v>8.6</v>
      </c>
      <c r="E4" s="13">
        <f>B4-truth!G4</f>
        <v>-3.4900000000000035E-10</v>
      </c>
      <c r="F4" s="11">
        <f>(B4 - truth!G4) / truth!G4</f>
        <v>-7.7212389380531044E-2</v>
      </c>
      <c r="G4" s="2">
        <v>-145.55514400000001</v>
      </c>
      <c r="H4" s="2">
        <v>79.804373999999996</v>
      </c>
      <c r="I4" s="2">
        <v>6.8</v>
      </c>
      <c r="K4" s="2">
        <f>SQRT(G4^2+H4^2)</f>
        <v>165.9971025481849</v>
      </c>
      <c r="L4" s="1">
        <f>MOD(ATAN2(G4,H4)*180/PI() - 90, 360)</f>
        <v>61.265104126486477</v>
      </c>
      <c r="M4" s="1">
        <f>MAX(50.917 - 0.29 * K4, 0)</f>
        <v>2.7778402610263839</v>
      </c>
      <c r="N4" s="2">
        <f t="shared" ref="N4:N7" si="1">K4-M4</f>
        <v>163.21926228715853</v>
      </c>
      <c r="O4" s="2">
        <f>-N4*COS((L4 +90) * PI() / 180)</f>
        <v>143.11938498375255</v>
      </c>
      <c r="P4" s="2">
        <f>N4*SIN((L4 +90) * PI() / 180)</f>
        <v>78.46890609302946</v>
      </c>
      <c r="Q4" s="12">
        <f>O4-(-truth!C4)</f>
        <v>-3.480615016247441</v>
      </c>
      <c r="R4" s="12">
        <f>P4-truth!D4</f>
        <v>-0.33109390697053698</v>
      </c>
    </row>
    <row r="5" spans="1:18" x14ac:dyDescent="0.2">
      <c r="A5">
        <v>3</v>
      </c>
      <c r="B5" s="4">
        <v>3.3930000000000002E-9</v>
      </c>
      <c r="C5" s="4">
        <f t="shared" si="0"/>
        <v>5.2156811055781653E-10</v>
      </c>
      <c r="D5" s="2">
        <v>9.1999999999999993</v>
      </c>
      <c r="E5" s="13">
        <f>B5-truth!G5</f>
        <v>-2.1699999999999997E-10</v>
      </c>
      <c r="F5" s="11">
        <f>(B5 - truth!G5) / truth!G5</f>
        <v>-6.0110803324099717E-2</v>
      </c>
      <c r="G5" s="2">
        <v>-227.9</v>
      </c>
      <c r="H5" s="2">
        <v>-82.8</v>
      </c>
      <c r="I5" s="2">
        <v>5.5</v>
      </c>
      <c r="K5" s="2">
        <f>SQRT(G5^2+H5^2)</f>
        <v>242.47525646960352</v>
      </c>
      <c r="L5" s="1">
        <f>MOD(ATAN2(G5,H5)*180/PI() - 90, 360)</f>
        <v>109.96695606124092</v>
      </c>
      <c r="M5" s="1">
        <f>MAX(50.917 - 0.29 * K5, 0)</f>
        <v>0</v>
      </c>
      <c r="N5" s="2">
        <f t="shared" si="1"/>
        <v>242.47525646960352</v>
      </c>
      <c r="O5" s="2">
        <f>-N5*COS((L5 +90) * PI() / 180)</f>
        <v>227.90000000000006</v>
      </c>
      <c r="P5" s="2">
        <f>N5*SIN((L5 +90) * PI() / 180)</f>
        <v>-82.799999999999883</v>
      </c>
      <c r="Q5" s="12">
        <f>O5-(-truth!C5)</f>
        <v>3.1000000000000512</v>
      </c>
      <c r="R5" s="12">
        <f>P5-truth!D5</f>
        <v>-3.1999999999998892</v>
      </c>
    </row>
    <row r="6" spans="1:18" x14ac:dyDescent="0.2">
      <c r="A6">
        <v>4</v>
      </c>
      <c r="B6" s="4">
        <v>1.724E-9</v>
      </c>
      <c r="C6" s="4">
        <f t="shared" si="0"/>
        <v>4.3537574670200292E-10</v>
      </c>
      <c r="D6" s="2">
        <v>5.6</v>
      </c>
      <c r="E6" s="13">
        <f>B6-truth!G6</f>
        <v>-1.0600000000000005E-10</v>
      </c>
      <c r="F6" s="11">
        <f>(B6 - truth!G6) / truth!G6</f>
        <v>-5.7923497267759583E-2</v>
      </c>
      <c r="G6" s="2">
        <v>-209.298258</v>
      </c>
      <c r="H6" s="2">
        <v>-245.43609000000001</v>
      </c>
      <c r="I6" s="2">
        <v>8.9</v>
      </c>
      <c r="K6" s="2">
        <f>SQRT(G6^2+H6^2)</f>
        <v>322.55950625632266</v>
      </c>
      <c r="L6" s="1">
        <f>MOD(ATAN2(G6,H6)*180/PI() - 90, 360)</f>
        <v>139.54375802957753</v>
      </c>
      <c r="M6" s="1">
        <f>MAX(50.917 - 0.29 * K6, 0)</f>
        <v>0</v>
      </c>
      <c r="N6" s="2">
        <f t="shared" si="1"/>
        <v>322.55950625632266</v>
      </c>
      <c r="O6" s="2">
        <f>-N6*COS((L6 +90) * PI() / 180)</f>
        <v>209.29825799999998</v>
      </c>
      <c r="P6" s="2">
        <f>N6*SIN((L6 +90) * PI() / 180)</f>
        <v>-245.43609000000004</v>
      </c>
      <c r="Q6" s="12">
        <f>O6-(-truth!C6)</f>
        <v>1.39825799999997</v>
      </c>
      <c r="R6" s="12">
        <f>P6-truth!D6</f>
        <v>-21.53609000000003</v>
      </c>
    </row>
    <row r="7" spans="1:18" x14ac:dyDescent="0.2">
      <c r="A7">
        <v>5</v>
      </c>
      <c r="B7" s="4">
        <v>3.7610000000000002E-10</v>
      </c>
      <c r="C7" s="4">
        <f t="shared" si="0"/>
        <v>2.6594286040426057E-10</v>
      </c>
      <c r="D7" s="2">
        <v>2</v>
      </c>
      <c r="E7" s="13">
        <f>B7-truth!G7</f>
        <v>-1.8390000000000001E-10</v>
      </c>
      <c r="F7" s="11">
        <f>(B7 - truth!G7) / truth!G7</f>
        <v>-0.32839285714285715</v>
      </c>
      <c r="G7" s="2">
        <v>-84.321600000000004</v>
      </c>
      <c r="H7" s="2">
        <v>-252.9648</v>
      </c>
      <c r="I7" s="2">
        <v>20.8</v>
      </c>
      <c r="K7" s="2">
        <f>SQRT(G7^2+H7^2)</f>
        <v>266.64831194965399</v>
      </c>
      <c r="L7" s="1">
        <f>MOD(ATAN2(G7,H7)*180/PI() - 90, 360)</f>
        <v>161.56505117707798</v>
      </c>
      <c r="M7" s="1">
        <v>0</v>
      </c>
      <c r="N7" s="2">
        <f t="shared" si="1"/>
        <v>266.64831194965399</v>
      </c>
      <c r="O7" s="2">
        <f>-N7*COS((L7 +90) * PI() / 180)</f>
        <v>84.321600000000018</v>
      </c>
      <c r="P7" s="2">
        <f>N7*SIN((L7 +90) * PI() / 180)</f>
        <v>-252.96479999999997</v>
      </c>
      <c r="Q7" s="12">
        <f>O7-(-truth!C7)</f>
        <v>-2.378399999999985</v>
      </c>
      <c r="R7" s="12">
        <f>P7-truth!D7</f>
        <v>3.835200000000043</v>
      </c>
    </row>
    <row r="8" spans="1:18" x14ac:dyDescent="0.2">
      <c r="A8">
        <v>6</v>
      </c>
      <c r="B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8729-5FF3-9F4A-AF8E-D77F8531C604}">
  <dimension ref="A1:M8"/>
  <sheetViews>
    <sheetView zoomScale="140" zoomScaleNormal="140" workbookViewId="0"/>
  </sheetViews>
  <sheetFormatPr baseColWidth="10" defaultRowHeight="16" x14ac:dyDescent="0.2"/>
  <cols>
    <col min="1" max="1" width="14.1640625" customWidth="1"/>
  </cols>
  <sheetData>
    <row r="1" spans="1:13" x14ac:dyDescent="0.2">
      <c r="A1" t="s">
        <v>13</v>
      </c>
    </row>
    <row r="2" spans="1:13" x14ac:dyDescent="0.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t="s">
        <v>20</v>
      </c>
      <c r="H2" t="s">
        <v>21</v>
      </c>
      <c r="J2" s="1" t="s">
        <v>22</v>
      </c>
      <c r="K2" s="1" t="s">
        <v>23</v>
      </c>
      <c r="L2" s="1" t="s">
        <v>3</v>
      </c>
      <c r="M2" s="1" t="s">
        <v>24</v>
      </c>
    </row>
    <row r="3" spans="1:13" x14ac:dyDescent="0.2">
      <c r="A3" s="1">
        <v>2461345.5</v>
      </c>
      <c r="B3" s="1">
        <v>0</v>
      </c>
      <c r="C3" s="1">
        <v>-125.6</v>
      </c>
      <c r="D3" s="1">
        <v>105.4</v>
      </c>
      <c r="E3" s="1">
        <v>0.86</v>
      </c>
      <c r="F3" s="1">
        <v>4.16</v>
      </c>
      <c r="G3" s="4">
        <v>4.5399999999999996E-9</v>
      </c>
      <c r="H3" s="4">
        <v>3.2599999999999999E-9</v>
      </c>
      <c r="J3" s="1">
        <f>SQRT(C3^2 + D3^2)</f>
        <v>163.96499626444663</v>
      </c>
      <c r="K3" s="1">
        <f>J3/21.0804</f>
        <v>7.7780780376295811</v>
      </c>
      <c r="L3" s="1">
        <f>MOD(ATAN2(C3,D3)*180/PI() + 270, 360)</f>
        <v>49.997567719372114</v>
      </c>
      <c r="M3" s="1">
        <f>ATAN2(C3,D3)*180/PI()</f>
        <v>139.99756771937214</v>
      </c>
    </row>
    <row r="4" spans="1:13" x14ac:dyDescent="0.2">
      <c r="A4" s="1">
        <v>2461400.29</v>
      </c>
      <c r="B4" s="1">
        <v>0.15</v>
      </c>
      <c r="C4" s="1">
        <v>-146.6</v>
      </c>
      <c r="D4" s="1">
        <v>78.8</v>
      </c>
      <c r="E4" s="1">
        <v>0.85</v>
      </c>
      <c r="F4" s="1">
        <v>4.16</v>
      </c>
      <c r="G4" s="4">
        <v>4.5200000000000001E-9</v>
      </c>
      <c r="H4" s="4">
        <v>3.2099999999999999E-9</v>
      </c>
      <c r="J4" s="1">
        <f t="shared" ref="J4:J8" si="0">SQRT(C4^2 + D4^2)</f>
        <v>166.43617395265969</v>
      </c>
      <c r="K4" s="1">
        <f t="shared" ref="K4:K8" si="1">J4/21.0804</f>
        <v>7.8953043563053678</v>
      </c>
      <c r="L4" s="1">
        <f t="shared" ref="L4:L8" si="2">MOD(ATAN2(C4,D4)*180/PI() + 270, 360)</f>
        <v>61.741212324120966</v>
      </c>
      <c r="M4" s="1">
        <f t="shared" ref="M4:M8" si="3">ATAN2(C4,D4)*180/PI()</f>
        <v>151.74121232412099</v>
      </c>
    </row>
    <row r="5" spans="1:13" x14ac:dyDescent="0.2">
      <c r="A5" s="1">
        <v>2461710.75</v>
      </c>
      <c r="B5" s="1">
        <v>1</v>
      </c>
      <c r="C5" s="1">
        <v>-224.8</v>
      </c>
      <c r="D5" s="1">
        <v>-79.599999999999994</v>
      </c>
      <c r="E5" s="1">
        <v>0.69</v>
      </c>
      <c r="F5" s="1">
        <v>4.18</v>
      </c>
      <c r="G5" s="4">
        <v>3.6100000000000001E-9</v>
      </c>
      <c r="H5" s="4">
        <v>3.5199999999999998E-9</v>
      </c>
      <c r="J5" s="1">
        <f t="shared" si="0"/>
        <v>238.47683325639832</v>
      </c>
      <c r="K5" s="1">
        <f t="shared" si="1"/>
        <v>11.312728091326461</v>
      </c>
      <c r="L5" s="1">
        <f t="shared" si="2"/>
        <v>109.49867395681338</v>
      </c>
      <c r="M5" s="1">
        <f t="shared" si="3"/>
        <v>-160.50132604318662</v>
      </c>
    </row>
    <row r="6" spans="1:13" x14ac:dyDescent="0.2">
      <c r="A6" s="1">
        <v>2462076</v>
      </c>
      <c r="B6" s="1">
        <v>2</v>
      </c>
      <c r="C6" s="1">
        <v>-207.9</v>
      </c>
      <c r="D6" s="1">
        <v>-223.9</v>
      </c>
      <c r="E6" s="1">
        <v>0.36</v>
      </c>
      <c r="F6" s="1">
        <v>4.2300000000000004</v>
      </c>
      <c r="G6" s="4">
        <v>1.8300000000000001E-9</v>
      </c>
      <c r="H6" s="4">
        <v>1.7700000000000001E-9</v>
      </c>
      <c r="J6" s="1">
        <f t="shared" si="0"/>
        <v>305.53824637841984</v>
      </c>
      <c r="K6" s="1">
        <f t="shared" si="1"/>
        <v>14.493949184001245</v>
      </c>
      <c r="L6" s="1">
        <f t="shared" si="2"/>
        <v>137.12207794257321</v>
      </c>
      <c r="M6" s="1">
        <f t="shared" si="3"/>
        <v>-132.87792205742679</v>
      </c>
    </row>
    <row r="7" spans="1:13" x14ac:dyDescent="0.2">
      <c r="A7" s="1">
        <v>2462441.25</v>
      </c>
      <c r="B7" s="1">
        <v>3</v>
      </c>
      <c r="C7" s="1">
        <v>-86.7</v>
      </c>
      <c r="D7" s="1">
        <v>-256.8</v>
      </c>
      <c r="E7" s="1">
        <v>0.11</v>
      </c>
      <c r="F7" s="1">
        <v>4.29</v>
      </c>
      <c r="G7" s="4">
        <v>5.6000000000000003E-10</v>
      </c>
      <c r="H7" s="4">
        <v>5.4699999999999997E-10</v>
      </c>
      <c r="J7" s="1">
        <f t="shared" si="0"/>
        <v>271.04082718291721</v>
      </c>
      <c r="K7" s="1">
        <f t="shared" si="1"/>
        <v>12.85748027470623</v>
      </c>
      <c r="L7" s="1">
        <f t="shared" si="2"/>
        <v>161.34445248600963</v>
      </c>
      <c r="M7" s="1">
        <f t="shared" si="3"/>
        <v>-108.65554751399036</v>
      </c>
    </row>
    <row r="8" spans="1:13" x14ac:dyDescent="0.2">
      <c r="A8" s="1">
        <v>2462806.5</v>
      </c>
      <c r="B8" s="1">
        <v>4</v>
      </c>
      <c r="C8" s="1">
        <v>76.400000000000006</v>
      </c>
      <c r="D8" s="1">
        <v>-165.9</v>
      </c>
      <c r="E8" s="1">
        <v>0.02</v>
      </c>
      <c r="F8" s="1">
        <v>4.32</v>
      </c>
      <c r="G8" s="4">
        <v>1.21E-10</v>
      </c>
      <c r="H8" s="4">
        <v>9.2899999999999997E-11</v>
      </c>
      <c r="J8" s="1">
        <f t="shared" si="0"/>
        <v>182.64657127906892</v>
      </c>
      <c r="K8" s="1">
        <f t="shared" si="1"/>
        <v>8.6642839452320128</v>
      </c>
      <c r="L8" s="1">
        <f t="shared" si="2"/>
        <v>204.72693947319806</v>
      </c>
      <c r="M8" s="1">
        <f t="shared" si="3"/>
        <v>-65.273060526801942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reduced</vt:lpstr>
      <vt:lpstr>measured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neil.t.zimmerman@nasa.gov</dc:creator>
  <cp:lastModifiedBy>neil.t.zimmerman@nasa.gov</cp:lastModifiedBy>
  <dcterms:created xsi:type="dcterms:W3CDTF">2020-06-24T04:26:07Z</dcterms:created>
  <dcterms:modified xsi:type="dcterms:W3CDTF">2020-06-26T19:59:14Z</dcterms:modified>
</cp:coreProperties>
</file>