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an/Desktop/ZZDESKTOP/DCL1_HYL1/kinetics/"/>
    </mc:Choice>
  </mc:AlternateContent>
  <bookViews>
    <workbookView xWindow="880" yWindow="460" windowWidth="23920" windowHeight="12020" tabRatio="500"/>
  </bookViews>
  <sheets>
    <sheet name="BindingFits.txt" sheetId="1" r:id="rId1"/>
    <sheet name="plant_curves" sheetId="2" r:id="rId2"/>
    <sheet name="animal_curves" sheetId="3" r:id="rId3"/>
    <sheet name="blind_search" sheetId="4" r:id="rId4"/>
    <sheet name="early_chang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L8" i="1"/>
  <c r="L9" i="1"/>
  <c r="M9" i="1"/>
  <c r="D17" i="1"/>
  <c r="D16" i="1"/>
  <c r="D15" i="1"/>
  <c r="D14" i="1"/>
  <c r="D13" i="1"/>
  <c r="Q6" i="1"/>
  <c r="Q8" i="1"/>
  <c r="P8" i="1"/>
  <c r="P6" i="1"/>
  <c r="N8" i="1"/>
  <c r="O8" i="1"/>
  <c r="N6" i="1"/>
  <c r="O6" i="1"/>
  <c r="J9" i="1"/>
  <c r="K9" i="1"/>
  <c r="P9" i="1"/>
  <c r="J5" i="1"/>
  <c r="K5" i="1"/>
  <c r="P5" i="1"/>
  <c r="J18" i="1"/>
  <c r="J8" i="1"/>
  <c r="K8" i="1"/>
  <c r="J4" i="1"/>
  <c r="K4" i="1"/>
  <c r="P4" i="1"/>
  <c r="J17" i="1"/>
  <c r="J7" i="1"/>
  <c r="K7" i="1"/>
  <c r="L7" i="1"/>
  <c r="M7" i="1"/>
  <c r="P7" i="1"/>
  <c r="J16" i="1"/>
  <c r="J6" i="1"/>
  <c r="K6" i="1"/>
  <c r="L6" i="1"/>
  <c r="M6" i="1"/>
  <c r="J15" i="1"/>
  <c r="J3" i="1"/>
  <c r="K3" i="1"/>
  <c r="P3" i="1"/>
  <c r="J14" i="1"/>
  <c r="J2" i="1"/>
  <c r="K2" i="1"/>
  <c r="P2" i="1"/>
  <c r="J13" i="1"/>
  <c r="D18" i="1"/>
  <c r="Q9" i="1"/>
  <c r="Y5" i="1"/>
  <c r="X5" i="1"/>
  <c r="W5" i="1"/>
  <c r="V5" i="1"/>
  <c r="U5" i="1"/>
  <c r="T5" i="1"/>
  <c r="Q7" i="1"/>
  <c r="Y4" i="1"/>
  <c r="X4" i="1"/>
  <c r="W4" i="1"/>
  <c r="V4" i="1"/>
  <c r="U4" i="1"/>
  <c r="T4" i="1"/>
  <c r="Q5" i="1"/>
  <c r="Y3" i="1"/>
  <c r="Q4" i="1"/>
  <c r="X3" i="1"/>
  <c r="W3" i="1"/>
  <c r="V3" i="1"/>
  <c r="U3" i="1"/>
  <c r="T3" i="1"/>
  <c r="Q3" i="1"/>
  <c r="Y2" i="1"/>
  <c r="Q2" i="1"/>
  <c r="X2" i="1"/>
  <c r="W2" i="1"/>
  <c r="V2" i="1"/>
  <c r="U2" i="1"/>
  <c r="T2" i="1"/>
  <c r="R3" i="1"/>
  <c r="R4" i="1"/>
  <c r="R5" i="1"/>
  <c r="R6" i="1"/>
  <c r="R7" i="1"/>
  <c r="R8" i="1"/>
  <c r="R9" i="1"/>
  <c r="R2" i="1"/>
  <c r="H4" i="5"/>
  <c r="H5" i="5"/>
  <c r="H6" i="5"/>
  <c r="H8" i="5"/>
  <c r="H9" i="5"/>
  <c r="H11" i="5"/>
  <c r="H14" i="5"/>
  <c r="H15" i="5"/>
  <c r="H18" i="5"/>
  <c r="H2" i="5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I4" i="5"/>
  <c r="J4" i="5"/>
  <c r="K4" i="5"/>
  <c r="I5" i="5"/>
  <c r="J5" i="5"/>
  <c r="K5" i="5"/>
  <c r="I6" i="5"/>
  <c r="J6" i="5"/>
  <c r="K6" i="5"/>
  <c r="I8" i="5"/>
  <c r="J8" i="5"/>
  <c r="K8" i="5"/>
  <c r="I9" i="5"/>
  <c r="J9" i="5"/>
  <c r="K9" i="5"/>
  <c r="I11" i="5"/>
  <c r="J11" i="5"/>
  <c r="K11" i="5"/>
  <c r="I14" i="5"/>
  <c r="J14" i="5"/>
  <c r="K14" i="5"/>
  <c r="I15" i="5"/>
  <c r="J15" i="5"/>
  <c r="K15" i="5"/>
  <c r="I18" i="5"/>
  <c r="J18" i="5"/>
  <c r="K18" i="5"/>
  <c r="I2" i="5"/>
  <c r="J2" i="5"/>
  <c r="K2" i="5"/>
  <c r="L4" i="5"/>
  <c r="M4" i="5"/>
  <c r="P4" i="5"/>
  <c r="Q4" i="5"/>
  <c r="L5" i="5"/>
  <c r="M5" i="5"/>
  <c r="P5" i="5"/>
  <c r="Q5" i="5"/>
  <c r="L6" i="5"/>
  <c r="M6" i="5"/>
  <c r="P6" i="5"/>
  <c r="Q6" i="5"/>
  <c r="L8" i="5"/>
  <c r="M8" i="5"/>
  <c r="P8" i="5"/>
  <c r="Q8" i="5"/>
  <c r="L9" i="5"/>
  <c r="M9" i="5"/>
  <c r="P9" i="5"/>
  <c r="Q9" i="5"/>
  <c r="L11" i="5"/>
  <c r="M11" i="5"/>
  <c r="P11" i="5"/>
  <c r="Q11" i="5"/>
  <c r="L14" i="5"/>
  <c r="M14" i="5"/>
  <c r="P14" i="5"/>
  <c r="Q14" i="5"/>
  <c r="L15" i="5"/>
  <c r="M15" i="5"/>
  <c r="P15" i="5"/>
  <c r="Q15" i="5"/>
  <c r="L18" i="5"/>
  <c r="M18" i="5"/>
  <c r="P18" i="5"/>
  <c r="Q18" i="5"/>
  <c r="L2" i="5"/>
  <c r="M2" i="5"/>
  <c r="P2" i="5"/>
  <c r="Q2" i="5"/>
  <c r="R18" i="5"/>
  <c r="S18" i="5"/>
  <c r="R15" i="5"/>
  <c r="S15" i="5"/>
  <c r="R14" i="5"/>
  <c r="S14" i="5"/>
  <c r="R11" i="5"/>
  <c r="S11" i="5"/>
  <c r="R9" i="5"/>
  <c r="S9" i="5"/>
  <c r="R8" i="5"/>
  <c r="S8" i="5"/>
  <c r="R6" i="5"/>
  <c r="S6" i="5"/>
  <c r="R5" i="5"/>
  <c r="S5" i="5"/>
  <c r="R4" i="5"/>
  <c r="S4" i="5"/>
  <c r="R2" i="5"/>
  <c r="S2" i="5"/>
  <c r="I11" i="4"/>
  <c r="J11" i="4"/>
  <c r="M11" i="4"/>
  <c r="N11" i="4"/>
  <c r="O11" i="4"/>
  <c r="P11" i="4"/>
  <c r="I10" i="4"/>
  <c r="J10" i="4"/>
  <c r="M10" i="4"/>
  <c r="N10" i="4"/>
  <c r="O10" i="4"/>
  <c r="P10" i="4"/>
  <c r="I3" i="4"/>
  <c r="J3" i="4"/>
  <c r="M3" i="4"/>
  <c r="N3" i="4"/>
  <c r="I2" i="4"/>
  <c r="J2" i="4"/>
  <c r="M2" i="4"/>
  <c r="N2" i="4"/>
  <c r="O3" i="4"/>
  <c r="P3" i="4"/>
  <c r="O2" i="4"/>
  <c r="P2" i="4"/>
  <c r="I43" i="4"/>
  <c r="J43" i="4"/>
  <c r="M43" i="4"/>
  <c r="N43" i="4"/>
  <c r="O43" i="4"/>
  <c r="P43" i="4"/>
  <c r="I42" i="4"/>
  <c r="J42" i="4"/>
  <c r="M42" i="4"/>
  <c r="N42" i="4"/>
  <c r="O42" i="4"/>
  <c r="P42" i="4"/>
  <c r="I35" i="4"/>
  <c r="J35" i="4"/>
  <c r="M35" i="4"/>
  <c r="N35" i="4"/>
  <c r="O35" i="4"/>
  <c r="P35" i="4"/>
  <c r="I34" i="4"/>
  <c r="J34" i="4"/>
  <c r="M34" i="4"/>
  <c r="N34" i="4"/>
  <c r="O34" i="4"/>
  <c r="P34" i="4"/>
  <c r="I31" i="4"/>
  <c r="J31" i="4"/>
  <c r="M31" i="4"/>
  <c r="N31" i="4"/>
  <c r="O31" i="4"/>
  <c r="P31" i="4"/>
  <c r="I30" i="4"/>
  <c r="J30" i="4"/>
  <c r="M30" i="4"/>
  <c r="N30" i="4"/>
  <c r="O30" i="4"/>
  <c r="P30" i="4"/>
  <c r="I23" i="4"/>
  <c r="J23" i="4"/>
  <c r="M23" i="4"/>
  <c r="N23" i="4"/>
  <c r="O23" i="4"/>
  <c r="P23" i="4"/>
  <c r="I22" i="4"/>
  <c r="J22" i="4"/>
  <c r="M22" i="4"/>
  <c r="N22" i="4"/>
  <c r="O22" i="4"/>
  <c r="P22" i="4"/>
  <c r="I19" i="4"/>
  <c r="J19" i="4"/>
  <c r="M19" i="4"/>
  <c r="N19" i="4"/>
  <c r="O19" i="4"/>
  <c r="P19" i="4"/>
  <c r="I18" i="4"/>
  <c r="J18" i="4"/>
  <c r="M18" i="4"/>
  <c r="N18" i="4"/>
  <c r="O18" i="4"/>
  <c r="P18" i="4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K36" i="3"/>
  <c r="J36" i="3"/>
  <c r="I36" i="3"/>
  <c r="H36" i="3"/>
  <c r="G36" i="3"/>
  <c r="G34" i="3"/>
  <c r="K32" i="3"/>
  <c r="J32" i="3"/>
  <c r="I32" i="3"/>
  <c r="H32" i="3"/>
  <c r="G32" i="3"/>
  <c r="K31" i="3"/>
  <c r="J31" i="3"/>
  <c r="I31" i="3"/>
  <c r="H31" i="3"/>
  <c r="G31" i="3"/>
  <c r="K30" i="3"/>
  <c r="J30" i="3"/>
  <c r="I30" i="3"/>
  <c r="H30" i="3"/>
  <c r="G30" i="3"/>
  <c r="K29" i="3"/>
  <c r="J29" i="3"/>
  <c r="I29" i="3"/>
  <c r="H29" i="3"/>
  <c r="G29" i="3"/>
  <c r="K28" i="3"/>
  <c r="J28" i="3"/>
  <c r="I28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G23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G12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G1" i="3"/>
  <c r="G65" i="2"/>
  <c r="G64" i="2"/>
  <c r="G63" i="2"/>
  <c r="G62" i="2"/>
  <c r="G61" i="2"/>
  <c r="G60" i="2"/>
  <c r="G59" i="2"/>
  <c r="K58" i="2"/>
  <c r="J58" i="2"/>
  <c r="I58" i="2"/>
  <c r="H58" i="2"/>
  <c r="G58" i="2"/>
  <c r="G56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1" i="2"/>
  <c r="J51" i="2"/>
  <c r="I51" i="2"/>
  <c r="H51" i="2"/>
  <c r="G51" i="2"/>
  <c r="K50" i="2"/>
  <c r="J50" i="2"/>
  <c r="I50" i="2"/>
  <c r="H50" i="2"/>
  <c r="G50" i="2"/>
  <c r="K49" i="2"/>
  <c r="J49" i="2"/>
  <c r="I49" i="2"/>
  <c r="H49" i="2"/>
  <c r="G49" i="2"/>
  <c r="K48" i="2"/>
  <c r="J48" i="2"/>
  <c r="I48" i="2"/>
  <c r="H48" i="2"/>
  <c r="G48" i="2"/>
  <c r="K47" i="2"/>
  <c r="J47" i="2"/>
  <c r="I47" i="2"/>
  <c r="H47" i="2"/>
  <c r="G47" i="2"/>
  <c r="G45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K36" i="2"/>
  <c r="J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I36" i="2"/>
  <c r="H36" i="2"/>
  <c r="G36" i="2"/>
  <c r="G34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G23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K14" i="2"/>
  <c r="J14" i="2"/>
  <c r="I14" i="2"/>
  <c r="H14" i="2"/>
  <c r="G14" i="2"/>
  <c r="G12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K3" i="2"/>
  <c r="J3" i="2"/>
  <c r="I3" i="2"/>
  <c r="H3" i="2"/>
  <c r="G3" i="2"/>
  <c r="G1" i="2"/>
</calcChain>
</file>

<file path=xl/sharedStrings.xml><?xml version="1.0" encoding="utf-8"?>
<sst xmlns="http://schemas.openxmlformats.org/spreadsheetml/2006/main" count="197" uniqueCount="71">
  <si>
    <t>Kd</t>
  </si>
  <si>
    <t>Km</t>
  </si>
  <si>
    <t>binding affinities</t>
  </si>
  <si>
    <t>neg log binding affinities</t>
  </si>
  <si>
    <t>mean</t>
  </si>
  <si>
    <t>stderr</t>
  </si>
  <si>
    <t>SE(Kd)</t>
  </si>
  <si>
    <t>SE(Km)</t>
  </si>
  <si>
    <t>HYL1_dsrm1</t>
  </si>
  <si>
    <t>HYL1_dsrm2</t>
  </si>
  <si>
    <t>1504_ancPlant_dsrm</t>
  </si>
  <si>
    <t>conc</t>
  </si>
  <si>
    <t>kd</t>
  </si>
  <si>
    <t>km</t>
  </si>
  <si>
    <t>se(kd)</t>
  </si>
  <si>
    <t>se(km)</t>
  </si>
  <si>
    <t>1731_ancPlant_DRB4_dsrm1</t>
  </si>
  <si>
    <t>1511_ancPlant_dsrm2</t>
  </si>
  <si>
    <t>1512_ancPlant_DRB6_dsrm2</t>
  </si>
  <si>
    <t>1545_ancPlant_DRB1_dsrm2</t>
  </si>
  <si>
    <t>1582_ancPlant_DRB2/3/5_dsrm2</t>
  </si>
  <si>
    <t>948_ancAnimal_dsrm</t>
  </si>
  <si>
    <t>976_ancAnimal_dsrm3</t>
  </si>
  <si>
    <t>1367_ancAnimal_dsrm1</t>
  </si>
  <si>
    <t>1074_ancAnimal_dsrm2</t>
  </si>
  <si>
    <t>ML_pKd</t>
  </si>
  <si>
    <t>Bayes_pKd</t>
  </si>
  <si>
    <t>EMP_pKd</t>
  </si>
  <si>
    <t>SE(ML)</t>
  </si>
  <si>
    <t>SE(Bayes)</t>
  </si>
  <si>
    <t>SE(EMP)</t>
  </si>
  <si>
    <t>n1</t>
  </si>
  <si>
    <t>n2</t>
  </si>
  <si>
    <t>v1</t>
  </si>
  <si>
    <t>v2</t>
  </si>
  <si>
    <t>S</t>
  </si>
  <si>
    <t>t</t>
  </si>
  <si>
    <t>df</t>
  </si>
  <si>
    <t>p-value</t>
  </si>
  <si>
    <t>nodename</t>
  </si>
  <si>
    <t>mean_ML</t>
  </si>
  <si>
    <t>mean_sampled</t>
  </si>
  <si>
    <t>empirical</t>
  </si>
  <si>
    <t>se_ML</t>
  </si>
  <si>
    <t>se_sampled</t>
  </si>
  <si>
    <t>SE(empirical)</t>
  </si>
  <si>
    <t>ancAnimalDRB_948</t>
  </si>
  <si>
    <t>ancAnimalDSRM12_1072</t>
  </si>
  <si>
    <t>ancAnimalDSRM1_1367</t>
  </si>
  <si>
    <t>ancAnimalDSRM2_1074</t>
  </si>
  <si>
    <t>ancAnimalDSRM3_976</t>
  </si>
  <si>
    <t>ancPlantDRB1DSRM2_1545</t>
  </si>
  <si>
    <t>ancPlantDRB235DSRM1_1807</t>
  </si>
  <si>
    <t>ancPlantDRB235DSRM2_1582</t>
  </si>
  <si>
    <t>ancPlantDRB4DSRM2_1653</t>
  </si>
  <si>
    <t>ancPlantDRB_1504</t>
  </si>
  <si>
    <t>ancPlantDSRM2_1511</t>
  </si>
  <si>
    <t>ancPlantDRB6DSRM1_1859</t>
  </si>
  <si>
    <t>ancPlantDRB6DSRM2_1512</t>
  </si>
  <si>
    <t>emp</t>
  </si>
  <si>
    <t>ml</t>
  </si>
  <si>
    <t>fold</t>
  </si>
  <si>
    <t>uM</t>
  </si>
  <si>
    <t>ancPlantDRB1DSRM1_1770</t>
  </si>
  <si>
    <t>ancPlantDRB4DSRM1_1731</t>
  </si>
  <si>
    <t>DCL1_dsrm1</t>
  </si>
  <si>
    <t>DCL1_dsrm2</t>
  </si>
  <si>
    <t>DCL1</t>
  </si>
  <si>
    <t>HYL1</t>
  </si>
  <si>
    <t>HYL1_dsrm2 binds DCL1_dsrm1</t>
  </si>
  <si>
    <t>fold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</si>
</sst>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E+00"/>
    <numFmt numFmtId="167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1" fontId="0" fillId="0" borderId="0" xfId="0" applyNumberFormat="1" applyFont="1"/>
    <xf numFmtId="166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topLeftCell="I1" workbookViewId="0">
      <selection activeCell="W13" sqref="W13"/>
    </sheetView>
  </sheetViews>
  <sheetFormatPr baseColWidth="10" defaultRowHeight="16" x14ac:dyDescent="0.2"/>
  <cols>
    <col min="1" max="1" width="12.83203125" customWidth="1"/>
    <col min="2" max="2" width="13" customWidth="1"/>
    <col min="3" max="3" width="4" bestFit="1" customWidth="1"/>
    <col min="4" max="4" width="9" bestFit="1" customWidth="1"/>
    <col min="5" max="5" width="8.33203125" bestFit="1" customWidth="1"/>
    <col min="6" max="6" width="8.33203125" customWidth="1"/>
    <col min="7" max="7" width="8.33203125" bestFit="1" customWidth="1"/>
    <col min="8" max="9" width="8.33203125" customWidth="1"/>
    <col min="10" max="11" width="12.1640625" bestFit="1" customWidth="1"/>
    <col min="12" max="12" width="12.1640625" customWidth="1"/>
    <col min="13" max="13" width="12.1640625" bestFit="1" customWidth="1"/>
    <col min="14" max="15" width="12.1640625" customWidth="1"/>
    <col min="20" max="20" width="11.5" style="9" bestFit="1" customWidth="1"/>
    <col min="21" max="21" width="11.5" bestFit="1" customWidth="1"/>
    <col min="22" max="22" width="7.83203125" style="6" bestFit="1" customWidth="1"/>
    <col min="23" max="25" width="7.83203125" bestFit="1" customWidth="1"/>
  </cols>
  <sheetData>
    <row r="1" spans="1:25" s="2" customFormat="1" x14ac:dyDescent="0.2">
      <c r="A1" s="3" t="s">
        <v>67</v>
      </c>
      <c r="B1" s="3" t="s">
        <v>68</v>
      </c>
      <c r="C1" s="3"/>
      <c r="D1" s="25" t="s">
        <v>2</v>
      </c>
      <c r="E1" s="25"/>
      <c r="F1" s="25"/>
      <c r="G1" s="25"/>
      <c r="H1" s="23"/>
      <c r="I1" s="23"/>
      <c r="J1" s="25" t="s">
        <v>3</v>
      </c>
      <c r="K1" s="25"/>
      <c r="L1" s="25"/>
      <c r="M1" s="25"/>
      <c r="N1" s="23"/>
      <c r="O1" s="23"/>
      <c r="P1" s="3" t="s">
        <v>4</v>
      </c>
      <c r="Q1" s="3" t="s">
        <v>5</v>
      </c>
      <c r="R1" s="3" t="s">
        <v>62</v>
      </c>
      <c r="S1" s="3"/>
      <c r="T1" s="15" t="s">
        <v>67</v>
      </c>
      <c r="U1" s="2" t="s">
        <v>68</v>
      </c>
      <c r="V1" s="2" t="s">
        <v>0</v>
      </c>
      <c r="W1" s="2" t="s">
        <v>1</v>
      </c>
      <c r="X1" s="2" t="s">
        <v>6</v>
      </c>
      <c r="Y1" s="2" t="s">
        <v>7</v>
      </c>
    </row>
    <row r="2" spans="1:25" x14ac:dyDescent="0.2">
      <c r="A2" s="4" t="s">
        <v>65</v>
      </c>
      <c r="B2" s="4" t="s">
        <v>8</v>
      </c>
      <c r="C2" s="4" t="s">
        <v>0</v>
      </c>
      <c r="D2" s="1">
        <v>5.6990669999999999E-6</v>
      </c>
      <c r="E2" s="1">
        <v>3.8583479999999996E-6</v>
      </c>
      <c r="F2" s="1"/>
      <c r="G2" s="1"/>
      <c r="H2" s="1"/>
      <c r="I2" s="1"/>
      <c r="J2">
        <f>-LOG(D2,10)</f>
        <v>5.2441962372954709</v>
      </c>
      <c r="K2">
        <f t="shared" ref="K2:K7" si="0">-LOG(E2,10)</f>
        <v>5.4135986041509767</v>
      </c>
      <c r="P2" s="4">
        <f>AVERAGE(J2:M2)</f>
        <v>5.3288974207232238</v>
      </c>
      <c r="Q2" s="4">
        <f t="shared" ref="Q2:Q5" si="1">_xlfn.STDEV.S(J2:M2)/SQRT(COUNT(J2:M2))</f>
        <v>8.4701183427752902E-2</v>
      </c>
      <c r="R2" s="4">
        <f>POWER(10,-P2)*1000000</f>
        <v>4.6892412777885522</v>
      </c>
      <c r="S2" s="4"/>
      <c r="T2" s="18" t="str">
        <f>A2</f>
        <v>DCL1_dsrm1</v>
      </c>
      <c r="U2" s="19" t="str">
        <f>B2</f>
        <v>HYL1_dsrm1</v>
      </c>
      <c r="V2" s="21">
        <f>P2</f>
        <v>5.3288974207232238</v>
      </c>
      <c r="W2" s="21">
        <f>P3</f>
        <v>5.2706208017517646</v>
      </c>
      <c r="X2" s="21">
        <f>Q2</f>
        <v>8.4701183427752902E-2</v>
      </c>
      <c r="Y2" s="21">
        <f>Q3</f>
        <v>8.202312783660437E-2</v>
      </c>
    </row>
    <row r="3" spans="1:25" x14ac:dyDescent="0.2">
      <c r="A3" s="4" t="s">
        <v>65</v>
      </c>
      <c r="B3" s="4" t="s">
        <v>8</v>
      </c>
      <c r="C3" s="4" t="s">
        <v>1</v>
      </c>
      <c r="D3" s="1">
        <v>6.4774239999999998E-6</v>
      </c>
      <c r="E3" s="1">
        <v>4.4397250000000001E-6</v>
      </c>
      <c r="F3" s="1"/>
      <c r="G3" s="1"/>
      <c r="H3" s="1"/>
      <c r="I3" s="1"/>
      <c r="J3">
        <f t="shared" ref="J3:J5" si="2">-LOG(D3,10)</f>
        <v>5.1885976739151598</v>
      </c>
      <c r="K3">
        <f t="shared" si="0"/>
        <v>5.3526439295883685</v>
      </c>
      <c r="P3" s="4">
        <f t="shared" ref="P3:P7" si="3">AVERAGE(J3:M3)</f>
        <v>5.2706208017517646</v>
      </c>
      <c r="Q3" s="4">
        <f t="shared" si="1"/>
        <v>8.202312783660437E-2</v>
      </c>
      <c r="R3" s="4">
        <f t="shared" ref="R3:R9" si="4">POWER(10,-P3)*1000000</f>
        <v>5.3626468528516753</v>
      </c>
      <c r="S3" s="4"/>
      <c r="T3" s="18" t="str">
        <f>A4</f>
        <v>DCL1_dsrm1</v>
      </c>
      <c r="U3" s="20" t="str">
        <f>B4</f>
        <v>HYL1_dsrm2</v>
      </c>
      <c r="V3" s="22">
        <f>P4</f>
        <v>5.7151903770961736</v>
      </c>
      <c r="W3" s="21">
        <f>P5</f>
        <v>5.695348271726683</v>
      </c>
      <c r="X3" s="21">
        <f>Q4</f>
        <v>4.4786339064465608E-2</v>
      </c>
      <c r="Y3" s="21">
        <f>Q5</f>
        <v>4.0921947390675673E-2</v>
      </c>
    </row>
    <row r="4" spans="1:25" x14ac:dyDescent="0.2">
      <c r="A4" s="24" t="s">
        <v>65</v>
      </c>
      <c r="B4" s="24" t="s">
        <v>9</v>
      </c>
      <c r="C4" s="4" t="s">
        <v>0</v>
      </c>
      <c r="D4" s="1">
        <v>1.737894E-6</v>
      </c>
      <c r="E4" s="1">
        <v>2.1359740000000001E-6</v>
      </c>
      <c r="F4" s="1"/>
      <c r="G4" s="1"/>
      <c r="H4" s="1"/>
      <c r="I4" s="1"/>
      <c r="J4">
        <f t="shared" si="2"/>
        <v>5.7599767161606392</v>
      </c>
      <c r="K4">
        <f t="shared" si="0"/>
        <v>5.670404038031708</v>
      </c>
      <c r="P4" s="4">
        <f t="shared" si="3"/>
        <v>5.7151903770961736</v>
      </c>
      <c r="Q4" s="4">
        <f t="shared" si="1"/>
        <v>4.4786339064465608E-2</v>
      </c>
      <c r="R4" s="4">
        <f t="shared" si="4"/>
        <v>1.9266801495723169</v>
      </c>
      <c r="S4" s="4"/>
      <c r="T4" s="18" t="str">
        <f>A6</f>
        <v>DCL1_dsrm2</v>
      </c>
      <c r="U4" s="20" t="str">
        <f>B6</f>
        <v>HYL1_dsrm1</v>
      </c>
      <c r="V4" s="22">
        <f>P6</f>
        <v>5.268817188148021</v>
      </c>
      <c r="W4" s="21">
        <f>P7</f>
        <v>5.4480507020284517</v>
      </c>
      <c r="X4" s="21">
        <f>Q6</f>
        <v>0.16326068576569977</v>
      </c>
      <c r="Y4" s="21">
        <f>Q7</f>
        <v>0.12980426301882092</v>
      </c>
    </row>
    <row r="5" spans="1:25" x14ac:dyDescent="0.2">
      <c r="A5" s="24" t="s">
        <v>65</v>
      </c>
      <c r="B5" s="24" t="s">
        <v>9</v>
      </c>
      <c r="C5" s="4" t="s">
        <v>1</v>
      </c>
      <c r="D5" s="1">
        <v>1.8353959999999999E-6</v>
      </c>
      <c r="E5" s="1">
        <v>2.2160200000000002E-6</v>
      </c>
      <c r="F5" s="1"/>
      <c r="G5" s="1"/>
      <c r="H5" s="1"/>
      <c r="I5" s="1"/>
      <c r="J5">
        <f t="shared" si="2"/>
        <v>5.7362702191173591</v>
      </c>
      <c r="K5">
        <f t="shared" si="0"/>
        <v>5.6544263243360078</v>
      </c>
      <c r="P5" s="4">
        <f t="shared" si="3"/>
        <v>5.695348271726683</v>
      </c>
      <c r="Q5" s="4">
        <f t="shared" si="1"/>
        <v>4.0921947390675673E-2</v>
      </c>
      <c r="R5" s="4">
        <f t="shared" si="4"/>
        <v>2.0167484334740418</v>
      </c>
      <c r="S5" s="4"/>
      <c r="T5" s="18" t="str">
        <f>A8</f>
        <v>DCL1_dsrm2</v>
      </c>
      <c r="U5" s="20" t="str">
        <f>B8</f>
        <v>HYL1_dsrm2</v>
      </c>
      <c r="V5" s="22">
        <f>P8</f>
        <v>5.3856006562872212</v>
      </c>
      <c r="W5" s="21">
        <f>P9</f>
        <v>5.1940903046772675</v>
      </c>
      <c r="X5" s="21">
        <f>Q8</f>
        <v>0.1806465948286255</v>
      </c>
      <c r="Y5" s="21">
        <f>Q9</f>
        <v>0.20153342751552031</v>
      </c>
    </row>
    <row r="6" spans="1:25" x14ac:dyDescent="0.2">
      <c r="A6" s="4" t="s">
        <v>66</v>
      </c>
      <c r="B6" s="4" t="s">
        <v>8</v>
      </c>
      <c r="C6" s="4" t="s">
        <v>0</v>
      </c>
      <c r="D6" s="1">
        <v>2.17175E-6</v>
      </c>
      <c r="E6" s="1">
        <v>2.5683410000000001E-6</v>
      </c>
      <c r="F6" s="1">
        <v>3.042374E-6</v>
      </c>
      <c r="G6" s="1">
        <v>9.4102209999999992E-6</v>
      </c>
      <c r="H6" s="1">
        <v>2.3710180000000001E-5</v>
      </c>
      <c r="I6" s="1">
        <v>6.4400180000000002E-6</v>
      </c>
      <c r="J6">
        <f>-LOG(D6,10)</f>
        <v>5.6631901698149756</v>
      </c>
      <c r="K6">
        <f t="shared" si="0"/>
        <v>5.5903473152657206</v>
      </c>
      <c r="L6">
        <f t="shared" ref="L6:L9" si="5">-LOG(F6,10)</f>
        <v>5.5167873990429559</v>
      </c>
      <c r="M6">
        <f t="shared" ref="M6:M9" si="6">-LOG(G6,10)</f>
        <v>5.0264001770027695</v>
      </c>
      <c r="N6">
        <f t="shared" ref="N6" si="7">-LOG(H6,10)</f>
        <v>4.6250651489863825</v>
      </c>
      <c r="O6">
        <f t="shared" ref="O6" si="8">-LOG(I6,10)</f>
        <v>5.1911129187753193</v>
      </c>
      <c r="P6" s="4">
        <f>AVERAGE(J6:O6)</f>
        <v>5.268817188148021</v>
      </c>
      <c r="Q6" s="4">
        <f>_xlfn.STDEV.S(J6:O6)/SQRT(COUNT(J6:O6))</f>
        <v>0.16326068576569977</v>
      </c>
      <c r="R6" s="4">
        <f t="shared" si="4"/>
        <v>5.3849640941000843</v>
      </c>
      <c r="S6" s="4"/>
      <c r="U6" s="1"/>
      <c r="V6" s="11"/>
      <c r="W6" s="11"/>
      <c r="X6" s="11"/>
      <c r="Y6" s="11"/>
    </row>
    <row r="7" spans="1:25" x14ac:dyDescent="0.2">
      <c r="A7" s="4" t="s">
        <v>66</v>
      </c>
      <c r="B7" s="4" t="s">
        <v>8</v>
      </c>
      <c r="C7" s="4" t="s">
        <v>1</v>
      </c>
      <c r="D7" s="1">
        <v>2.40493E-6</v>
      </c>
      <c r="E7" s="1">
        <v>2.8234299999999999E-6</v>
      </c>
      <c r="F7" s="1">
        <v>2.7364779999999998E-6</v>
      </c>
      <c r="G7" s="1">
        <v>8.6841190000000007E-6</v>
      </c>
      <c r="H7" s="1"/>
      <c r="I7" s="1"/>
      <c r="J7">
        <f>-LOG(D7,10)</f>
        <v>5.6188975600619422</v>
      </c>
      <c r="K7">
        <f t="shared" si="0"/>
        <v>5.5492229750567583</v>
      </c>
      <c r="L7">
        <f t="shared" si="5"/>
        <v>5.5628080390314363</v>
      </c>
      <c r="M7">
        <f t="shared" si="6"/>
        <v>5.0612742339636734</v>
      </c>
      <c r="P7" s="4">
        <f t="shared" si="3"/>
        <v>5.4480507020284517</v>
      </c>
      <c r="Q7" s="4">
        <f>_xlfn.STDEV.S(J7:M7)/SQRT(COUNT(J7:M7))</f>
        <v>0.12980426301882092</v>
      </c>
      <c r="R7" s="4">
        <f t="shared" si="4"/>
        <v>3.564095217057599</v>
      </c>
      <c r="S7" s="4"/>
      <c r="U7" s="1"/>
      <c r="V7" s="11"/>
      <c r="W7" s="11"/>
      <c r="X7" s="11"/>
      <c r="Y7" s="11"/>
    </row>
    <row r="8" spans="1:25" x14ac:dyDescent="0.2">
      <c r="A8" s="4" t="s">
        <v>66</v>
      </c>
      <c r="B8" s="4" t="s">
        <v>9</v>
      </c>
      <c r="C8" s="4" t="s">
        <v>0</v>
      </c>
      <c r="D8" s="1">
        <v>2.294515E-6</v>
      </c>
      <c r="E8" s="1">
        <v>3.6410150000000002E-6</v>
      </c>
      <c r="F8" s="1">
        <v>9.7242180000000001E-6</v>
      </c>
      <c r="G8" s="1">
        <v>1.8492739999999999E-5</v>
      </c>
      <c r="H8" s="1">
        <v>1.109801E-6</v>
      </c>
      <c r="I8" s="1">
        <v>2.9132759999999999E-6</v>
      </c>
      <c r="J8">
        <f>-LOG(D8,10)</f>
        <v>5.6393090988340262</v>
      </c>
      <c r="K8">
        <f t="shared" ref="K8:K9" si="9">-LOG(E8,10)</f>
        <v>5.4387775318862124</v>
      </c>
      <c r="L8">
        <f t="shared" si="5"/>
        <v>5.012145313595072</v>
      </c>
      <c r="M8">
        <f t="shared" si="6"/>
        <v>4.732998736287036</v>
      </c>
      <c r="N8">
        <f t="shared" ref="N8" si="10">-LOG(H8,10)</f>
        <v>5.9547548881952297</v>
      </c>
      <c r="O8">
        <f t="shared" ref="O8" si="11">-LOG(I8,10)</f>
        <v>5.5356183689257534</v>
      </c>
      <c r="P8" s="4">
        <f>AVERAGE(J8:O8)</f>
        <v>5.3856006562872212</v>
      </c>
      <c r="Q8" s="4">
        <f>_xlfn.STDEV.S(J8:O8)/SQRT(COUNT(J8:O8))</f>
        <v>0.1806465948286255</v>
      </c>
      <c r="R8" s="4">
        <f t="shared" si="4"/>
        <v>4.1152795655161674</v>
      </c>
      <c r="S8" s="4"/>
      <c r="U8" s="1"/>
      <c r="V8" s="11"/>
      <c r="W8" s="11"/>
      <c r="X8" s="11"/>
      <c r="Y8" s="11"/>
    </row>
    <row r="9" spans="1:25" x14ac:dyDescent="0.2">
      <c r="A9" s="4" t="s">
        <v>66</v>
      </c>
      <c r="B9" s="4" t="s">
        <v>9</v>
      </c>
      <c r="C9" s="4" t="s">
        <v>1</v>
      </c>
      <c r="D9" s="1">
        <v>2.3425879999999999E-6</v>
      </c>
      <c r="E9" s="1">
        <v>3.6846159999999999E-6</v>
      </c>
      <c r="F9" s="1">
        <v>1.169967E-5</v>
      </c>
      <c r="G9" s="1">
        <v>1.6572079999999999E-5</v>
      </c>
      <c r="H9" s="1"/>
      <c r="I9" s="1"/>
      <c r="J9">
        <f>-LOG(D9,10)</f>
        <v>5.6303040857351405</v>
      </c>
      <c r="K9">
        <f t="shared" si="9"/>
        <v>5.4336077663587545</v>
      </c>
      <c r="L9">
        <f t="shared" si="5"/>
        <v>4.9318263877581288</v>
      </c>
      <c r="M9">
        <f t="shared" si="6"/>
        <v>4.7806229788570471</v>
      </c>
      <c r="P9" s="4">
        <f t="shared" ref="P9" si="12">AVERAGE(J9:M9)</f>
        <v>5.1940903046772675</v>
      </c>
      <c r="Q9" s="4">
        <f t="shared" ref="Q9" si="13">_xlfn.STDEV.S(J9:M9)/SQRT(COUNT(J9:M9))</f>
        <v>0.20153342751552031</v>
      </c>
      <c r="R9" s="4">
        <f t="shared" si="4"/>
        <v>6.3960182655808104</v>
      </c>
      <c r="S9" s="4"/>
    </row>
    <row r="10" spans="1:25" x14ac:dyDescent="0.2">
      <c r="A10" s="4"/>
      <c r="B10" s="4"/>
      <c r="C10" s="4"/>
      <c r="D10" s="1"/>
      <c r="E10" s="1"/>
      <c r="F10" s="1"/>
      <c r="G10" s="1"/>
      <c r="H10" s="1"/>
      <c r="I10" s="1"/>
      <c r="P10" s="4"/>
      <c r="Q10" s="4"/>
      <c r="R10" s="4"/>
      <c r="S10" s="4"/>
    </row>
    <row r="11" spans="1:25" x14ac:dyDescent="0.2">
      <c r="A11" s="4"/>
      <c r="B11" s="4"/>
      <c r="C11" s="4"/>
      <c r="D11" s="1"/>
      <c r="E11" s="1"/>
      <c r="F11" s="1"/>
      <c r="G11" s="1"/>
      <c r="H11" s="1"/>
      <c r="I11" s="1"/>
      <c r="P11" s="4"/>
      <c r="Q11" s="4"/>
      <c r="R11" s="4"/>
      <c r="S11" s="4"/>
    </row>
    <row r="12" spans="1:25" x14ac:dyDescent="0.2">
      <c r="A12" s="4"/>
      <c r="B12" s="4"/>
      <c r="C12" s="4"/>
      <c r="D12" s="1" t="s">
        <v>69</v>
      </c>
      <c r="E12" s="1"/>
      <c r="F12" s="1"/>
      <c r="G12" s="1"/>
      <c r="H12" s="1"/>
      <c r="I12" s="1"/>
      <c r="J12" t="s">
        <v>70</v>
      </c>
      <c r="P12" s="4"/>
      <c r="Q12" s="4"/>
      <c r="R12" s="4"/>
      <c r="S12" s="4"/>
      <c r="U12" s="1"/>
    </row>
    <row r="13" spans="1:25" x14ac:dyDescent="0.2">
      <c r="A13" s="4"/>
      <c r="B13" s="4"/>
      <c r="C13" s="4"/>
      <c r="D13" s="12">
        <f>_xlfn.T.TEST(J4:K4,J2:K2,1,3)</f>
        <v>4.3605244056828224E-2</v>
      </c>
      <c r="E13" s="1"/>
      <c r="F13" s="1"/>
      <c r="G13" s="1"/>
      <c r="H13" s="1"/>
      <c r="I13" s="1"/>
      <c r="J13">
        <f>POWER(10,-P2)/POWER(10,-P4)</f>
        <v>2.4338452227420659</v>
      </c>
      <c r="P13" s="4"/>
      <c r="Q13" s="4"/>
      <c r="R13" s="4"/>
      <c r="S13" s="4"/>
      <c r="U13" s="1"/>
    </row>
    <row r="14" spans="1:25" x14ac:dyDescent="0.2">
      <c r="A14" s="4"/>
      <c r="B14" s="4"/>
      <c r="C14" s="4"/>
      <c r="D14" s="12">
        <f>_xlfn.T.TEST(J5:K5,J3:K3,1,3)</f>
        <v>3.7764275637362996E-2</v>
      </c>
      <c r="E14" s="1"/>
      <c r="F14" s="1"/>
      <c r="G14" s="1"/>
      <c r="H14" s="1"/>
      <c r="I14" s="1"/>
      <c r="J14">
        <f>POWER(10,-P3)/POWER(10,-P5)</f>
        <v>2.6590559158704803</v>
      </c>
      <c r="P14" s="4"/>
      <c r="Q14" s="4"/>
      <c r="R14" s="4"/>
      <c r="S14" s="4"/>
      <c r="U14" s="1"/>
    </row>
    <row r="15" spans="1:25" x14ac:dyDescent="0.2">
      <c r="A15" s="4"/>
      <c r="B15" s="4"/>
      <c r="C15" s="4"/>
      <c r="D15" s="12">
        <f>_xlfn.T.TEST(J4:K4,J6:O6,1,3)</f>
        <v>2.0592481328632114E-2</v>
      </c>
      <c r="E15" s="1"/>
      <c r="F15" s="1"/>
      <c r="G15" s="1"/>
      <c r="H15" s="1"/>
      <c r="I15" s="1"/>
      <c r="J15">
        <f>POWER(10,-P6)/POWER(10,-P4)</f>
        <v>2.7949445035261484</v>
      </c>
      <c r="P15" s="4"/>
      <c r="Q15" s="4"/>
      <c r="R15" s="4"/>
      <c r="S15" s="4"/>
      <c r="U15" s="8"/>
      <c r="V15" s="8"/>
      <c r="W15" s="8"/>
      <c r="X15" s="8"/>
      <c r="Y15" s="8"/>
    </row>
    <row r="16" spans="1:25" x14ac:dyDescent="0.2">
      <c r="A16" s="4"/>
      <c r="B16" s="4"/>
      <c r="C16" s="4"/>
      <c r="D16" s="12">
        <f>_xlfn.T.TEST(J5:K5,J7:M7,1,3)</f>
        <v>7.6518533892269217E-2</v>
      </c>
      <c r="E16" s="1"/>
      <c r="F16" s="1"/>
      <c r="G16" s="1"/>
      <c r="H16" s="1"/>
      <c r="I16" s="1"/>
      <c r="J16">
        <f>POWER(10,-P7)/POWER(10,-P5)</f>
        <v>1.7672482883341598</v>
      </c>
      <c r="K16" s="1"/>
      <c r="L16" s="1"/>
      <c r="M16" s="1"/>
      <c r="N16" s="1"/>
      <c r="O16" s="1"/>
      <c r="P16" s="12"/>
      <c r="Q16" s="4"/>
      <c r="R16" s="4"/>
      <c r="S16" s="4"/>
      <c r="U16" s="8"/>
      <c r="V16" s="5"/>
      <c r="W16" s="8"/>
      <c r="X16" s="8"/>
      <c r="Y16" s="8"/>
    </row>
    <row r="17" spans="1:21" x14ac:dyDescent="0.2">
      <c r="A17" s="4"/>
      <c r="B17" s="4"/>
      <c r="C17" s="4"/>
      <c r="D17" s="12">
        <f>_xlfn.T.TEST(J4:K4,J8:O8,1,3)</f>
        <v>6.5582927349929598E-2</v>
      </c>
      <c r="E17" s="1"/>
      <c r="F17" s="1"/>
      <c r="G17" s="1"/>
      <c r="H17" s="1"/>
      <c r="I17" s="1"/>
      <c r="J17">
        <f>POWER(10,-P8)/POWER(10,-P4)</f>
        <v>2.1359433045644209</v>
      </c>
      <c r="M17" s="12"/>
      <c r="N17" s="12"/>
      <c r="O17" s="12"/>
      <c r="P17" s="12"/>
      <c r="Q17" s="4"/>
      <c r="R17" s="4"/>
      <c r="S17" s="4"/>
      <c r="U17" s="1"/>
    </row>
    <row r="18" spans="1:21" x14ac:dyDescent="0.2">
      <c r="A18" s="4"/>
      <c r="B18" s="4"/>
      <c r="C18" s="4"/>
      <c r="D18" s="12">
        <f>_xlfn.T.TEST(J5:K5,J9:M9,1,3)</f>
        <v>4.3236536099861618E-2</v>
      </c>
      <c r="E18" s="1"/>
      <c r="F18" s="1"/>
      <c r="G18" s="1"/>
      <c r="H18" s="1"/>
      <c r="I18" s="1"/>
      <c r="J18">
        <f>POWER(10,-P9)/POWER(10,-P5)</f>
        <v>3.1714507171145079</v>
      </c>
      <c r="K18" s="4"/>
      <c r="L18" s="4"/>
      <c r="M18" s="12"/>
      <c r="N18" s="12"/>
      <c r="O18" s="12"/>
      <c r="P18" s="12"/>
      <c r="Q18" s="4"/>
      <c r="R18" s="4"/>
      <c r="S18" s="4"/>
      <c r="U18" s="1"/>
    </row>
    <row r="19" spans="1:21" x14ac:dyDescent="0.2">
      <c r="A19" s="4"/>
      <c r="B19" s="4"/>
      <c r="C19" s="4"/>
      <c r="D19" s="1"/>
      <c r="E19" s="1"/>
      <c r="F19" s="1"/>
      <c r="G19" s="1"/>
      <c r="H19" s="1"/>
      <c r="I19" s="1"/>
      <c r="K19" s="4"/>
      <c r="L19" s="4"/>
      <c r="M19" s="12"/>
      <c r="N19" s="12"/>
      <c r="O19" s="12"/>
      <c r="P19" s="12"/>
      <c r="Q19" s="4"/>
      <c r="R19" s="4"/>
      <c r="S19" s="4"/>
      <c r="U19" s="1"/>
    </row>
    <row r="20" spans="1:21" x14ac:dyDescent="0.2">
      <c r="A20" s="4"/>
      <c r="B20" s="4"/>
      <c r="C20" s="4"/>
      <c r="D20" s="1"/>
      <c r="E20" s="1"/>
      <c r="F20" s="1"/>
      <c r="G20" s="1"/>
      <c r="H20" s="1"/>
      <c r="I20" s="1"/>
      <c r="M20" s="12"/>
      <c r="N20" s="12"/>
      <c r="O20" s="12"/>
      <c r="P20" s="12"/>
      <c r="Q20" s="4"/>
      <c r="R20" s="4"/>
      <c r="S20" s="4"/>
      <c r="U20" s="1"/>
    </row>
    <row r="21" spans="1:21" x14ac:dyDescent="0.2">
      <c r="A21" s="4"/>
      <c r="B21" s="4"/>
      <c r="C21" s="4"/>
      <c r="D21" s="1"/>
      <c r="E21" s="1"/>
      <c r="F21" s="1"/>
      <c r="G21" s="1"/>
      <c r="H21" s="1"/>
      <c r="I21" s="1"/>
      <c r="K21" s="14"/>
      <c r="L21" s="14"/>
      <c r="M21" s="12"/>
      <c r="N21" s="12"/>
      <c r="O21" s="12"/>
      <c r="P21" s="12"/>
      <c r="Q21" s="4"/>
      <c r="R21" s="4"/>
      <c r="S21" s="4"/>
      <c r="U21" s="1"/>
    </row>
    <row r="22" spans="1:21" x14ac:dyDescent="0.2">
      <c r="R22" s="4"/>
    </row>
    <row r="23" spans="1:21" x14ac:dyDescent="0.2">
      <c r="A23" s="3"/>
      <c r="B23" s="3"/>
      <c r="C23" s="3"/>
      <c r="D23" s="25"/>
      <c r="E23" s="25"/>
      <c r="F23" s="25"/>
      <c r="G23" s="25"/>
      <c r="H23" s="23"/>
      <c r="I23" s="23"/>
      <c r="J23" s="25"/>
      <c r="K23" s="25"/>
      <c r="L23" s="25"/>
      <c r="M23" s="25"/>
      <c r="N23" s="23"/>
      <c r="O23" s="23"/>
      <c r="P23" s="3"/>
      <c r="Q23" s="3"/>
      <c r="R23" s="4"/>
      <c r="S23" s="3"/>
    </row>
    <row r="24" spans="1:21" x14ac:dyDescent="0.2">
      <c r="A24" s="4"/>
      <c r="B24" s="4"/>
      <c r="C24" s="4"/>
      <c r="D24" s="1"/>
      <c r="E24" s="1"/>
      <c r="F24" s="1"/>
      <c r="G24" s="1"/>
      <c r="H24" s="1"/>
      <c r="I24" s="1"/>
      <c r="P24" s="4"/>
      <c r="Q24" s="4"/>
      <c r="R24" s="4"/>
      <c r="S24" s="4"/>
    </row>
    <row r="25" spans="1:21" x14ac:dyDescent="0.2">
      <c r="A25" s="4"/>
      <c r="B25" s="4"/>
      <c r="C25" s="4"/>
      <c r="D25" s="1"/>
      <c r="E25" s="1"/>
      <c r="F25" s="1"/>
      <c r="G25" s="1"/>
      <c r="H25" s="1"/>
      <c r="I25" s="1"/>
      <c r="P25" s="4"/>
      <c r="Q25" s="4"/>
      <c r="R25" s="4"/>
      <c r="S25" s="4"/>
    </row>
    <row r="26" spans="1:21" x14ac:dyDescent="0.2">
      <c r="A26" s="4"/>
      <c r="B26" s="4"/>
      <c r="C26" s="4"/>
      <c r="D26" s="1"/>
      <c r="E26" s="1"/>
      <c r="F26" s="1"/>
      <c r="G26" s="1"/>
      <c r="H26" s="1"/>
      <c r="I26" s="1"/>
      <c r="P26" s="4"/>
      <c r="Q26" s="4"/>
      <c r="R26" s="4"/>
      <c r="S26" s="4"/>
    </row>
    <row r="27" spans="1:21" x14ac:dyDescent="0.2">
      <c r="A27" s="4"/>
      <c r="B27" s="4"/>
      <c r="C27" s="4"/>
      <c r="D27" s="1"/>
      <c r="E27" s="1"/>
      <c r="F27" s="1"/>
      <c r="G27" s="1"/>
      <c r="H27" s="1"/>
      <c r="I27" s="1"/>
      <c r="P27" s="4"/>
      <c r="Q27" s="4"/>
      <c r="R27" s="4"/>
      <c r="S27" s="4"/>
    </row>
    <row r="28" spans="1:21" x14ac:dyDescent="0.2">
      <c r="A28" s="4"/>
      <c r="B28" s="4"/>
      <c r="C28" s="4"/>
      <c r="D28" s="1"/>
      <c r="E28" s="1"/>
      <c r="F28" s="1"/>
      <c r="G28" s="1"/>
      <c r="H28" s="1"/>
      <c r="I28" s="1"/>
      <c r="P28" s="4"/>
      <c r="Q28" s="4"/>
      <c r="R28" s="4"/>
      <c r="S28" s="4"/>
    </row>
    <row r="29" spans="1:21" x14ac:dyDescent="0.2">
      <c r="A29" s="4"/>
      <c r="B29" s="4"/>
      <c r="C29" s="4"/>
      <c r="D29" s="1"/>
      <c r="E29" s="1"/>
      <c r="F29" s="1"/>
      <c r="G29" s="1"/>
      <c r="H29" s="1"/>
      <c r="I29" s="1"/>
      <c r="P29" s="4"/>
      <c r="Q29" s="4"/>
      <c r="R29" s="4"/>
      <c r="S29" s="4"/>
    </row>
    <row r="30" spans="1:21" x14ac:dyDescent="0.2">
      <c r="A30" s="4"/>
      <c r="B30" s="4"/>
      <c r="C30" s="4"/>
      <c r="D30" s="1"/>
      <c r="E30" s="1"/>
      <c r="F30" s="1"/>
      <c r="G30" s="1"/>
      <c r="H30" s="1"/>
      <c r="I30" s="1"/>
      <c r="P30" s="4"/>
      <c r="Q30" s="4"/>
      <c r="R30" s="4"/>
      <c r="S30" s="4"/>
    </row>
    <row r="31" spans="1:21" x14ac:dyDescent="0.2">
      <c r="A31" s="4"/>
      <c r="B31" s="4"/>
      <c r="C31" s="4"/>
      <c r="D31" s="1"/>
      <c r="E31" s="1"/>
      <c r="F31" s="1"/>
      <c r="G31" s="1"/>
      <c r="H31" s="1"/>
      <c r="I31" s="1"/>
      <c r="P31" s="4"/>
      <c r="Q31" s="4"/>
      <c r="R31" s="4"/>
      <c r="S31" s="4"/>
    </row>
    <row r="32" spans="1:21" x14ac:dyDescent="0.2">
      <c r="A32" s="4"/>
      <c r="B32" s="4"/>
      <c r="C32" s="4"/>
      <c r="D32" s="1"/>
      <c r="E32" s="1"/>
      <c r="F32" s="1"/>
      <c r="G32" s="1"/>
      <c r="H32" s="1"/>
      <c r="I32" s="1"/>
      <c r="P32" s="4"/>
      <c r="Q32" s="4"/>
      <c r="R32" s="4"/>
      <c r="S32" s="4"/>
    </row>
    <row r="33" spans="1:24" x14ac:dyDescent="0.2">
      <c r="A33" s="4"/>
      <c r="B33" s="4"/>
      <c r="C33" s="4"/>
      <c r="D33" s="1"/>
      <c r="E33" s="1"/>
      <c r="F33" s="1"/>
      <c r="G33" s="1"/>
      <c r="H33" s="1"/>
      <c r="I33" s="1"/>
      <c r="P33" s="4"/>
      <c r="Q33" s="4"/>
      <c r="R33" s="4"/>
      <c r="S33" s="4"/>
    </row>
    <row r="34" spans="1:24" x14ac:dyDescent="0.2">
      <c r="A34" s="4"/>
      <c r="B34" s="4"/>
      <c r="C34" s="4"/>
      <c r="D34" s="1"/>
      <c r="E34" s="1"/>
      <c r="F34" s="1"/>
      <c r="G34" s="1"/>
      <c r="H34" s="1"/>
      <c r="I34" s="1"/>
      <c r="P34" s="4"/>
      <c r="Q34" s="4"/>
      <c r="R34" s="4"/>
      <c r="S34" s="4"/>
      <c r="U34" s="8"/>
    </row>
    <row r="35" spans="1:24" x14ac:dyDescent="0.2">
      <c r="A35" s="4"/>
      <c r="B35" s="4"/>
      <c r="C35" s="4"/>
      <c r="D35" s="1"/>
      <c r="E35" s="1"/>
      <c r="F35" s="1"/>
      <c r="P35" s="4"/>
      <c r="Q35" s="4"/>
      <c r="R35" s="4"/>
      <c r="S35" s="4"/>
    </row>
    <row r="36" spans="1:24" x14ac:dyDescent="0.2">
      <c r="B36" s="4"/>
      <c r="C36" s="4"/>
      <c r="P36" s="4"/>
      <c r="Q36" s="4"/>
      <c r="R36" s="4"/>
      <c r="S36" s="4"/>
    </row>
    <row r="37" spans="1:24" x14ac:dyDescent="0.2">
      <c r="A37" s="4"/>
      <c r="B37" s="4"/>
      <c r="C37" s="4"/>
      <c r="P37" s="4"/>
      <c r="Q37" s="4"/>
      <c r="R37" s="4"/>
      <c r="S37" s="4"/>
      <c r="T37" s="17"/>
      <c r="U37" s="4"/>
      <c r="V37" s="7"/>
      <c r="W37" s="4"/>
      <c r="X37" s="4"/>
    </row>
    <row r="38" spans="1:24" x14ac:dyDescent="0.2">
      <c r="B38" s="4"/>
      <c r="C38" s="4"/>
      <c r="D38" s="1"/>
      <c r="E38" s="1"/>
      <c r="F38" s="1"/>
      <c r="G38" s="1"/>
      <c r="H38" s="1"/>
      <c r="I38" s="1"/>
      <c r="P38" s="4"/>
      <c r="Q38" s="4"/>
      <c r="R38" s="4"/>
      <c r="S38" s="4"/>
      <c r="T38"/>
      <c r="U38" s="16"/>
    </row>
    <row r="39" spans="1:24" x14ac:dyDescent="0.2">
      <c r="C39" s="4"/>
      <c r="D39" s="1"/>
      <c r="E39" s="1"/>
      <c r="F39" s="1"/>
      <c r="G39" s="1"/>
      <c r="H39" s="1"/>
      <c r="I39" s="1"/>
      <c r="P39" s="4"/>
      <c r="Q39" s="4"/>
      <c r="R39" s="4"/>
      <c r="S39" s="4"/>
      <c r="T39"/>
    </row>
    <row r="40" spans="1:24" x14ac:dyDescent="0.2">
      <c r="D40" s="1"/>
      <c r="E40" s="1"/>
      <c r="F40" s="1"/>
      <c r="G40" s="1"/>
      <c r="H40" s="1"/>
      <c r="I40" s="1"/>
      <c r="P40" s="4"/>
      <c r="Q40" s="4"/>
      <c r="R40" s="4"/>
      <c r="S40" s="4"/>
    </row>
    <row r="41" spans="1:24" x14ac:dyDescent="0.2">
      <c r="D41" s="1"/>
      <c r="E41" s="1"/>
      <c r="F41" s="1"/>
      <c r="G41" s="1"/>
      <c r="H41" s="1"/>
      <c r="I41" s="1"/>
      <c r="P41" s="4"/>
      <c r="Q41" s="4"/>
      <c r="R41" s="4"/>
      <c r="S41" s="4"/>
      <c r="T41"/>
    </row>
    <row r="42" spans="1:24" x14ac:dyDescent="0.2">
      <c r="C42" s="4"/>
      <c r="D42" s="1"/>
      <c r="E42" s="1"/>
      <c r="F42" s="1"/>
      <c r="G42" s="1"/>
      <c r="H42" s="1"/>
      <c r="I42" s="1"/>
      <c r="P42" s="4"/>
      <c r="Q42" s="4"/>
      <c r="R42" s="4"/>
      <c r="S42" s="4"/>
      <c r="T42"/>
    </row>
    <row r="43" spans="1:24" x14ac:dyDescent="0.2">
      <c r="D43" s="1"/>
      <c r="E43" s="1"/>
      <c r="F43" s="1"/>
      <c r="P43" s="4"/>
      <c r="Q43" s="4"/>
      <c r="R43" s="4"/>
      <c r="S43" s="4"/>
    </row>
    <row r="44" spans="1:24" x14ac:dyDescent="0.2">
      <c r="D44" s="1"/>
      <c r="E44" s="1"/>
      <c r="F44" s="1"/>
      <c r="P44" s="4"/>
      <c r="Q44" s="4"/>
      <c r="R44" s="4"/>
      <c r="S44" s="4"/>
    </row>
    <row r="45" spans="1:24" x14ac:dyDescent="0.2">
      <c r="D45" s="1"/>
      <c r="E45" s="1"/>
      <c r="F45" s="1"/>
      <c r="P45" s="4"/>
      <c r="Q45" s="4"/>
      <c r="R45" s="4"/>
      <c r="S45" s="4"/>
      <c r="U45" s="8"/>
    </row>
    <row r="46" spans="1:24" x14ac:dyDescent="0.2">
      <c r="D46" s="1"/>
      <c r="E46" s="1"/>
      <c r="F46" s="1"/>
      <c r="P46" s="4"/>
      <c r="Q46" s="4"/>
      <c r="R46" s="4"/>
      <c r="S46" s="4"/>
    </row>
    <row r="47" spans="1:24" x14ac:dyDescent="0.2">
      <c r="D47" s="1"/>
      <c r="E47" s="1"/>
      <c r="F47" s="1"/>
      <c r="P47" s="4"/>
      <c r="Q47" s="4"/>
      <c r="R47" s="4"/>
      <c r="S47" s="4"/>
    </row>
    <row r="48" spans="1:24" x14ac:dyDescent="0.2">
      <c r="D48" s="1"/>
      <c r="E48" s="1"/>
      <c r="F48" s="1"/>
      <c r="P48" s="4"/>
      <c r="Q48" s="4"/>
      <c r="R48" s="4"/>
      <c r="S48" s="4"/>
    </row>
    <row r="49" spans="4:25" x14ac:dyDescent="0.2">
      <c r="D49" s="1"/>
      <c r="E49" s="1"/>
      <c r="F49" s="1"/>
      <c r="P49" s="4"/>
      <c r="Q49" s="4"/>
      <c r="R49" s="4"/>
      <c r="S49" s="4"/>
    </row>
    <row r="50" spans="4:25" x14ac:dyDescent="0.2">
      <c r="D50" s="1"/>
      <c r="E50" s="1"/>
      <c r="F50" s="1"/>
      <c r="P50" s="4"/>
      <c r="Q50" s="4"/>
      <c r="R50" s="4"/>
      <c r="S50" s="4"/>
    </row>
    <row r="51" spans="4:25" x14ac:dyDescent="0.2">
      <c r="D51" s="1"/>
      <c r="E51" s="1"/>
      <c r="F51" s="1"/>
      <c r="P51" s="4"/>
      <c r="Q51" s="4"/>
      <c r="R51" s="4"/>
      <c r="S51" s="4"/>
    </row>
    <row r="52" spans="4:25" x14ac:dyDescent="0.2">
      <c r="D52" s="1"/>
      <c r="E52" s="1"/>
      <c r="F52" s="1"/>
      <c r="P52" s="4"/>
      <c r="Q52" s="4"/>
      <c r="R52" s="4"/>
      <c r="S52" s="4"/>
    </row>
    <row r="53" spans="4:25" x14ac:dyDescent="0.2">
      <c r="D53" s="1"/>
      <c r="E53" s="1"/>
      <c r="F53" s="1"/>
      <c r="P53" s="4"/>
      <c r="Q53" s="4"/>
      <c r="R53" s="4"/>
      <c r="S53" s="4"/>
    </row>
    <row r="54" spans="4:25" x14ac:dyDescent="0.2">
      <c r="D54" s="1"/>
      <c r="E54" s="1"/>
      <c r="F54" s="1"/>
      <c r="P54" s="4"/>
      <c r="Q54" s="4"/>
      <c r="R54" s="4"/>
      <c r="S54" s="4"/>
    </row>
    <row r="55" spans="4:25" x14ac:dyDescent="0.2">
      <c r="D55" s="1"/>
      <c r="E55" s="1"/>
      <c r="F55" s="1"/>
      <c r="P55" s="4"/>
      <c r="Q55" s="4"/>
      <c r="R55" s="4"/>
      <c r="S55" s="4"/>
    </row>
    <row r="56" spans="4:25" x14ac:dyDescent="0.2">
      <c r="D56" s="1"/>
      <c r="E56" s="1"/>
      <c r="F56" s="1"/>
      <c r="G56" s="1"/>
      <c r="H56" s="1"/>
      <c r="I56" s="1"/>
      <c r="P56" s="4"/>
      <c r="Q56" s="4"/>
      <c r="R56" s="4"/>
      <c r="S56" s="4"/>
    </row>
    <row r="57" spans="4:25" x14ac:dyDescent="0.2">
      <c r="D57" s="1"/>
      <c r="E57" s="1"/>
      <c r="F57" s="1"/>
      <c r="G57" s="1"/>
      <c r="H57" s="1"/>
      <c r="I57" s="1"/>
      <c r="P57" s="4"/>
      <c r="Q57" s="4"/>
      <c r="R57" s="4"/>
      <c r="S57" s="4"/>
    </row>
    <row r="58" spans="4:25" x14ac:dyDescent="0.2">
      <c r="D58" s="1"/>
      <c r="E58" s="1"/>
      <c r="F58" s="1"/>
      <c r="G58" s="1"/>
      <c r="H58" s="1"/>
      <c r="I58" s="1"/>
      <c r="P58" s="4"/>
      <c r="Q58" s="4"/>
      <c r="R58" s="4"/>
      <c r="S58" s="4"/>
    </row>
    <row r="59" spans="4:25" x14ac:dyDescent="0.2">
      <c r="D59" s="1"/>
      <c r="E59" s="1"/>
      <c r="F59" s="1"/>
      <c r="G59" s="1"/>
      <c r="H59" s="1"/>
      <c r="I59" s="1"/>
      <c r="P59" s="4"/>
      <c r="Q59" s="4"/>
      <c r="R59" s="4"/>
      <c r="S59" s="4"/>
    </row>
    <row r="61" spans="4:25" x14ac:dyDescent="0.2">
      <c r="D61" s="1"/>
      <c r="E61" s="1"/>
      <c r="F61" s="1"/>
      <c r="P61" s="4"/>
      <c r="Q61" s="4"/>
      <c r="R61" s="4"/>
      <c r="S61" s="4"/>
    </row>
    <row r="62" spans="4:25" x14ac:dyDescent="0.2">
      <c r="D62" s="1"/>
      <c r="E62" s="1"/>
      <c r="F62" s="1"/>
      <c r="P62" s="4"/>
      <c r="Q62" s="4"/>
      <c r="R62" s="4"/>
      <c r="S62" s="4"/>
    </row>
    <row r="63" spans="4:25" x14ac:dyDescent="0.2">
      <c r="D63" s="1"/>
      <c r="E63" s="1"/>
      <c r="F63" s="1"/>
      <c r="P63" s="4"/>
      <c r="Q63" s="4"/>
      <c r="R63" s="4"/>
      <c r="S63" s="4"/>
      <c r="V63" s="9"/>
      <c r="W63" s="9"/>
      <c r="X63" s="9"/>
      <c r="Y63" s="9"/>
    </row>
    <row r="64" spans="4:25" x14ac:dyDescent="0.2">
      <c r="D64" s="1"/>
      <c r="E64" s="1"/>
      <c r="F64" s="1"/>
      <c r="P64" s="4"/>
      <c r="Q64" s="4"/>
      <c r="R64" s="4"/>
      <c r="S64" s="4"/>
      <c r="V64" s="9"/>
      <c r="W64" s="9"/>
      <c r="X64" s="9"/>
      <c r="Y64" s="9"/>
    </row>
    <row r="65" spans="21:25" x14ac:dyDescent="0.2">
      <c r="V65" s="9"/>
      <c r="W65" s="9"/>
      <c r="X65" s="9"/>
      <c r="Y65" s="9"/>
    </row>
    <row r="70" spans="21:25" x14ac:dyDescent="0.2">
      <c r="V70" s="9"/>
      <c r="W70" s="9"/>
      <c r="X70" s="9"/>
      <c r="Y70" s="9"/>
    </row>
    <row r="71" spans="21:25" x14ac:dyDescent="0.2">
      <c r="V71" s="9"/>
      <c r="W71" s="9"/>
      <c r="X71" s="9"/>
      <c r="Y71" s="9"/>
    </row>
    <row r="72" spans="21:25" x14ac:dyDescent="0.2">
      <c r="V72" s="9"/>
      <c r="W72" s="9"/>
      <c r="X72" s="9"/>
      <c r="Y72" s="9"/>
    </row>
    <row r="75" spans="21:25" x14ac:dyDescent="0.2">
      <c r="U75" s="4"/>
      <c r="V75" s="7"/>
      <c r="W75" s="4"/>
      <c r="X75" s="4"/>
      <c r="Y75" s="4"/>
    </row>
    <row r="76" spans="21:25" x14ac:dyDescent="0.2">
      <c r="U76" s="4"/>
      <c r="V76" s="10"/>
      <c r="W76" s="10"/>
      <c r="X76" s="10"/>
      <c r="Y76" s="10"/>
    </row>
    <row r="77" spans="21:25" x14ac:dyDescent="0.2">
      <c r="U77" s="4"/>
      <c r="V77" s="10"/>
      <c r="W77" s="10"/>
      <c r="X77" s="10"/>
      <c r="Y77" s="10"/>
    </row>
    <row r="78" spans="21:25" x14ac:dyDescent="0.2">
      <c r="U78" s="4"/>
      <c r="V78" s="10"/>
      <c r="W78" s="10"/>
      <c r="X78" s="10"/>
      <c r="Y78" s="10"/>
    </row>
    <row r="79" spans="21:25" x14ac:dyDescent="0.2">
      <c r="U79" s="4"/>
      <c r="V79" s="10"/>
      <c r="W79" s="10"/>
      <c r="X79" s="10"/>
      <c r="Y79" s="10"/>
    </row>
    <row r="80" spans="21:25" x14ac:dyDescent="0.2">
      <c r="U80" s="4"/>
      <c r="V80" s="10"/>
      <c r="W80" s="10"/>
      <c r="X80" s="10"/>
      <c r="Y80" s="10"/>
    </row>
    <row r="81" spans="21:25" x14ac:dyDescent="0.2">
      <c r="U81" s="4"/>
      <c r="V81" s="10"/>
      <c r="W81" s="10"/>
      <c r="X81" s="10"/>
      <c r="Y81" s="10"/>
    </row>
    <row r="82" spans="21:25" x14ac:dyDescent="0.2">
      <c r="U82" s="4"/>
      <c r="V82" s="10"/>
      <c r="W82" s="10"/>
      <c r="X82" s="10"/>
      <c r="Y82" s="10"/>
    </row>
    <row r="83" spans="21:25" x14ac:dyDescent="0.2">
      <c r="U83" s="4"/>
      <c r="V83" s="10"/>
      <c r="W83" s="10"/>
      <c r="X83" s="10"/>
      <c r="Y83" s="10"/>
    </row>
    <row r="84" spans="21:25" x14ac:dyDescent="0.2">
      <c r="U84" s="4"/>
      <c r="V84" s="10"/>
      <c r="W84" s="10"/>
      <c r="X84" s="10"/>
      <c r="Y84" s="10"/>
    </row>
    <row r="85" spans="21:25" x14ac:dyDescent="0.2">
      <c r="U85" s="4"/>
      <c r="V85" s="10"/>
      <c r="W85" s="10"/>
      <c r="X85" s="10"/>
      <c r="Y85" s="10"/>
    </row>
  </sheetData>
  <mergeCells count="4">
    <mergeCell ref="D1:G1"/>
    <mergeCell ref="J1:M1"/>
    <mergeCell ref="D23:G23"/>
    <mergeCell ref="J23:M2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4" workbookViewId="0">
      <selection activeCell="M57" sqref="M57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5" max="5" width="11.1640625" bestFit="1" customWidth="1"/>
    <col min="7" max="7" width="12.1640625" bestFit="1" customWidth="1"/>
  </cols>
  <sheetData>
    <row r="1" spans="1:11" x14ac:dyDescent="0.2">
      <c r="A1" t="s">
        <v>10</v>
      </c>
      <c r="G1" t="str">
        <f>A1</f>
        <v>1504_ancPlant_dsrm</v>
      </c>
    </row>
    <row r="2" spans="1:11" x14ac:dyDescent="0.2">
      <c r="A2" t="s">
        <v>11</v>
      </c>
      <c r="B2" t="s">
        <v>12</v>
      </c>
      <c r="C2" t="s">
        <v>13</v>
      </c>
      <c r="D2" t="s">
        <v>12</v>
      </c>
      <c r="E2" t="s">
        <v>13</v>
      </c>
      <c r="G2" t="s">
        <v>11</v>
      </c>
      <c r="H2" t="s">
        <v>13</v>
      </c>
      <c r="I2" t="s">
        <v>12</v>
      </c>
      <c r="J2" t="s">
        <v>15</v>
      </c>
      <c r="K2" t="s">
        <v>14</v>
      </c>
    </row>
    <row r="3" spans="1:11" x14ac:dyDescent="0.2">
      <c r="A3" s="1">
        <v>4.9999999999999998E-8</v>
      </c>
      <c r="B3">
        <v>0.10059999999999999</v>
      </c>
      <c r="C3">
        <v>0.1215</v>
      </c>
      <c r="D3">
        <v>2.7799999999999998E-2</v>
      </c>
      <c r="E3">
        <v>0.16589999999999999</v>
      </c>
      <c r="G3" s="13">
        <f>A3*1000000</f>
        <v>4.9999999999999996E-2</v>
      </c>
      <c r="H3" s="13">
        <f>AVERAGE(C3,E3)</f>
        <v>0.14369999999999999</v>
      </c>
      <c r="I3" s="13">
        <f>AVERAGE(B3,D3)</f>
        <v>6.4199999999999993E-2</v>
      </c>
      <c r="J3" s="13">
        <f>_xlfn.STDEV.S(E3,C3)/SQRT(2)</f>
        <v>2.2200000000000029E-2</v>
      </c>
      <c r="K3" s="13">
        <f>_xlfn.STDEV.S(D3,B3)/SQRT(2)</f>
        <v>3.6399999999999995E-2</v>
      </c>
    </row>
    <row r="4" spans="1:11" x14ac:dyDescent="0.2">
      <c r="A4" s="1">
        <v>9.1500000000000003E-7</v>
      </c>
      <c r="B4">
        <v>0.1021</v>
      </c>
      <c r="C4">
        <v>0.1313</v>
      </c>
      <c r="D4">
        <v>1.6899999999999998E-2</v>
      </c>
      <c r="E4">
        <v>1.55E-2</v>
      </c>
      <c r="G4" s="13">
        <f t="shared" ref="G4:G10" si="0">A4*1000000</f>
        <v>0.91500000000000004</v>
      </c>
      <c r="H4" s="13">
        <f t="shared" ref="H4:H10" si="1">AVERAGE(C4,E4)</f>
        <v>7.3399999999999993E-2</v>
      </c>
      <c r="I4" s="13">
        <f t="shared" ref="I4:I10" si="2">AVERAGE(B4,D4)</f>
        <v>5.9499999999999997E-2</v>
      </c>
      <c r="J4" s="13">
        <f t="shared" ref="J4:J10" si="3">_xlfn.STDEV.S(E4,C4)/SQRT(2)</f>
        <v>5.7900000000000007E-2</v>
      </c>
      <c r="K4" s="13">
        <f t="shared" ref="K4:K10" si="4">_xlfn.STDEV.S(D4,B4)/SQRT(2)</f>
        <v>4.2599999999999999E-2</v>
      </c>
    </row>
    <row r="5" spans="1:11" x14ac:dyDescent="0.2">
      <c r="A5" s="1">
        <v>1.84E-6</v>
      </c>
      <c r="B5">
        <v>0.29089999999999999</v>
      </c>
      <c r="C5">
        <v>0.32179999999999997</v>
      </c>
      <c r="D5">
        <v>0.29039999999999999</v>
      </c>
      <c r="E5">
        <v>0.34010000000000001</v>
      </c>
      <c r="G5" s="13">
        <f t="shared" si="0"/>
        <v>1.8399999999999999</v>
      </c>
      <c r="H5" s="13">
        <f t="shared" si="1"/>
        <v>0.33094999999999997</v>
      </c>
      <c r="I5" s="13">
        <f t="shared" si="2"/>
        <v>0.29064999999999996</v>
      </c>
      <c r="J5" s="13">
        <f t="shared" si="3"/>
        <v>9.1500000000000192E-3</v>
      </c>
      <c r="K5" s="13">
        <f t="shared" si="4"/>
        <v>2.5000000000000022E-4</v>
      </c>
    </row>
    <row r="6" spans="1:11" x14ac:dyDescent="0.2">
      <c r="A6" s="1">
        <v>3.5999999999999998E-6</v>
      </c>
      <c r="B6">
        <v>0.56679999999999997</v>
      </c>
      <c r="C6">
        <v>0.5474</v>
      </c>
      <c r="D6">
        <v>0.5464</v>
      </c>
      <c r="E6">
        <v>0.5161</v>
      </c>
      <c r="G6" s="13">
        <f t="shared" si="0"/>
        <v>3.5999999999999996</v>
      </c>
      <c r="H6" s="13">
        <f t="shared" si="1"/>
        <v>0.53174999999999994</v>
      </c>
      <c r="I6" s="13">
        <f t="shared" si="2"/>
        <v>0.55659999999999998</v>
      </c>
      <c r="J6" s="13">
        <f t="shared" si="3"/>
        <v>1.5649999999999997E-2</v>
      </c>
      <c r="K6" s="13">
        <f t="shared" si="4"/>
        <v>1.0199999999999987E-2</v>
      </c>
    </row>
    <row r="7" spans="1:11" x14ac:dyDescent="0.2">
      <c r="A7" s="1">
        <v>5.4999999999999999E-6</v>
      </c>
      <c r="B7">
        <v>0.92369999999999997</v>
      </c>
      <c r="C7">
        <v>0.85119999999999996</v>
      </c>
      <c r="D7">
        <v>1.0201</v>
      </c>
      <c r="E7">
        <v>0.95469999999999999</v>
      </c>
      <c r="G7" s="13">
        <f t="shared" si="0"/>
        <v>5.5</v>
      </c>
      <c r="H7" s="13">
        <f t="shared" si="1"/>
        <v>0.90294999999999992</v>
      </c>
      <c r="I7" s="13">
        <f t="shared" si="2"/>
        <v>0.97189999999999999</v>
      </c>
      <c r="J7" s="13">
        <f t="shared" si="3"/>
        <v>5.1750000000000011E-2</v>
      </c>
      <c r="K7" s="13">
        <f t="shared" si="4"/>
        <v>4.8200000000000021E-2</v>
      </c>
    </row>
    <row r="8" spans="1:11" x14ac:dyDescent="0.2">
      <c r="A8" s="1">
        <v>7.3000000000000004E-6</v>
      </c>
      <c r="B8">
        <v>1.3473999999999999</v>
      </c>
      <c r="C8">
        <v>1.2405999999999999</v>
      </c>
      <c r="D8">
        <v>1.4809000000000001</v>
      </c>
      <c r="E8">
        <v>1.3487</v>
      </c>
      <c r="G8" s="13">
        <f t="shared" si="0"/>
        <v>7.3000000000000007</v>
      </c>
      <c r="H8" s="13">
        <f t="shared" si="1"/>
        <v>1.2946499999999999</v>
      </c>
      <c r="I8" s="13">
        <f t="shared" si="2"/>
        <v>1.41415</v>
      </c>
      <c r="J8" s="13">
        <f t="shared" si="3"/>
        <v>5.4050000000000036E-2</v>
      </c>
      <c r="K8" s="13">
        <f t="shared" si="4"/>
        <v>6.6750000000000087E-2</v>
      </c>
    </row>
    <row r="9" spans="1:11" x14ac:dyDescent="0.2">
      <c r="A9" s="1">
        <v>1.1E-5</v>
      </c>
      <c r="B9">
        <v>1.6686000000000001</v>
      </c>
      <c r="C9">
        <v>1.5450999999999999</v>
      </c>
      <c r="D9">
        <v>1.8654999999999999</v>
      </c>
      <c r="E9">
        <v>1.7271000000000001</v>
      </c>
      <c r="G9" s="13">
        <f t="shared" si="0"/>
        <v>11</v>
      </c>
      <c r="H9" s="13">
        <f t="shared" si="1"/>
        <v>1.6360999999999999</v>
      </c>
      <c r="I9" s="13">
        <f t="shared" si="2"/>
        <v>1.76705</v>
      </c>
      <c r="J9" s="13">
        <f t="shared" si="3"/>
        <v>9.1000000000000067E-2</v>
      </c>
      <c r="K9" s="13">
        <f t="shared" si="4"/>
        <v>9.8449999999999926E-2</v>
      </c>
    </row>
    <row r="10" spans="1:11" x14ac:dyDescent="0.2">
      <c r="A10" s="1">
        <v>2.0999999999999999E-5</v>
      </c>
      <c r="B10">
        <v>2.2301000000000002</v>
      </c>
      <c r="C10">
        <v>2.0994999999999999</v>
      </c>
      <c r="D10">
        <v>2.2423000000000002</v>
      </c>
      <c r="E10">
        <v>2.1223000000000001</v>
      </c>
      <c r="G10" s="13">
        <f t="shared" si="0"/>
        <v>21</v>
      </c>
      <c r="H10" s="13">
        <f t="shared" si="1"/>
        <v>2.1109</v>
      </c>
      <c r="I10" s="13">
        <f t="shared" si="2"/>
        <v>2.2362000000000002</v>
      </c>
      <c r="J10" s="13">
        <f t="shared" si="3"/>
        <v>1.1400000000000077E-2</v>
      </c>
      <c r="K10" s="13">
        <f t="shared" si="4"/>
        <v>6.0999999999999943E-3</v>
      </c>
    </row>
    <row r="12" spans="1:11" x14ac:dyDescent="0.2">
      <c r="A12" t="s">
        <v>16</v>
      </c>
      <c r="G12" t="str">
        <f>A12</f>
        <v>1731_ancPlant_DRB4_dsrm1</v>
      </c>
    </row>
    <row r="13" spans="1:11" x14ac:dyDescent="0.2">
      <c r="A13" t="s">
        <v>11</v>
      </c>
      <c r="B13" t="s">
        <v>12</v>
      </c>
      <c r="C13" t="s">
        <v>13</v>
      </c>
      <c r="D13" t="s">
        <v>12</v>
      </c>
      <c r="E13" t="s">
        <v>13</v>
      </c>
      <c r="G13" t="s">
        <v>11</v>
      </c>
      <c r="H13" t="s">
        <v>13</v>
      </c>
      <c r="I13" t="s">
        <v>12</v>
      </c>
      <c r="J13" t="s">
        <v>15</v>
      </c>
      <c r="K13" t="s">
        <v>14</v>
      </c>
    </row>
    <row r="14" spans="1:11" x14ac:dyDescent="0.2">
      <c r="A14" s="1">
        <v>4.9999999999999998E-8</v>
      </c>
      <c r="B14">
        <v>7.4899999999999994E-2</v>
      </c>
      <c r="C14">
        <v>0.26069999999999999</v>
      </c>
      <c r="D14">
        <v>0.1077</v>
      </c>
      <c r="E14">
        <v>0.1087</v>
      </c>
      <c r="G14" s="13">
        <f>A14*1000000</f>
        <v>4.9999999999999996E-2</v>
      </c>
      <c r="H14" s="13">
        <f>AVERAGE(C14,E14)</f>
        <v>0.1847</v>
      </c>
      <c r="I14" s="13">
        <f>AVERAGE(B14,D14)</f>
        <v>9.1299999999999992E-2</v>
      </c>
      <c r="J14" s="13">
        <f>_xlfn.STDEV.S(E14,C14)/SQRT(2)</f>
        <v>7.599999999999997E-2</v>
      </c>
      <c r="K14" s="13">
        <f>_xlfn.STDEV.S(D14,B14)/SQRT(2)</f>
        <v>1.6400000000000064E-2</v>
      </c>
    </row>
    <row r="15" spans="1:11" x14ac:dyDescent="0.2">
      <c r="A15" s="1">
        <v>9.1500000000000003E-7</v>
      </c>
      <c r="B15">
        <v>1.2500000000000001E-2</v>
      </c>
      <c r="C15">
        <v>0.21909999999999999</v>
      </c>
      <c r="D15">
        <v>0.1351</v>
      </c>
      <c r="E15">
        <v>0.14180000000000001</v>
      </c>
      <c r="G15" s="13">
        <f t="shared" ref="G15:G21" si="5">A15*1000000</f>
        <v>0.91500000000000004</v>
      </c>
      <c r="H15" s="13">
        <f t="shared" ref="H15:H21" si="6">AVERAGE(C15,E15)</f>
        <v>0.18045</v>
      </c>
      <c r="I15" s="13">
        <f t="shared" ref="I15:I21" si="7">AVERAGE(B15,D15)</f>
        <v>7.3800000000000004E-2</v>
      </c>
      <c r="J15" s="13">
        <f t="shared" ref="J15:J21" si="8">_xlfn.STDEV.S(E15,C15)/SQRT(2)</f>
        <v>3.8649999999999983E-2</v>
      </c>
      <c r="K15" s="13">
        <f t="shared" ref="K15:K21" si="9">_xlfn.STDEV.S(D15,B15)/SQRT(2)</f>
        <v>6.1299999999999986E-2</v>
      </c>
    </row>
    <row r="16" spans="1:11" x14ac:dyDescent="0.2">
      <c r="A16" s="1">
        <v>1.84E-6</v>
      </c>
      <c r="B16">
        <v>0.2457</v>
      </c>
      <c r="C16">
        <v>0.23749999999999999</v>
      </c>
      <c r="D16">
        <v>0.42149999999999999</v>
      </c>
      <c r="E16">
        <v>0.46829999999999999</v>
      </c>
      <c r="G16" s="13">
        <f t="shared" si="5"/>
        <v>1.8399999999999999</v>
      </c>
      <c r="H16" s="13">
        <f t="shared" si="6"/>
        <v>0.35289999999999999</v>
      </c>
      <c r="I16" s="13">
        <f t="shared" si="7"/>
        <v>0.33360000000000001</v>
      </c>
      <c r="J16" s="13">
        <f t="shared" si="8"/>
        <v>0.11540000000000009</v>
      </c>
      <c r="K16" s="13">
        <f t="shared" si="9"/>
        <v>8.7899999999999937E-2</v>
      </c>
    </row>
    <row r="17" spans="1:11" x14ac:dyDescent="0.2">
      <c r="A17" s="1">
        <v>3.5999999999999998E-6</v>
      </c>
      <c r="B17">
        <v>0.47870000000000001</v>
      </c>
      <c r="C17">
        <v>0.46310000000000001</v>
      </c>
      <c r="D17">
        <v>0.76119999999999999</v>
      </c>
      <c r="E17">
        <v>0.72140000000000004</v>
      </c>
      <c r="G17" s="13">
        <f t="shared" si="5"/>
        <v>3.5999999999999996</v>
      </c>
      <c r="H17" s="13">
        <f t="shared" si="6"/>
        <v>0.59225000000000005</v>
      </c>
      <c r="I17" s="13">
        <f t="shared" si="7"/>
        <v>0.61995</v>
      </c>
      <c r="J17" s="13">
        <f t="shared" si="8"/>
        <v>0.12914999999999976</v>
      </c>
      <c r="K17" s="13">
        <f t="shared" si="9"/>
        <v>0.14125000000000007</v>
      </c>
    </row>
    <row r="18" spans="1:11" x14ac:dyDescent="0.2">
      <c r="A18" s="1">
        <v>5.4999999999999999E-6</v>
      </c>
      <c r="B18">
        <v>1.5476000000000001</v>
      </c>
      <c r="C18">
        <v>1.5368999999999999</v>
      </c>
      <c r="D18">
        <v>1.3072999999999999</v>
      </c>
      <c r="E18">
        <v>1.1842999999999999</v>
      </c>
      <c r="G18" s="13">
        <f t="shared" si="5"/>
        <v>5.5</v>
      </c>
      <c r="H18" s="13">
        <f t="shared" si="6"/>
        <v>1.3605999999999998</v>
      </c>
      <c r="I18" s="13">
        <f t="shared" si="7"/>
        <v>1.4274499999999999</v>
      </c>
      <c r="J18" s="13">
        <f t="shared" si="8"/>
        <v>0.17630000000000046</v>
      </c>
      <c r="K18" s="13">
        <f t="shared" si="9"/>
        <v>0.12015000000000008</v>
      </c>
    </row>
    <row r="19" spans="1:11" x14ac:dyDescent="0.2">
      <c r="A19" s="1">
        <v>7.3000000000000004E-6</v>
      </c>
      <c r="B19">
        <v>1.9373</v>
      </c>
      <c r="C19">
        <v>1.7762</v>
      </c>
      <c r="D19">
        <v>1.9621999999999999</v>
      </c>
      <c r="E19">
        <v>1.7887999999999999</v>
      </c>
      <c r="G19" s="13">
        <f t="shared" si="5"/>
        <v>7.3000000000000007</v>
      </c>
      <c r="H19" s="13">
        <f t="shared" si="6"/>
        <v>1.7825</v>
      </c>
      <c r="I19" s="13">
        <f t="shared" si="7"/>
        <v>1.9497499999999999</v>
      </c>
      <c r="J19" s="13">
        <f t="shared" si="8"/>
        <v>6.2999999999999714E-3</v>
      </c>
      <c r="K19" s="13">
        <f t="shared" si="9"/>
        <v>1.2449999999999961E-2</v>
      </c>
    </row>
    <row r="20" spans="1:11" x14ac:dyDescent="0.2">
      <c r="A20" s="1">
        <v>1.1E-5</v>
      </c>
      <c r="B20">
        <v>2.7530999999999999</v>
      </c>
      <c r="C20">
        <v>2.6496</v>
      </c>
      <c r="D20">
        <v>2.5112000000000001</v>
      </c>
      <c r="E20">
        <v>2.3694999999999999</v>
      </c>
      <c r="G20" s="13">
        <f t="shared" si="5"/>
        <v>11</v>
      </c>
      <c r="H20" s="13">
        <f t="shared" si="6"/>
        <v>2.5095499999999999</v>
      </c>
      <c r="I20" s="13">
        <f t="shared" si="7"/>
        <v>2.6321500000000002</v>
      </c>
      <c r="J20" s="13">
        <f t="shared" si="8"/>
        <v>0.14005000000000001</v>
      </c>
      <c r="K20" s="13">
        <f t="shared" si="9"/>
        <v>0.12094999999999988</v>
      </c>
    </row>
    <row r="21" spans="1:11" x14ac:dyDescent="0.2">
      <c r="A21" s="1">
        <v>2.0999999999999999E-5</v>
      </c>
      <c r="B21">
        <v>2.8936999999999999</v>
      </c>
      <c r="C21">
        <v>2.8542000000000001</v>
      </c>
      <c r="D21">
        <v>2.9895999999999998</v>
      </c>
      <c r="E21">
        <v>2.9379</v>
      </c>
      <c r="G21" s="13">
        <f t="shared" si="5"/>
        <v>21</v>
      </c>
      <c r="H21" s="13">
        <f t="shared" si="6"/>
        <v>2.8960499999999998</v>
      </c>
      <c r="I21" s="13">
        <f t="shared" si="7"/>
        <v>2.9416500000000001</v>
      </c>
      <c r="J21" s="13">
        <f t="shared" si="8"/>
        <v>4.1849999999999943E-2</v>
      </c>
      <c r="K21" s="13">
        <f t="shared" si="9"/>
        <v>4.794999999999993E-2</v>
      </c>
    </row>
    <row r="23" spans="1:11" x14ac:dyDescent="0.2">
      <c r="A23" t="s">
        <v>17</v>
      </c>
      <c r="G23" t="str">
        <f>A23</f>
        <v>1511_ancPlant_dsrm2</v>
      </c>
    </row>
    <row r="24" spans="1:11" x14ac:dyDescent="0.2">
      <c r="A24" t="s">
        <v>11</v>
      </c>
      <c r="B24" t="s">
        <v>12</v>
      </c>
      <c r="C24" t="s">
        <v>13</v>
      </c>
      <c r="D24" t="s">
        <v>12</v>
      </c>
      <c r="E24" t="s">
        <v>13</v>
      </c>
      <c r="G24" t="s">
        <v>11</v>
      </c>
      <c r="H24" t="s">
        <v>13</v>
      </c>
      <c r="I24" t="s">
        <v>12</v>
      </c>
      <c r="J24" t="s">
        <v>15</v>
      </c>
      <c r="K24" t="s">
        <v>14</v>
      </c>
    </row>
    <row r="25" spans="1:11" x14ac:dyDescent="0.2">
      <c r="A25" s="1">
        <v>4.9999999999999998E-8</v>
      </c>
      <c r="B25">
        <v>0.1628</v>
      </c>
      <c r="C25">
        <v>0.34599999999999997</v>
      </c>
      <c r="D25">
        <v>0.21129999999999999</v>
      </c>
      <c r="E25">
        <v>0.2752</v>
      </c>
      <c r="G25" s="13">
        <f>A25*1000000</f>
        <v>4.9999999999999996E-2</v>
      </c>
      <c r="H25" s="13">
        <f>AVERAGE(C25,E25)</f>
        <v>0.31059999999999999</v>
      </c>
      <c r="I25" s="13">
        <f>AVERAGE(B25,D25)</f>
        <v>0.18704999999999999</v>
      </c>
      <c r="J25" s="13">
        <f>_xlfn.STDEV.S(E25,C25)/SQRT(2)</f>
        <v>3.5400000000000043E-2</v>
      </c>
      <c r="K25" s="13">
        <f>_xlfn.STDEV.S(D25,B25)/SQRT(2)</f>
        <v>2.4250000000000001E-2</v>
      </c>
    </row>
    <row r="26" spans="1:11" x14ac:dyDescent="0.2">
      <c r="A26" s="1">
        <v>9.1500000000000003E-7</v>
      </c>
      <c r="B26">
        <v>0.81189999999999996</v>
      </c>
      <c r="C26">
        <v>0.75560000000000005</v>
      </c>
      <c r="D26">
        <v>0.83099999999999996</v>
      </c>
      <c r="E26">
        <v>0.77</v>
      </c>
      <c r="G26" s="13">
        <f t="shared" ref="G26:G32" si="10">A26*1000000</f>
        <v>0.91500000000000004</v>
      </c>
      <c r="H26" s="13">
        <f t="shared" ref="H26:H32" si="11">AVERAGE(C26,E26)</f>
        <v>0.76280000000000003</v>
      </c>
      <c r="I26" s="13">
        <f t="shared" ref="I26:I32" si="12">AVERAGE(B26,D26)</f>
        <v>0.82145000000000001</v>
      </c>
      <c r="J26" s="13">
        <f t="shared" ref="J26:J32" si="13">_xlfn.STDEV.S(E26,C26)/SQRT(2)</f>
        <v>7.1999999999999833E-3</v>
      </c>
      <c r="K26" s="13">
        <f t="shared" ref="K26:K32" si="14">_xlfn.STDEV.S(D26,B26)/SQRT(2)</f>
        <v>9.5500000000000029E-3</v>
      </c>
    </row>
    <row r="27" spans="1:11" x14ac:dyDescent="0.2">
      <c r="A27" s="1">
        <v>1.84E-6</v>
      </c>
      <c r="B27">
        <v>1.1653</v>
      </c>
      <c r="C27">
        <v>1.0585</v>
      </c>
      <c r="D27">
        <v>1.181</v>
      </c>
      <c r="E27">
        <v>1.0777000000000001</v>
      </c>
      <c r="G27" s="13">
        <f t="shared" si="10"/>
        <v>1.8399999999999999</v>
      </c>
      <c r="H27" s="13">
        <f t="shared" si="11"/>
        <v>1.0681</v>
      </c>
      <c r="I27" s="13">
        <f t="shared" si="12"/>
        <v>1.1731500000000001</v>
      </c>
      <c r="J27" s="13">
        <f t="shared" si="13"/>
        <v>9.6000000000000512E-3</v>
      </c>
      <c r="K27" s="13">
        <f t="shared" si="14"/>
        <v>7.8500000000000219E-3</v>
      </c>
    </row>
    <row r="28" spans="1:11" x14ac:dyDescent="0.2">
      <c r="A28" s="1">
        <v>3.5999999999999998E-6</v>
      </c>
      <c r="B28">
        <v>1.5222</v>
      </c>
      <c r="C28">
        <v>1.4046000000000001</v>
      </c>
      <c r="D28">
        <v>1.5261</v>
      </c>
      <c r="E28">
        <v>1.4123000000000001</v>
      </c>
      <c r="G28" s="13">
        <f t="shared" si="10"/>
        <v>3.5999999999999996</v>
      </c>
      <c r="H28" s="13">
        <f t="shared" si="11"/>
        <v>1.4084500000000002</v>
      </c>
      <c r="I28" s="13">
        <f t="shared" si="12"/>
        <v>1.5241500000000001</v>
      </c>
      <c r="J28" s="13">
        <f t="shared" si="13"/>
        <v>3.8500000000000196E-3</v>
      </c>
      <c r="K28" s="13">
        <f t="shared" si="14"/>
        <v>1.9500000000000071E-3</v>
      </c>
    </row>
    <row r="29" spans="1:11" x14ac:dyDescent="0.2">
      <c r="A29" s="1">
        <v>5.4999999999999999E-6</v>
      </c>
      <c r="B29">
        <v>1.9527000000000001</v>
      </c>
      <c r="C29">
        <v>1.8163</v>
      </c>
      <c r="D29">
        <v>1.9535</v>
      </c>
      <c r="E29">
        <v>1.8181</v>
      </c>
      <c r="G29" s="13">
        <f t="shared" si="10"/>
        <v>5.5</v>
      </c>
      <c r="H29" s="13">
        <f t="shared" si="11"/>
        <v>1.8172000000000001</v>
      </c>
      <c r="I29" s="13">
        <f t="shared" si="12"/>
        <v>1.9531000000000001</v>
      </c>
      <c r="J29" s="13">
        <f t="shared" si="13"/>
        <v>9.000000000000119E-4</v>
      </c>
      <c r="K29" s="13">
        <f t="shared" si="14"/>
        <v>3.9999999999995589E-4</v>
      </c>
    </row>
    <row r="30" spans="1:11" x14ac:dyDescent="0.2">
      <c r="A30" s="1">
        <v>7.3000000000000004E-6</v>
      </c>
      <c r="B30">
        <v>2.2450000000000001</v>
      </c>
      <c r="C30">
        <v>2.1448</v>
      </c>
      <c r="D30">
        <v>2.2464</v>
      </c>
      <c r="E30">
        <v>2.1431</v>
      </c>
      <c r="G30" s="13">
        <f t="shared" si="10"/>
        <v>7.3000000000000007</v>
      </c>
      <c r="H30" s="13">
        <f t="shared" si="11"/>
        <v>2.1439500000000002</v>
      </c>
      <c r="I30" s="13">
        <f t="shared" si="12"/>
        <v>2.2457000000000003</v>
      </c>
      <c r="J30" s="13">
        <f t="shared" si="13"/>
        <v>8.500000000000173E-4</v>
      </c>
      <c r="K30" s="13">
        <f t="shared" si="14"/>
        <v>6.9999999999992291E-4</v>
      </c>
    </row>
    <row r="31" spans="1:11" x14ac:dyDescent="0.2">
      <c r="A31" s="1">
        <v>1.1E-5</v>
      </c>
      <c r="B31">
        <v>2.6217999999999999</v>
      </c>
      <c r="C31">
        <v>2.5118</v>
      </c>
      <c r="D31">
        <v>2.6084000000000001</v>
      </c>
      <c r="E31">
        <v>2.5023</v>
      </c>
      <c r="G31" s="13">
        <f t="shared" si="10"/>
        <v>11</v>
      </c>
      <c r="H31" s="13">
        <f t="shared" si="11"/>
        <v>2.50705</v>
      </c>
      <c r="I31" s="13">
        <f t="shared" si="12"/>
        <v>2.6151</v>
      </c>
      <c r="J31" s="13">
        <f t="shared" si="13"/>
        <v>4.750000000000032E-3</v>
      </c>
      <c r="K31" s="13">
        <f t="shared" si="14"/>
        <v>6.6999999999999274E-3</v>
      </c>
    </row>
    <row r="32" spans="1:11" x14ac:dyDescent="0.2">
      <c r="A32" s="1">
        <v>2.0999999999999999E-5</v>
      </c>
      <c r="B32">
        <v>2.5141</v>
      </c>
      <c r="C32">
        <v>2.5442999999999998</v>
      </c>
      <c r="D32">
        <v>2.6621000000000001</v>
      </c>
      <c r="E32">
        <v>2.6147999999999998</v>
      </c>
      <c r="G32" s="13">
        <f t="shared" si="10"/>
        <v>21</v>
      </c>
      <c r="H32" s="13">
        <f t="shared" si="11"/>
        <v>2.5795499999999998</v>
      </c>
      <c r="I32" s="13">
        <f t="shared" si="12"/>
        <v>2.5880999999999998</v>
      </c>
      <c r="J32" s="13">
        <f t="shared" si="13"/>
        <v>3.5250000000000004E-2</v>
      </c>
      <c r="K32" s="13">
        <f t="shared" si="14"/>
        <v>7.4000000000000052E-2</v>
      </c>
    </row>
    <row r="34" spans="1:11" x14ac:dyDescent="0.2">
      <c r="A34" t="s">
        <v>18</v>
      </c>
      <c r="G34" t="str">
        <f>A34</f>
        <v>1512_ancPlant_DRB6_dsrm2</v>
      </c>
    </row>
    <row r="35" spans="1:11" x14ac:dyDescent="0.2">
      <c r="A35" t="s">
        <v>11</v>
      </c>
      <c r="B35" t="s">
        <v>12</v>
      </c>
      <c r="C35" t="s">
        <v>13</v>
      </c>
      <c r="D35" t="s">
        <v>12</v>
      </c>
      <c r="E35" t="s">
        <v>13</v>
      </c>
      <c r="G35" t="s">
        <v>11</v>
      </c>
      <c r="H35" t="s">
        <v>13</v>
      </c>
      <c r="I35" t="s">
        <v>12</v>
      </c>
      <c r="J35" t="s">
        <v>15</v>
      </c>
      <c r="K35" t="s">
        <v>14</v>
      </c>
    </row>
    <row r="36" spans="1:11" x14ac:dyDescent="0.2">
      <c r="A36" s="1">
        <v>4.9999999999999998E-8</v>
      </c>
      <c r="B36">
        <v>0.187</v>
      </c>
      <c r="C36">
        <v>0.1895</v>
      </c>
      <c r="D36">
        <v>2.3E-3</v>
      </c>
      <c r="E36">
        <v>1.9199999999999998E-2</v>
      </c>
      <c r="G36" s="13">
        <f>A36*1000000</f>
        <v>4.9999999999999996E-2</v>
      </c>
      <c r="H36" s="13">
        <f>AVERAGE(C36,E36)</f>
        <v>0.10435</v>
      </c>
      <c r="I36" s="13">
        <f>AVERAGE(B36,D36)</f>
        <v>9.4649999999999998E-2</v>
      </c>
      <c r="J36" s="13">
        <f>_xlfn.STDEV.S(E36,C36)/SQRT(4)</f>
        <v>6.0210142418034511E-2</v>
      </c>
      <c r="K36" s="13">
        <f>_xlfn.STDEV.S(D36,B36)/SQRT(4)</f>
        <v>6.5301311242577667E-2</v>
      </c>
    </row>
    <row r="37" spans="1:11" x14ac:dyDescent="0.2">
      <c r="A37" s="1">
        <v>9.1500000000000003E-7</v>
      </c>
      <c r="B37">
        <v>0.2001</v>
      </c>
      <c r="C37">
        <v>0.1991</v>
      </c>
      <c r="D37">
        <v>2.2100000000000002E-2</v>
      </c>
      <c r="E37">
        <v>1.9699999999999999E-2</v>
      </c>
      <c r="G37" s="13">
        <f t="shared" ref="G37:G43" si="15">A37*1000000</f>
        <v>0.91500000000000004</v>
      </c>
      <c r="H37" s="13">
        <f t="shared" ref="H37:H43" si="16">AVERAGE(C37,E37)</f>
        <v>0.1094</v>
      </c>
      <c r="I37" s="13">
        <f t="shared" ref="I37:I43" si="17">AVERAGE(B37,D37)</f>
        <v>0.1111</v>
      </c>
      <c r="J37" s="13">
        <f t="shared" ref="J37:J43" si="18">_xlfn.STDEV.S(E37,C37)/SQRT(4)</f>
        <v>6.3427478272433321E-2</v>
      </c>
      <c r="K37" s="13">
        <f t="shared" ref="K37:K43" si="19">_xlfn.STDEV.S(D37,B37)/SQRT(4)</f>
        <v>6.2932503525602729E-2</v>
      </c>
    </row>
    <row r="38" spans="1:11" x14ac:dyDescent="0.2">
      <c r="A38" s="1">
        <v>1.84E-6</v>
      </c>
      <c r="B38">
        <v>0.61709999999999998</v>
      </c>
      <c r="C38">
        <v>0.60899999999999999</v>
      </c>
      <c r="D38">
        <v>0.1166</v>
      </c>
      <c r="E38">
        <v>0.25230000000000002</v>
      </c>
      <c r="G38" s="13">
        <f t="shared" si="15"/>
        <v>1.8399999999999999</v>
      </c>
      <c r="H38" s="13">
        <f t="shared" si="16"/>
        <v>0.43064999999999998</v>
      </c>
      <c r="I38" s="13">
        <f t="shared" si="17"/>
        <v>0.36685000000000001</v>
      </c>
      <c r="J38" s="13">
        <f t="shared" si="18"/>
        <v>0.1261124944246208</v>
      </c>
      <c r="K38" s="13">
        <f t="shared" si="19"/>
        <v>0.17695347199193351</v>
      </c>
    </row>
    <row r="39" spans="1:11" x14ac:dyDescent="0.2">
      <c r="A39" s="1">
        <v>3.5999999999999998E-6</v>
      </c>
      <c r="B39">
        <v>0.83650000000000002</v>
      </c>
      <c r="C39">
        <v>0.78879999999999995</v>
      </c>
      <c r="D39">
        <v>0.3049</v>
      </c>
      <c r="E39">
        <v>0.2928</v>
      </c>
      <c r="G39" s="13">
        <f t="shared" si="15"/>
        <v>3.5999999999999996</v>
      </c>
      <c r="H39" s="13">
        <f t="shared" si="16"/>
        <v>0.54079999999999995</v>
      </c>
      <c r="I39" s="13">
        <f t="shared" si="17"/>
        <v>0.57069999999999999</v>
      </c>
      <c r="J39" s="13">
        <f t="shared" si="18"/>
        <v>0.1753624817342638</v>
      </c>
      <c r="K39" s="13">
        <f t="shared" si="19"/>
        <v>0.18794898243938435</v>
      </c>
    </row>
    <row r="40" spans="1:11" x14ac:dyDescent="0.2">
      <c r="A40" s="1">
        <v>5.4999999999999999E-6</v>
      </c>
      <c r="B40">
        <v>1.0343</v>
      </c>
      <c r="C40">
        <v>0.97550000000000003</v>
      </c>
      <c r="D40">
        <v>0.49340000000000001</v>
      </c>
      <c r="E40">
        <v>0.46189999999999998</v>
      </c>
      <c r="G40" s="13">
        <f t="shared" si="15"/>
        <v>5.5</v>
      </c>
      <c r="H40" s="13">
        <f t="shared" si="16"/>
        <v>0.71870000000000001</v>
      </c>
      <c r="I40" s="13">
        <f t="shared" si="17"/>
        <v>0.76385000000000003</v>
      </c>
      <c r="J40" s="13">
        <f t="shared" si="18"/>
        <v>0.1815850214087053</v>
      </c>
      <c r="K40" s="13">
        <f t="shared" si="19"/>
        <v>0.1912370289719017</v>
      </c>
    </row>
    <row r="41" spans="1:11" x14ac:dyDescent="0.2">
      <c r="A41" s="1">
        <v>7.3000000000000004E-6</v>
      </c>
      <c r="B41">
        <v>1.2353000000000001</v>
      </c>
      <c r="C41">
        <v>1.1714</v>
      </c>
      <c r="D41">
        <v>0.76300000000000001</v>
      </c>
      <c r="E41">
        <v>0.69540000000000002</v>
      </c>
      <c r="G41" s="13">
        <f t="shared" si="15"/>
        <v>7.3000000000000007</v>
      </c>
      <c r="H41" s="13">
        <f t="shared" si="16"/>
        <v>0.93340000000000001</v>
      </c>
      <c r="I41" s="13">
        <f t="shared" si="17"/>
        <v>0.99914999999999998</v>
      </c>
      <c r="J41" s="13">
        <f t="shared" si="18"/>
        <v>0.16829141392239819</v>
      </c>
      <c r="K41" s="13">
        <f t="shared" si="19"/>
        <v>0.16698326637720334</v>
      </c>
    </row>
    <row r="42" spans="1:11" x14ac:dyDescent="0.2">
      <c r="A42" s="1">
        <v>1.1E-5</v>
      </c>
      <c r="B42">
        <v>1.4178999999999999</v>
      </c>
      <c r="C42">
        <v>1.3529</v>
      </c>
      <c r="D42">
        <v>0.96309999999999996</v>
      </c>
      <c r="E42">
        <v>0.90100000000000002</v>
      </c>
      <c r="G42" s="13">
        <f t="shared" si="15"/>
        <v>11</v>
      </c>
      <c r="H42" s="13">
        <f t="shared" si="16"/>
        <v>1.1269499999999999</v>
      </c>
      <c r="I42" s="13">
        <f t="shared" si="17"/>
        <v>1.1904999999999999</v>
      </c>
      <c r="J42" s="13">
        <f t="shared" si="18"/>
        <v>0.15977077720910077</v>
      </c>
      <c r="K42" s="13">
        <f t="shared" si="19"/>
        <v>0.16079608204182119</v>
      </c>
    </row>
    <row r="43" spans="1:11" x14ac:dyDescent="0.2">
      <c r="A43" s="1">
        <v>2.0999999999999999E-5</v>
      </c>
      <c r="B43">
        <v>1.7565</v>
      </c>
      <c r="C43">
        <v>1.6516999999999999</v>
      </c>
      <c r="D43">
        <v>1.2309000000000001</v>
      </c>
      <c r="E43">
        <v>1.1537999999999999</v>
      </c>
      <c r="G43" s="13">
        <f t="shared" si="15"/>
        <v>21</v>
      </c>
      <c r="H43" s="13">
        <f t="shared" si="16"/>
        <v>1.4027499999999999</v>
      </c>
      <c r="I43" s="13">
        <f t="shared" si="17"/>
        <v>1.4937</v>
      </c>
      <c r="J43" s="13">
        <f t="shared" si="18"/>
        <v>0.17603423317639111</v>
      </c>
      <c r="K43" s="13">
        <f t="shared" si="19"/>
        <v>0.18582766209582482</v>
      </c>
    </row>
    <row r="45" spans="1:11" x14ac:dyDescent="0.2">
      <c r="A45" t="s">
        <v>19</v>
      </c>
      <c r="G45" t="str">
        <f>A45</f>
        <v>1545_ancPlant_DRB1_dsrm2</v>
      </c>
    </row>
    <row r="46" spans="1:11" x14ac:dyDescent="0.2">
      <c r="A46" t="s">
        <v>11</v>
      </c>
      <c r="B46" t="s">
        <v>12</v>
      </c>
      <c r="C46" t="s">
        <v>13</v>
      </c>
      <c r="D46" t="s">
        <v>12</v>
      </c>
      <c r="E46" t="s">
        <v>13</v>
      </c>
      <c r="G46" t="s">
        <v>11</v>
      </c>
      <c r="H46" t="s">
        <v>13</v>
      </c>
      <c r="I46" t="s">
        <v>12</v>
      </c>
      <c r="J46" t="s">
        <v>15</v>
      </c>
      <c r="K46" t="s">
        <v>14</v>
      </c>
    </row>
    <row r="47" spans="1:11" x14ac:dyDescent="0.2">
      <c r="A47" s="1">
        <v>4.9999999999999998E-8</v>
      </c>
      <c r="B47">
        <v>0.187</v>
      </c>
      <c r="C47">
        <v>0.1895</v>
      </c>
      <c r="D47">
        <v>0.1628</v>
      </c>
      <c r="E47">
        <v>0.34599999999999997</v>
      </c>
      <c r="G47" s="13">
        <f>A47*1000000</f>
        <v>4.9999999999999996E-2</v>
      </c>
      <c r="H47" s="13">
        <f>AVERAGE(C47,E47)</f>
        <v>0.26774999999999999</v>
      </c>
      <c r="I47" s="13">
        <f>AVERAGE(B47,D47)</f>
        <v>0.1749</v>
      </c>
      <c r="J47" s="13">
        <f>_xlfn.STDEV.S(E47,C47)/SQRT(4)</f>
        <v>5.5331105627847335E-2</v>
      </c>
      <c r="K47" s="13">
        <f>_xlfn.STDEV.S(D47,B47)/SQRT(4)</f>
        <v>8.5559920523572246E-3</v>
      </c>
    </row>
    <row r="48" spans="1:11" x14ac:dyDescent="0.2">
      <c r="A48" s="1">
        <v>9.1500000000000003E-7</v>
      </c>
      <c r="B48">
        <v>0.61709999999999998</v>
      </c>
      <c r="C48">
        <v>0.60899999999999999</v>
      </c>
      <c r="D48">
        <v>0.81189999999999996</v>
      </c>
      <c r="E48">
        <v>0.75560000000000005</v>
      </c>
      <c r="G48" s="13">
        <f t="shared" ref="G48:G54" si="20">A48*1000000</f>
        <v>0.91500000000000004</v>
      </c>
      <c r="H48" s="13">
        <f t="shared" ref="H48:H54" si="21">AVERAGE(C48,E48)</f>
        <v>0.68230000000000002</v>
      </c>
      <c r="I48" s="13">
        <f t="shared" ref="I48:I54" si="22">AVERAGE(B48,D48)</f>
        <v>0.71449999999999991</v>
      </c>
      <c r="J48" s="13">
        <f t="shared" ref="J48:J54" si="23">_xlfn.STDEV.S(E48,C48)/SQRT(4)</f>
        <v>5.1830927060974023E-2</v>
      </c>
      <c r="K48" s="13">
        <f t="shared" ref="K48:K54" si="24">_xlfn.STDEV.S(D48,B48)/SQRT(4)</f>
        <v>6.887220048757027E-2</v>
      </c>
    </row>
    <row r="49" spans="1:11" x14ac:dyDescent="0.2">
      <c r="A49" s="1">
        <v>1.84E-6</v>
      </c>
      <c r="B49">
        <v>0.83650000000000002</v>
      </c>
      <c r="C49">
        <v>0.78879999999999995</v>
      </c>
      <c r="D49">
        <v>1.1653</v>
      </c>
      <c r="E49">
        <v>1.0585</v>
      </c>
      <c r="G49" s="13">
        <f t="shared" si="20"/>
        <v>1.8399999999999999</v>
      </c>
      <c r="H49" s="13">
        <f t="shared" si="21"/>
        <v>0.92364999999999997</v>
      </c>
      <c r="I49" s="13">
        <f t="shared" si="22"/>
        <v>1.0009000000000001</v>
      </c>
      <c r="J49" s="13">
        <f t="shared" si="23"/>
        <v>9.5353349443005997E-2</v>
      </c>
      <c r="K49" s="13">
        <f t="shared" si="24"/>
        <v>0.1162483548270683</v>
      </c>
    </row>
    <row r="50" spans="1:11" x14ac:dyDescent="0.2">
      <c r="A50" s="1">
        <v>3.5999999999999998E-6</v>
      </c>
      <c r="B50">
        <v>1.0343</v>
      </c>
      <c r="C50">
        <v>0.97550000000000003</v>
      </c>
      <c r="D50">
        <v>1.5222</v>
      </c>
      <c r="E50">
        <v>1.4046000000000001</v>
      </c>
      <c r="G50" s="13">
        <f t="shared" si="20"/>
        <v>3.5999999999999996</v>
      </c>
      <c r="H50" s="13">
        <f t="shared" si="21"/>
        <v>1.1900500000000001</v>
      </c>
      <c r="I50" s="13">
        <f t="shared" si="22"/>
        <v>1.2782499999999999</v>
      </c>
      <c r="J50" s="13">
        <f t="shared" si="23"/>
        <v>0.15170975990357394</v>
      </c>
      <c r="K50" s="13">
        <f t="shared" si="24"/>
        <v>0.17249869927045858</v>
      </c>
    </row>
    <row r="51" spans="1:11" x14ac:dyDescent="0.2">
      <c r="A51" s="1">
        <v>5.4999999999999999E-6</v>
      </c>
      <c r="B51">
        <v>1.2353000000000001</v>
      </c>
      <c r="C51">
        <v>1.1714</v>
      </c>
      <c r="D51">
        <v>1.9527000000000001</v>
      </c>
      <c r="E51">
        <v>1.8163</v>
      </c>
      <c r="G51" s="13">
        <f t="shared" si="20"/>
        <v>5.5</v>
      </c>
      <c r="H51" s="13">
        <f t="shared" si="21"/>
        <v>1.4938500000000001</v>
      </c>
      <c r="I51" s="13">
        <f t="shared" si="22"/>
        <v>1.5940000000000001</v>
      </c>
      <c r="J51" s="13">
        <f t="shared" si="23"/>
        <v>0.22800658159360201</v>
      </c>
      <c r="K51" s="13">
        <f t="shared" si="24"/>
        <v>0.25363920241161464</v>
      </c>
    </row>
    <row r="52" spans="1:11" x14ac:dyDescent="0.2">
      <c r="A52" s="1">
        <v>7.3000000000000004E-6</v>
      </c>
      <c r="B52">
        <v>1.4178999999999999</v>
      </c>
      <c r="C52">
        <v>1.3529</v>
      </c>
      <c r="D52">
        <v>2.2450000000000001</v>
      </c>
      <c r="E52">
        <v>2.1448</v>
      </c>
      <c r="G52" s="13">
        <f t="shared" si="20"/>
        <v>7.3000000000000007</v>
      </c>
      <c r="H52" s="13">
        <f t="shared" si="21"/>
        <v>1.74885</v>
      </c>
      <c r="I52" s="13">
        <f t="shared" si="22"/>
        <v>1.83145</v>
      </c>
      <c r="J52" s="13">
        <f t="shared" si="23"/>
        <v>0.27997893001081331</v>
      </c>
      <c r="K52" s="13">
        <f t="shared" si="24"/>
        <v>0.29242400935969715</v>
      </c>
    </row>
    <row r="53" spans="1:11" x14ac:dyDescent="0.2">
      <c r="A53" s="1">
        <v>1.1E-5</v>
      </c>
      <c r="B53">
        <v>1.7565</v>
      </c>
      <c r="C53">
        <v>1.6516999999999999</v>
      </c>
      <c r="D53">
        <v>2.6217999999999999</v>
      </c>
      <c r="E53">
        <v>2.5118</v>
      </c>
      <c r="G53" s="13">
        <f t="shared" si="20"/>
        <v>11</v>
      </c>
      <c r="H53" s="13">
        <f t="shared" si="21"/>
        <v>2.08175</v>
      </c>
      <c r="I53" s="13">
        <f t="shared" si="22"/>
        <v>2.1891499999999997</v>
      </c>
      <c r="J53" s="13">
        <f t="shared" si="23"/>
        <v>0.30409127124927537</v>
      </c>
      <c r="K53" s="13">
        <f t="shared" si="24"/>
        <v>0.30592974888036029</v>
      </c>
    </row>
    <row r="54" spans="1:11" x14ac:dyDescent="0.2">
      <c r="A54" s="1">
        <v>2.0999999999999999E-5</v>
      </c>
      <c r="B54">
        <v>2.3115000000000001</v>
      </c>
      <c r="C54">
        <v>2.2296999999999998</v>
      </c>
      <c r="D54">
        <v>2.8168000000000002</v>
      </c>
      <c r="E54">
        <v>2.7757000000000001</v>
      </c>
      <c r="G54" s="13">
        <f t="shared" si="20"/>
        <v>21</v>
      </c>
      <c r="H54" s="13">
        <f t="shared" si="21"/>
        <v>2.5026999999999999</v>
      </c>
      <c r="I54" s="13">
        <f t="shared" si="22"/>
        <v>2.5641500000000002</v>
      </c>
      <c r="J54" s="13">
        <f t="shared" si="23"/>
        <v>0.19304015126392757</v>
      </c>
      <c r="K54" s="13">
        <f t="shared" si="24"/>
        <v>0.17865052826678127</v>
      </c>
    </row>
    <row r="56" spans="1:11" x14ac:dyDescent="0.2">
      <c r="A56" t="s">
        <v>20</v>
      </c>
      <c r="G56" t="str">
        <f>A56</f>
        <v>1582_ancPlant_DRB2/3/5_dsrm2</v>
      </c>
    </row>
    <row r="57" spans="1:11" x14ac:dyDescent="0.2">
      <c r="A57" t="s">
        <v>11</v>
      </c>
      <c r="B57" t="s">
        <v>12</v>
      </c>
      <c r="C57" t="s">
        <v>13</v>
      </c>
      <c r="D57" t="s">
        <v>12</v>
      </c>
      <c r="E57" t="s">
        <v>13</v>
      </c>
      <c r="G57" t="s">
        <v>11</v>
      </c>
      <c r="H57" t="s">
        <v>13</v>
      </c>
      <c r="I57" t="s">
        <v>12</v>
      </c>
      <c r="J57" t="s">
        <v>15</v>
      </c>
      <c r="K57" t="s">
        <v>14</v>
      </c>
    </row>
    <row r="58" spans="1:11" x14ac:dyDescent="0.2">
      <c r="A58" s="1">
        <v>4.9999999999999998E-8</v>
      </c>
      <c r="B58">
        <v>1.8200000000000001E-2</v>
      </c>
      <c r="C58">
        <v>1.9400000000000001E-2</v>
      </c>
      <c r="D58">
        <v>2.2100000000000002E-2</v>
      </c>
      <c r="E58">
        <v>2.3800000000000002E-2</v>
      </c>
      <c r="G58" s="13">
        <f>A58*1000000</f>
        <v>4.9999999999999996E-2</v>
      </c>
      <c r="H58" s="13">
        <f>AVERAGE(C58,E58)</f>
        <v>2.1600000000000001E-2</v>
      </c>
      <c r="I58" s="13">
        <f>AVERAGE(B58,D58)</f>
        <v>2.0150000000000001E-2</v>
      </c>
      <c r="J58" s="13">
        <f>_xlfn.STDEV.S(E58,C58)/SQRT(4)</f>
        <v>1.5556349186104049E-3</v>
      </c>
      <c r="K58" s="13">
        <f>_xlfn.STDEV.S(D58,B58)/SQRT(4)</f>
        <v>1.3788582233137678E-3</v>
      </c>
    </row>
    <row r="59" spans="1:11" x14ac:dyDescent="0.2">
      <c r="A59" s="1">
        <v>9.1500000000000003E-7</v>
      </c>
      <c r="B59">
        <v>0.2969</v>
      </c>
      <c r="C59">
        <v>0.28370000000000001</v>
      </c>
      <c r="D59">
        <v>0.29089999999999999</v>
      </c>
      <c r="E59">
        <v>0.32179999999999997</v>
      </c>
      <c r="G59" s="13">
        <f t="shared" ref="G59:G65" si="25">A59*1000000</f>
        <v>0.91500000000000004</v>
      </c>
      <c r="H59" s="13">
        <f t="shared" ref="H59:H65" si="26">AVERAGE(C59,E59)</f>
        <v>0.30274999999999996</v>
      </c>
      <c r="I59" s="13">
        <f t="shared" ref="I59:I65" si="27">AVERAGE(B59,D59)</f>
        <v>0.29389999999999999</v>
      </c>
      <c r="J59" s="13">
        <f t="shared" ref="J59:J65" si="28">_xlfn.STDEV.S(E59,C59)/SQRT(4)</f>
        <v>1.347038418160372E-2</v>
      </c>
      <c r="K59" s="13">
        <f t="shared" ref="K59:K65" si="29">_xlfn.STDEV.S(D59,B59)/SQRT(4)</f>
        <v>2.1213203435596446E-3</v>
      </c>
    </row>
    <row r="60" spans="1:11" x14ac:dyDescent="0.2">
      <c r="A60" s="1">
        <v>1.84E-6</v>
      </c>
      <c r="B60">
        <v>0.73619999999999997</v>
      </c>
      <c r="C60">
        <v>0.67469999999999997</v>
      </c>
      <c r="D60">
        <v>0.92369999999999997</v>
      </c>
      <c r="E60">
        <v>0.85119999999999996</v>
      </c>
      <c r="G60" s="13">
        <f t="shared" si="25"/>
        <v>1.8399999999999999</v>
      </c>
      <c r="H60" s="13">
        <f t="shared" si="26"/>
        <v>0.76295000000000002</v>
      </c>
      <c r="I60" s="13">
        <f t="shared" si="27"/>
        <v>0.82994999999999997</v>
      </c>
      <c r="J60" s="13">
        <f t="shared" si="28"/>
        <v>6.2402173439712702E-2</v>
      </c>
      <c r="K60" s="13">
        <f t="shared" si="29"/>
        <v>6.6291260736238825E-2</v>
      </c>
    </row>
    <row r="61" spans="1:11" x14ac:dyDescent="0.2">
      <c r="A61" s="1">
        <v>3.5999999999999998E-6</v>
      </c>
      <c r="B61">
        <v>0.91190000000000004</v>
      </c>
      <c r="C61">
        <v>0.85760000000000003</v>
      </c>
      <c r="D61">
        <v>1.3473999999999999</v>
      </c>
      <c r="E61">
        <v>1.2405999999999999</v>
      </c>
      <c r="G61" s="13">
        <f t="shared" si="25"/>
        <v>3.5999999999999996</v>
      </c>
      <c r="H61" s="13">
        <f t="shared" si="26"/>
        <v>1.0490999999999999</v>
      </c>
      <c r="I61" s="13">
        <f t="shared" si="27"/>
        <v>1.12965</v>
      </c>
      <c r="J61" s="13">
        <f t="shared" si="28"/>
        <v>0.135410948597224</v>
      </c>
      <c r="K61" s="13">
        <f t="shared" si="29"/>
        <v>0.15397250160337045</v>
      </c>
    </row>
    <row r="62" spans="1:11" x14ac:dyDescent="0.2">
      <c r="A62" s="1">
        <v>5.4999999999999999E-6</v>
      </c>
      <c r="B62">
        <v>1.2221</v>
      </c>
      <c r="C62">
        <v>1.1425000000000001</v>
      </c>
      <c r="D62">
        <v>1.6686000000000001</v>
      </c>
      <c r="E62">
        <v>1.5450999999999999</v>
      </c>
      <c r="G62" s="13">
        <f t="shared" si="25"/>
        <v>5.5</v>
      </c>
      <c r="H62" s="13">
        <f t="shared" si="26"/>
        <v>1.3437999999999999</v>
      </c>
      <c r="I62" s="13">
        <f t="shared" si="27"/>
        <v>1.4453499999999999</v>
      </c>
      <c r="J62" s="13">
        <f t="shared" si="28"/>
        <v>0.14234059505285213</v>
      </c>
      <c r="K62" s="13">
        <f t="shared" si="29"/>
        <v>0.15786158889989746</v>
      </c>
    </row>
    <row r="63" spans="1:11" x14ac:dyDescent="0.2">
      <c r="A63" s="1">
        <v>7.3000000000000004E-6</v>
      </c>
      <c r="B63">
        <v>1.6217999999999999</v>
      </c>
      <c r="C63">
        <v>1.7712000000000001</v>
      </c>
      <c r="D63">
        <v>1.8201000000000001</v>
      </c>
      <c r="E63">
        <v>1.6654</v>
      </c>
      <c r="G63" s="13">
        <f t="shared" si="25"/>
        <v>7.3000000000000007</v>
      </c>
      <c r="H63" s="13">
        <f t="shared" si="26"/>
        <v>1.7183000000000002</v>
      </c>
      <c r="I63" s="13">
        <f t="shared" si="27"/>
        <v>1.72095</v>
      </c>
      <c r="J63" s="13">
        <f t="shared" si="28"/>
        <v>3.7405948724768406E-2</v>
      </c>
      <c r="K63" s="13">
        <f t="shared" si="29"/>
        <v>7.0109637354646231E-2</v>
      </c>
    </row>
    <row r="64" spans="1:11" x14ac:dyDescent="0.2">
      <c r="A64" s="1">
        <v>1.1E-5</v>
      </c>
      <c r="B64">
        <v>2.1097999999999999</v>
      </c>
      <c r="C64">
        <v>2.0918999999999999</v>
      </c>
      <c r="D64">
        <v>2.1459999999999999</v>
      </c>
      <c r="E64">
        <v>2.0295000000000001</v>
      </c>
      <c r="G64" s="13">
        <f t="shared" si="25"/>
        <v>11</v>
      </c>
      <c r="H64" s="13">
        <f t="shared" si="26"/>
        <v>2.0606999999999998</v>
      </c>
      <c r="I64" s="13">
        <f t="shared" si="27"/>
        <v>2.1278999999999999</v>
      </c>
      <c r="J64" s="13">
        <f t="shared" si="28"/>
        <v>2.2061731573020209E-2</v>
      </c>
      <c r="K64" s="13">
        <f t="shared" si="29"/>
        <v>1.2798632739476514E-2</v>
      </c>
    </row>
    <row r="65" spans="1:11" x14ac:dyDescent="0.2">
      <c r="A65" s="1">
        <v>2.0999999999999999E-5</v>
      </c>
      <c r="B65">
        <v>2.2219000000000002</v>
      </c>
      <c r="C65">
        <v>2.2431000000000001</v>
      </c>
      <c r="D65">
        <v>2.1091000000000002</v>
      </c>
      <c r="E65">
        <v>2.3515000000000001</v>
      </c>
      <c r="G65" s="13">
        <f t="shared" si="25"/>
        <v>21</v>
      </c>
      <c r="H65" s="13">
        <f t="shared" si="26"/>
        <v>2.2972999999999999</v>
      </c>
      <c r="I65" s="13">
        <f t="shared" si="27"/>
        <v>2.1655000000000002</v>
      </c>
      <c r="J65" s="13">
        <f t="shared" si="28"/>
        <v>3.832518754031089E-2</v>
      </c>
      <c r="K65" s="13">
        <f t="shared" si="29"/>
        <v>3.9880822458921286E-2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G1" sqref="G1:K10"/>
    </sheetView>
  </sheetViews>
  <sheetFormatPr baseColWidth="10" defaultRowHeight="16" x14ac:dyDescent="0.2"/>
  <sheetData>
    <row r="1" spans="1:11" x14ac:dyDescent="0.2">
      <c r="A1" t="s">
        <v>21</v>
      </c>
      <c r="G1" t="str">
        <f>A1</f>
        <v>948_ancAnimal_dsrm</v>
      </c>
    </row>
    <row r="2" spans="1:11" x14ac:dyDescent="0.2">
      <c r="A2" t="s">
        <v>11</v>
      </c>
      <c r="B2" t="s">
        <v>12</v>
      </c>
      <c r="C2" t="s">
        <v>13</v>
      </c>
      <c r="D2" t="s">
        <v>12</v>
      </c>
      <c r="E2" t="s">
        <v>13</v>
      </c>
      <c r="G2" t="s">
        <v>11</v>
      </c>
      <c r="H2" t="s">
        <v>13</v>
      </c>
      <c r="I2" t="s">
        <v>12</v>
      </c>
      <c r="J2" t="s">
        <v>15</v>
      </c>
      <c r="K2" t="s">
        <v>14</v>
      </c>
    </row>
    <row r="3" spans="1:11" x14ac:dyDescent="0.2">
      <c r="A3" s="1">
        <v>4.9999999999999998E-8</v>
      </c>
      <c r="B3">
        <v>8.3099999999999993E-2</v>
      </c>
      <c r="C3">
        <v>9.9500000000000005E-2</v>
      </c>
      <c r="D3">
        <v>7.2300000000000003E-2</v>
      </c>
      <c r="E3">
        <v>0.12089999999999999</v>
      </c>
      <c r="G3" s="13">
        <f>A3*1000000</f>
        <v>4.9999999999999996E-2</v>
      </c>
      <c r="H3" s="13">
        <f>AVERAGE(C3,E3)</f>
        <v>0.11019999999999999</v>
      </c>
      <c r="I3" s="13">
        <f>AVERAGE(B3,D3)</f>
        <v>7.7699999999999991E-2</v>
      </c>
      <c r="J3" s="13">
        <f>_xlfn.STDEV.S(E3,C3)/SQRT(2)</f>
        <v>1.0699999999999993E-2</v>
      </c>
      <c r="K3" s="13">
        <f>_xlfn.STDEV.S(D3,B3)/SQRT(2)</f>
        <v>5.3999999999999951E-3</v>
      </c>
    </row>
    <row r="4" spans="1:11" x14ac:dyDescent="0.2">
      <c r="A4" s="1">
        <v>9.1500000000000003E-7</v>
      </c>
      <c r="B4">
        <v>0.1628</v>
      </c>
      <c r="C4">
        <v>0.34599999999999997</v>
      </c>
      <c r="D4">
        <v>0.21129999999999999</v>
      </c>
      <c r="E4">
        <v>0.2752</v>
      </c>
      <c r="G4" s="13">
        <f t="shared" ref="G4:G10" si="0">A4*1000000</f>
        <v>0.91500000000000004</v>
      </c>
      <c r="H4" s="13">
        <f t="shared" ref="H4:H10" si="1">AVERAGE(C4,E4)</f>
        <v>0.31059999999999999</v>
      </c>
      <c r="I4" s="13">
        <f t="shared" ref="I4:I10" si="2">AVERAGE(B4,D4)</f>
        <v>0.18704999999999999</v>
      </c>
      <c r="J4" s="13">
        <f t="shared" ref="J4:J10" si="3">_xlfn.STDEV.S(E4,C4)/SQRT(2)</f>
        <v>3.5400000000000043E-2</v>
      </c>
      <c r="K4" s="13">
        <f t="shared" ref="K4:K10" si="4">_xlfn.STDEV.S(D4,B4)/SQRT(2)</f>
        <v>2.4250000000000001E-2</v>
      </c>
    </row>
    <row r="5" spans="1:11" x14ac:dyDescent="0.2">
      <c r="A5" s="1">
        <v>1.84E-6</v>
      </c>
      <c r="B5">
        <v>0.81189999999999996</v>
      </c>
      <c r="C5">
        <v>0.75560000000000005</v>
      </c>
      <c r="D5">
        <v>0.83099999999999996</v>
      </c>
      <c r="E5">
        <v>0.77</v>
      </c>
      <c r="G5" s="13">
        <f t="shared" si="0"/>
        <v>1.8399999999999999</v>
      </c>
      <c r="H5" s="13">
        <f t="shared" si="1"/>
        <v>0.76280000000000003</v>
      </c>
      <c r="I5" s="13">
        <f t="shared" si="2"/>
        <v>0.82145000000000001</v>
      </c>
      <c r="J5" s="13">
        <f t="shared" si="3"/>
        <v>7.1999999999999833E-3</v>
      </c>
      <c r="K5" s="13">
        <f t="shared" si="4"/>
        <v>9.5500000000000029E-3</v>
      </c>
    </row>
    <row r="6" spans="1:11" x14ac:dyDescent="0.2">
      <c r="A6" s="1">
        <v>3.5999999999999998E-6</v>
      </c>
      <c r="B6">
        <v>1.1653</v>
      </c>
      <c r="C6">
        <v>1.0585</v>
      </c>
      <c r="D6">
        <v>1.181</v>
      </c>
      <c r="E6">
        <v>1.0777000000000001</v>
      </c>
      <c r="G6" s="13">
        <f t="shared" si="0"/>
        <v>3.5999999999999996</v>
      </c>
      <c r="H6" s="13">
        <f t="shared" si="1"/>
        <v>1.0681</v>
      </c>
      <c r="I6" s="13">
        <f t="shared" si="2"/>
        <v>1.1731500000000001</v>
      </c>
      <c r="J6" s="13">
        <f t="shared" si="3"/>
        <v>9.6000000000000512E-3</v>
      </c>
      <c r="K6" s="13">
        <f t="shared" si="4"/>
        <v>7.8500000000000219E-3</v>
      </c>
    </row>
    <row r="7" spans="1:11" x14ac:dyDescent="0.2">
      <c r="A7" s="1">
        <v>5.4999999999999999E-6</v>
      </c>
      <c r="B7">
        <v>1.5222</v>
      </c>
      <c r="C7">
        <v>1.4046000000000001</v>
      </c>
      <c r="D7">
        <v>1.5261</v>
      </c>
      <c r="E7">
        <v>1.4123000000000001</v>
      </c>
      <c r="G7" s="13">
        <f t="shared" si="0"/>
        <v>5.5</v>
      </c>
      <c r="H7" s="13">
        <f t="shared" si="1"/>
        <v>1.4084500000000002</v>
      </c>
      <c r="I7" s="13">
        <f t="shared" si="2"/>
        <v>1.5241500000000001</v>
      </c>
      <c r="J7" s="13">
        <f t="shared" si="3"/>
        <v>3.8500000000000196E-3</v>
      </c>
      <c r="K7" s="13">
        <f t="shared" si="4"/>
        <v>1.9500000000000071E-3</v>
      </c>
    </row>
    <row r="8" spans="1:11" x14ac:dyDescent="0.2">
      <c r="A8" s="1">
        <v>7.3000000000000004E-6</v>
      </c>
      <c r="B8">
        <v>1.9527000000000001</v>
      </c>
      <c r="C8">
        <v>1.8163</v>
      </c>
      <c r="D8">
        <v>1.9535</v>
      </c>
      <c r="E8">
        <v>1.8181</v>
      </c>
      <c r="G8" s="13">
        <f t="shared" si="0"/>
        <v>7.3000000000000007</v>
      </c>
      <c r="H8" s="13">
        <f t="shared" si="1"/>
        <v>1.8172000000000001</v>
      </c>
      <c r="I8" s="13">
        <f t="shared" si="2"/>
        <v>1.9531000000000001</v>
      </c>
      <c r="J8" s="13">
        <f t="shared" si="3"/>
        <v>9.000000000000119E-4</v>
      </c>
      <c r="K8" s="13">
        <f t="shared" si="4"/>
        <v>3.9999999999995589E-4</v>
      </c>
    </row>
    <row r="9" spans="1:11" x14ac:dyDescent="0.2">
      <c r="A9" s="1">
        <v>1.1E-5</v>
      </c>
      <c r="B9">
        <v>2.2450000000000001</v>
      </c>
      <c r="C9">
        <v>2.1448</v>
      </c>
      <c r="D9">
        <v>2.2464</v>
      </c>
      <c r="E9">
        <v>2.1431</v>
      </c>
      <c r="G9" s="13">
        <f t="shared" si="0"/>
        <v>11</v>
      </c>
      <c r="H9" s="13">
        <f t="shared" si="1"/>
        <v>2.1439500000000002</v>
      </c>
      <c r="I9" s="13">
        <f t="shared" si="2"/>
        <v>2.2457000000000003</v>
      </c>
      <c r="J9" s="13">
        <f t="shared" si="3"/>
        <v>8.500000000000173E-4</v>
      </c>
      <c r="K9" s="13">
        <f t="shared" si="4"/>
        <v>6.9999999999992291E-4</v>
      </c>
    </row>
    <row r="10" spans="1:11" x14ac:dyDescent="0.2">
      <c r="A10" s="1">
        <v>2.0999999999999999E-5</v>
      </c>
      <c r="B10">
        <v>2.8218000000000001</v>
      </c>
      <c r="C10">
        <v>2.7118000000000002</v>
      </c>
      <c r="D10">
        <v>2.8083999999999998</v>
      </c>
      <c r="E10">
        <v>2.7023000000000001</v>
      </c>
      <c r="G10" s="13">
        <f t="shared" si="0"/>
        <v>21</v>
      </c>
      <c r="H10" s="13">
        <f t="shared" si="1"/>
        <v>2.7070500000000002</v>
      </c>
      <c r="I10" s="13">
        <f t="shared" si="2"/>
        <v>2.8151000000000002</v>
      </c>
      <c r="J10" s="13">
        <f t="shared" si="3"/>
        <v>4.750000000000032E-3</v>
      </c>
      <c r="K10" s="13">
        <f t="shared" si="4"/>
        <v>6.7000000000001494E-3</v>
      </c>
    </row>
    <row r="12" spans="1:11" x14ac:dyDescent="0.2">
      <c r="A12" t="s">
        <v>22</v>
      </c>
      <c r="G12" t="str">
        <f>A12</f>
        <v>976_ancAnimal_dsrm3</v>
      </c>
    </row>
    <row r="13" spans="1:11" x14ac:dyDescent="0.2">
      <c r="A13" t="s">
        <v>11</v>
      </c>
      <c r="B13" t="s">
        <v>12</v>
      </c>
      <c r="C13" t="s">
        <v>13</v>
      </c>
      <c r="D13" t="s">
        <v>12</v>
      </c>
      <c r="E13" t="s">
        <v>13</v>
      </c>
      <c r="G13" t="s">
        <v>11</v>
      </c>
      <c r="H13" t="s">
        <v>13</v>
      </c>
      <c r="I13" t="s">
        <v>12</v>
      </c>
      <c r="J13" t="s">
        <v>15</v>
      </c>
      <c r="K13" t="s">
        <v>14</v>
      </c>
    </row>
    <row r="14" spans="1:11" x14ac:dyDescent="0.2">
      <c r="A14" s="1">
        <v>4.9999999999999998E-8</v>
      </c>
      <c r="B14">
        <v>9.35E-2</v>
      </c>
      <c r="C14">
        <v>0.20979999999999999</v>
      </c>
      <c r="D14">
        <v>0.187</v>
      </c>
      <c r="E14">
        <v>0.1895</v>
      </c>
      <c r="G14" s="13">
        <f>A14*1000000</f>
        <v>4.9999999999999996E-2</v>
      </c>
      <c r="H14" s="13">
        <f>AVERAGE(C14,E14)</f>
        <v>0.19964999999999999</v>
      </c>
      <c r="I14" s="13">
        <f>AVERAGE(B14,D14)</f>
        <v>0.14024999999999999</v>
      </c>
      <c r="J14" s="13">
        <f>_xlfn.STDEV.S(E14,C14)/SQRT(2)</f>
        <v>1.0149999999999992E-2</v>
      </c>
      <c r="K14" s="13">
        <f>_xlfn.STDEV.S(D14,B14)/SQRT(2)</f>
        <v>4.6750000000000055E-2</v>
      </c>
    </row>
    <row r="15" spans="1:11" x14ac:dyDescent="0.2">
      <c r="A15" s="1">
        <v>9.1500000000000003E-7</v>
      </c>
      <c r="B15">
        <v>0.50270000000000004</v>
      </c>
      <c r="C15">
        <v>0.50739999999999996</v>
      </c>
      <c r="D15">
        <v>0.61709999999999998</v>
      </c>
      <c r="E15">
        <v>0.60899999999999999</v>
      </c>
      <c r="G15" s="13">
        <f t="shared" ref="G15:G21" si="5">A15*1000000</f>
        <v>0.91500000000000004</v>
      </c>
      <c r="H15" s="13">
        <f t="shared" ref="H15:H21" si="6">AVERAGE(C15,E15)</f>
        <v>0.55820000000000003</v>
      </c>
      <c r="I15" s="13">
        <f t="shared" ref="I15:I21" si="7">AVERAGE(B15,D15)</f>
        <v>0.55990000000000006</v>
      </c>
      <c r="J15" s="13">
        <f t="shared" ref="J15:J21" si="8">_xlfn.STDEV.S(E15,C15)/SQRT(2)</f>
        <v>5.0800000000000005E-2</v>
      </c>
      <c r="K15" s="13">
        <f t="shared" ref="K15:K21" si="9">_xlfn.STDEV.S(D15,B15)/SQRT(2)</f>
        <v>5.7199999999999251E-2</v>
      </c>
    </row>
    <row r="16" spans="1:11" x14ac:dyDescent="0.2">
      <c r="A16" s="1">
        <v>1.84E-6</v>
      </c>
      <c r="B16">
        <v>0.70699999999999996</v>
      </c>
      <c r="C16">
        <v>0.66690000000000005</v>
      </c>
      <c r="D16">
        <v>0.83650000000000002</v>
      </c>
      <c r="E16">
        <v>0.78879999999999995</v>
      </c>
      <c r="G16" s="13">
        <f t="shared" si="5"/>
        <v>1.8399999999999999</v>
      </c>
      <c r="H16" s="13">
        <f t="shared" si="6"/>
        <v>0.72785</v>
      </c>
      <c r="I16" s="13">
        <f t="shared" si="7"/>
        <v>0.77174999999999994</v>
      </c>
      <c r="J16" s="13">
        <f t="shared" si="8"/>
        <v>6.0949999999999942E-2</v>
      </c>
      <c r="K16" s="13">
        <f t="shared" si="9"/>
        <v>6.4750000000000016E-2</v>
      </c>
    </row>
    <row r="17" spans="1:11" x14ac:dyDescent="0.2">
      <c r="A17" s="1">
        <v>3.5999999999999998E-6</v>
      </c>
      <c r="B17">
        <v>0.88590000000000002</v>
      </c>
      <c r="C17">
        <v>0.83330000000000004</v>
      </c>
      <c r="D17">
        <v>1.0343</v>
      </c>
      <c r="E17">
        <v>0.97550000000000003</v>
      </c>
      <c r="G17" s="13">
        <f t="shared" si="5"/>
        <v>3.5999999999999996</v>
      </c>
      <c r="H17" s="13">
        <f t="shared" si="6"/>
        <v>0.90440000000000009</v>
      </c>
      <c r="I17" s="13">
        <f t="shared" si="7"/>
        <v>0.96009999999999995</v>
      </c>
      <c r="J17" s="13">
        <f t="shared" si="8"/>
        <v>7.1099999999999983E-2</v>
      </c>
      <c r="K17" s="13">
        <f t="shared" si="9"/>
        <v>7.4199999999999974E-2</v>
      </c>
    </row>
    <row r="18" spans="1:11" x14ac:dyDescent="0.2">
      <c r="A18" s="1">
        <v>5.4999999999999999E-6</v>
      </c>
      <c r="B18">
        <v>1.0964</v>
      </c>
      <c r="C18">
        <v>1.0362</v>
      </c>
      <c r="D18">
        <v>1.2353000000000001</v>
      </c>
      <c r="E18">
        <v>1.1714</v>
      </c>
      <c r="G18" s="13">
        <f t="shared" si="5"/>
        <v>5.5</v>
      </c>
      <c r="H18" s="13">
        <f t="shared" si="6"/>
        <v>1.1038000000000001</v>
      </c>
      <c r="I18" s="13">
        <f t="shared" si="7"/>
        <v>1.1658500000000001</v>
      </c>
      <c r="J18" s="13">
        <f t="shared" si="8"/>
        <v>6.7599999999999993E-2</v>
      </c>
      <c r="K18" s="13">
        <f t="shared" si="9"/>
        <v>6.9449999999999998E-2</v>
      </c>
    </row>
    <row r="19" spans="1:11" x14ac:dyDescent="0.2">
      <c r="A19" s="1">
        <v>7.3000000000000004E-6</v>
      </c>
      <c r="B19">
        <v>1.2748999999999999</v>
      </c>
      <c r="C19">
        <v>1.2145999999999999</v>
      </c>
      <c r="D19">
        <v>1.4178999999999999</v>
      </c>
      <c r="E19">
        <v>1.3529</v>
      </c>
      <c r="G19" s="13">
        <f t="shared" si="5"/>
        <v>7.3000000000000007</v>
      </c>
      <c r="H19" s="13">
        <f t="shared" si="6"/>
        <v>1.2837499999999999</v>
      </c>
      <c r="I19" s="13">
        <f t="shared" si="7"/>
        <v>1.3464</v>
      </c>
      <c r="J19" s="13">
        <f t="shared" si="8"/>
        <v>6.9150000000000031E-2</v>
      </c>
      <c r="K19" s="13">
        <f t="shared" si="9"/>
        <v>7.1499999999999994E-2</v>
      </c>
    </row>
    <row r="20" spans="1:11" x14ac:dyDescent="0.2">
      <c r="A20" s="1">
        <v>1.1E-5</v>
      </c>
      <c r="B20">
        <v>1.5421</v>
      </c>
      <c r="C20">
        <v>1.4535</v>
      </c>
      <c r="D20">
        <v>1.7565</v>
      </c>
      <c r="E20">
        <v>1.6516999999999999</v>
      </c>
      <c r="G20" s="13">
        <f t="shared" si="5"/>
        <v>11</v>
      </c>
      <c r="H20" s="13">
        <f t="shared" si="6"/>
        <v>1.5526</v>
      </c>
      <c r="I20" s="13">
        <f t="shared" si="7"/>
        <v>1.6493</v>
      </c>
      <c r="J20" s="13">
        <f t="shared" si="8"/>
        <v>9.9099999999999966E-2</v>
      </c>
      <c r="K20" s="13">
        <f t="shared" si="9"/>
        <v>0.10719999999999995</v>
      </c>
    </row>
    <row r="21" spans="1:11" x14ac:dyDescent="0.2">
      <c r="A21" s="1">
        <v>2.0999999999999999E-5</v>
      </c>
      <c r="B21">
        <v>1.6409</v>
      </c>
      <c r="C21">
        <v>1.5650999999999999</v>
      </c>
      <c r="D21">
        <v>1.8001</v>
      </c>
      <c r="E21">
        <v>1.7103999999999999</v>
      </c>
      <c r="G21" s="13">
        <f t="shared" si="5"/>
        <v>21</v>
      </c>
      <c r="H21" s="13">
        <f t="shared" si="6"/>
        <v>1.63775</v>
      </c>
      <c r="I21" s="13">
        <f t="shared" si="7"/>
        <v>1.7204999999999999</v>
      </c>
      <c r="J21" s="13">
        <f t="shared" si="8"/>
        <v>7.2649999999999978E-2</v>
      </c>
      <c r="K21" s="13">
        <f t="shared" si="9"/>
        <v>7.959999999999999E-2</v>
      </c>
    </row>
    <row r="23" spans="1:11" x14ac:dyDescent="0.2">
      <c r="A23" t="s">
        <v>23</v>
      </c>
      <c r="G23" t="str">
        <f>A23</f>
        <v>1367_ancAnimal_dsrm1</v>
      </c>
    </row>
    <row r="24" spans="1:11" x14ac:dyDescent="0.2">
      <c r="A24" t="s">
        <v>11</v>
      </c>
      <c r="B24" t="s">
        <v>12</v>
      </c>
      <c r="C24" t="s">
        <v>13</v>
      </c>
      <c r="D24" t="s">
        <v>12</v>
      </c>
      <c r="E24" t="s">
        <v>13</v>
      </c>
      <c r="G24" t="s">
        <v>11</v>
      </c>
      <c r="H24" t="s">
        <v>13</v>
      </c>
      <c r="I24" t="s">
        <v>12</v>
      </c>
      <c r="J24" t="s">
        <v>15</v>
      </c>
      <c r="K24" t="s">
        <v>14</v>
      </c>
    </row>
    <row r="25" spans="1:11" x14ac:dyDescent="0.2">
      <c r="A25" s="1">
        <v>4.9999999999999998E-8</v>
      </c>
      <c r="B25">
        <v>0.1545</v>
      </c>
      <c r="C25">
        <v>0.15459999999999999</v>
      </c>
      <c r="D25">
        <v>9.4399999999999998E-2</v>
      </c>
      <c r="E25">
        <v>0.14369999999999999</v>
      </c>
      <c r="G25" s="13">
        <f>A25*1000000</f>
        <v>4.9999999999999996E-2</v>
      </c>
      <c r="H25" s="13">
        <f>AVERAGE(C25,E25)</f>
        <v>0.14915</v>
      </c>
      <c r="I25" s="13">
        <f>AVERAGE(B25,D25)</f>
        <v>0.12445000000000001</v>
      </c>
      <c r="J25" s="13">
        <f>_xlfn.STDEV.S(E25,C25)/SQRT(2)</f>
        <v>5.4499999999999956E-3</v>
      </c>
      <c r="K25" s="13">
        <f>_xlfn.STDEV.S(D25,B25)/SQRT(2)</f>
        <v>3.0049999999999993E-2</v>
      </c>
    </row>
    <row r="26" spans="1:11" x14ac:dyDescent="0.2">
      <c r="A26" s="1">
        <v>9.1500000000000003E-7</v>
      </c>
      <c r="B26">
        <v>0.52529999999999999</v>
      </c>
      <c r="C26">
        <v>0.53920000000000001</v>
      </c>
      <c r="D26">
        <v>0.44350000000000001</v>
      </c>
      <c r="E26">
        <v>0.46989999999999998</v>
      </c>
      <c r="G26" s="13">
        <f t="shared" ref="G26:G32" si="10">A26*1000000</f>
        <v>0.91500000000000004</v>
      </c>
      <c r="H26" s="13">
        <f t="shared" ref="H26:H32" si="11">AVERAGE(C26,E26)</f>
        <v>0.50455000000000005</v>
      </c>
      <c r="I26" s="13">
        <f t="shared" ref="I26:I32" si="12">AVERAGE(B26,D26)</f>
        <v>0.4844</v>
      </c>
      <c r="J26" s="13">
        <f t="shared" ref="J26:J32" si="13">_xlfn.STDEV.S(E26,C26)/SQRT(2)</f>
        <v>3.4650000000000007E-2</v>
      </c>
      <c r="K26" s="13">
        <f t="shared" ref="K26:K32" si="14">_xlfn.STDEV.S(D26,B26)/SQRT(2)</f>
        <v>4.0899999999999992E-2</v>
      </c>
    </row>
    <row r="27" spans="1:11" x14ac:dyDescent="0.2">
      <c r="A27" s="1">
        <v>1.84E-6</v>
      </c>
      <c r="B27">
        <v>0.71050000000000002</v>
      </c>
      <c r="C27">
        <v>0.6764</v>
      </c>
      <c r="D27">
        <v>0.60089999999999999</v>
      </c>
      <c r="E27">
        <v>0.57140000000000002</v>
      </c>
      <c r="G27" s="13">
        <f t="shared" si="10"/>
        <v>1.8399999999999999</v>
      </c>
      <c r="H27" s="13">
        <f t="shared" si="11"/>
        <v>0.62390000000000001</v>
      </c>
      <c r="I27" s="13">
        <f t="shared" si="12"/>
        <v>0.65569999999999995</v>
      </c>
      <c r="J27" s="13">
        <f t="shared" si="13"/>
        <v>5.2499999999999984E-2</v>
      </c>
      <c r="K27" s="13">
        <f t="shared" si="14"/>
        <v>5.4800000000000015E-2</v>
      </c>
    </row>
    <row r="28" spans="1:11" x14ac:dyDescent="0.2">
      <c r="A28" s="1">
        <v>3.5999999999999998E-6</v>
      </c>
      <c r="B28">
        <v>0.87380000000000002</v>
      </c>
      <c r="C28">
        <v>0.82340000000000002</v>
      </c>
      <c r="D28">
        <v>0.79649999999999999</v>
      </c>
      <c r="E28">
        <v>0.7429</v>
      </c>
      <c r="G28" s="13">
        <f t="shared" si="10"/>
        <v>3.5999999999999996</v>
      </c>
      <c r="H28" s="13">
        <f t="shared" si="11"/>
        <v>0.78315000000000001</v>
      </c>
      <c r="I28" s="13">
        <f t="shared" si="12"/>
        <v>0.83515000000000006</v>
      </c>
      <c r="J28" s="13">
        <f t="shared" si="13"/>
        <v>4.0250000000000008E-2</v>
      </c>
      <c r="K28" s="13">
        <f t="shared" si="14"/>
        <v>3.8650000000000018E-2</v>
      </c>
    </row>
    <row r="29" spans="1:11" x14ac:dyDescent="0.2">
      <c r="A29" s="1">
        <v>5.4999999999999999E-6</v>
      </c>
      <c r="B29">
        <v>1.0431999999999999</v>
      </c>
      <c r="C29">
        <v>0.98250000000000004</v>
      </c>
      <c r="D29">
        <v>0.99750000000000005</v>
      </c>
      <c r="E29">
        <v>0.92679999999999996</v>
      </c>
      <c r="G29" s="13">
        <f t="shared" si="10"/>
        <v>5.5</v>
      </c>
      <c r="H29" s="13">
        <f t="shared" si="11"/>
        <v>0.95465</v>
      </c>
      <c r="I29" s="13">
        <f t="shared" si="12"/>
        <v>1.0203500000000001</v>
      </c>
      <c r="J29" s="13">
        <f t="shared" si="13"/>
        <v>2.7850000000000041E-2</v>
      </c>
      <c r="K29" s="13">
        <f t="shared" si="14"/>
        <v>2.2849999999999926E-2</v>
      </c>
    </row>
    <row r="30" spans="1:11" x14ac:dyDescent="0.2">
      <c r="A30" s="1">
        <v>7.3000000000000004E-6</v>
      </c>
      <c r="B30">
        <v>1.2753000000000001</v>
      </c>
      <c r="C30">
        <v>1.1912</v>
      </c>
      <c r="D30">
        <v>1.1919</v>
      </c>
      <c r="E30">
        <v>1.1123000000000001</v>
      </c>
      <c r="G30" s="13">
        <f t="shared" si="10"/>
        <v>7.3000000000000007</v>
      </c>
      <c r="H30" s="13">
        <f t="shared" si="11"/>
        <v>1.1517500000000001</v>
      </c>
      <c r="I30" s="13">
        <f t="shared" si="12"/>
        <v>1.2336</v>
      </c>
      <c r="J30" s="13">
        <f t="shared" si="13"/>
        <v>3.9449999999999978E-2</v>
      </c>
      <c r="K30" s="13">
        <f t="shared" si="14"/>
        <v>4.1700000000000063E-2</v>
      </c>
    </row>
    <row r="31" spans="1:11" x14ac:dyDescent="0.2">
      <c r="A31" s="1">
        <v>1.1E-5</v>
      </c>
      <c r="B31">
        <v>1.5949</v>
      </c>
      <c r="C31">
        <v>1.4823999999999999</v>
      </c>
      <c r="D31">
        <v>1.4437</v>
      </c>
      <c r="E31">
        <v>1.3492999999999999</v>
      </c>
      <c r="G31" s="13">
        <f t="shared" si="10"/>
        <v>11</v>
      </c>
      <c r="H31" s="13">
        <f t="shared" si="11"/>
        <v>1.4158499999999998</v>
      </c>
      <c r="I31" s="13">
        <f t="shared" si="12"/>
        <v>1.5192999999999999</v>
      </c>
      <c r="J31" s="13">
        <f t="shared" si="13"/>
        <v>6.6549999999999998E-2</v>
      </c>
      <c r="K31" s="13">
        <f t="shared" si="14"/>
        <v>7.5600000000000001E-2</v>
      </c>
    </row>
    <row r="32" spans="1:11" x14ac:dyDescent="0.2">
      <c r="A32" s="1">
        <v>2.0999999999999999E-5</v>
      </c>
      <c r="B32">
        <v>1.6105</v>
      </c>
      <c r="C32">
        <v>1.5798000000000001</v>
      </c>
      <c r="D32">
        <v>1.4791000000000001</v>
      </c>
      <c r="E32">
        <v>1.4645999999999999</v>
      </c>
      <c r="G32" s="13">
        <f t="shared" si="10"/>
        <v>21</v>
      </c>
      <c r="H32" s="13">
        <f t="shared" si="11"/>
        <v>1.5222</v>
      </c>
      <c r="I32" s="13">
        <f t="shared" si="12"/>
        <v>1.5448</v>
      </c>
      <c r="J32" s="13">
        <f t="shared" si="13"/>
        <v>5.7600000000000096E-2</v>
      </c>
      <c r="K32" s="13">
        <f t="shared" si="14"/>
        <v>6.5699999999999981E-2</v>
      </c>
    </row>
    <row r="34" spans="1:11" x14ac:dyDescent="0.2">
      <c r="A34" t="s">
        <v>24</v>
      </c>
      <c r="G34" t="str">
        <f>A34</f>
        <v>1074_ancAnimal_dsrm2</v>
      </c>
    </row>
    <row r="35" spans="1:11" x14ac:dyDescent="0.2">
      <c r="A35" t="s">
        <v>11</v>
      </c>
      <c r="B35" t="s">
        <v>12</v>
      </c>
      <c r="C35" t="s">
        <v>13</v>
      </c>
      <c r="D35" t="s">
        <v>12</v>
      </c>
      <c r="E35" t="s">
        <v>13</v>
      </c>
      <c r="G35" t="s">
        <v>11</v>
      </c>
      <c r="H35" t="s">
        <v>13</v>
      </c>
      <c r="I35" t="s">
        <v>12</v>
      </c>
      <c r="J35" t="s">
        <v>15</v>
      </c>
      <c r="K35" t="s">
        <v>14</v>
      </c>
    </row>
    <row r="36" spans="1:11" x14ac:dyDescent="0.2">
      <c r="A36" s="1">
        <v>4.9999999999999998E-8</v>
      </c>
      <c r="B36">
        <v>5.5100000000000003E-2</v>
      </c>
      <c r="C36">
        <v>3.2899999999999999E-2</v>
      </c>
      <c r="D36">
        <v>1.5599999999999999E-2</v>
      </c>
      <c r="E36">
        <v>1.47E-2</v>
      </c>
      <c r="G36" s="13">
        <f>A36*1000000</f>
        <v>4.9999999999999996E-2</v>
      </c>
      <c r="H36" s="13">
        <f>AVERAGE(C36,E36)</f>
        <v>2.3799999999999998E-2</v>
      </c>
      <c r="I36" s="13">
        <f>AVERAGE(B36,D36)</f>
        <v>3.5349999999999999E-2</v>
      </c>
      <c r="J36" s="13">
        <f>_xlfn.STDEV.S(E36,C36)/SQRT(2)</f>
        <v>9.1000000000000057E-3</v>
      </c>
      <c r="K36" s="13">
        <f>_xlfn.STDEV.S(D36,B36)/SQRT(2)</f>
        <v>1.9750000000000004E-2</v>
      </c>
    </row>
    <row r="37" spans="1:11" x14ac:dyDescent="0.2">
      <c r="A37" s="1">
        <v>9.1500000000000003E-7</v>
      </c>
      <c r="B37">
        <v>0.10059999999999999</v>
      </c>
      <c r="C37">
        <v>0.1215</v>
      </c>
      <c r="D37">
        <v>2.7799999999999998E-2</v>
      </c>
      <c r="E37">
        <v>0.16589999999999999</v>
      </c>
      <c r="G37" s="13">
        <f t="shared" ref="G37:G43" si="15">A37*1000000</f>
        <v>0.91500000000000004</v>
      </c>
      <c r="H37" s="13">
        <f t="shared" ref="H37:H43" si="16">AVERAGE(C37,E37)</f>
        <v>0.14369999999999999</v>
      </c>
      <c r="I37" s="13">
        <f t="shared" ref="I37:I43" si="17">AVERAGE(B37,D37)</f>
        <v>6.4199999999999993E-2</v>
      </c>
      <c r="J37" s="13">
        <f t="shared" ref="J37:J43" si="18">_xlfn.STDEV.S(E37,C37)/SQRT(2)</f>
        <v>2.2200000000000029E-2</v>
      </c>
      <c r="K37" s="13">
        <f t="shared" ref="K37:K43" si="19">_xlfn.STDEV.S(D37,B37)/SQRT(2)</f>
        <v>3.6399999999999995E-2</v>
      </c>
    </row>
    <row r="38" spans="1:11" x14ac:dyDescent="0.2">
      <c r="A38" s="1">
        <v>1.84E-6</v>
      </c>
      <c r="B38">
        <v>0.29089999999999999</v>
      </c>
      <c r="C38">
        <v>0.32179999999999997</v>
      </c>
      <c r="D38">
        <v>0.29039999999999999</v>
      </c>
      <c r="E38">
        <v>0.34010000000000001</v>
      </c>
      <c r="G38" s="13">
        <f t="shared" si="15"/>
        <v>1.8399999999999999</v>
      </c>
      <c r="H38" s="13">
        <f t="shared" si="16"/>
        <v>0.33094999999999997</v>
      </c>
      <c r="I38" s="13">
        <f t="shared" si="17"/>
        <v>0.29064999999999996</v>
      </c>
      <c r="J38" s="13">
        <f t="shared" si="18"/>
        <v>9.1500000000000192E-3</v>
      </c>
      <c r="K38" s="13">
        <f t="shared" si="19"/>
        <v>2.5000000000000022E-4</v>
      </c>
    </row>
    <row r="39" spans="1:11" x14ac:dyDescent="0.2">
      <c r="A39" s="1">
        <v>3.5999999999999998E-6</v>
      </c>
      <c r="B39">
        <v>0.56679999999999997</v>
      </c>
      <c r="C39">
        <v>0.5474</v>
      </c>
      <c r="D39">
        <v>0.5464</v>
      </c>
      <c r="E39">
        <v>0.5161</v>
      </c>
      <c r="G39" s="13">
        <f t="shared" si="15"/>
        <v>3.5999999999999996</v>
      </c>
      <c r="H39" s="13">
        <f t="shared" si="16"/>
        <v>0.53174999999999994</v>
      </c>
      <c r="I39" s="13">
        <f t="shared" si="17"/>
        <v>0.55659999999999998</v>
      </c>
      <c r="J39" s="13">
        <f t="shared" si="18"/>
        <v>1.5649999999999997E-2</v>
      </c>
      <c r="K39" s="13">
        <f t="shared" si="19"/>
        <v>1.0199999999999987E-2</v>
      </c>
    </row>
    <row r="40" spans="1:11" x14ac:dyDescent="0.2">
      <c r="A40" s="1">
        <v>5.4999999999999999E-6</v>
      </c>
      <c r="B40">
        <v>0.92369999999999997</v>
      </c>
      <c r="C40">
        <v>0.85119999999999996</v>
      </c>
      <c r="D40">
        <v>1.0201</v>
      </c>
      <c r="E40">
        <v>0.95469999999999999</v>
      </c>
      <c r="G40" s="13">
        <f t="shared" si="15"/>
        <v>5.5</v>
      </c>
      <c r="H40" s="13">
        <f t="shared" si="16"/>
        <v>0.90294999999999992</v>
      </c>
      <c r="I40" s="13">
        <f t="shared" si="17"/>
        <v>0.97189999999999999</v>
      </c>
      <c r="J40" s="13">
        <f t="shared" si="18"/>
        <v>5.1750000000000011E-2</v>
      </c>
      <c r="K40" s="13">
        <f t="shared" si="19"/>
        <v>4.8200000000000021E-2</v>
      </c>
    </row>
    <row r="41" spans="1:11" x14ac:dyDescent="0.2">
      <c r="A41" s="1">
        <v>7.3000000000000004E-6</v>
      </c>
      <c r="B41">
        <v>1.3473999999999999</v>
      </c>
      <c r="C41">
        <v>1.2405999999999999</v>
      </c>
      <c r="D41">
        <v>1.4809000000000001</v>
      </c>
      <c r="E41">
        <v>1.3487</v>
      </c>
      <c r="G41" s="13">
        <f t="shared" si="15"/>
        <v>7.3000000000000007</v>
      </c>
      <c r="H41" s="13">
        <f t="shared" si="16"/>
        <v>1.2946499999999999</v>
      </c>
      <c r="I41" s="13">
        <f t="shared" si="17"/>
        <v>1.41415</v>
      </c>
      <c r="J41" s="13">
        <f t="shared" si="18"/>
        <v>5.4050000000000036E-2</v>
      </c>
      <c r="K41" s="13">
        <f t="shared" si="19"/>
        <v>6.6750000000000087E-2</v>
      </c>
    </row>
    <row r="42" spans="1:11" x14ac:dyDescent="0.2">
      <c r="A42" s="1">
        <v>1.1E-5</v>
      </c>
      <c r="B42">
        <v>1.6686000000000001</v>
      </c>
      <c r="C42">
        <v>1.5450999999999999</v>
      </c>
      <c r="D42">
        <v>1.8654999999999999</v>
      </c>
      <c r="E42">
        <v>1.7271000000000001</v>
      </c>
      <c r="G42" s="13">
        <f t="shared" si="15"/>
        <v>11</v>
      </c>
      <c r="H42" s="13">
        <f t="shared" si="16"/>
        <v>1.6360999999999999</v>
      </c>
      <c r="I42" s="13">
        <f t="shared" si="17"/>
        <v>1.76705</v>
      </c>
      <c r="J42" s="13">
        <f t="shared" si="18"/>
        <v>9.1000000000000067E-2</v>
      </c>
      <c r="K42" s="13">
        <f t="shared" si="19"/>
        <v>9.8449999999999926E-2</v>
      </c>
    </row>
    <row r="43" spans="1:11" x14ac:dyDescent="0.2">
      <c r="A43" s="1">
        <v>2.0999999999999999E-5</v>
      </c>
      <c r="B43">
        <v>2.2301000000000002</v>
      </c>
      <c r="C43">
        <v>2.0994999999999999</v>
      </c>
      <c r="D43">
        <v>2.2423000000000002</v>
      </c>
      <c r="E43">
        <v>2.1223000000000001</v>
      </c>
      <c r="G43" s="13">
        <f t="shared" si="15"/>
        <v>21</v>
      </c>
      <c r="H43" s="13">
        <f t="shared" si="16"/>
        <v>2.1109</v>
      </c>
      <c r="I43" s="13">
        <f t="shared" si="17"/>
        <v>2.2362000000000002</v>
      </c>
      <c r="J43" s="13">
        <f t="shared" si="18"/>
        <v>1.1400000000000077E-2</v>
      </c>
      <c r="K43" s="13">
        <f t="shared" si="19"/>
        <v>6.0999999999999943E-3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P1" sqref="P1"/>
    </sheetView>
  </sheetViews>
  <sheetFormatPr baseColWidth="10" defaultRowHeight="16" x14ac:dyDescent="0.2"/>
  <sheetData>
    <row r="1" spans="1:16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I1" t="s">
        <v>33</v>
      </c>
      <c r="J1" t="s">
        <v>34</v>
      </c>
      <c r="K1" t="s">
        <v>31</v>
      </c>
      <c r="L1" t="s">
        <v>32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">
      <c r="A2">
        <v>965</v>
      </c>
      <c r="B2">
        <v>4.3277869999999998</v>
      </c>
      <c r="C2">
        <v>4.474831</v>
      </c>
      <c r="D2">
        <v>4.7652000000000001</v>
      </c>
      <c r="E2">
        <v>0.129276</v>
      </c>
      <c r="F2">
        <v>9.5079999999999998E-2</v>
      </c>
      <c r="G2">
        <v>6.6799999999999998E-2</v>
      </c>
      <c r="I2">
        <f>E2^2</f>
        <v>1.6712284176E-2</v>
      </c>
      <c r="J2">
        <f>G2^2</f>
        <v>4.4622400000000001E-3</v>
      </c>
      <c r="K2">
        <v>5</v>
      </c>
      <c r="L2">
        <v>3</v>
      </c>
      <c r="M2">
        <f>SQRT(I2+J2)</f>
        <v>0.14551468714875485</v>
      </c>
      <c r="N2">
        <f>ABS((E2-G2)/(M2*0.2))</f>
        <v>2.1467248847579508</v>
      </c>
      <c r="O2">
        <f>(I2+J2)^2/(I2^2/(K2-1)+J2^2/(L2-1))</f>
        <v>5.6198971732568053</v>
      </c>
      <c r="P2">
        <f>_xlfn.T.DIST.2T(N2,O2)</f>
        <v>8.4594640147465996E-2</v>
      </c>
    </row>
    <row r="3" spans="1:16" x14ac:dyDescent="0.2">
      <c r="A3">
        <v>976</v>
      </c>
      <c r="B3">
        <v>5.8685929999999997</v>
      </c>
      <c r="C3">
        <v>5.7722670000000003</v>
      </c>
      <c r="D3">
        <v>5.4987000000000004</v>
      </c>
      <c r="E3">
        <v>9.9408999999999997E-2</v>
      </c>
      <c r="F3">
        <v>7.0618E-2</v>
      </c>
      <c r="G3">
        <v>3.4599999999999999E-2</v>
      </c>
      <c r="I3">
        <f>E3^2</f>
        <v>9.8821492809999991E-3</v>
      </c>
      <c r="J3">
        <f>G3^2</f>
        <v>1.1971599999999998E-3</v>
      </c>
      <c r="K3">
        <v>5</v>
      </c>
      <c r="L3">
        <v>3</v>
      </c>
      <c r="M3">
        <f>SQRT(I3+J3)</f>
        <v>0.10525829791992648</v>
      </c>
      <c r="N3">
        <f>ABS((E3-G3)/(M3*0.2))</f>
        <v>3.0785696368234254</v>
      </c>
      <c r="O3">
        <f>(I3+J3)^2/(I3^2/(K3-1)+J3^2/(L3-1))</f>
        <v>4.8844852792486169</v>
      </c>
      <c r="P3">
        <f>_xlfn.T.DIST.2T(N3,O3)</f>
        <v>3.6983034018433281E-2</v>
      </c>
    </row>
    <row r="6" spans="1:16" x14ac:dyDescent="0.2">
      <c r="A6">
        <v>1367</v>
      </c>
      <c r="B6">
        <v>4.8282389999999999</v>
      </c>
      <c r="C6">
        <v>4.2796029999999998</v>
      </c>
      <c r="D6">
        <v>3</v>
      </c>
      <c r="E6">
        <v>0.16981299999999999</v>
      </c>
      <c r="F6">
        <v>0.17818400000000001</v>
      </c>
    </row>
    <row r="7" spans="1:16" x14ac:dyDescent="0.2">
      <c r="A7">
        <v>1368</v>
      </c>
      <c r="B7">
        <v>3.9649109999999999</v>
      </c>
      <c r="C7">
        <v>4.695786</v>
      </c>
      <c r="D7">
        <v>3</v>
      </c>
      <c r="E7">
        <v>0.15185499999999999</v>
      </c>
      <c r="F7">
        <v>0.14554</v>
      </c>
    </row>
    <row r="10" spans="1:16" x14ac:dyDescent="0.2">
      <c r="A10">
        <v>1404</v>
      </c>
      <c r="B10">
        <v>5.0285659999999996</v>
      </c>
      <c r="C10">
        <v>4.5891089999999997</v>
      </c>
      <c r="D10">
        <v>5.1028000000000002</v>
      </c>
      <c r="E10">
        <v>0.196797</v>
      </c>
      <c r="F10">
        <v>9.9141000000000007E-2</v>
      </c>
      <c r="G10">
        <v>2.69E-2</v>
      </c>
      <c r="I10">
        <f>E10^2</f>
        <v>3.8729059209000001E-2</v>
      </c>
      <c r="J10">
        <f>G10^2</f>
        <v>7.2360999999999997E-4</v>
      </c>
      <c r="K10">
        <v>5</v>
      </c>
      <c r="L10">
        <v>3</v>
      </c>
      <c r="M10">
        <f>SQRT(I10+J10)</f>
        <v>0.1986269599248803</v>
      </c>
      <c r="N10">
        <f>ABS((E10-G10)/(M10*0.2))</f>
        <v>4.2767859928041529</v>
      </c>
      <c r="O10">
        <f>(I10+J10)^2/(I10^2/(K10-1)+J10^2/(L10-1))</f>
        <v>4.1479715637383263</v>
      </c>
      <c r="P10">
        <f>_xlfn.T.DIST.2T(N10,O10)</f>
        <v>1.2880485510199303E-2</v>
      </c>
    </row>
    <row r="11" spans="1:16" x14ac:dyDescent="0.2">
      <c r="A11">
        <v>1406</v>
      </c>
      <c r="B11">
        <v>3.7439619999999998</v>
      </c>
      <c r="C11">
        <v>3.7803360000000001</v>
      </c>
      <c r="D11">
        <v>4.10229</v>
      </c>
      <c r="E11">
        <v>0.15715499999999999</v>
      </c>
      <c r="F11">
        <v>5.0273999999999999E-2</v>
      </c>
      <c r="G11">
        <v>7.102E-2</v>
      </c>
      <c r="I11">
        <f>E11^2</f>
        <v>2.4697694024999998E-2</v>
      </c>
      <c r="J11">
        <f>G11^2</f>
        <v>5.0438404000000001E-3</v>
      </c>
      <c r="K11">
        <v>5</v>
      </c>
      <c r="L11">
        <v>3</v>
      </c>
      <c r="M11">
        <f>SQRT(I11+J11)</f>
        <v>0.17245734088463732</v>
      </c>
      <c r="N11">
        <f>ABS((E11-G11)/(M11*0.2))</f>
        <v>2.4972842431108417</v>
      </c>
      <c r="O11">
        <f>(I11+J11)^2/(I11^2/(K11-1)+J11^2/(L11-1))</f>
        <v>5.3540128356656842</v>
      </c>
      <c r="P11">
        <f>_xlfn.T.DIST.2T(N11,O11)</f>
        <v>5.4671439400107665E-2</v>
      </c>
    </row>
    <row r="14" spans="1:16" x14ac:dyDescent="0.2">
      <c r="A14">
        <v>1165</v>
      </c>
      <c r="B14">
        <v>4.6845549999999996</v>
      </c>
      <c r="C14">
        <v>4.3163799999999997</v>
      </c>
      <c r="D14">
        <v>3</v>
      </c>
      <c r="E14">
        <v>0.1282963</v>
      </c>
      <c r="F14">
        <v>0.14002800000000001</v>
      </c>
    </row>
    <row r="15" spans="1:16" x14ac:dyDescent="0.2">
      <c r="A15">
        <v>1172</v>
      </c>
      <c r="B15">
        <v>3.7351990000000002</v>
      </c>
      <c r="C15">
        <v>4.1125999999999996</v>
      </c>
      <c r="D15">
        <v>3</v>
      </c>
      <c r="E15">
        <v>0.10221</v>
      </c>
      <c r="F15">
        <v>9.2162999999999995E-2</v>
      </c>
    </row>
    <row r="18" spans="1:16" x14ac:dyDescent="0.2">
      <c r="A18">
        <v>1090</v>
      </c>
      <c r="B18">
        <v>4.4867470000000003</v>
      </c>
      <c r="C18">
        <v>4.4029410000000002</v>
      </c>
      <c r="D18">
        <v>4.6428000000000003</v>
      </c>
      <c r="E18">
        <v>7.2063000000000002E-2</v>
      </c>
      <c r="F18">
        <v>0.117644</v>
      </c>
      <c r="G18">
        <v>6.2379999999999998E-2</v>
      </c>
      <c r="I18">
        <f>E18^2</f>
        <v>5.1930759690000002E-3</v>
      </c>
      <c r="J18">
        <f>G18^2</f>
        <v>3.8912643999999999E-3</v>
      </c>
      <c r="K18">
        <v>5</v>
      </c>
      <c r="L18">
        <v>3</v>
      </c>
      <c r="M18">
        <f>SQRT(I18+J18)</f>
        <v>9.531180603157198E-2</v>
      </c>
      <c r="N18">
        <f>ABS((E18-G18)/M18)</f>
        <v>0.10159287084322498</v>
      </c>
      <c r="O18">
        <f>(I18+J18)^2/(I18^2/(K18-1)+J18^2/(L18-1))</f>
        <v>5.7657627371577771</v>
      </c>
      <c r="P18">
        <f>_xlfn.T.DIST.2T(N18,O18)</f>
        <v>0.92302815460134735</v>
      </c>
    </row>
    <row r="19" spans="1:16" x14ac:dyDescent="0.2">
      <c r="A19">
        <v>1091</v>
      </c>
      <c r="B19">
        <v>5.1966760000000001</v>
      </c>
      <c r="C19">
        <v>4.9203197000000003</v>
      </c>
      <c r="D19">
        <v>5.2213500000000002</v>
      </c>
      <c r="E19">
        <v>0.15983700000000001</v>
      </c>
      <c r="F19">
        <v>6.7463999999999996E-2</v>
      </c>
      <c r="G19">
        <v>3.3210000000000003E-2</v>
      </c>
      <c r="I19">
        <f>E19^2</f>
        <v>2.5547866569000002E-2</v>
      </c>
      <c r="J19">
        <f>G19^2</f>
        <v>1.1029041000000003E-3</v>
      </c>
      <c r="K19">
        <v>5</v>
      </c>
      <c r="L19">
        <v>3</v>
      </c>
      <c r="M19">
        <f>SQRT(I19+J19)</f>
        <v>0.16325063757609035</v>
      </c>
      <c r="N19">
        <f>ABS((E19-G19)/M19)</f>
        <v>0.77566006405935017</v>
      </c>
      <c r="O19">
        <f>(I19+J19)^2/(I19^2/(K19-1)+J19^2/(L19-1))</f>
        <v>4.336651407243699</v>
      </c>
      <c r="P19">
        <f>_xlfn.T.DIST.2T(N19,O19)</f>
        <v>0.48125531090488116</v>
      </c>
    </row>
    <row r="22" spans="1:16" x14ac:dyDescent="0.2">
      <c r="A22">
        <v>1279</v>
      </c>
      <c r="B22">
        <v>4.2767530000000002</v>
      </c>
      <c r="C22">
        <v>4.548654</v>
      </c>
      <c r="D22">
        <v>3.9927999999999999</v>
      </c>
      <c r="E22">
        <v>0.18642900000000001</v>
      </c>
      <c r="F22">
        <v>0.13063</v>
      </c>
      <c r="G22">
        <v>8.2110000000000002E-2</v>
      </c>
      <c r="I22">
        <f>E22^2</f>
        <v>3.4755772041000006E-2</v>
      </c>
      <c r="J22">
        <f>G22^2</f>
        <v>6.7420521000000006E-3</v>
      </c>
      <c r="K22">
        <v>5</v>
      </c>
      <c r="L22">
        <v>3</v>
      </c>
      <c r="M22">
        <f>SQRT(I22+J22)</f>
        <v>0.20371014736875531</v>
      </c>
      <c r="N22">
        <f>ABS((E22-G22)/M22)</f>
        <v>0.51209525567306258</v>
      </c>
      <c r="O22">
        <f>(I22+J22)^2/(I22^2/(K22-1)+J22^2/(L22-1))</f>
        <v>5.3032676379986921</v>
      </c>
      <c r="P22">
        <f>_xlfn.T.DIST.2T(N22,O22)</f>
        <v>0.6303939033314685</v>
      </c>
    </row>
    <row r="23" spans="1:16" x14ac:dyDescent="0.2">
      <c r="A23">
        <v>1280</v>
      </c>
      <c r="B23">
        <v>5.2215530000000001</v>
      </c>
      <c r="C23">
        <v>5.0745019999999998</v>
      </c>
      <c r="D23">
        <v>5.2319000000000004</v>
      </c>
      <c r="E23">
        <v>0.247638</v>
      </c>
      <c r="F23">
        <v>8.3721000000000004E-2</v>
      </c>
      <c r="G23">
        <v>2.9180000000000001E-2</v>
      </c>
      <c r="I23">
        <f>E23^2</f>
        <v>6.1324579043999995E-2</v>
      </c>
      <c r="J23">
        <f>G23^2</f>
        <v>8.5147240000000006E-4</v>
      </c>
      <c r="K23">
        <v>5</v>
      </c>
      <c r="L23">
        <v>3</v>
      </c>
      <c r="M23">
        <f>SQRT(I23+J23)</f>
        <v>0.2493512611638449</v>
      </c>
      <c r="N23">
        <f>ABS((E23-G23)/M23)</f>
        <v>0.87610545453168798</v>
      </c>
      <c r="O23">
        <f>(I23+J23)^2/(I23^2/(K23-1)+J23^2/(L23-1))</f>
        <v>4.1102638197137136</v>
      </c>
      <c r="P23">
        <f>_xlfn.T.DIST.2T(N23,O23)</f>
        <v>0.43043382164435368</v>
      </c>
    </row>
    <row r="26" spans="1:16" x14ac:dyDescent="0.2">
      <c r="A26">
        <v>1504</v>
      </c>
      <c r="B26">
        <v>4.0528320000000004</v>
      </c>
      <c r="C26">
        <v>3.6974239999999998</v>
      </c>
      <c r="D26">
        <v>3</v>
      </c>
      <c r="E26">
        <v>0.18684600000000001</v>
      </c>
      <c r="F26">
        <v>0.15445999999999999</v>
      </c>
    </row>
    <row r="27" spans="1:16" x14ac:dyDescent="0.2">
      <c r="A27">
        <v>1770</v>
      </c>
      <c r="B27">
        <v>4.4783179999999998</v>
      </c>
      <c r="C27">
        <v>3.9058839999999999</v>
      </c>
      <c r="D27">
        <v>3</v>
      </c>
      <c r="E27">
        <v>0.16167300000000001</v>
      </c>
      <c r="F27">
        <v>0.12790199999999999</v>
      </c>
    </row>
    <row r="30" spans="1:16" x14ac:dyDescent="0.2">
      <c r="A30">
        <v>1770</v>
      </c>
      <c r="B30">
        <v>4.4783179999999998</v>
      </c>
      <c r="C30">
        <v>3.9058839999999999</v>
      </c>
      <c r="D30">
        <v>4.3117999999999999</v>
      </c>
      <c r="E30">
        <v>0.16167300000000001</v>
      </c>
      <c r="F30">
        <v>0.12790199999999999</v>
      </c>
      <c r="G30">
        <v>5.6899999999999999E-2</v>
      </c>
      <c r="I30">
        <f>E30^2</f>
        <v>2.6138158929000004E-2</v>
      </c>
      <c r="J30">
        <f>G30^2</f>
        <v>3.2376099999999997E-3</v>
      </c>
      <c r="K30">
        <v>5</v>
      </c>
      <c r="L30">
        <v>3</v>
      </c>
      <c r="M30">
        <f>SQRT(I30+J30)</f>
        <v>0.17139360819178759</v>
      </c>
      <c r="N30">
        <f>ABS((E30-G30)/M30)</f>
        <v>0.611300509426</v>
      </c>
      <c r="O30">
        <f>(I30+J30)^2/(I30^2/(K30-1)+J30^2/(L30-1))</f>
        <v>4.9018774131515217</v>
      </c>
      <c r="P30">
        <f>_xlfn.T.DIST.2T(N30,O30)</f>
        <v>0.57403508043534246</v>
      </c>
    </row>
    <row r="31" spans="1:16" x14ac:dyDescent="0.2">
      <c r="A31">
        <v>1771</v>
      </c>
      <c r="B31">
        <v>5.1679550000000001</v>
      </c>
      <c r="C31">
        <v>4.6336389999999996</v>
      </c>
      <c r="D31">
        <v>5.2179000000000002</v>
      </c>
      <c r="E31">
        <v>0.120744</v>
      </c>
      <c r="F31">
        <v>0.100302</v>
      </c>
      <c r="G31">
        <v>3.8800000000000001E-2</v>
      </c>
      <c r="I31">
        <f>E31^2</f>
        <v>1.4579113536000001E-2</v>
      </c>
      <c r="J31">
        <f>G31^2</f>
        <v>1.50544E-3</v>
      </c>
      <c r="K31">
        <v>5</v>
      </c>
      <c r="L31">
        <v>3</v>
      </c>
      <c r="M31">
        <f>SQRT(I31+J31)</f>
        <v>0.12682489320318782</v>
      </c>
      <c r="N31">
        <f>ABS((E31-G31)/M31)</f>
        <v>0.64611921153930285</v>
      </c>
      <c r="O31">
        <f>(I31+J31)^2/(I31^2/(K31-1)+J31^2/(L31-1))</f>
        <v>4.7670718332941231</v>
      </c>
      <c r="P31">
        <f>_xlfn.T.DIST.2T(N31,O31)</f>
        <v>0.55340270780771272</v>
      </c>
    </row>
    <row r="34" spans="1:16" x14ac:dyDescent="0.2">
      <c r="A34">
        <v>1731</v>
      </c>
      <c r="B34">
        <v>4.4995630000000002</v>
      </c>
      <c r="C34">
        <v>4.3154589999999997</v>
      </c>
      <c r="D34">
        <v>4.4099000000000004</v>
      </c>
      <c r="E34">
        <v>0.1396</v>
      </c>
      <c r="F34">
        <v>7.7229999999999993E-2</v>
      </c>
      <c r="G34">
        <v>3.8620000000000002E-2</v>
      </c>
      <c r="I34">
        <f>E34^2</f>
        <v>1.9488160000000001E-2</v>
      </c>
      <c r="J34">
        <f>G34^2</f>
        <v>1.4915044000000002E-3</v>
      </c>
      <c r="K34">
        <v>5</v>
      </c>
      <c r="L34">
        <v>3</v>
      </c>
      <c r="M34">
        <f>SQRT(I34+J34)</f>
        <v>0.14484358598156841</v>
      </c>
      <c r="N34">
        <f>ABS((E34-G34)/M34)</f>
        <v>0.69716583800162113</v>
      </c>
      <c r="O34">
        <f>(I34+J34)^2/(I34^2/(K34-1)+J34^2/(L34-1))</f>
        <v>4.5820229414266214</v>
      </c>
      <c r="P34">
        <f>_xlfn.T.DIST.2T(N34,O34)</f>
        <v>0.52409420618195512</v>
      </c>
    </row>
    <row r="35" spans="1:16" x14ac:dyDescent="0.2">
      <c r="A35">
        <v>1732</v>
      </c>
      <c r="B35">
        <v>5.168056</v>
      </c>
      <c r="C35">
        <v>4.8393969999999999</v>
      </c>
      <c r="D35">
        <v>4.8928000000000003</v>
      </c>
      <c r="E35">
        <v>0.22653999999999999</v>
      </c>
      <c r="F35">
        <v>0.151111</v>
      </c>
      <c r="G35">
        <v>4.2200000000000001E-2</v>
      </c>
      <c r="I35">
        <f>E35^2</f>
        <v>5.1320371599999998E-2</v>
      </c>
      <c r="J35">
        <f>G35^2</f>
        <v>1.7808400000000001E-3</v>
      </c>
      <c r="K35">
        <v>5</v>
      </c>
      <c r="L35">
        <v>3</v>
      </c>
      <c r="M35">
        <f>SQRT(I35+J35)</f>
        <v>0.23043700136913775</v>
      </c>
      <c r="N35">
        <f>ABS((E35-G35)/M35)</f>
        <v>0.79995833527058091</v>
      </c>
      <c r="O35">
        <f>(I35+J35)^2/(I35^2/(K35-1)+J35^2/(L35-1))</f>
        <v>4.2721317575198627</v>
      </c>
      <c r="P35">
        <f>_xlfn.T.DIST.2T(N35,O35)</f>
        <v>0.46854869774164981</v>
      </c>
    </row>
    <row r="38" spans="1:16" x14ac:dyDescent="0.2">
      <c r="A38">
        <v>1728</v>
      </c>
      <c r="B38">
        <v>3.9168850000000002</v>
      </c>
      <c r="C38">
        <v>4.028524</v>
      </c>
      <c r="D38">
        <v>3</v>
      </c>
      <c r="E38">
        <v>0.182176</v>
      </c>
      <c r="F38">
        <v>0.14446600000000001</v>
      </c>
    </row>
    <row r="39" spans="1:16" x14ac:dyDescent="0.2">
      <c r="A39">
        <v>1729</v>
      </c>
      <c r="B39">
        <v>4.6938319999999996</v>
      </c>
      <c r="C39">
        <v>4.1981479999999998</v>
      </c>
      <c r="D39">
        <v>3</v>
      </c>
      <c r="E39">
        <v>0.17874599999999999</v>
      </c>
      <c r="F39">
        <v>9.5383999999999997E-2</v>
      </c>
    </row>
    <row r="42" spans="1:16" x14ac:dyDescent="0.2">
      <c r="A42">
        <v>1525</v>
      </c>
      <c r="B42">
        <v>5.1188190000000002</v>
      </c>
      <c r="C42">
        <v>4.7980489999999998</v>
      </c>
      <c r="D42">
        <v>5.2127999999999997</v>
      </c>
      <c r="E42">
        <v>0.150868</v>
      </c>
      <c r="F42">
        <v>0.11429400000000001</v>
      </c>
      <c r="G42">
        <v>6.6100000000000006E-2</v>
      </c>
      <c r="I42">
        <f>E42^2</f>
        <v>2.2761153424000001E-2</v>
      </c>
      <c r="J42">
        <f>G42^2</f>
        <v>4.369210000000001E-3</v>
      </c>
      <c r="K42">
        <v>5</v>
      </c>
      <c r="L42">
        <v>3</v>
      </c>
      <c r="M42">
        <f>SQRT(I42+J42)</f>
        <v>0.16471297284670688</v>
      </c>
      <c r="N42">
        <f>ABS((E42-G42)/M42)</f>
        <v>0.51464070215580937</v>
      </c>
      <c r="O42">
        <f>(I42+J42)^2/(I42^2/(K42-1)+J42^2/(L42-1))</f>
        <v>5.2929904959780876</v>
      </c>
      <c r="P42">
        <f>_xlfn.T.DIST.2T(N42,O42)</f>
        <v>0.62873736183468987</v>
      </c>
    </row>
    <row r="43" spans="1:16" x14ac:dyDescent="0.2">
      <c r="A43">
        <v>1526</v>
      </c>
      <c r="B43">
        <v>6.0783630000000004</v>
      </c>
      <c r="C43">
        <v>5.691789</v>
      </c>
      <c r="D43">
        <v>5.3118999999999996</v>
      </c>
      <c r="E43">
        <v>0.14687700000000001</v>
      </c>
      <c r="F43">
        <v>9.2835000000000001E-2</v>
      </c>
      <c r="G43">
        <v>5.2900000000000003E-2</v>
      </c>
      <c r="I43">
        <f>E43^2</f>
        <v>2.1572853129000001E-2</v>
      </c>
      <c r="J43">
        <f>G43^2</f>
        <v>2.7984100000000003E-3</v>
      </c>
      <c r="K43">
        <v>5</v>
      </c>
      <c r="L43">
        <v>3</v>
      </c>
      <c r="M43">
        <f>SQRT(I43+J43)</f>
        <v>0.15611298193616058</v>
      </c>
      <c r="N43">
        <f>ABS((E43-G43)/M43)</f>
        <v>0.60198068625984036</v>
      </c>
      <c r="O43">
        <f>(I43+J43)^2/(I43^2/(K43-1)+J43^2/(L43-1))</f>
        <v>4.9388482105240366</v>
      </c>
      <c r="P43">
        <f>_xlfn.T.DIST.2T(N43,O43)</f>
        <v>0.57964437718490136</v>
      </c>
    </row>
    <row r="46" spans="1:16" x14ac:dyDescent="0.2">
      <c r="A46">
        <v>1559</v>
      </c>
      <c r="B46">
        <v>4.6062110000000001</v>
      </c>
      <c r="C46">
        <v>5.0211319999999997</v>
      </c>
      <c r="D46">
        <v>3</v>
      </c>
      <c r="E46">
        <v>0.18811</v>
      </c>
      <c r="F46">
        <v>0.16824900000000001</v>
      </c>
    </row>
    <row r="47" spans="1:16" x14ac:dyDescent="0.2">
      <c r="A47">
        <v>1560</v>
      </c>
      <c r="B47">
        <v>5.3709860000000003</v>
      </c>
      <c r="C47">
        <v>5.2095180000000001</v>
      </c>
      <c r="D47">
        <v>3</v>
      </c>
      <c r="E47">
        <v>0.16094900000000001</v>
      </c>
      <c r="F47">
        <v>0.11235000000000001</v>
      </c>
    </row>
    <row r="50" spans="1:6" x14ac:dyDescent="0.2">
      <c r="A50">
        <v>1662</v>
      </c>
      <c r="B50">
        <v>5.1092230000000001</v>
      </c>
      <c r="C50">
        <v>4.4629380000000003</v>
      </c>
      <c r="D50">
        <v>3</v>
      </c>
      <c r="E50">
        <v>0.13069</v>
      </c>
      <c r="F50">
        <v>0.15049999999999999</v>
      </c>
    </row>
    <row r="51" spans="1:6" x14ac:dyDescent="0.2">
      <c r="A51">
        <v>1663</v>
      </c>
      <c r="B51">
        <v>4.3622860000000001</v>
      </c>
      <c r="C51">
        <v>4.3348389999999997</v>
      </c>
      <c r="D51">
        <v>3</v>
      </c>
      <c r="E51">
        <v>0.15007100000000001</v>
      </c>
      <c r="F51">
        <v>0.16434499999999999</v>
      </c>
    </row>
    <row r="54" spans="1:6" x14ac:dyDescent="0.2">
      <c r="A54">
        <v>1635</v>
      </c>
      <c r="B54">
        <v>4.6858959999999996</v>
      </c>
      <c r="C54">
        <v>4.3938699999999997</v>
      </c>
      <c r="D54">
        <v>3</v>
      </c>
      <c r="E54">
        <v>0.13669500000000001</v>
      </c>
      <c r="F54">
        <v>0.11587500000000001</v>
      </c>
    </row>
    <row r="55" spans="1:6" x14ac:dyDescent="0.2">
      <c r="A55">
        <v>1636</v>
      </c>
      <c r="B55">
        <v>4.3092040000000003</v>
      </c>
      <c r="C55">
        <v>4.3675509999999997</v>
      </c>
      <c r="D55">
        <v>3</v>
      </c>
      <c r="E55">
        <v>9.1795000000000002E-2</v>
      </c>
      <c r="F55">
        <v>0.116594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14" sqref="A14:XFD14"/>
    </sheetView>
  </sheetViews>
  <sheetFormatPr baseColWidth="10" defaultRowHeight="16" x14ac:dyDescent="0.2"/>
  <cols>
    <col min="1" max="1" width="26.6640625" bestFit="1" customWidth="1"/>
    <col min="7" max="7" width="11.83203125" bestFit="1" customWidth="1"/>
    <col min="8" max="8" width="11.83203125" style="4" customWidth="1"/>
    <col min="9" max="9" width="11.83203125" customWidth="1"/>
    <col min="10" max="10" width="12.1640625" bestFit="1" customWidth="1"/>
    <col min="11" max="11" width="12.1640625" customWidth="1"/>
    <col min="14" max="15" width="3.33203125" bestFit="1" customWidth="1"/>
  </cols>
  <sheetData>
    <row r="1" spans="1:19" x14ac:dyDescent="0.2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s="4" t="s">
        <v>62</v>
      </c>
      <c r="I1" t="s">
        <v>60</v>
      </c>
      <c r="J1" t="s">
        <v>59</v>
      </c>
      <c r="K1" t="s">
        <v>61</v>
      </c>
      <c r="L1" t="s">
        <v>33</v>
      </c>
      <c r="M1" t="s">
        <v>34</v>
      </c>
      <c r="N1" t="s">
        <v>31</v>
      </c>
      <c r="O1" t="s">
        <v>32</v>
      </c>
      <c r="P1" t="s">
        <v>35</v>
      </c>
      <c r="Q1" t="s">
        <v>36</v>
      </c>
      <c r="R1" t="s">
        <v>37</v>
      </c>
      <c r="S1" t="s">
        <v>38</v>
      </c>
    </row>
    <row r="2" spans="1:19" x14ac:dyDescent="0.2">
      <c r="A2" t="s">
        <v>46</v>
      </c>
      <c r="B2">
        <v>4.3277869999999998</v>
      </c>
      <c r="C2">
        <v>4.474831</v>
      </c>
      <c r="D2">
        <v>4.7652000000000001</v>
      </c>
      <c r="E2">
        <v>0.129276</v>
      </c>
      <c r="F2">
        <v>9.5079999999999998E-2</v>
      </c>
      <c r="G2">
        <v>6.6799999999999998E-2</v>
      </c>
      <c r="H2" s="4">
        <f>POWER(10,-D2)*1000000</f>
        <v>17.171174432444516</v>
      </c>
      <c r="I2">
        <f>10^-B2</f>
        <v>4.7012462498820576E-5</v>
      </c>
      <c r="J2">
        <f>10^-D2</f>
        <v>1.7171174432444517E-5</v>
      </c>
      <c r="K2">
        <f>MAX(I2:J2)/MIN(I2:J2)</f>
        <v>2.7378711155593218</v>
      </c>
      <c r="L2">
        <f>E2^2</f>
        <v>1.6712284176E-2</v>
      </c>
      <c r="M2">
        <f>G2^2</f>
        <v>4.4622400000000001E-3</v>
      </c>
      <c r="N2">
        <v>5</v>
      </c>
      <c r="O2">
        <v>3</v>
      </c>
      <c r="P2">
        <f>SQRT(L2+M2)</f>
        <v>0.14551468714875485</v>
      </c>
      <c r="Q2">
        <f>ABS((E2-G2)/(P2*0.3))</f>
        <v>1.4311499231719673</v>
      </c>
      <c r="R2">
        <f>(L2+M2)^2/(L2^2/(N2-1)+M2^2/(O2-1))</f>
        <v>5.6198971732568053</v>
      </c>
      <c r="S2">
        <f>_xlfn.T.DIST.2T(Q2,R2)</f>
        <v>0.21179911000423687</v>
      </c>
    </row>
    <row r="3" spans="1:19" x14ac:dyDescent="0.2">
      <c r="A3" t="s">
        <v>47</v>
      </c>
      <c r="B3">
        <v>4.7334120000000004</v>
      </c>
      <c r="C3">
        <v>3.9714339999999999</v>
      </c>
      <c r="D3">
        <v>3</v>
      </c>
      <c r="E3">
        <v>0.14283699999999999</v>
      </c>
      <c r="F3">
        <v>0.11867800000000001</v>
      </c>
    </row>
    <row r="4" spans="1:19" x14ac:dyDescent="0.2">
      <c r="A4" t="s">
        <v>48</v>
      </c>
      <c r="B4">
        <v>4.8772640000000003</v>
      </c>
      <c r="C4">
        <v>4.7119140000000002</v>
      </c>
      <c r="D4">
        <v>5.3975999999999997</v>
      </c>
      <c r="E4">
        <v>0.252832</v>
      </c>
      <c r="F4">
        <v>0.116331</v>
      </c>
      <c r="G4">
        <v>2.69E-2</v>
      </c>
      <c r="H4" s="4">
        <f t="shared" ref="H4:H18" si="0">POWER(10,-D4)*1000000</f>
        <v>4.0031328217802349</v>
      </c>
      <c r="I4">
        <f t="shared" ref="I4:I18" si="1">10^-B4</f>
        <v>1.3265878031157783E-5</v>
      </c>
      <c r="J4">
        <f t="shared" ref="J4:J18" si="2">10^-D4</f>
        <v>4.0031328217802353E-6</v>
      </c>
      <c r="K4">
        <f t="shared" ref="K4:K18" si="3">MAX(I4:J4)/MIN(I4:J4)</f>
        <v>3.3138740635786119</v>
      </c>
      <c r="L4">
        <f>E4^2</f>
        <v>6.3924020223999997E-2</v>
      </c>
      <c r="M4">
        <f>G4^2</f>
        <v>7.2360999999999997E-4</v>
      </c>
      <c r="N4">
        <v>5</v>
      </c>
      <c r="O4">
        <v>3</v>
      </c>
      <c r="P4">
        <f>SQRT(L4+M4)</f>
        <v>0.25425898258272017</v>
      </c>
      <c r="Q4">
        <f>ABS((E4-G4)/(P4*0.3))</f>
        <v>2.9619668065086047</v>
      </c>
      <c r="R4">
        <f>(L4+M4)^2/(L4^2/(N4-1)+M4^2/(O4-1))</f>
        <v>4.0900231334196544</v>
      </c>
      <c r="S4">
        <f>_xlfn.T.DIST.2T(Q4,R4)</f>
        <v>4.1473392277845113E-2</v>
      </c>
    </row>
    <row r="5" spans="1:19" x14ac:dyDescent="0.2">
      <c r="A5" t="s">
        <v>49</v>
      </c>
      <c r="B5">
        <v>4.0540539999999998</v>
      </c>
      <c r="C5">
        <v>4.0011539999999997</v>
      </c>
      <c r="D5">
        <v>4.6082000000000001</v>
      </c>
      <c r="E5">
        <v>0.25707200000000002</v>
      </c>
      <c r="F5">
        <v>0.128216</v>
      </c>
      <c r="G5">
        <v>4.24E-2</v>
      </c>
      <c r="H5" s="4">
        <f t="shared" si="0"/>
        <v>24.649039456046566</v>
      </c>
      <c r="I5">
        <f t="shared" si="1"/>
        <v>8.829701054474456E-5</v>
      </c>
      <c r="J5">
        <f t="shared" si="2"/>
        <v>2.4649039456046565E-5</v>
      </c>
      <c r="K5">
        <f t="shared" si="3"/>
        <v>3.5821684127770239</v>
      </c>
      <c r="L5">
        <f>E5^2</f>
        <v>6.6086013184000009E-2</v>
      </c>
      <c r="M5">
        <f>G5^2</f>
        <v>1.79776E-3</v>
      </c>
      <c r="N5">
        <v>5</v>
      </c>
      <c r="O5">
        <v>3</v>
      </c>
      <c r="P5">
        <f>SQRT(L5+M5)</f>
        <v>0.26054514615321467</v>
      </c>
      <c r="Q5">
        <f>ABS((E5-G5)/(P5*0.3))</f>
        <v>2.7464466097270432</v>
      </c>
      <c r="R5">
        <f>(L5+M5)^2/(L5^2/(N5-1)+M5^2/(O5-1))</f>
        <v>4.2143493532569929</v>
      </c>
      <c r="S5">
        <f>_xlfn.T.DIST.2T(Q5,R5)</f>
        <v>5.1562424338706413E-2</v>
      </c>
    </row>
    <row r="6" spans="1:19" x14ac:dyDescent="0.2">
      <c r="A6" t="s">
        <v>50</v>
      </c>
      <c r="B6">
        <v>5.8685929999999997</v>
      </c>
      <c r="C6">
        <v>5.7722670000000003</v>
      </c>
      <c r="D6">
        <v>5.4987000000000004</v>
      </c>
      <c r="E6">
        <v>9.9408999999999997E-2</v>
      </c>
      <c r="F6">
        <v>7.0618E-2</v>
      </c>
      <c r="G6">
        <v>3.4599999999999999E-2</v>
      </c>
      <c r="H6" s="4">
        <f t="shared" si="0"/>
        <v>3.171757679067702</v>
      </c>
      <c r="I6">
        <f t="shared" si="1"/>
        <v>1.3533402547978042E-6</v>
      </c>
      <c r="J6">
        <f t="shared" si="2"/>
        <v>3.1717576790677018E-6</v>
      </c>
      <c r="K6">
        <f t="shared" si="3"/>
        <v>2.3436513233263563</v>
      </c>
      <c r="L6">
        <f>E6^2</f>
        <v>9.8821492809999991E-3</v>
      </c>
      <c r="M6">
        <f>G6^2</f>
        <v>1.1971599999999998E-3</v>
      </c>
      <c r="N6">
        <v>5</v>
      </c>
      <c r="O6">
        <v>3</v>
      </c>
      <c r="P6">
        <f>SQRT(L6+M6)</f>
        <v>0.10525829791992648</v>
      </c>
      <c r="Q6">
        <f>ABS((E6-G6)/(P6*0.3))</f>
        <v>2.0523797578822838</v>
      </c>
      <c r="R6">
        <f>(L6+M6)^2/(L6^2/(N6-1)+M6^2/(O6-1))</f>
        <v>4.8844852792486169</v>
      </c>
      <c r="S6">
        <f>_xlfn.T.DIST.2T(Q6,R6)</f>
        <v>0.10939433841078595</v>
      </c>
    </row>
    <row r="8" spans="1:19" x14ac:dyDescent="0.2">
      <c r="A8" t="s">
        <v>64</v>
      </c>
      <c r="B8">
        <v>4.4995630000000002</v>
      </c>
      <c r="C8">
        <v>4.3154589999999997</v>
      </c>
      <c r="D8">
        <v>4.4099000000000004</v>
      </c>
      <c r="E8">
        <v>0.1396</v>
      </c>
      <c r="F8">
        <v>7.7229999999999993E-2</v>
      </c>
      <c r="G8">
        <v>3.8620000000000002E-2</v>
      </c>
      <c r="H8" s="4">
        <f t="shared" si="0"/>
        <v>38.913473626359654</v>
      </c>
      <c r="I8">
        <f t="shared" si="1"/>
        <v>3.1654612392615471E-5</v>
      </c>
      <c r="J8">
        <f t="shared" si="2"/>
        <v>3.8913473626359654E-5</v>
      </c>
      <c r="K8">
        <f t="shared" si="3"/>
        <v>1.2293144880029414</v>
      </c>
      <c r="L8">
        <f>E8^2</f>
        <v>1.9488160000000001E-2</v>
      </c>
      <c r="M8">
        <f>G8^2</f>
        <v>1.4915044000000002E-3</v>
      </c>
      <c r="N8">
        <v>5</v>
      </c>
      <c r="O8">
        <v>3</v>
      </c>
      <c r="P8">
        <f>SQRT(L8+M8)</f>
        <v>0.14484358598156841</v>
      </c>
      <c r="Q8">
        <f>ABS((E8-G8)/(P8*0.3))</f>
        <v>2.3238861266720705</v>
      </c>
      <c r="R8">
        <f>(L8+M8)^2/(L8^2/(N8-1)+M8^2/(O8-1))</f>
        <v>4.5820229414266214</v>
      </c>
      <c r="S8">
        <f>_xlfn.T.DIST.2T(Q8,R8)</f>
        <v>8.0791622411733197E-2</v>
      </c>
    </row>
    <row r="9" spans="1:19" x14ac:dyDescent="0.2">
      <c r="A9" t="s">
        <v>51</v>
      </c>
      <c r="B9">
        <v>5.1562939999999999</v>
      </c>
      <c r="C9">
        <v>4.70113</v>
      </c>
      <c r="D9">
        <v>5.1262999999999996</v>
      </c>
      <c r="E9">
        <v>0.248834</v>
      </c>
      <c r="F9">
        <v>0.14643400000000001</v>
      </c>
      <c r="G9">
        <v>4.1020000000000001E-2</v>
      </c>
      <c r="H9" s="4">
        <f t="shared" si="0"/>
        <v>7.4765286179071762</v>
      </c>
      <c r="I9">
        <f t="shared" si="1"/>
        <v>6.9775988861188255E-6</v>
      </c>
      <c r="J9">
        <f t="shared" si="2"/>
        <v>7.4765286179071759E-6</v>
      </c>
      <c r="K9">
        <f t="shared" si="3"/>
        <v>1.0715045017535927</v>
      </c>
      <c r="L9">
        <f>E9^2</f>
        <v>6.1918359556000002E-2</v>
      </c>
      <c r="M9">
        <f>G9^2</f>
        <v>1.6826404000000001E-3</v>
      </c>
      <c r="N9">
        <v>5</v>
      </c>
      <c r="O9">
        <v>3</v>
      </c>
      <c r="P9">
        <f>SQRT(L9+M9)</f>
        <v>0.25219238679230588</v>
      </c>
      <c r="Q9">
        <f>ABS((E9-G9)/(P9*0.3))</f>
        <v>2.7467654442075617</v>
      </c>
      <c r="R9">
        <f>(L9+M9)^2/(L9^2/(N9-1)+M9^2/(O9-1))</f>
        <v>4.2141309396148765</v>
      </c>
      <c r="S9">
        <f>_xlfn.T.DIST.2T(Q9,R9)</f>
        <v>5.1545523808054029E-2</v>
      </c>
    </row>
    <row r="10" spans="1:19" x14ac:dyDescent="0.2">
      <c r="A10" t="s">
        <v>52</v>
      </c>
      <c r="B10">
        <v>4.7890280000000001</v>
      </c>
      <c r="C10">
        <v>3.8336890000000001</v>
      </c>
      <c r="D10">
        <v>3</v>
      </c>
      <c r="E10">
        <v>7.4401999999999996E-2</v>
      </c>
      <c r="F10">
        <v>0.16677900000000001</v>
      </c>
    </row>
    <row r="11" spans="1:19" x14ac:dyDescent="0.2">
      <c r="A11" t="s">
        <v>53</v>
      </c>
      <c r="B11">
        <v>4.5288760000000003</v>
      </c>
      <c r="C11">
        <v>4.667427</v>
      </c>
      <c r="D11">
        <v>4.9439498860000004</v>
      </c>
      <c r="E11">
        <v>0.53158799999999995</v>
      </c>
      <c r="F11">
        <v>0.13700599999999999</v>
      </c>
      <c r="G11">
        <v>9.6908758999999997E-2</v>
      </c>
      <c r="H11" s="4">
        <f t="shared" si="0"/>
        <v>11.377585662002391</v>
      </c>
      <c r="I11">
        <f t="shared" si="1"/>
        <v>2.9588571604854295E-5</v>
      </c>
      <c r="J11">
        <f t="shared" si="2"/>
        <v>1.1377585662002391E-5</v>
      </c>
      <c r="K11">
        <f t="shared" si="3"/>
        <v>2.6006019628286299</v>
      </c>
      <c r="L11">
        <f>E11^2</f>
        <v>0.28258580174399994</v>
      </c>
      <c r="M11">
        <f>G11^2</f>
        <v>9.3913075709200801E-3</v>
      </c>
      <c r="N11">
        <v>5</v>
      </c>
      <c r="O11">
        <v>3</v>
      </c>
      <c r="P11">
        <f>SQRT(L11+M11)</f>
        <v>0.54034906247250958</v>
      </c>
      <c r="Q11">
        <f>ABS((E11-G11)/(P11*0.3))</f>
        <v>2.6814718558099617</v>
      </c>
      <c r="R11">
        <f>(L11+M11)^2/(L11^2/(N11-1)+M11^2/(O11-1))</f>
        <v>4.2608736769307605</v>
      </c>
      <c r="S11">
        <f>_xlfn.T.DIST.2T(Q11,R11)</f>
        <v>5.5144182238314556E-2</v>
      </c>
    </row>
    <row r="12" spans="1:19" x14ac:dyDescent="0.2">
      <c r="A12" t="s">
        <v>63</v>
      </c>
      <c r="B12">
        <v>4.4783179999999998</v>
      </c>
      <c r="C12">
        <v>3.9058839999999999</v>
      </c>
      <c r="D12">
        <v>3</v>
      </c>
      <c r="E12">
        <v>0.16167300000000001</v>
      </c>
      <c r="F12">
        <v>0.12790199999999999</v>
      </c>
    </row>
    <row r="13" spans="1:19" x14ac:dyDescent="0.2">
      <c r="A13" t="s">
        <v>54</v>
      </c>
      <c r="B13">
        <v>5.1028799999999999</v>
      </c>
      <c r="C13">
        <v>4.3924750000000001</v>
      </c>
      <c r="D13">
        <v>3</v>
      </c>
      <c r="E13">
        <v>0.14227500000000001</v>
      </c>
      <c r="F13">
        <v>0.16478699999999999</v>
      </c>
    </row>
    <row r="14" spans="1:19" x14ac:dyDescent="0.2">
      <c r="A14" t="s">
        <v>55</v>
      </c>
      <c r="B14">
        <v>4.0528320000000004</v>
      </c>
      <c r="C14">
        <v>3.6974239999999998</v>
      </c>
      <c r="D14">
        <v>4.2279999999999998</v>
      </c>
      <c r="E14">
        <v>0.18684600000000001</v>
      </c>
      <c r="F14">
        <v>0.15445999999999999</v>
      </c>
      <c r="G14">
        <v>4.41E-2</v>
      </c>
      <c r="H14" s="4">
        <f t="shared" si="0"/>
        <v>59.156163417547354</v>
      </c>
      <c r="I14">
        <f t="shared" si="1"/>
        <v>8.8545806913753941E-5</v>
      </c>
      <c r="J14">
        <f t="shared" si="2"/>
        <v>5.9156163417547351E-5</v>
      </c>
      <c r="K14">
        <f t="shared" si="3"/>
        <v>1.4968145633239089</v>
      </c>
      <c r="L14">
        <f>E14^2</f>
        <v>3.4911427716000004E-2</v>
      </c>
      <c r="M14">
        <f>G14^2</f>
        <v>1.9448099999999999E-3</v>
      </c>
      <c r="N14">
        <v>5</v>
      </c>
      <c r="O14">
        <v>3</v>
      </c>
      <c r="P14">
        <f>SQRT(L14+M14)</f>
        <v>0.19197978465453075</v>
      </c>
      <c r="Q14">
        <f>ABS((E14-G14)/(P14*0.3))</f>
        <v>2.4784901225732812</v>
      </c>
      <c r="R14">
        <f>(L14+M14)^2/(L14^2/(N14-1)+M14^2/(O14-1))</f>
        <v>4.4305703753957646</v>
      </c>
      <c r="S14">
        <f>_xlfn.T.DIST.2T(Q14,R14)</f>
        <v>6.8321620962285834E-2</v>
      </c>
    </row>
    <row r="15" spans="1:19" x14ac:dyDescent="0.2">
      <c r="A15" t="s">
        <v>56</v>
      </c>
      <c r="B15">
        <v>5.01356</v>
      </c>
      <c r="C15">
        <v>4.5782600000000002</v>
      </c>
      <c r="D15">
        <v>5.2816000000000001</v>
      </c>
      <c r="E15">
        <v>0.236899</v>
      </c>
      <c r="F15">
        <v>0.13303499999999999</v>
      </c>
      <c r="G15">
        <v>6.7100000000000007E-2</v>
      </c>
      <c r="H15" s="4">
        <f t="shared" si="0"/>
        <v>5.2287755531344029</v>
      </c>
      <c r="I15">
        <f t="shared" si="1"/>
        <v>9.6925935192168413E-6</v>
      </c>
      <c r="J15">
        <f t="shared" si="2"/>
        <v>5.2287755531344033E-6</v>
      </c>
      <c r="K15">
        <f t="shared" si="3"/>
        <v>1.8537023478482626</v>
      </c>
      <c r="L15">
        <f>E15^2</f>
        <v>5.6121136200999996E-2</v>
      </c>
      <c r="M15">
        <f>G15^2</f>
        <v>4.502410000000001E-3</v>
      </c>
      <c r="N15">
        <v>5</v>
      </c>
      <c r="O15">
        <v>3</v>
      </c>
      <c r="P15">
        <f>SQRT(L15+M15)</f>
        <v>0.24621849280872465</v>
      </c>
      <c r="Q15">
        <f>ABS((E15-G15)/(P15*0.3))</f>
        <v>2.2987577424022421</v>
      </c>
      <c r="R15">
        <f>(L15+M15)^2/(L15^2/(N15-1)+M15^2/(O15-1))</f>
        <v>4.6082382166241151</v>
      </c>
      <c r="S15">
        <f>_xlfn.T.DIST.2T(Q15,R15)</f>
        <v>8.3052464412247992E-2</v>
      </c>
    </row>
    <row r="17" spans="1:19" x14ac:dyDescent="0.2">
      <c r="A17" t="s">
        <v>57</v>
      </c>
      <c r="B17">
        <v>4.8986489999999998</v>
      </c>
      <c r="C17">
        <v>4.1607440000000002</v>
      </c>
      <c r="D17">
        <v>3</v>
      </c>
      <c r="E17">
        <v>0.16927051200000001</v>
      </c>
      <c r="F17">
        <v>0.14311220499999999</v>
      </c>
    </row>
    <row r="18" spans="1:19" x14ac:dyDescent="0.2">
      <c r="A18" t="s">
        <v>58</v>
      </c>
      <c r="B18">
        <v>4.3106640000000001</v>
      </c>
      <c r="C18">
        <v>4.4918007690000001</v>
      </c>
      <c r="D18">
        <v>4.6128099999999996</v>
      </c>
      <c r="E18">
        <v>0.27990139000000003</v>
      </c>
      <c r="F18">
        <v>0.167757669</v>
      </c>
      <c r="G18">
        <v>5.5809999999999998E-2</v>
      </c>
      <c r="H18" s="4">
        <f t="shared" si="0"/>
        <v>24.388775724009562</v>
      </c>
      <c r="I18">
        <f t="shared" si="1"/>
        <v>4.8903056060764987E-5</v>
      </c>
      <c r="J18">
        <f t="shared" si="2"/>
        <v>2.4388775724009561E-5</v>
      </c>
      <c r="K18">
        <f t="shared" si="3"/>
        <v>2.0051459988876075</v>
      </c>
      <c r="L18">
        <f>E18^2</f>
        <v>7.8344788123932113E-2</v>
      </c>
      <c r="M18">
        <f>G18^2</f>
        <v>3.1147560999999998E-3</v>
      </c>
      <c r="N18">
        <v>5</v>
      </c>
      <c r="O18">
        <v>3</v>
      </c>
      <c r="P18">
        <f>SQRT(L18+M18)</f>
        <v>0.28541118447589281</v>
      </c>
      <c r="Q18">
        <f>ABS((E18-G18)/(P18*0.3))</f>
        <v>2.6171759924954618</v>
      </c>
      <c r="R18">
        <f>(L18+M18)^2/(L18^2/(N18-1)+M18^2/(O18-1))</f>
        <v>4.3107513944328311</v>
      </c>
      <c r="S18">
        <f>_xlfn.T.DIST.2T(Q18,R18)</f>
        <v>5.8973878885093964E-2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BindingFits.txt</vt:lpstr>
      <vt:lpstr>plant_curves</vt:lpstr>
      <vt:lpstr>animal_curves</vt:lpstr>
      <vt:lpstr>blind_search</vt:lpstr>
      <vt:lpstr>early_changes</vt:lpstr>
    </vt:vector>
  </TitlesOfParts>
  <Company>university of oregon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kolaczkowski</dc:creator>
  <cp:lastModifiedBy>Microsoft Office User</cp:lastModifiedBy>
  <dcterms:created xsi:type="dcterms:W3CDTF">2014-02-11T16:59:39Z</dcterms:created>
  <dcterms:modified xsi:type="dcterms:W3CDTF">2017-04-07T18:19:37Z</dcterms:modified>
</cp:coreProperties>
</file>