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lee/Library/Mobile Documents/com~apple~CloudDocs/Winter 2023/MGT 180/TESLA CASE/"/>
    </mc:Choice>
  </mc:AlternateContent>
  <xr:revisionPtr revIDLastSave="0" documentId="13_ncr:1_{4E30B2E3-2180-0F4D-A45E-413270F0A2A5}" xr6:coauthVersionLast="47" xr6:coauthVersionMax="47" xr10:uidLastSave="{00000000-0000-0000-0000-000000000000}"/>
  <bookViews>
    <workbookView xWindow="0" yWindow="0" windowWidth="28800" windowHeight="18000" firstSheet="1" activeTab="7" xr2:uid="{3B350926-121C-F748-A712-3A1C05918D57}"/>
  </bookViews>
  <sheets>
    <sheet name="Base Case" sheetId="2" r:id="rId1"/>
    <sheet name="Upside Case" sheetId="3" r:id="rId2"/>
    <sheet name="Downside Case" sheetId="4" r:id="rId3"/>
    <sheet name="Base Case W New Cost of Revenue" sheetId="5" r:id="rId4"/>
    <sheet name="Base Case W New R&amp;D" sheetId="6" r:id="rId5"/>
    <sheet name="Base Case W New YOY Growth" sheetId="7" r:id="rId6"/>
    <sheet name="Base Case W EBITDA Ratio 5.9" sheetId="8" r:id="rId7"/>
    <sheet name="Base Case W EBITDA Ratio 13.4" sheetId="9" r:id="rId8"/>
    <sheet name="Sheet1" sheetId="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G27" i="5"/>
  <c r="H27" i="5" s="1"/>
  <c r="I27" i="5" s="1"/>
  <c r="J27" i="5" s="1"/>
  <c r="K27" i="5" s="1"/>
  <c r="B56" i="7"/>
  <c r="D28" i="9"/>
  <c r="E28" i="9" s="1"/>
  <c r="F28" i="9" s="1"/>
  <c r="G28" i="9" s="1"/>
  <c r="H28" i="9" s="1"/>
  <c r="I28" i="9" s="1"/>
  <c r="J28" i="9" s="1"/>
  <c r="K28" i="9" s="1"/>
  <c r="L28" i="9" s="1"/>
  <c r="D27" i="9"/>
  <c r="D26" i="9"/>
  <c r="D31" i="9" s="1"/>
  <c r="D32" i="9" s="1"/>
  <c r="D28" i="8"/>
  <c r="D27" i="8"/>
  <c r="E27" i="8" s="1"/>
  <c r="F27" i="8" s="1"/>
  <c r="G27" i="8" s="1"/>
  <c r="H27" i="8" s="1"/>
  <c r="I27" i="8" s="1"/>
  <c r="J27" i="8" s="1"/>
  <c r="K27" i="8" s="1"/>
  <c r="L27" i="8" s="1"/>
  <c r="D26" i="8"/>
  <c r="D28" i="7"/>
  <c r="D27" i="7"/>
  <c r="D26" i="7"/>
  <c r="D31" i="7" s="1"/>
  <c r="D32" i="7" s="1"/>
  <c r="D28" i="6"/>
  <c r="D27" i="6"/>
  <c r="D26" i="6"/>
  <c r="D28" i="5"/>
  <c r="E28" i="5" s="1"/>
  <c r="F28" i="5" s="1"/>
  <c r="G28" i="5" s="1"/>
  <c r="H28" i="5" s="1"/>
  <c r="I28" i="5" s="1"/>
  <c r="J28" i="5" s="1"/>
  <c r="K28" i="5" s="1"/>
  <c r="L28" i="5" s="1"/>
  <c r="D27" i="5"/>
  <c r="E27" i="5" s="1"/>
  <c r="F27" i="5" s="1"/>
  <c r="D26" i="5"/>
  <c r="D28" i="4"/>
  <c r="E28" i="4" s="1"/>
  <c r="F28" i="4" s="1"/>
  <c r="G28" i="4" s="1"/>
  <c r="H28" i="4" s="1"/>
  <c r="I28" i="4" s="1"/>
  <c r="J28" i="4" s="1"/>
  <c r="K28" i="4" s="1"/>
  <c r="L28" i="4" s="1"/>
  <c r="D27" i="4"/>
  <c r="D26" i="4"/>
  <c r="D28" i="3"/>
  <c r="D27" i="3"/>
  <c r="D26" i="3"/>
  <c r="D28" i="2"/>
  <c r="D27" i="2"/>
  <c r="E27" i="2" s="1"/>
  <c r="F27" i="2" s="1"/>
  <c r="G27" i="2" s="1"/>
  <c r="H27" i="2" s="1"/>
  <c r="I27" i="2" s="1"/>
  <c r="J27" i="2" s="1"/>
  <c r="K27" i="2" s="1"/>
  <c r="L27" i="2" s="1"/>
  <c r="D26" i="2"/>
  <c r="E27" i="9"/>
  <c r="F27" i="9" s="1"/>
  <c r="G27" i="9" s="1"/>
  <c r="H27" i="9" s="1"/>
  <c r="I27" i="9" s="1"/>
  <c r="J27" i="9" s="1"/>
  <c r="K27" i="9" s="1"/>
  <c r="L27" i="9" s="1"/>
  <c r="E26" i="9"/>
  <c r="E31" i="9" s="1"/>
  <c r="E32" i="9" s="1"/>
  <c r="E28" i="8"/>
  <c r="F28" i="8" s="1"/>
  <c r="G28" i="8" s="1"/>
  <c r="H28" i="8" s="1"/>
  <c r="I28" i="8" s="1"/>
  <c r="J28" i="8" s="1"/>
  <c r="K28" i="8" s="1"/>
  <c r="L28" i="8" s="1"/>
  <c r="E26" i="8"/>
  <c r="E31" i="8" s="1"/>
  <c r="E32" i="8" s="1"/>
  <c r="E28" i="7"/>
  <c r="F28" i="7" s="1"/>
  <c r="G28" i="7" s="1"/>
  <c r="H28" i="7" s="1"/>
  <c r="I28" i="7" s="1"/>
  <c r="J28" i="7" s="1"/>
  <c r="K28" i="7" s="1"/>
  <c r="L28" i="7" s="1"/>
  <c r="E27" i="7"/>
  <c r="F27" i="7" s="1"/>
  <c r="G27" i="7" s="1"/>
  <c r="H27" i="7" s="1"/>
  <c r="I27" i="7" s="1"/>
  <c r="J27" i="7" s="1"/>
  <c r="K27" i="7" s="1"/>
  <c r="L27" i="7" s="1"/>
  <c r="E28" i="6"/>
  <c r="F28" i="6" s="1"/>
  <c r="G28" i="6" s="1"/>
  <c r="H28" i="6" s="1"/>
  <c r="I28" i="6" s="1"/>
  <c r="J28" i="6" s="1"/>
  <c r="K28" i="6" s="1"/>
  <c r="L28" i="6" s="1"/>
  <c r="E27" i="6"/>
  <c r="F27" i="6" s="1"/>
  <c r="G27" i="6" s="1"/>
  <c r="H27" i="6" s="1"/>
  <c r="I27" i="6" s="1"/>
  <c r="J27" i="6" s="1"/>
  <c r="K27" i="6" s="1"/>
  <c r="L27" i="6" s="1"/>
  <c r="E26" i="6"/>
  <c r="F26" i="6" s="1"/>
  <c r="E26" i="5"/>
  <c r="F26" i="5" s="1"/>
  <c r="G26" i="5" s="1"/>
  <c r="H26" i="5" s="1"/>
  <c r="I26" i="5" s="1"/>
  <c r="J26" i="5" s="1"/>
  <c r="K26" i="5" s="1"/>
  <c r="L26" i="5" s="1"/>
  <c r="F27" i="4"/>
  <c r="G27" i="4" s="1"/>
  <c r="H27" i="4" s="1"/>
  <c r="I27" i="4" s="1"/>
  <c r="J27" i="4" s="1"/>
  <c r="K27" i="4" s="1"/>
  <c r="L27" i="4" s="1"/>
  <c r="E27" i="4"/>
  <c r="E26" i="4"/>
  <c r="F26" i="4" s="1"/>
  <c r="G26" i="4" s="1"/>
  <c r="H26" i="4" s="1"/>
  <c r="I26" i="4" s="1"/>
  <c r="J26" i="4" s="1"/>
  <c r="K26" i="4" s="1"/>
  <c r="L26" i="4" s="1"/>
  <c r="F28" i="3"/>
  <c r="G28" i="3" s="1"/>
  <c r="H28" i="3" s="1"/>
  <c r="I28" i="3" s="1"/>
  <c r="J28" i="3" s="1"/>
  <c r="K28" i="3" s="1"/>
  <c r="L28" i="3" s="1"/>
  <c r="E28" i="3"/>
  <c r="E27" i="3"/>
  <c r="F27" i="3" s="1"/>
  <c r="G27" i="3" s="1"/>
  <c r="H27" i="3" s="1"/>
  <c r="I27" i="3" s="1"/>
  <c r="J27" i="3" s="1"/>
  <c r="K27" i="3" s="1"/>
  <c r="L27" i="3" s="1"/>
  <c r="E26" i="3"/>
  <c r="F26" i="3" s="1"/>
  <c r="G26" i="3" s="1"/>
  <c r="H26" i="3" s="1"/>
  <c r="I26" i="3" s="1"/>
  <c r="J26" i="3" s="1"/>
  <c r="K26" i="3" s="1"/>
  <c r="L26" i="3" s="1"/>
  <c r="E28" i="2"/>
  <c r="F28" i="2" s="1"/>
  <c r="G28" i="2" s="1"/>
  <c r="H28" i="2" s="1"/>
  <c r="I28" i="2" s="1"/>
  <c r="J28" i="2" s="1"/>
  <c r="K28" i="2" s="1"/>
  <c r="L28" i="2" s="1"/>
  <c r="E26" i="2"/>
  <c r="F26" i="2" s="1"/>
  <c r="G26" i="2" s="1"/>
  <c r="H26" i="2" s="1"/>
  <c r="I26" i="2" s="1"/>
  <c r="J26" i="2" s="1"/>
  <c r="K26" i="2" s="1"/>
  <c r="L26" i="2" s="1"/>
  <c r="D30" i="9"/>
  <c r="D31" i="8"/>
  <c r="D32" i="8" s="1"/>
  <c r="E31" i="6"/>
  <c r="E32" i="6" s="1"/>
  <c r="D31" i="6"/>
  <c r="D32" i="6" s="1"/>
  <c r="D34" i="9" l="1"/>
  <c r="F26" i="9"/>
  <c r="E30" i="9"/>
  <c r="F26" i="8"/>
  <c r="F31" i="6"/>
  <c r="F32" i="6" s="1"/>
  <c r="F30" i="6"/>
  <c r="F34" i="6" s="1"/>
  <c r="F35" i="6" s="1"/>
  <c r="G26" i="6"/>
  <c r="E34" i="9"/>
  <c r="E35" i="9" s="1"/>
  <c r="E36" i="9" s="1"/>
  <c r="E37" i="9" s="1"/>
  <c r="E38" i="9" s="1"/>
  <c r="E39" i="9" s="1"/>
  <c r="E40" i="9" s="1"/>
  <c r="E41" i="9" s="1"/>
  <c r="F30" i="9"/>
  <c r="F34" i="9" s="1"/>
  <c r="E26" i="7"/>
  <c r="E30" i="7" s="1"/>
  <c r="E34" i="7" s="1"/>
  <c r="B48" i="9"/>
  <c r="B58" i="9" s="1"/>
  <c r="B59" i="9" s="1"/>
  <c r="D35" i="9"/>
  <c r="D30" i="8"/>
  <c r="D34" i="8" s="1"/>
  <c r="E30" i="8"/>
  <c r="E34" i="8" s="1"/>
  <c r="E35" i="8" s="1"/>
  <c r="D30" i="7"/>
  <c r="D34" i="7" s="1"/>
  <c r="D35" i="7" s="1"/>
  <c r="F36" i="6"/>
  <c r="F37" i="6" s="1"/>
  <c r="F38" i="6" s="1"/>
  <c r="F39" i="6" s="1"/>
  <c r="F40" i="6" s="1"/>
  <c r="F41" i="6" s="1"/>
  <c r="D30" i="6"/>
  <c r="D34" i="6" s="1"/>
  <c r="D35" i="6" s="1"/>
  <c r="E30" i="6"/>
  <c r="E34" i="6" s="1"/>
  <c r="E35" i="6" s="1"/>
  <c r="F31" i="9" l="1"/>
  <c r="F32" i="9" s="1"/>
  <c r="G26" i="9"/>
  <c r="D35" i="8"/>
  <c r="B48" i="8"/>
  <c r="B58" i="8" s="1"/>
  <c r="F31" i="8"/>
  <c r="F32" i="8" s="1"/>
  <c r="G26" i="8"/>
  <c r="F30" i="8"/>
  <c r="F34" i="8" s="1"/>
  <c r="F35" i="8" s="1"/>
  <c r="F36" i="8" s="1"/>
  <c r="F37" i="8" s="1"/>
  <c r="F38" i="8" s="1"/>
  <c r="F39" i="8" s="1"/>
  <c r="F40" i="8" s="1"/>
  <c r="F41" i="8" s="1"/>
  <c r="H26" i="6"/>
  <c r="G30" i="6"/>
  <c r="G34" i="6" s="1"/>
  <c r="G31" i="6"/>
  <c r="G32" i="6" s="1"/>
  <c r="F26" i="7"/>
  <c r="E31" i="7"/>
  <c r="E32" i="7" s="1"/>
  <c r="D36" i="9"/>
  <c r="D37" i="9"/>
  <c r="D38" i="9" s="1"/>
  <c r="D39" i="9" s="1"/>
  <c r="D40" i="9" s="1"/>
  <c r="D41" i="9" s="1"/>
  <c r="D36" i="8"/>
  <c r="D37" i="8" s="1"/>
  <c r="D38" i="8" s="1"/>
  <c r="D39" i="8" s="1"/>
  <c r="D40" i="8" s="1"/>
  <c r="D41" i="8" s="1"/>
  <c r="E36" i="8"/>
  <c r="E37" i="8" s="1"/>
  <c r="E38" i="8" s="1"/>
  <c r="E39" i="8" s="1"/>
  <c r="E40" i="8" s="1"/>
  <c r="E41" i="8" s="1"/>
  <c r="D36" i="7"/>
  <c r="D37" i="7" s="1"/>
  <c r="D38" i="7" s="1"/>
  <c r="D39" i="7" s="1"/>
  <c r="D40" i="7" s="1"/>
  <c r="D41" i="7" s="1"/>
  <c r="D36" i="6"/>
  <c r="D37" i="6" s="1"/>
  <c r="D38" i="6" s="1"/>
  <c r="D39" i="6" s="1"/>
  <c r="D40" i="6" s="1"/>
  <c r="D41" i="6" s="1"/>
  <c r="E36" i="6"/>
  <c r="E37" i="6" s="1"/>
  <c r="E38" i="6" s="1"/>
  <c r="E39" i="6" s="1"/>
  <c r="E40" i="6" s="1"/>
  <c r="E41" i="6" s="1"/>
  <c r="H26" i="9" l="1"/>
  <c r="G30" i="9"/>
  <c r="G31" i="9"/>
  <c r="G32" i="9" s="1"/>
  <c r="G34" i="9"/>
  <c r="F35" i="9"/>
  <c r="F36" i="9" s="1"/>
  <c r="F37" i="9" s="1"/>
  <c r="F38" i="9" s="1"/>
  <c r="F39" i="9" s="1"/>
  <c r="F40" i="9" s="1"/>
  <c r="F41" i="9" s="1"/>
  <c r="H26" i="8"/>
  <c r="G31" i="8"/>
  <c r="G32" i="8" s="1"/>
  <c r="G30" i="8"/>
  <c r="G34" i="8"/>
  <c r="G35" i="6"/>
  <c r="G36" i="6" s="1"/>
  <c r="G37" i="6" s="1"/>
  <c r="G38" i="6" s="1"/>
  <c r="G39" i="6" s="1"/>
  <c r="G40" i="6" s="1"/>
  <c r="G41" i="6" s="1"/>
  <c r="I26" i="6"/>
  <c r="H31" i="6"/>
  <c r="H32" i="6" s="1"/>
  <c r="H30" i="6"/>
  <c r="H34" i="6" s="1"/>
  <c r="H35" i="6" s="1"/>
  <c r="H36" i="6" s="1"/>
  <c r="H37" i="6" s="1"/>
  <c r="H38" i="6" s="1"/>
  <c r="H39" i="6" s="1"/>
  <c r="H40" i="6" s="1"/>
  <c r="H41" i="6" s="1"/>
  <c r="G26" i="7"/>
  <c r="F30" i="7"/>
  <c r="F34" i="7" s="1"/>
  <c r="F31" i="7"/>
  <c r="F32" i="7" s="1"/>
  <c r="E35" i="7"/>
  <c r="E36" i="7" s="1"/>
  <c r="E37" i="7" s="1"/>
  <c r="E38" i="7" s="1"/>
  <c r="E39" i="7" s="1"/>
  <c r="E40" i="7" s="1"/>
  <c r="E41" i="7" s="1"/>
  <c r="G35" i="9" l="1"/>
  <c r="G36" i="9" s="1"/>
  <c r="G37" i="9" s="1"/>
  <c r="G38" i="9" s="1"/>
  <c r="G39" i="9" s="1"/>
  <c r="G40" i="9" s="1"/>
  <c r="G41" i="9" s="1"/>
  <c r="H31" i="9"/>
  <c r="H32" i="9" s="1"/>
  <c r="H30" i="9"/>
  <c r="H34" i="9" s="1"/>
  <c r="I26" i="9"/>
  <c r="G35" i="8"/>
  <c r="G36" i="8" s="1"/>
  <c r="G37" i="8" s="1"/>
  <c r="G38" i="8" s="1"/>
  <c r="G39" i="8" s="1"/>
  <c r="G40" i="8" s="1"/>
  <c r="G41" i="8" s="1"/>
  <c r="I26" i="8"/>
  <c r="H30" i="8"/>
  <c r="H34" i="8" s="1"/>
  <c r="H31" i="8"/>
  <c r="H32" i="8" s="1"/>
  <c r="I31" i="6"/>
  <c r="I32" i="6" s="1"/>
  <c r="I30" i="6"/>
  <c r="I34" i="6" s="1"/>
  <c r="I35" i="6" s="1"/>
  <c r="I36" i="6" s="1"/>
  <c r="I37" i="6" s="1"/>
  <c r="I38" i="6" s="1"/>
  <c r="I39" i="6" s="1"/>
  <c r="I40" i="6" s="1"/>
  <c r="I41" i="6" s="1"/>
  <c r="J26" i="6"/>
  <c r="F35" i="7"/>
  <c r="F36" i="7" s="1"/>
  <c r="F37" i="7" s="1"/>
  <c r="F38" i="7" s="1"/>
  <c r="F39" i="7" s="1"/>
  <c r="F40" i="7" s="1"/>
  <c r="F41" i="7" s="1"/>
  <c r="H26" i="7"/>
  <c r="G31" i="7"/>
  <c r="G32" i="7" s="1"/>
  <c r="G30" i="7"/>
  <c r="G34" i="7" s="1"/>
  <c r="J26" i="9" l="1"/>
  <c r="I31" i="9"/>
  <c r="I32" i="9" s="1"/>
  <c r="I30" i="9"/>
  <c r="I34" i="9" s="1"/>
  <c r="I35" i="9" s="1"/>
  <c r="I36" i="9" s="1"/>
  <c r="I37" i="9" s="1"/>
  <c r="I38" i="9" s="1"/>
  <c r="I39" i="9" s="1"/>
  <c r="I40" i="9" s="1"/>
  <c r="I41" i="9" s="1"/>
  <c r="H35" i="9"/>
  <c r="H36" i="9" s="1"/>
  <c r="H37" i="9" s="1"/>
  <c r="H38" i="9" s="1"/>
  <c r="H39" i="9" s="1"/>
  <c r="H40" i="9" s="1"/>
  <c r="H41" i="9" s="1"/>
  <c r="H35" i="8"/>
  <c r="H36" i="8" s="1"/>
  <c r="H37" i="8" s="1"/>
  <c r="H38" i="8" s="1"/>
  <c r="H39" i="8" s="1"/>
  <c r="H40" i="8" s="1"/>
  <c r="H41" i="8" s="1"/>
  <c r="I30" i="8"/>
  <c r="I34" i="8" s="1"/>
  <c r="J26" i="8"/>
  <c r="I31" i="8"/>
  <c r="I32" i="8" s="1"/>
  <c r="J30" i="6"/>
  <c r="J34" i="6" s="1"/>
  <c r="K26" i="6"/>
  <c r="J31" i="6"/>
  <c r="J32" i="6" s="1"/>
  <c r="G35" i="7"/>
  <c r="G36" i="7" s="1"/>
  <c r="G37" i="7" s="1"/>
  <c r="G38" i="7" s="1"/>
  <c r="G39" i="7" s="1"/>
  <c r="G40" i="7" s="1"/>
  <c r="G41" i="7" s="1"/>
  <c r="H30" i="7"/>
  <c r="H34" i="7" s="1"/>
  <c r="H31" i="7"/>
  <c r="H32" i="7" s="1"/>
  <c r="I26" i="7"/>
  <c r="I31" i="5"/>
  <c r="I32" i="5" s="1"/>
  <c r="H31" i="5"/>
  <c r="H32" i="5" s="1"/>
  <c r="G31" i="5"/>
  <c r="G32" i="5" s="1"/>
  <c r="F31" i="5"/>
  <c r="F32" i="5" s="1"/>
  <c r="I30" i="5"/>
  <c r="I34" i="5" s="1"/>
  <c r="H30" i="5"/>
  <c r="G30" i="5"/>
  <c r="G34" i="5" s="1"/>
  <c r="L31" i="5"/>
  <c r="L32" i="5" s="1"/>
  <c r="J30" i="5"/>
  <c r="F30" i="5"/>
  <c r="F34" i="5" s="1"/>
  <c r="E31" i="5"/>
  <c r="E32" i="5" s="1"/>
  <c r="D31" i="5"/>
  <c r="D32" i="5" s="1"/>
  <c r="G30" i="4"/>
  <c r="G34" i="4" s="1"/>
  <c r="L31" i="4"/>
  <c r="L32" i="4" s="1"/>
  <c r="D31" i="4"/>
  <c r="D32" i="4" s="1"/>
  <c r="H30" i="3"/>
  <c r="H34" i="3" s="1"/>
  <c r="I31" i="3"/>
  <c r="I32" i="3" s="1"/>
  <c r="L30" i="3"/>
  <c r="L34" i="3" s="1"/>
  <c r="D31" i="3"/>
  <c r="D32" i="3" s="1"/>
  <c r="I31" i="4"/>
  <c r="I32" i="4" s="1"/>
  <c r="H31" i="4"/>
  <c r="H32" i="4" s="1"/>
  <c r="F31" i="4"/>
  <c r="F32" i="4" s="1"/>
  <c r="I30" i="4"/>
  <c r="I34" i="4" s="1"/>
  <c r="H30" i="4"/>
  <c r="H34" i="4" s="1"/>
  <c r="F30" i="4"/>
  <c r="F34" i="4" s="1"/>
  <c r="E31" i="4"/>
  <c r="E32" i="4" s="1"/>
  <c r="H31" i="3"/>
  <c r="H32" i="3" s="1"/>
  <c r="G31" i="3"/>
  <c r="G32" i="3" s="1"/>
  <c r="F31" i="3"/>
  <c r="F32" i="3" s="1"/>
  <c r="I30" i="3"/>
  <c r="I34" i="3" s="1"/>
  <c r="G30" i="3"/>
  <c r="G34" i="3" s="1"/>
  <c r="J30" i="3"/>
  <c r="F30" i="3"/>
  <c r="F34" i="3" s="1"/>
  <c r="F35" i="3" s="1"/>
  <c r="E31" i="3"/>
  <c r="E32" i="3" s="1"/>
  <c r="I31" i="2"/>
  <c r="I32" i="2" s="1"/>
  <c r="H31" i="2"/>
  <c r="H32" i="2" s="1"/>
  <c r="G31" i="2"/>
  <c r="G32" i="2" s="1"/>
  <c r="F31" i="2"/>
  <c r="F32" i="2" s="1"/>
  <c r="I30" i="2"/>
  <c r="I34" i="2" s="1"/>
  <c r="I35" i="2" s="1"/>
  <c r="H30" i="2"/>
  <c r="H34" i="2" s="1"/>
  <c r="H35" i="2" s="1"/>
  <c r="G30" i="2"/>
  <c r="G34" i="2" s="1"/>
  <c r="L31" i="2"/>
  <c r="L32" i="2" s="1"/>
  <c r="J30" i="2"/>
  <c r="F30" i="2"/>
  <c r="F34" i="2" s="1"/>
  <c r="E31" i="2"/>
  <c r="E32" i="2" s="1"/>
  <c r="D31" i="2"/>
  <c r="D32" i="2" s="1"/>
  <c r="J30" i="9" l="1"/>
  <c r="J34" i="9" s="1"/>
  <c r="J31" i="9"/>
  <c r="J32" i="9" s="1"/>
  <c r="K26" i="9"/>
  <c r="K26" i="8"/>
  <c r="J30" i="8"/>
  <c r="J31" i="8"/>
  <c r="J32" i="8" s="1"/>
  <c r="J34" i="8"/>
  <c r="J35" i="8" s="1"/>
  <c r="J36" i="8" s="1"/>
  <c r="J37" i="8" s="1"/>
  <c r="J38" i="8" s="1"/>
  <c r="J39" i="8" s="1"/>
  <c r="J40" i="8" s="1"/>
  <c r="J41" i="8" s="1"/>
  <c r="I35" i="8"/>
  <c r="I36" i="8" s="1"/>
  <c r="I37" i="8" s="1"/>
  <c r="I38" i="8" s="1"/>
  <c r="I39" i="8" s="1"/>
  <c r="I40" i="8" s="1"/>
  <c r="I41" i="8" s="1"/>
  <c r="K30" i="6"/>
  <c r="K34" i="6" s="1"/>
  <c r="K31" i="6"/>
  <c r="K32" i="6" s="1"/>
  <c r="L26" i="6"/>
  <c r="J35" i="6"/>
  <c r="J36" i="6" s="1"/>
  <c r="J37" i="6" s="1"/>
  <c r="J38" i="6" s="1"/>
  <c r="J39" i="6" s="1"/>
  <c r="J40" i="6" s="1"/>
  <c r="J41" i="6" s="1"/>
  <c r="F35" i="5"/>
  <c r="F36" i="5" s="1"/>
  <c r="F37" i="5" s="1"/>
  <c r="F38" i="5" s="1"/>
  <c r="F39" i="5" s="1"/>
  <c r="F40" i="5" s="1"/>
  <c r="F41" i="5" s="1"/>
  <c r="I35" i="4"/>
  <c r="H35" i="3"/>
  <c r="I30" i="7"/>
  <c r="I34" i="7" s="1"/>
  <c r="I31" i="7"/>
  <c r="I32" i="7" s="1"/>
  <c r="J26" i="7"/>
  <c r="H35" i="7"/>
  <c r="H36" i="7" s="1"/>
  <c r="H37" i="7" s="1"/>
  <c r="H38" i="7" s="1"/>
  <c r="H39" i="7" s="1"/>
  <c r="H40" i="7" s="1"/>
  <c r="H41" i="7" s="1"/>
  <c r="I35" i="5"/>
  <c r="I36" i="5" s="1"/>
  <c r="G35" i="5"/>
  <c r="G36" i="5" s="1"/>
  <c r="G37" i="5" s="1"/>
  <c r="G38" i="5" s="1"/>
  <c r="G39" i="5" s="1"/>
  <c r="G40" i="5" s="1"/>
  <c r="G41" i="5" s="1"/>
  <c r="H35" i="4"/>
  <c r="G35" i="2"/>
  <c r="G36" i="2" s="1"/>
  <c r="G37" i="2" s="1"/>
  <c r="G38" i="2" s="1"/>
  <c r="G39" i="2" s="1"/>
  <c r="G40" i="2" s="1"/>
  <c r="G41" i="2" s="1"/>
  <c r="F35" i="2"/>
  <c r="H34" i="5"/>
  <c r="H35" i="5" s="1"/>
  <c r="H36" i="5" s="1"/>
  <c r="H37" i="5" s="1"/>
  <c r="H38" i="5" s="1"/>
  <c r="H39" i="5" s="1"/>
  <c r="H40" i="5" s="1"/>
  <c r="H41" i="5" s="1"/>
  <c r="K30" i="5"/>
  <c r="K34" i="5" s="1"/>
  <c r="J31" i="5"/>
  <c r="J32" i="5" s="1"/>
  <c r="D30" i="5"/>
  <c r="D34" i="5" s="1"/>
  <c r="D35" i="5" s="1"/>
  <c r="L30" i="5"/>
  <c r="L34" i="5" s="1"/>
  <c r="L35" i="5" s="1"/>
  <c r="K31" i="5"/>
  <c r="K32" i="5" s="1"/>
  <c r="E30" i="5"/>
  <c r="E34" i="5" s="1"/>
  <c r="E35" i="5" s="1"/>
  <c r="J34" i="5"/>
  <c r="F35" i="4"/>
  <c r="F36" i="4" s="1"/>
  <c r="F37" i="4" s="1"/>
  <c r="F38" i="4" s="1"/>
  <c r="F39" i="4" s="1"/>
  <c r="F40" i="4" s="1"/>
  <c r="F41" i="4" s="1"/>
  <c r="G31" i="4"/>
  <c r="G32" i="4" s="1"/>
  <c r="I35" i="3"/>
  <c r="I36" i="3" s="1"/>
  <c r="I37" i="3" s="1"/>
  <c r="I38" i="3" s="1"/>
  <c r="I39" i="3" s="1"/>
  <c r="I40" i="3" s="1"/>
  <c r="I41" i="3" s="1"/>
  <c r="G35" i="3"/>
  <c r="G36" i="3" s="1"/>
  <c r="G37" i="3" s="1"/>
  <c r="G38" i="3" s="1"/>
  <c r="G39" i="3" s="1"/>
  <c r="G40" i="3" s="1"/>
  <c r="G41" i="3" s="1"/>
  <c r="H36" i="4"/>
  <c r="H37" i="4" s="1"/>
  <c r="H38" i="4" s="1"/>
  <c r="H39" i="4" s="1"/>
  <c r="H40" i="4" s="1"/>
  <c r="H41" i="4" s="1"/>
  <c r="I36" i="4"/>
  <c r="I37" i="4" s="1"/>
  <c r="I38" i="4" s="1"/>
  <c r="I39" i="4" s="1"/>
  <c r="I40" i="4" s="1"/>
  <c r="I41" i="4" s="1"/>
  <c r="K30" i="4"/>
  <c r="K34" i="4" s="1"/>
  <c r="J31" i="4"/>
  <c r="J32" i="4" s="1"/>
  <c r="J30" i="4"/>
  <c r="J34" i="4" s="1"/>
  <c r="D30" i="4"/>
  <c r="D34" i="4" s="1"/>
  <c r="D35" i="4" s="1"/>
  <c r="L30" i="4"/>
  <c r="L34" i="4" s="1"/>
  <c r="L35" i="4" s="1"/>
  <c r="K31" i="4"/>
  <c r="K32" i="4" s="1"/>
  <c r="E30" i="4"/>
  <c r="E34" i="4" s="1"/>
  <c r="E35" i="4" s="1"/>
  <c r="F36" i="3"/>
  <c r="F37" i="3" s="1"/>
  <c r="F38" i="3" s="1"/>
  <c r="F39" i="3" s="1"/>
  <c r="F40" i="3" s="1"/>
  <c r="F41" i="3" s="1"/>
  <c r="H36" i="3"/>
  <c r="H37" i="3" s="1"/>
  <c r="H38" i="3" s="1"/>
  <c r="H39" i="3" s="1"/>
  <c r="H40" i="3" s="1"/>
  <c r="H41" i="3" s="1"/>
  <c r="D30" i="3"/>
  <c r="D34" i="3" s="1"/>
  <c r="D35" i="3" s="1"/>
  <c r="J31" i="3"/>
  <c r="J32" i="3" s="1"/>
  <c r="K31" i="3"/>
  <c r="K32" i="3" s="1"/>
  <c r="E30" i="3"/>
  <c r="E34" i="3" s="1"/>
  <c r="E35" i="3" s="1"/>
  <c r="L31" i="3"/>
  <c r="L32" i="3" s="1"/>
  <c r="J34" i="3"/>
  <c r="K30" i="3"/>
  <c r="K34" i="3" s="1"/>
  <c r="K35" i="3" s="1"/>
  <c r="F36" i="2"/>
  <c r="F37" i="2" s="1"/>
  <c r="F38" i="2" s="1"/>
  <c r="F39" i="2" s="1"/>
  <c r="F40" i="2" s="1"/>
  <c r="F41" i="2" s="1"/>
  <c r="I36" i="2"/>
  <c r="I37" i="2" s="1"/>
  <c r="I38" i="2" s="1"/>
  <c r="I39" i="2" s="1"/>
  <c r="I40" i="2" s="1"/>
  <c r="I41" i="2" s="1"/>
  <c r="H36" i="2"/>
  <c r="H37" i="2" s="1"/>
  <c r="H38" i="2" s="1"/>
  <c r="H39" i="2" s="1"/>
  <c r="H40" i="2" s="1"/>
  <c r="H41" i="2" s="1"/>
  <c r="K30" i="2"/>
  <c r="K34" i="2" s="1"/>
  <c r="J31" i="2"/>
  <c r="J32" i="2" s="1"/>
  <c r="D30" i="2"/>
  <c r="D34" i="2" s="1"/>
  <c r="D35" i="2" s="1"/>
  <c r="L30" i="2"/>
  <c r="L34" i="2" s="1"/>
  <c r="L35" i="2" s="1"/>
  <c r="K31" i="2"/>
  <c r="K32" i="2" s="1"/>
  <c r="E30" i="2"/>
  <c r="E34" i="2" s="1"/>
  <c r="E35" i="2" s="1"/>
  <c r="J34" i="2"/>
  <c r="L26" i="9" l="1"/>
  <c r="K31" i="9"/>
  <c r="K32" i="9" s="1"/>
  <c r="K30" i="9"/>
  <c r="K34" i="9" s="1"/>
  <c r="K35" i="9" s="1"/>
  <c r="K36" i="9" s="1"/>
  <c r="K37" i="9" s="1"/>
  <c r="K38" i="9" s="1"/>
  <c r="K39" i="9" s="1"/>
  <c r="K40" i="9" s="1"/>
  <c r="K41" i="9" s="1"/>
  <c r="J35" i="9"/>
  <c r="J36" i="9" s="1"/>
  <c r="J37" i="9" s="1"/>
  <c r="J38" i="9" s="1"/>
  <c r="J39" i="9" s="1"/>
  <c r="J40" i="9" s="1"/>
  <c r="J41" i="9" s="1"/>
  <c r="L26" i="8"/>
  <c r="K30" i="8"/>
  <c r="K34" i="8" s="1"/>
  <c r="K31" i="8"/>
  <c r="K32" i="8" s="1"/>
  <c r="L31" i="6"/>
  <c r="L32" i="6" s="1"/>
  <c r="L30" i="6"/>
  <c r="L34" i="6" s="1"/>
  <c r="L35" i="6" s="1"/>
  <c r="L36" i="6" s="1"/>
  <c r="L37" i="6" s="1"/>
  <c r="L38" i="6" s="1"/>
  <c r="L39" i="6" s="1"/>
  <c r="L40" i="6" s="1"/>
  <c r="M40" i="6" s="1"/>
  <c r="K35" i="6"/>
  <c r="K36" i="6" s="1"/>
  <c r="K37" i="6" s="1"/>
  <c r="K38" i="6" s="1"/>
  <c r="K39" i="6" s="1"/>
  <c r="K40" i="6" s="1"/>
  <c r="K41" i="6" s="1"/>
  <c r="I37" i="5"/>
  <c r="I38" i="5" s="1"/>
  <c r="I39" i="5" s="1"/>
  <c r="I40" i="5" s="1"/>
  <c r="I41" i="5" s="1"/>
  <c r="K35" i="2"/>
  <c r="K36" i="2" s="1"/>
  <c r="K37" i="2" s="1"/>
  <c r="K38" i="2" s="1"/>
  <c r="K39" i="2" s="1"/>
  <c r="K40" i="2" s="1"/>
  <c r="K41" i="2" s="1"/>
  <c r="K26" i="7"/>
  <c r="J30" i="7"/>
  <c r="J34" i="7" s="1"/>
  <c r="J31" i="7"/>
  <c r="J32" i="7" s="1"/>
  <c r="I35" i="7"/>
  <c r="I36" i="7" s="1"/>
  <c r="I37" i="7" s="1"/>
  <c r="I38" i="7" s="1"/>
  <c r="I39" i="7" s="1"/>
  <c r="I40" i="7" s="1"/>
  <c r="I41" i="7" s="1"/>
  <c r="J35" i="5"/>
  <c r="K35" i="5"/>
  <c r="J35" i="4"/>
  <c r="J36" i="4" s="1"/>
  <c r="J37" i="4" s="1"/>
  <c r="J38" i="4" s="1"/>
  <c r="J39" i="4" s="1"/>
  <c r="J40" i="4" s="1"/>
  <c r="J41" i="4" s="1"/>
  <c r="J35" i="3"/>
  <c r="J36" i="3" s="1"/>
  <c r="J37" i="3" s="1"/>
  <c r="J38" i="3" s="1"/>
  <c r="J39" i="3" s="1"/>
  <c r="J40" i="3" s="1"/>
  <c r="J41" i="3" s="1"/>
  <c r="J35" i="2"/>
  <c r="J36" i="2" s="1"/>
  <c r="J37" i="2" s="1"/>
  <c r="J38" i="2" s="1"/>
  <c r="J39" i="2" s="1"/>
  <c r="J40" i="2" s="1"/>
  <c r="J41" i="2" s="1"/>
  <c r="K36" i="5"/>
  <c r="K37" i="5" s="1"/>
  <c r="K38" i="5" s="1"/>
  <c r="K39" i="5" s="1"/>
  <c r="K40" i="5" s="1"/>
  <c r="K41" i="5" s="1"/>
  <c r="E36" i="5"/>
  <c r="E37" i="5" s="1"/>
  <c r="E38" i="5" s="1"/>
  <c r="E39" i="5" s="1"/>
  <c r="E40" i="5" s="1"/>
  <c r="E41" i="5" s="1"/>
  <c r="L36" i="5"/>
  <c r="L37" i="5" s="1"/>
  <c r="L38" i="5" s="1"/>
  <c r="L39" i="5" s="1"/>
  <c r="L40" i="5" s="1"/>
  <c r="J36" i="5"/>
  <c r="D36" i="5"/>
  <c r="D37" i="5" s="1"/>
  <c r="D38" i="5" s="1"/>
  <c r="D39" i="5" s="1"/>
  <c r="D40" i="5" s="1"/>
  <c r="D41" i="5" s="1"/>
  <c r="K35" i="4"/>
  <c r="G35" i="4"/>
  <c r="G36" i="4" s="1"/>
  <c r="G37" i="4" s="1"/>
  <c r="G38" i="4" s="1"/>
  <c r="G39" i="4" s="1"/>
  <c r="G40" i="4" s="1"/>
  <c r="G41" i="4" s="1"/>
  <c r="K36" i="4"/>
  <c r="K37" i="4" s="1"/>
  <c r="K38" i="4" s="1"/>
  <c r="K39" i="4" s="1"/>
  <c r="K40" i="4" s="1"/>
  <c r="K41" i="4" s="1"/>
  <c r="E36" i="4"/>
  <c r="E37" i="4" s="1"/>
  <c r="E38" i="4" s="1"/>
  <c r="E39" i="4" s="1"/>
  <c r="E40" i="4" s="1"/>
  <c r="E41" i="4" s="1"/>
  <c r="D36" i="4"/>
  <c r="D37" i="4" s="1"/>
  <c r="D38" i="4" s="1"/>
  <c r="D39" i="4" s="1"/>
  <c r="D40" i="4" s="1"/>
  <c r="D41" i="4" s="1"/>
  <c r="L36" i="4"/>
  <c r="L37" i="4" s="1"/>
  <c r="L38" i="4" s="1"/>
  <c r="L39" i="4" s="1"/>
  <c r="L40" i="4" s="1"/>
  <c r="K36" i="3"/>
  <c r="K37" i="3" s="1"/>
  <c r="K38" i="3" s="1"/>
  <c r="K39" i="3" s="1"/>
  <c r="K40" i="3" s="1"/>
  <c r="K41" i="3" s="1"/>
  <c r="E36" i="3"/>
  <c r="E37" i="3" s="1"/>
  <c r="E38" i="3" s="1"/>
  <c r="E39" i="3" s="1"/>
  <c r="E40" i="3" s="1"/>
  <c r="E41" i="3" s="1"/>
  <c r="D36" i="3"/>
  <c r="D37" i="3" s="1"/>
  <c r="D38" i="3" s="1"/>
  <c r="D39" i="3" s="1"/>
  <c r="D40" i="3" s="1"/>
  <c r="D41" i="3" s="1"/>
  <c r="L35" i="3"/>
  <c r="E36" i="2"/>
  <c r="E37" i="2" s="1"/>
  <c r="E38" i="2" s="1"/>
  <c r="E39" i="2" s="1"/>
  <c r="E40" i="2" s="1"/>
  <c r="E41" i="2" s="1"/>
  <c r="L36" i="2"/>
  <c r="L37" i="2" s="1"/>
  <c r="L38" i="2" s="1"/>
  <c r="L39" i="2" s="1"/>
  <c r="L40" i="2" s="1"/>
  <c r="D36" i="2"/>
  <c r="D37" i="2" s="1"/>
  <c r="D38" i="2" s="1"/>
  <c r="D39" i="2" s="1"/>
  <c r="D40" i="2" s="1"/>
  <c r="D41" i="2" s="1"/>
  <c r="L31" i="9" l="1"/>
  <c r="L32" i="9" s="1"/>
  <c r="L30" i="9"/>
  <c r="L34" i="9" s="1"/>
  <c r="L35" i="9" s="1"/>
  <c r="L36" i="9" s="1"/>
  <c r="L37" i="9" s="1"/>
  <c r="L38" i="9" s="1"/>
  <c r="L39" i="9" s="1"/>
  <c r="L40" i="9" s="1"/>
  <c r="K35" i="8"/>
  <c r="K36" i="8" s="1"/>
  <c r="K37" i="8" s="1"/>
  <c r="K38" i="8" s="1"/>
  <c r="K39" i="8" s="1"/>
  <c r="K40" i="8" s="1"/>
  <c r="K41" i="8" s="1"/>
  <c r="L31" i="8"/>
  <c r="L32" i="8" s="1"/>
  <c r="L30" i="8"/>
  <c r="L34" i="8" s="1"/>
  <c r="L35" i="8" s="1"/>
  <c r="L36" i="8" s="1"/>
  <c r="L37" i="8" s="1"/>
  <c r="L38" i="8" s="1"/>
  <c r="L39" i="8" s="1"/>
  <c r="L40" i="8" s="1"/>
  <c r="L41" i="6"/>
  <c r="J37" i="5"/>
  <c r="J38" i="5" s="1"/>
  <c r="J39" i="5" s="1"/>
  <c r="J40" i="5" s="1"/>
  <c r="J41" i="5" s="1"/>
  <c r="J35" i="7"/>
  <c r="J36" i="7" s="1"/>
  <c r="J37" i="7" s="1"/>
  <c r="J38" i="7" s="1"/>
  <c r="J39" i="7" s="1"/>
  <c r="J40" i="7" s="1"/>
  <c r="J41" i="7" s="1"/>
  <c r="L26" i="7"/>
  <c r="K30" i="7"/>
  <c r="K34" i="7" s="1"/>
  <c r="K31" i="7"/>
  <c r="K32" i="7" s="1"/>
  <c r="B44" i="6"/>
  <c r="B45" i="6"/>
  <c r="M41" i="6"/>
  <c r="B47" i="6" s="1"/>
  <c r="B53" i="6" s="1"/>
  <c r="B54" i="6" s="1"/>
  <c r="M40" i="5"/>
  <c r="L41" i="5"/>
  <c r="M40" i="4"/>
  <c r="L41" i="4"/>
  <c r="L36" i="3"/>
  <c r="L37" i="3" s="1"/>
  <c r="L38" i="3" s="1"/>
  <c r="L39" i="3" s="1"/>
  <c r="L40" i="3" s="1"/>
  <c r="M40" i="2"/>
  <c r="L41" i="2"/>
  <c r="L41" i="9" l="1"/>
  <c r="M40" i="9"/>
  <c r="M41" i="9" s="1"/>
  <c r="L41" i="8"/>
  <c r="M40" i="8"/>
  <c r="M41" i="8" s="1"/>
  <c r="B59" i="8" s="1"/>
  <c r="K35" i="7"/>
  <c r="K36" i="7" s="1"/>
  <c r="K37" i="7" s="1"/>
  <c r="K38" i="7" s="1"/>
  <c r="K39" i="7" s="1"/>
  <c r="K40" i="7" s="1"/>
  <c r="K41" i="7" s="1"/>
  <c r="L31" i="7"/>
  <c r="L32" i="7" s="1"/>
  <c r="L30" i="7"/>
  <c r="L34" i="7" s="1"/>
  <c r="B42" i="6"/>
  <c r="M41" i="5"/>
  <c r="B47" i="5" s="1"/>
  <c r="B53" i="5" s="1"/>
  <c r="B54" i="5" s="1"/>
  <c r="B45" i="5"/>
  <c r="B44" i="5"/>
  <c r="B42" i="5"/>
  <c r="B44" i="4"/>
  <c r="M41" i="4"/>
  <c r="B47" i="4" s="1"/>
  <c r="B53" i="4" s="1"/>
  <c r="B54" i="4" s="1"/>
  <c r="B45" i="4"/>
  <c r="B42" i="4"/>
  <c r="M40" i="3"/>
  <c r="L41" i="3"/>
  <c r="B45" i="2"/>
  <c r="B44" i="2"/>
  <c r="M41" i="2"/>
  <c r="B42" i="9" l="1"/>
  <c r="B42" i="8"/>
  <c r="L35" i="7"/>
  <c r="L36" i="7" s="1"/>
  <c r="L37" i="7" s="1"/>
  <c r="L38" i="7" s="1"/>
  <c r="L39" i="7" s="1"/>
  <c r="L40" i="7" s="1"/>
  <c r="L41" i="7" s="1"/>
  <c r="B45" i="3"/>
  <c r="B44" i="3"/>
  <c r="M41" i="3"/>
  <c r="B42" i="3" s="1"/>
  <c r="B47" i="2"/>
  <c r="B53" i="2" s="1"/>
  <c r="B54" i="2" s="1"/>
  <c r="B42" i="2"/>
  <c r="M40" i="7" l="1"/>
  <c r="B44" i="7"/>
  <c r="M41" i="7"/>
  <c r="B42" i="7" s="1"/>
  <c r="B45" i="7"/>
  <c r="B47" i="3"/>
  <c r="B53" i="3" s="1"/>
  <c r="B54" i="3" s="1"/>
  <c r="B47" i="7" l="1"/>
  <c r="B53" i="7" s="1"/>
  <c r="B54" i="7" s="1"/>
</calcChain>
</file>

<file path=xl/sharedStrings.xml><?xml version="1.0" encoding="utf-8"?>
<sst xmlns="http://schemas.openxmlformats.org/spreadsheetml/2006/main" count="457" uniqueCount="51">
  <si>
    <t>Tesla Valuation</t>
  </si>
  <si>
    <t>Model assumptions based on anaylst reports</t>
  </si>
  <si>
    <t>Upside YOY Revenue Growth</t>
  </si>
  <si>
    <t>Downside YOY Revenue Growth</t>
  </si>
  <si>
    <t>Base Case YOY Revenue Growth</t>
  </si>
  <si>
    <t>Total Cost of Revenue (% of Rev)</t>
  </si>
  <si>
    <t>R&amp;D YOY Growth</t>
  </si>
  <si>
    <t>SG&amp;A YOY Growth</t>
  </si>
  <si>
    <t>Depreciation (% of Rev)</t>
  </si>
  <si>
    <t>CapEx (% of Depr)</t>
  </si>
  <si>
    <t>Sens CoR</t>
  </si>
  <si>
    <t>Total Revenue in 2022 (in millions)</t>
  </si>
  <si>
    <t>Total R&amp;D in 2022 (in millions)</t>
  </si>
  <si>
    <t>Total SG&amp;A in 2022 (in millions)</t>
  </si>
  <si>
    <t>Cost of Capital (Discount Rate)</t>
  </si>
  <si>
    <t>Long run growth rate</t>
  </si>
  <si>
    <t>Tax Rate</t>
  </si>
  <si>
    <t>All dollar figures are in millions</t>
  </si>
  <si>
    <t>Beyond 2031</t>
  </si>
  <si>
    <t>FCF (FREE CASH FLOW)</t>
  </si>
  <si>
    <t>Revenues</t>
  </si>
  <si>
    <t>-</t>
  </si>
  <si>
    <t>R&amp;D</t>
  </si>
  <si>
    <t>SG&amp;A</t>
  </si>
  <si>
    <r>
      <t xml:space="preserve">Total </t>
    </r>
    <r>
      <rPr>
        <i/>
        <sz val="11"/>
        <color theme="1"/>
        <rFont val="Calibri"/>
        <family val="2"/>
        <scheme val="minor"/>
      </rPr>
      <t>Cost of Revenue</t>
    </r>
    <r>
      <rPr>
        <sz val="12"/>
        <color theme="1"/>
        <rFont val="Calibri"/>
        <family val="2"/>
        <scheme val="minor"/>
      </rPr>
      <t xml:space="preserve"> (in millions)</t>
    </r>
  </si>
  <si>
    <t>Depreciation</t>
  </si>
  <si>
    <t>CapEx (Capital Expenditure)</t>
  </si>
  <si>
    <t>EBITDA</t>
  </si>
  <si>
    <t xml:space="preserve">EBIT </t>
  </si>
  <si>
    <t>Taxes on EBIT (Tax Rate * EBIT)</t>
  </si>
  <si>
    <t>Unlevered Net Income</t>
  </si>
  <si>
    <t>Add Back Depreciation</t>
  </si>
  <si>
    <t>Subtract CapEx</t>
  </si>
  <si>
    <t>PV</t>
  </si>
  <si>
    <t>NPV</t>
  </si>
  <si>
    <t xml:space="preserve">Cash Flows After 2031 </t>
  </si>
  <si>
    <t>Terminal Value/Continuation Value</t>
  </si>
  <si>
    <t>Estimated Total Enterprise Value At The Beginning of 2023/NPV</t>
  </si>
  <si>
    <t>Price Per (Equity) Share</t>
  </si>
  <si>
    <t>Debt</t>
  </si>
  <si>
    <t>Cash And Marketable Securities</t>
  </si>
  <si>
    <t>Shares Outstanding</t>
  </si>
  <si>
    <t>Price or Equity</t>
  </si>
  <si>
    <t>Base Case W New YOY Revenue Growth</t>
  </si>
  <si>
    <t xml:space="preserve">NPV </t>
  </si>
  <si>
    <t>Automobile industry average Enterprise Value/EBITDA ratio</t>
  </si>
  <si>
    <t>All the numbers above are not relevant to answering this question (Question 8), except for the 2023 projected EBITDA.</t>
  </si>
  <si>
    <t>Enterprise Value/NPV with EBITDA Ratio of 5.9</t>
  </si>
  <si>
    <t>Enterprise Value/NPV with EBITDA Ratio of 13.4</t>
  </si>
  <si>
    <t>CAGR</t>
  </si>
  <si>
    <t>New Total Cost of Revenue (% of Rev)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</si>
</sst>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2" applyFont="1" applyFill="1"/>
    <xf numFmtId="0" fontId="2" fillId="0" borderId="0" xfId="2"/>
    <xf numFmtId="0" fontId="4" fillId="2" borderId="0" xfId="2" applyFont="1" applyFill="1"/>
    <xf numFmtId="0" fontId="2" fillId="2" borderId="0" xfId="2" applyFill="1"/>
    <xf numFmtId="9" fontId="2" fillId="2" borderId="0" xfId="2" applyNumberFormat="1" applyFill="1"/>
    <xf numFmtId="164" fontId="2" fillId="2" borderId="0" xfId="2" applyNumberFormat="1" applyFill="1"/>
    <xf numFmtId="164" fontId="0" fillId="2" borderId="0" xfId="3" applyNumberFormat="1" applyFont="1" applyFill="1"/>
    <xf numFmtId="10" fontId="0" fillId="2" borderId="0" xfId="3" applyNumberFormat="1" applyFont="1" applyFill="1"/>
    <xf numFmtId="9" fontId="2" fillId="0" borderId="0" xfId="2" applyNumberFormat="1"/>
    <xf numFmtId="165" fontId="2" fillId="0" borderId="0" xfId="2" applyNumberFormat="1"/>
    <xf numFmtId="0" fontId="4" fillId="0" borderId="0" xfId="2" applyFont="1"/>
    <xf numFmtId="0" fontId="5" fillId="0" borderId="0" xfId="2" applyFont="1"/>
    <xf numFmtId="2" fontId="2" fillId="0" borderId="0" xfId="2" applyNumberFormat="1"/>
    <xf numFmtId="0" fontId="2" fillId="0" borderId="0" xfId="2" quotePrefix="1"/>
    <xf numFmtId="10" fontId="2" fillId="0" borderId="0" xfId="2" applyNumberFormat="1"/>
    <xf numFmtId="43" fontId="0" fillId="0" borderId="0" xfId="4" applyFont="1"/>
    <xf numFmtId="43" fontId="2" fillId="0" borderId="0" xfId="2" applyNumberFormat="1"/>
    <xf numFmtId="8" fontId="2" fillId="0" borderId="0" xfId="2" applyNumberFormat="1"/>
    <xf numFmtId="44" fontId="2" fillId="0" borderId="0" xfId="1" applyFont="1"/>
    <xf numFmtId="0" fontId="7" fillId="0" borderId="0" xfId="2" applyFont="1"/>
    <xf numFmtId="0" fontId="8" fillId="0" borderId="0" xfId="2" applyFont="1"/>
    <xf numFmtId="0" fontId="9" fillId="0" borderId="0" xfId="2" applyFont="1"/>
    <xf numFmtId="2" fontId="7" fillId="0" borderId="0" xfId="2" applyNumberFormat="1" applyFont="1"/>
    <xf numFmtId="9" fontId="7" fillId="0" borderId="0" xfId="2" applyNumberFormat="1" applyFont="1"/>
    <xf numFmtId="10" fontId="7" fillId="0" borderId="0" xfId="2" applyNumberFormat="1" applyFont="1"/>
    <xf numFmtId="43" fontId="7" fillId="0" borderId="0" xfId="2" applyNumberFormat="1" applyFont="1"/>
    <xf numFmtId="0" fontId="10" fillId="0" borderId="0" xfId="2" applyFont="1"/>
    <xf numFmtId="43" fontId="10" fillId="0" borderId="0" xfId="2" applyNumberFormat="1" applyFont="1"/>
  </cellXfs>
  <cellStyles count="5">
    <cellStyle name="Comma 2" xfId="4" xr:uid="{C5316D62-126B-114B-8551-3068CA6ECDA8}"/>
    <cellStyle name="Currency" xfId="1" builtinId="4"/>
    <cellStyle name="Normal" xfId="0" builtinId="0"/>
    <cellStyle name="Normal 2" xfId="2" xr:uid="{270E05EF-52E3-4A4F-9FF6-8D583CBFC6D4}"/>
    <cellStyle name="Percent 2" xfId="3" xr:uid="{A501F139-2C95-AC4E-80C1-569E7DF0DC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E30F-9E8C-2F42-8BFF-DA9473069E7D}">
  <dimension ref="A1:P88"/>
  <sheetViews>
    <sheetView topLeftCell="A3" zoomScale="112" zoomScaleNormal="115" workbookViewId="0">
      <selection activeCell="L26" sqref="L26"/>
    </sheetView>
  </sheetViews>
  <sheetFormatPr baseColWidth="10" defaultColWidth="8.83203125" defaultRowHeight="15" x14ac:dyDescent="0.2"/>
  <cols>
    <col min="1" max="1" width="29.6640625" style="2" customWidth="1"/>
    <col min="2" max="13" width="11.5" style="2" customWidth="1"/>
    <col min="14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</v>
      </c>
      <c r="B5" s="4"/>
      <c r="C5" s="4"/>
      <c r="D5" s="5">
        <v>0.3</v>
      </c>
      <c r="E5" s="5">
        <v>0.27</v>
      </c>
      <c r="F5" s="5">
        <v>0.25</v>
      </c>
      <c r="G5" s="5">
        <v>0.2</v>
      </c>
      <c r="H5" s="5">
        <v>0.15</v>
      </c>
      <c r="I5" s="5">
        <v>0.13</v>
      </c>
      <c r="J5" s="5">
        <v>0.1</v>
      </c>
      <c r="K5" s="5">
        <v>0.08</v>
      </c>
      <c r="L5" s="5">
        <v>0.05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</v>
      </c>
      <c r="B7" s="4"/>
      <c r="C7" s="4"/>
      <c r="D7" s="6">
        <v>0.76</v>
      </c>
      <c r="E7" s="6">
        <v>0.75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6">
        <v>0.74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0.14000000000000001</v>
      </c>
      <c r="J8" s="6">
        <v>0.12000000000000001</v>
      </c>
      <c r="K8" s="6">
        <v>0.1</v>
      </c>
      <c r="L8" s="6">
        <v>0.08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(100%+D5)*C15</f>
        <v>105900.6</v>
      </c>
      <c r="E26" s="13">
        <f>(1+E5)*D26</f>
        <v>134493.76200000002</v>
      </c>
      <c r="F26" s="13">
        <f>(100%+F5)*E26</f>
        <v>168117.20250000001</v>
      </c>
      <c r="G26" s="13">
        <f t="shared" ref="G26:L26" si="0">(1+G5)*F26</f>
        <v>201740.64300000001</v>
      </c>
      <c r="H26" s="13">
        <f t="shared" ref="H26:L26" si="1">(100%+H5)*G26</f>
        <v>232001.73944999999</v>
      </c>
      <c r="I26" s="13">
        <f t="shared" ref="I26:L26" si="2">(1+I5)*H26</f>
        <v>262161.96557849995</v>
      </c>
      <c r="J26" s="13">
        <f t="shared" ref="J26:L26" si="3">(100%+J5)*I26</f>
        <v>288378.16213634994</v>
      </c>
      <c r="K26" s="13">
        <f t="shared" ref="K26:L26" si="4">(1+K5)*J26</f>
        <v>311448.41510725796</v>
      </c>
      <c r="L26" s="13">
        <f t="shared" ref="L26" si="5">(100%+L5)*K26</f>
        <v>327020.83586262085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(1+E8)*D27</f>
        <v>5379.0974999999999</v>
      </c>
      <c r="F27" s="2">
        <f>(1+F8)*E27</f>
        <v>6508.7079749999994</v>
      </c>
      <c r="G27" s="2">
        <f t="shared" ref="G27:L27" si="6">(1+G8)*F27</f>
        <v>7680.2754104999985</v>
      </c>
      <c r="H27" s="2">
        <f t="shared" si="6"/>
        <v>8909.1194761799979</v>
      </c>
      <c r="I27" s="2">
        <f t="shared" si="6"/>
        <v>10156.396202845199</v>
      </c>
      <c r="J27" s="2">
        <f t="shared" si="6"/>
        <v>11375.163747186623</v>
      </c>
      <c r="K27" s="2">
        <f t="shared" si="6"/>
        <v>12512.680121905287</v>
      </c>
      <c r="L27" s="2">
        <f t="shared" si="6"/>
        <v>13513.694531657711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7">(1+G9)*F28</f>
        <v>5266.7972280000013</v>
      </c>
      <c r="H28" s="13">
        <f t="shared" si="7"/>
        <v>5477.4691171200011</v>
      </c>
      <c r="I28" s="13">
        <f t="shared" si="7"/>
        <v>5641.7931906336016</v>
      </c>
      <c r="J28" s="13">
        <f t="shared" si="7"/>
        <v>5754.6290544462736</v>
      </c>
      <c r="K28" s="13">
        <f t="shared" si="7"/>
        <v>5869.7216355351993</v>
      </c>
      <c r="L28" s="13">
        <f t="shared" si="7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8">-D26*D7</f>
        <v>-80484.456000000006</v>
      </c>
      <c r="E30" s="13">
        <f t="shared" si="8"/>
        <v>-100870.32150000002</v>
      </c>
      <c r="F30" s="13">
        <f t="shared" si="8"/>
        <v>-124406.72985</v>
      </c>
      <c r="G30" s="13">
        <f t="shared" si="8"/>
        <v>-149288.07582</v>
      </c>
      <c r="H30" s="13">
        <f t="shared" si="8"/>
        <v>-171681.287193</v>
      </c>
      <c r="I30" s="13">
        <f t="shared" si="8"/>
        <v>-193999.85452808996</v>
      </c>
      <c r="J30" s="13">
        <f t="shared" si="8"/>
        <v>-213399.83998089895</v>
      </c>
      <c r="K30" s="13">
        <f t="shared" si="8"/>
        <v>-230471.82717937088</v>
      </c>
      <c r="L30" s="13">
        <f t="shared" si="8"/>
        <v>-241995.41853833944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9">-D26*D10</f>
        <v>-5295.0300000000007</v>
      </c>
      <c r="E31" s="16">
        <f t="shared" si="9"/>
        <v>-6388.4536950000011</v>
      </c>
      <c r="F31" s="16">
        <f t="shared" si="9"/>
        <v>-7565.2741125000002</v>
      </c>
      <c r="G31" s="16">
        <f t="shared" si="9"/>
        <v>-8069.6257200000009</v>
      </c>
      <c r="H31" s="16">
        <f t="shared" si="9"/>
        <v>-8700.065229374999</v>
      </c>
      <c r="I31" s="16">
        <f t="shared" si="9"/>
        <v>-9175.6687952474986</v>
      </c>
      <c r="J31" s="16">
        <f t="shared" si="9"/>
        <v>-8651.3448640904971</v>
      </c>
      <c r="K31" s="16">
        <f t="shared" si="9"/>
        <v>-9343.4524532177384</v>
      </c>
      <c r="L31" s="16">
        <f t="shared" si="9"/>
        <v>-9810.6250758786246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10">D31*D11</f>
        <v>-4765.527000000001</v>
      </c>
      <c r="E32" s="16">
        <f t="shared" si="10"/>
        <v>-5430.1856407500009</v>
      </c>
      <c r="F32" s="16">
        <f t="shared" si="10"/>
        <v>-6052.2192900000009</v>
      </c>
      <c r="G32" s="16">
        <f t="shared" si="10"/>
        <v>-6052.2192900000009</v>
      </c>
      <c r="H32" s="16">
        <f t="shared" si="10"/>
        <v>-6090.0456605624986</v>
      </c>
      <c r="I32" s="16">
        <f t="shared" si="10"/>
        <v>-6422.9681566732488</v>
      </c>
      <c r="J32" s="16">
        <f t="shared" si="10"/>
        <v>-6055.941404863348</v>
      </c>
      <c r="K32" s="16">
        <f t="shared" si="10"/>
        <v>-6540.4167172524167</v>
      </c>
      <c r="L32" s="16">
        <f t="shared" si="10"/>
        <v>-6867.4375531150372</v>
      </c>
    </row>
    <row r="33" spans="1:13" x14ac:dyDescent="0.2">
      <c r="L33" s="15"/>
    </row>
    <row r="34" spans="1:13" ht="16" x14ac:dyDescent="0.2">
      <c r="A34" s="2" t="s">
        <v>27</v>
      </c>
      <c r="C34" s="2" t="s">
        <v>21</v>
      </c>
      <c r="D34" s="16">
        <f t="shared" ref="D34:L34" si="11">D26+D30-D27-D28</f>
        <v>16555.294000000002</v>
      </c>
      <c r="E34" s="16">
        <f t="shared" si="11"/>
        <v>23556.494999999995</v>
      </c>
      <c r="F34" s="16">
        <f t="shared" si="11"/>
        <v>32185.767315000012</v>
      </c>
      <c r="G34" s="16">
        <f t="shared" si="11"/>
        <v>39505.494541500011</v>
      </c>
      <c r="H34" s="16">
        <f t="shared" si="11"/>
        <v>45933.863663699995</v>
      </c>
      <c r="I34" s="16">
        <f t="shared" si="11"/>
        <v>52363.92165693119</v>
      </c>
      <c r="J34" s="16">
        <f t="shared" si="11"/>
        <v>57848.529353818092</v>
      </c>
      <c r="K34" s="16">
        <f t="shared" si="11"/>
        <v>62594.186170446585</v>
      </c>
      <c r="L34" s="16">
        <f t="shared" si="11"/>
        <v>65524.606724377809</v>
      </c>
    </row>
    <row r="35" spans="1:13" x14ac:dyDescent="0.2">
      <c r="A35" s="2" t="s">
        <v>28</v>
      </c>
      <c r="C35" s="2" t="s">
        <v>21</v>
      </c>
      <c r="D35" s="17">
        <f t="shared" ref="D35:L35" si="12">D34+D31</f>
        <v>11260.264000000001</v>
      </c>
      <c r="E35" s="17">
        <f t="shared" si="12"/>
        <v>17168.041304999995</v>
      </c>
      <c r="F35" s="17">
        <f t="shared" si="12"/>
        <v>24620.493202500013</v>
      </c>
      <c r="G35" s="17">
        <f t="shared" si="12"/>
        <v>31435.868821500011</v>
      </c>
      <c r="H35" s="17">
        <f t="shared" si="12"/>
        <v>37233.798434324999</v>
      </c>
      <c r="I35" s="17">
        <f t="shared" si="12"/>
        <v>43188.252861683693</v>
      </c>
      <c r="J35" s="17">
        <f t="shared" si="12"/>
        <v>49197.184489727595</v>
      </c>
      <c r="K35" s="17">
        <f t="shared" si="12"/>
        <v>53250.733717228846</v>
      </c>
      <c r="L35" s="17">
        <f t="shared" si="12"/>
        <v>55713.981648499182</v>
      </c>
    </row>
    <row r="36" spans="1:13" x14ac:dyDescent="0.2">
      <c r="A36" s="2" t="s">
        <v>29</v>
      </c>
      <c r="C36" s="2" t="s">
        <v>21</v>
      </c>
      <c r="D36" s="17">
        <f t="shared" ref="D36:L36" si="13">$C$20*D35</f>
        <v>2364.65544</v>
      </c>
      <c r="E36" s="17">
        <f t="shared" si="13"/>
        <v>3605.2886740499989</v>
      </c>
      <c r="F36" s="17">
        <f t="shared" si="13"/>
        <v>5170.3035725250029</v>
      </c>
      <c r="G36" s="17">
        <f t="shared" si="13"/>
        <v>6601.5324525150018</v>
      </c>
      <c r="H36" s="17">
        <f t="shared" si="13"/>
        <v>7819.0976712082493</v>
      </c>
      <c r="I36" s="17">
        <f t="shared" si="13"/>
        <v>9069.5331009535748</v>
      </c>
      <c r="J36" s="17">
        <f t="shared" si="13"/>
        <v>10331.408742842794</v>
      </c>
      <c r="K36" s="17">
        <f t="shared" si="13"/>
        <v>11182.654080618056</v>
      </c>
      <c r="L36" s="17">
        <f t="shared" si="13"/>
        <v>11699.936146184828</v>
      </c>
    </row>
    <row r="37" spans="1:13" x14ac:dyDescent="0.2">
      <c r="A37" s="2" t="s">
        <v>30</v>
      </c>
      <c r="C37" s="2" t="s">
        <v>21</v>
      </c>
      <c r="D37" s="17">
        <f t="shared" ref="D37:L37" si="14">D35-D36</f>
        <v>8895.6085600000006</v>
      </c>
      <c r="E37" s="17">
        <f t="shared" si="14"/>
        <v>13562.752630949995</v>
      </c>
      <c r="F37" s="17">
        <f t="shared" si="14"/>
        <v>19450.189629975008</v>
      </c>
      <c r="G37" s="17">
        <f t="shared" si="14"/>
        <v>24834.336368985008</v>
      </c>
      <c r="H37" s="17">
        <f t="shared" si="14"/>
        <v>29414.700763116751</v>
      </c>
      <c r="I37" s="17">
        <f t="shared" si="14"/>
        <v>34118.71976073012</v>
      </c>
      <c r="J37" s="17">
        <f t="shared" si="14"/>
        <v>38865.775746884799</v>
      </c>
      <c r="K37" s="17">
        <f t="shared" si="14"/>
        <v>42068.07963661079</v>
      </c>
      <c r="L37" s="17">
        <f t="shared" si="14"/>
        <v>44014.045502314359</v>
      </c>
    </row>
    <row r="38" spans="1:13" x14ac:dyDescent="0.2">
      <c r="A38" s="2" t="s">
        <v>31</v>
      </c>
      <c r="C38" s="2" t="s">
        <v>21</v>
      </c>
      <c r="D38" s="17">
        <f t="shared" ref="D38:L38" si="15">D37-D31</f>
        <v>14190.638560000001</v>
      </c>
      <c r="E38" s="17">
        <f t="shared" si="15"/>
        <v>19951.206325949996</v>
      </c>
      <c r="F38" s="17">
        <f t="shared" si="15"/>
        <v>27015.463742475007</v>
      </c>
      <c r="G38" s="17">
        <f t="shared" si="15"/>
        <v>32903.962088985012</v>
      </c>
      <c r="H38" s="17">
        <f t="shared" si="15"/>
        <v>38114.765992491753</v>
      </c>
      <c r="I38" s="17">
        <f t="shared" si="15"/>
        <v>43294.388555977617</v>
      </c>
      <c r="J38" s="17">
        <f t="shared" si="15"/>
        <v>47517.120610975297</v>
      </c>
      <c r="K38" s="17">
        <f t="shared" si="15"/>
        <v>51411.532089828528</v>
      </c>
      <c r="L38" s="17">
        <f t="shared" si="15"/>
        <v>53824.670578192985</v>
      </c>
    </row>
    <row r="39" spans="1:13" x14ac:dyDescent="0.2">
      <c r="A39" s="2" t="s">
        <v>32</v>
      </c>
      <c r="C39" s="2" t="s">
        <v>21</v>
      </c>
      <c r="D39" s="17">
        <f t="shared" ref="D39:L39" si="16">D38+D32</f>
        <v>9425.1115600000012</v>
      </c>
      <c r="E39" s="17">
        <f t="shared" si="16"/>
        <v>14521.020685199994</v>
      </c>
      <c r="F39" s="17">
        <f t="shared" si="16"/>
        <v>20963.244452475006</v>
      </c>
      <c r="G39" s="17">
        <f t="shared" si="16"/>
        <v>26851.742798985011</v>
      </c>
      <c r="H39" s="17">
        <f t="shared" si="16"/>
        <v>32024.720331929253</v>
      </c>
      <c r="I39" s="17">
        <f t="shared" si="16"/>
        <v>36871.42039930437</v>
      </c>
      <c r="J39" s="17">
        <f t="shared" si="16"/>
        <v>41461.179206111949</v>
      </c>
      <c r="K39" s="17">
        <f t="shared" si="16"/>
        <v>44871.115372576111</v>
      </c>
      <c r="L39" s="17">
        <f t="shared" si="16"/>
        <v>46957.233025077949</v>
      </c>
    </row>
    <row r="40" spans="1:13" x14ac:dyDescent="0.2">
      <c r="A40" s="12" t="s">
        <v>19</v>
      </c>
      <c r="C40" s="2" t="s">
        <v>21</v>
      </c>
      <c r="D40" s="17">
        <f t="shared" ref="D40:L40" si="17">D39</f>
        <v>9425.1115600000012</v>
      </c>
      <c r="E40" s="17">
        <f t="shared" si="17"/>
        <v>14521.020685199994</v>
      </c>
      <c r="F40" s="17">
        <f t="shared" si="17"/>
        <v>20963.244452475006</v>
      </c>
      <c r="G40" s="17">
        <f t="shared" si="17"/>
        <v>26851.742798985011</v>
      </c>
      <c r="H40" s="17">
        <f t="shared" si="17"/>
        <v>32024.720331929253</v>
      </c>
      <c r="I40" s="17">
        <f t="shared" si="17"/>
        <v>36871.42039930437</v>
      </c>
      <c r="J40" s="17">
        <f t="shared" si="17"/>
        <v>41461.179206111949</v>
      </c>
      <c r="K40" s="17">
        <f t="shared" si="17"/>
        <v>44871.115372576111</v>
      </c>
      <c r="L40" s="17">
        <f t="shared" si="17"/>
        <v>46957.233025077949</v>
      </c>
      <c r="M40" s="17">
        <f>(L40*(1+C19))/(C18-C19)</f>
        <v>537399.44462033664</v>
      </c>
    </row>
    <row r="41" spans="1:13" x14ac:dyDescent="0.2">
      <c r="A41" s="2" t="s">
        <v>33</v>
      </c>
      <c r="C41" s="2" t="s">
        <v>21</v>
      </c>
      <c r="D41" s="17">
        <f t="shared" ref="D41:M41" si="18">(D40)/(1+$C$18)^D24</f>
        <v>8415.2781785714287</v>
      </c>
      <c r="E41" s="17">
        <f t="shared" si="18"/>
        <v>11576.068786033156</v>
      </c>
      <c r="F41" s="17">
        <f t="shared" si="18"/>
        <v>14921.22333135577</v>
      </c>
      <c r="G41" s="17">
        <f t="shared" si="18"/>
        <v>17064.767985431718</v>
      </c>
      <c r="H41" s="17">
        <f t="shared" si="18"/>
        <v>18171.68636321411</v>
      </c>
      <c r="I41" s="17">
        <f t="shared" si="18"/>
        <v>18680.209056299907</v>
      </c>
      <c r="J41" s="17">
        <f t="shared" si="18"/>
        <v>18754.931880827062</v>
      </c>
      <c r="K41" s="17">
        <f t="shared" si="18"/>
        <v>18122.690919710731</v>
      </c>
      <c r="L41" s="17">
        <f t="shared" si="18"/>
        <v>16933.248974239214</v>
      </c>
      <c r="M41" s="17">
        <f t="shared" si="18"/>
        <v>193791.62714962658</v>
      </c>
    </row>
    <row r="42" spans="1:13" x14ac:dyDescent="0.2">
      <c r="A42" s="2" t="s">
        <v>34</v>
      </c>
      <c r="B42" s="17">
        <f>SUM(D41:M41)</f>
        <v>336431.73262530967</v>
      </c>
      <c r="M42" s="18"/>
    </row>
    <row r="44" spans="1:13" x14ac:dyDescent="0.2">
      <c r="A44" s="12" t="s">
        <v>35</v>
      </c>
      <c r="B44" s="17">
        <f>M40</f>
        <v>537399.44462033664</v>
      </c>
      <c r="C44" s="18"/>
    </row>
    <row r="45" spans="1:13" x14ac:dyDescent="0.2">
      <c r="A45" s="12" t="s">
        <v>36</v>
      </c>
      <c r="B45" s="13">
        <f>M40</f>
        <v>537399.44462033664</v>
      </c>
      <c r="C45" s="17"/>
      <c r="D45" s="15"/>
      <c r="E45" s="15"/>
      <c r="F45" s="15"/>
    </row>
    <row r="46" spans="1:13" x14ac:dyDescent="0.2">
      <c r="D46" s="15"/>
      <c r="E46" s="15"/>
      <c r="F46" s="15"/>
    </row>
    <row r="47" spans="1:13" x14ac:dyDescent="0.2">
      <c r="A47" s="12" t="s">
        <v>37</v>
      </c>
      <c r="B47" s="17">
        <f>SUM(D41:M41)</f>
        <v>336431.73262530967</v>
      </c>
    </row>
    <row r="49" spans="1:13" x14ac:dyDescent="0.2">
      <c r="A49" s="12" t="s">
        <v>38</v>
      </c>
      <c r="B49" s="9"/>
      <c r="C49" s="9"/>
    </row>
    <row r="50" spans="1:13" x14ac:dyDescent="0.2">
      <c r="A50" s="2" t="s">
        <v>39</v>
      </c>
      <c r="B50" s="2">
        <v>3099</v>
      </c>
    </row>
    <row r="51" spans="1:13" x14ac:dyDescent="0.2">
      <c r="A51" s="2" t="s">
        <v>40</v>
      </c>
      <c r="B51" s="2">
        <v>22185</v>
      </c>
    </row>
    <row r="52" spans="1:13" x14ac:dyDescent="0.2">
      <c r="A52" s="2" t="s">
        <v>41</v>
      </c>
      <c r="B52" s="2">
        <v>3518</v>
      </c>
    </row>
    <row r="53" spans="1:13" x14ac:dyDescent="0.2">
      <c r="A53" s="2" t="s">
        <v>42</v>
      </c>
      <c r="B53" s="17">
        <f>B47-B50+B51</f>
        <v>355517.73262530967</v>
      </c>
    </row>
    <row r="54" spans="1:13" x14ac:dyDescent="0.2">
      <c r="A54" s="12" t="s">
        <v>38</v>
      </c>
      <c r="B54" s="19">
        <f>B53/B52</f>
        <v>101.05677448132737</v>
      </c>
    </row>
    <row r="56" spans="1:13" x14ac:dyDescent="0.2">
      <c r="A56" s="12"/>
    </row>
    <row r="57" spans="1:13" x14ac:dyDescent="0.2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3"/>
    </row>
    <row r="60" spans="1:13" x14ac:dyDescent="0.2">
      <c r="A60" s="20"/>
      <c r="B60" s="20"/>
      <c r="C60" s="20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9D22-B9E3-BA4E-A267-929DB4A9CEAF}">
  <dimension ref="A1:P88"/>
  <sheetViews>
    <sheetView topLeftCell="A20" zoomScale="115" zoomScaleNormal="115" workbookViewId="0">
      <selection activeCell="F37" sqref="F37"/>
    </sheetView>
  </sheetViews>
  <sheetFormatPr baseColWidth="10" defaultColWidth="8.83203125" defaultRowHeight="15" x14ac:dyDescent="0.2"/>
  <cols>
    <col min="1" max="1" width="29.6640625" style="2" customWidth="1"/>
    <col min="2" max="13" width="11.5" style="2" customWidth="1"/>
    <col min="14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</v>
      </c>
      <c r="B5" s="4"/>
      <c r="C5" s="4"/>
      <c r="D5" s="5">
        <v>0.3</v>
      </c>
      <c r="E5" s="5">
        <v>0.27</v>
      </c>
      <c r="F5" s="5">
        <v>0.25</v>
      </c>
      <c r="G5" s="5">
        <v>0.2</v>
      </c>
      <c r="H5" s="5">
        <v>0.15</v>
      </c>
      <c r="I5" s="5">
        <v>0.13</v>
      </c>
      <c r="J5" s="5">
        <v>0.1</v>
      </c>
      <c r="K5" s="5">
        <v>0.08</v>
      </c>
      <c r="L5" s="5">
        <v>0.05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</v>
      </c>
      <c r="B7" s="4"/>
      <c r="C7" s="4"/>
      <c r="D7" s="6">
        <v>0.76</v>
      </c>
      <c r="E7" s="6">
        <v>0.75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6">
        <v>0.74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0.14000000000000001</v>
      </c>
      <c r="J8" s="6">
        <v>0.12000000000000001</v>
      </c>
      <c r="K8" s="6">
        <v>0.1</v>
      </c>
      <c r="L8" s="6">
        <v>0.08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(100%+D3)*C15</f>
        <v>114046.79999999999</v>
      </c>
      <c r="E26" s="13">
        <f>(100%+E3)*D26</f>
        <v>153963.18</v>
      </c>
      <c r="F26" s="13">
        <f>(100%+F3)*E26</f>
        <v>200152.13399999999</v>
      </c>
      <c r="G26" s="13">
        <f t="shared" ref="G26:L26" si="0">(100%+G3)*F26</f>
        <v>256194.73152</v>
      </c>
      <c r="H26" s="13">
        <f t="shared" si="0"/>
        <v>320243.41440000001</v>
      </c>
      <c r="I26" s="13">
        <f t="shared" si="0"/>
        <v>374684.79484799999</v>
      </c>
      <c r="J26" s="13">
        <f t="shared" si="0"/>
        <v>430887.51407519996</v>
      </c>
      <c r="K26" s="13">
        <f t="shared" si="0"/>
        <v>486902.89090497588</v>
      </c>
      <c r="L26" s="13">
        <f t="shared" si="0"/>
        <v>535593.17999547347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(1+E8)*D27</f>
        <v>5379.0974999999999</v>
      </c>
      <c r="F27" s="2">
        <f>(1+F8)*E27</f>
        <v>6508.7079749999994</v>
      </c>
      <c r="G27" s="2">
        <f t="shared" ref="G27:L27" si="1">(1+G8)*F27</f>
        <v>7680.2754104999985</v>
      </c>
      <c r="H27" s="2">
        <f t="shared" si="1"/>
        <v>8909.1194761799979</v>
      </c>
      <c r="I27" s="2">
        <f t="shared" si="1"/>
        <v>10156.396202845199</v>
      </c>
      <c r="J27" s="2">
        <f t="shared" si="1"/>
        <v>11375.163747186623</v>
      </c>
      <c r="K27" s="2">
        <f t="shared" si="1"/>
        <v>12512.680121905287</v>
      </c>
      <c r="L27" s="2">
        <f t="shared" si="1"/>
        <v>13513.694531657711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2">(1+G9)*F28</f>
        <v>5266.7972280000013</v>
      </c>
      <c r="H28" s="13">
        <f t="shared" si="2"/>
        <v>5477.4691171200011</v>
      </c>
      <c r="I28" s="13">
        <f t="shared" si="2"/>
        <v>5641.7931906336016</v>
      </c>
      <c r="J28" s="13">
        <f t="shared" si="2"/>
        <v>5754.6290544462736</v>
      </c>
      <c r="K28" s="13">
        <f t="shared" si="2"/>
        <v>5869.7216355351993</v>
      </c>
      <c r="L28" s="13">
        <f t="shared" si="2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3">-D26*D7</f>
        <v>-86675.567999999999</v>
      </c>
      <c r="E30" s="13">
        <f t="shared" si="3"/>
        <v>-115472.38499999999</v>
      </c>
      <c r="F30" s="13">
        <f t="shared" si="3"/>
        <v>-148112.57915999999</v>
      </c>
      <c r="G30" s="13">
        <f t="shared" si="3"/>
        <v>-189584.10132479999</v>
      </c>
      <c r="H30" s="13">
        <f t="shared" si="3"/>
        <v>-236980.12665600001</v>
      </c>
      <c r="I30" s="13">
        <f t="shared" si="3"/>
        <v>-277266.74818752002</v>
      </c>
      <c r="J30" s="13">
        <f t="shared" si="3"/>
        <v>-318856.76041564794</v>
      </c>
      <c r="K30" s="13">
        <f t="shared" si="3"/>
        <v>-360308.13926968217</v>
      </c>
      <c r="L30" s="13">
        <f t="shared" si="3"/>
        <v>-396338.95319665037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4">-D26*D10</f>
        <v>-5702.34</v>
      </c>
      <c r="E31" s="16">
        <f t="shared" si="4"/>
        <v>-7313.2510499999999</v>
      </c>
      <c r="F31" s="16">
        <f t="shared" si="4"/>
        <v>-9006.8460299999988</v>
      </c>
      <c r="G31" s="16">
        <f t="shared" si="4"/>
        <v>-10247.7892608</v>
      </c>
      <c r="H31" s="16">
        <f t="shared" si="4"/>
        <v>-12009.12804</v>
      </c>
      <c r="I31" s="16">
        <f t="shared" si="4"/>
        <v>-13113.967819680001</v>
      </c>
      <c r="J31" s="16">
        <f t="shared" si="4"/>
        <v>-12926.625422255998</v>
      </c>
      <c r="K31" s="16">
        <f t="shared" si="4"/>
        <v>-14607.086727149275</v>
      </c>
      <c r="L31" s="16">
        <f t="shared" si="4"/>
        <v>-16067.795399864204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5">D31*D11</f>
        <v>-5132.1060000000007</v>
      </c>
      <c r="E32" s="16">
        <f t="shared" si="5"/>
        <v>-6216.2633925</v>
      </c>
      <c r="F32" s="16">
        <f t="shared" si="5"/>
        <v>-7205.4768239999994</v>
      </c>
      <c r="G32" s="16">
        <f t="shared" si="5"/>
        <v>-7685.8419456000001</v>
      </c>
      <c r="H32" s="16">
        <f t="shared" si="5"/>
        <v>-8406.389627999999</v>
      </c>
      <c r="I32" s="16">
        <f t="shared" si="5"/>
        <v>-9179.777473776001</v>
      </c>
      <c r="J32" s="16">
        <f t="shared" si="5"/>
        <v>-9048.6377955791977</v>
      </c>
      <c r="K32" s="16">
        <f t="shared" si="5"/>
        <v>-10224.960709004492</v>
      </c>
      <c r="L32" s="16">
        <f t="shared" si="5"/>
        <v>-11247.456779904942</v>
      </c>
    </row>
    <row r="33" spans="1:13" x14ac:dyDescent="0.2">
      <c r="L33" s="15"/>
    </row>
    <row r="34" spans="1:13" ht="16" x14ac:dyDescent="0.2">
      <c r="A34" s="2" t="s">
        <v>27</v>
      </c>
      <c r="C34" s="2" t="s">
        <v>21</v>
      </c>
      <c r="D34" s="16">
        <f t="shared" ref="D34:L34" si="6">D26+D30-D27-D28</f>
        <v>18510.381999999991</v>
      </c>
      <c r="E34" s="16">
        <f t="shared" si="6"/>
        <v>28423.849499999993</v>
      </c>
      <c r="F34" s="16">
        <f t="shared" si="6"/>
        <v>40514.849504999998</v>
      </c>
      <c r="G34" s="16">
        <f t="shared" si="6"/>
        <v>53663.557556700005</v>
      </c>
      <c r="H34" s="16">
        <f t="shared" si="6"/>
        <v>68876.699150700006</v>
      </c>
      <c r="I34" s="16">
        <f t="shared" si="6"/>
        <v>81619.857267001178</v>
      </c>
      <c r="J34" s="16">
        <f t="shared" si="6"/>
        <v>94900.960857919126</v>
      </c>
      <c r="K34" s="16">
        <f t="shared" si="6"/>
        <v>108212.34987785322</v>
      </c>
      <c r="L34" s="16">
        <f t="shared" si="6"/>
        <v>119753.4161989195</v>
      </c>
    </row>
    <row r="35" spans="1:13" x14ac:dyDescent="0.2">
      <c r="A35" s="2" t="s">
        <v>28</v>
      </c>
      <c r="C35" s="2" t="s">
        <v>21</v>
      </c>
      <c r="D35" s="17">
        <f t="shared" ref="D35:L35" si="7">D34+D31</f>
        <v>12808.04199999999</v>
      </c>
      <c r="E35" s="17">
        <f t="shared" si="7"/>
        <v>21110.598449999994</v>
      </c>
      <c r="F35" s="17">
        <f t="shared" si="7"/>
        <v>31508.003474999998</v>
      </c>
      <c r="G35" s="17">
        <f t="shared" si="7"/>
        <v>43415.768295900009</v>
      </c>
      <c r="H35" s="17">
        <f t="shared" si="7"/>
        <v>56867.57111070001</v>
      </c>
      <c r="I35" s="17">
        <f t="shared" si="7"/>
        <v>68505.889447321184</v>
      </c>
      <c r="J35" s="17">
        <f t="shared" si="7"/>
        <v>81974.335435663132</v>
      </c>
      <c r="K35" s="17">
        <f t="shared" si="7"/>
        <v>93605.263150703948</v>
      </c>
      <c r="L35" s="17">
        <f t="shared" si="7"/>
        <v>103685.62079905529</v>
      </c>
    </row>
    <row r="36" spans="1:13" x14ac:dyDescent="0.2">
      <c r="A36" s="2" t="s">
        <v>29</v>
      </c>
      <c r="C36" s="2" t="s">
        <v>21</v>
      </c>
      <c r="D36" s="17">
        <f t="shared" ref="D36:L36" si="8">$C$20*D35</f>
        <v>2689.688819999998</v>
      </c>
      <c r="E36" s="17">
        <f t="shared" si="8"/>
        <v>4433.2256744999986</v>
      </c>
      <c r="F36" s="17">
        <f t="shared" si="8"/>
        <v>6616.680729749999</v>
      </c>
      <c r="G36" s="17">
        <f t="shared" si="8"/>
        <v>9117.3113421390008</v>
      </c>
      <c r="H36" s="17">
        <f t="shared" si="8"/>
        <v>11942.189933247002</v>
      </c>
      <c r="I36" s="17">
        <f t="shared" si="8"/>
        <v>14386.236783937447</v>
      </c>
      <c r="J36" s="17">
        <f t="shared" si="8"/>
        <v>17214.610441489258</v>
      </c>
      <c r="K36" s="17">
        <f t="shared" si="8"/>
        <v>19657.10526164783</v>
      </c>
      <c r="L36" s="17">
        <f t="shared" si="8"/>
        <v>21773.980367801611</v>
      </c>
    </row>
    <row r="37" spans="1:13" x14ac:dyDescent="0.2">
      <c r="A37" s="2" t="s">
        <v>30</v>
      </c>
      <c r="C37" s="2" t="s">
        <v>21</v>
      </c>
      <c r="D37" s="17">
        <f t="shared" ref="D37:L37" si="9">D35-D36</f>
        <v>10118.353179999993</v>
      </c>
      <c r="E37" s="17">
        <f t="shared" si="9"/>
        <v>16677.372775499996</v>
      </c>
      <c r="F37" s="17">
        <f t="shared" si="9"/>
        <v>24891.32274525</v>
      </c>
      <c r="G37" s="17">
        <f t="shared" si="9"/>
        <v>34298.456953761008</v>
      </c>
      <c r="H37" s="17">
        <f t="shared" si="9"/>
        <v>44925.381177453004</v>
      </c>
      <c r="I37" s="17">
        <f t="shared" si="9"/>
        <v>54119.652663383735</v>
      </c>
      <c r="J37" s="17">
        <f t="shared" si="9"/>
        <v>64759.72499417387</v>
      </c>
      <c r="K37" s="17">
        <f t="shared" si="9"/>
        <v>73948.157889056121</v>
      </c>
      <c r="L37" s="17">
        <f t="shared" si="9"/>
        <v>81911.640431253676</v>
      </c>
    </row>
    <row r="38" spans="1:13" x14ac:dyDescent="0.2">
      <c r="A38" s="2" t="s">
        <v>31</v>
      </c>
      <c r="C38" s="2" t="s">
        <v>21</v>
      </c>
      <c r="D38" s="17">
        <f t="shared" ref="D38:L38" si="10">D37-D31</f>
        <v>15820.693179999993</v>
      </c>
      <c r="E38" s="17">
        <f t="shared" si="10"/>
        <v>23990.623825499995</v>
      </c>
      <c r="F38" s="17">
        <f t="shared" si="10"/>
        <v>33898.16877525</v>
      </c>
      <c r="G38" s="17">
        <f t="shared" si="10"/>
        <v>44546.246214561004</v>
      </c>
      <c r="H38" s="17">
        <f t="shared" si="10"/>
        <v>56934.509217453</v>
      </c>
      <c r="I38" s="17">
        <f t="shared" si="10"/>
        <v>67233.620483063743</v>
      </c>
      <c r="J38" s="17">
        <f t="shared" si="10"/>
        <v>77686.350416429865</v>
      </c>
      <c r="K38" s="17">
        <f t="shared" si="10"/>
        <v>88555.244616205397</v>
      </c>
      <c r="L38" s="17">
        <f t="shared" si="10"/>
        <v>97979.43583111788</v>
      </c>
    </row>
    <row r="39" spans="1:13" x14ac:dyDescent="0.2">
      <c r="A39" s="2" t="s">
        <v>32</v>
      </c>
      <c r="C39" s="2" t="s">
        <v>21</v>
      </c>
      <c r="D39" s="17">
        <f t="shared" ref="D39:L39" si="11">D38+D32</f>
        <v>10688.587179999991</v>
      </c>
      <c r="E39" s="17">
        <f t="shared" si="11"/>
        <v>17774.360432999994</v>
      </c>
      <c r="F39" s="17">
        <f t="shared" si="11"/>
        <v>26692.691951250003</v>
      </c>
      <c r="G39" s="17">
        <f t="shared" si="11"/>
        <v>36860.404268961007</v>
      </c>
      <c r="H39" s="17">
        <f t="shared" si="11"/>
        <v>48528.119589453003</v>
      </c>
      <c r="I39" s="17">
        <f t="shared" si="11"/>
        <v>58053.843009287739</v>
      </c>
      <c r="J39" s="17">
        <f t="shared" si="11"/>
        <v>68637.712620850667</v>
      </c>
      <c r="K39" s="17">
        <f t="shared" si="11"/>
        <v>78330.283907200908</v>
      </c>
      <c r="L39" s="17">
        <f t="shared" si="11"/>
        <v>86731.97905121294</v>
      </c>
    </row>
    <row r="40" spans="1:13" x14ac:dyDescent="0.2">
      <c r="A40" s="12" t="s">
        <v>19</v>
      </c>
      <c r="C40" s="2" t="s">
        <v>21</v>
      </c>
      <c r="D40" s="17">
        <f t="shared" ref="D40:L40" si="12">D39</f>
        <v>10688.587179999991</v>
      </c>
      <c r="E40" s="17">
        <f t="shared" si="12"/>
        <v>17774.360432999994</v>
      </c>
      <c r="F40" s="17">
        <f t="shared" si="12"/>
        <v>26692.691951250003</v>
      </c>
      <c r="G40" s="17">
        <f t="shared" si="12"/>
        <v>36860.404268961007</v>
      </c>
      <c r="H40" s="17">
        <f t="shared" si="12"/>
        <v>48528.119589453003</v>
      </c>
      <c r="I40" s="17">
        <f t="shared" si="12"/>
        <v>58053.843009287739</v>
      </c>
      <c r="J40" s="17">
        <f t="shared" si="12"/>
        <v>68637.712620850667</v>
      </c>
      <c r="K40" s="17">
        <f t="shared" si="12"/>
        <v>78330.283907200908</v>
      </c>
      <c r="L40" s="17">
        <f t="shared" si="12"/>
        <v>86731.97905121294</v>
      </c>
      <c r="M40" s="17">
        <f>(L40*(1+C19))/(C18-C19)</f>
        <v>992599.31580832589</v>
      </c>
    </row>
    <row r="41" spans="1:13" x14ac:dyDescent="0.2">
      <c r="A41" s="2" t="s">
        <v>33</v>
      </c>
      <c r="C41" s="2" t="s">
        <v>21</v>
      </c>
      <c r="D41" s="17">
        <f t="shared" ref="D41:M41" si="13">(D40)/(1+$C$18)^D24</f>
        <v>9543.3814107142771</v>
      </c>
      <c r="E41" s="17">
        <f t="shared" si="13"/>
        <v>14169.611314572698</v>
      </c>
      <c r="F41" s="17">
        <f t="shared" si="13"/>
        <v>18999.330891867765</v>
      </c>
      <c r="G41" s="17">
        <f t="shared" si="13"/>
        <v>23425.453290235335</v>
      </c>
      <c r="H41" s="17">
        <f t="shared" si="13"/>
        <v>27536.158312579479</v>
      </c>
      <c r="I41" s="17">
        <f t="shared" si="13"/>
        <v>29411.883572447608</v>
      </c>
      <c r="J41" s="17">
        <f t="shared" si="13"/>
        <v>31048.215446560989</v>
      </c>
      <c r="K41" s="17">
        <f t="shared" si="13"/>
        <v>31636.287912980733</v>
      </c>
      <c r="L41" s="17">
        <f t="shared" si="13"/>
        <v>31276.421132359734</v>
      </c>
      <c r="M41" s="17">
        <f t="shared" si="13"/>
        <v>357941.26407033915</v>
      </c>
    </row>
    <row r="42" spans="1:13" x14ac:dyDescent="0.2">
      <c r="A42" s="2" t="s">
        <v>34</v>
      </c>
      <c r="B42" s="17">
        <f>SUM(D41:M41)</f>
        <v>574988.00735465775</v>
      </c>
      <c r="M42" s="18"/>
    </row>
    <row r="44" spans="1:13" x14ac:dyDescent="0.2">
      <c r="A44" s="12" t="s">
        <v>35</v>
      </c>
      <c r="B44" s="17">
        <f>M40</f>
        <v>992599.31580832589</v>
      </c>
    </row>
    <row r="45" spans="1:13" x14ac:dyDescent="0.2">
      <c r="A45" s="12" t="s">
        <v>36</v>
      </c>
      <c r="B45" s="13">
        <f>M40</f>
        <v>992599.31580832589</v>
      </c>
      <c r="D45" s="15"/>
      <c r="E45" s="15"/>
      <c r="F45" s="15"/>
    </row>
    <row r="46" spans="1:13" x14ac:dyDescent="0.2">
      <c r="D46" s="15"/>
      <c r="E46" s="15"/>
      <c r="F46" s="15"/>
    </row>
    <row r="47" spans="1:13" x14ac:dyDescent="0.2">
      <c r="A47" s="12" t="s">
        <v>37</v>
      </c>
      <c r="B47" s="17">
        <f>SUM(D41:M41)</f>
        <v>574988.00735465775</v>
      </c>
    </row>
    <row r="49" spans="1:13" x14ac:dyDescent="0.2">
      <c r="A49" s="12" t="s">
        <v>38</v>
      </c>
      <c r="B49" s="9"/>
      <c r="C49" s="9"/>
    </row>
    <row r="50" spans="1:13" x14ac:dyDescent="0.2">
      <c r="A50" s="2" t="s">
        <v>39</v>
      </c>
      <c r="B50" s="2">
        <v>3099</v>
      </c>
    </row>
    <row r="51" spans="1:13" x14ac:dyDescent="0.2">
      <c r="A51" s="2" t="s">
        <v>40</v>
      </c>
      <c r="B51" s="2">
        <v>22185</v>
      </c>
    </row>
    <row r="52" spans="1:13" x14ac:dyDescent="0.2">
      <c r="A52" s="2" t="s">
        <v>41</v>
      </c>
      <c r="B52" s="2">
        <v>3518</v>
      </c>
    </row>
    <row r="53" spans="1:13" x14ac:dyDescent="0.2">
      <c r="A53" s="2" t="s">
        <v>42</v>
      </c>
      <c r="B53" s="17">
        <f>B47-B50+B51</f>
        <v>594074.00735465775</v>
      </c>
    </row>
    <row r="54" spans="1:13" x14ac:dyDescent="0.2">
      <c r="A54" s="12" t="s">
        <v>38</v>
      </c>
      <c r="B54" s="19">
        <f>B53/B52</f>
        <v>168.86697195982313</v>
      </c>
    </row>
    <row r="56" spans="1:13" x14ac:dyDescent="0.2">
      <c r="A56" s="12"/>
    </row>
    <row r="57" spans="1:13" x14ac:dyDescent="0.2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3"/>
    </row>
    <row r="60" spans="1:13" x14ac:dyDescent="0.2">
      <c r="A60" s="20"/>
      <c r="B60" s="20"/>
      <c r="C60" s="20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A9E5-71B9-8F4A-AA02-1198B2E96F67}">
  <dimension ref="A1:P88"/>
  <sheetViews>
    <sheetView zoomScale="115" zoomScaleNormal="115" workbookViewId="0">
      <selection activeCell="D30" sqref="D30"/>
    </sheetView>
  </sheetViews>
  <sheetFormatPr baseColWidth="10" defaultColWidth="8.83203125" defaultRowHeight="15" x14ac:dyDescent="0.2"/>
  <cols>
    <col min="1" max="1" width="29.6640625" style="2" customWidth="1"/>
    <col min="2" max="13" width="11.5" style="2" customWidth="1"/>
    <col min="14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</v>
      </c>
      <c r="B5" s="4"/>
      <c r="C5" s="4"/>
      <c r="D5" s="5">
        <v>0.3</v>
      </c>
      <c r="E5" s="5">
        <v>0.27</v>
      </c>
      <c r="F5" s="5">
        <v>0.25</v>
      </c>
      <c r="G5" s="5">
        <v>0.2</v>
      </c>
      <c r="H5" s="5">
        <v>0.15</v>
      </c>
      <c r="I5" s="5">
        <v>0.13</v>
      </c>
      <c r="J5" s="5">
        <v>0.1</v>
      </c>
      <c r="K5" s="5">
        <v>0.08</v>
      </c>
      <c r="L5" s="5">
        <v>0.05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</v>
      </c>
      <c r="B7" s="4"/>
      <c r="C7" s="4"/>
      <c r="D7" s="6">
        <v>0.76</v>
      </c>
      <c r="E7" s="6">
        <v>0.75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6">
        <v>0.74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0.14000000000000001</v>
      </c>
      <c r="J8" s="6">
        <v>0.12000000000000001</v>
      </c>
      <c r="K8" s="6">
        <v>0.1</v>
      </c>
      <c r="L8" s="6">
        <v>0.08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(100%+D4)*C15</f>
        <v>101827.5</v>
      </c>
      <c r="E26" s="13">
        <f>(100%+E4)*D26</f>
        <v>122193</v>
      </c>
      <c r="F26" s="13">
        <f>(100%+F4)*E26</f>
        <v>144187.74</v>
      </c>
      <c r="G26" s="13">
        <f t="shared" ref="G26:L26" si="0">(100%+G4)*F26</f>
        <v>165815.90099999998</v>
      </c>
      <c r="H26" s="13">
        <f t="shared" si="0"/>
        <v>184055.65010999999</v>
      </c>
      <c r="I26" s="13">
        <f t="shared" si="0"/>
        <v>198780.10211879999</v>
      </c>
      <c r="J26" s="13">
        <f t="shared" si="0"/>
        <v>208719.10722474</v>
      </c>
      <c r="K26" s="13">
        <f t="shared" si="0"/>
        <v>214980.6804414822</v>
      </c>
      <c r="L26" s="13">
        <f t="shared" si="0"/>
        <v>221430.10085472665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(1+E8)*D27</f>
        <v>5379.0974999999999</v>
      </c>
      <c r="F27" s="2">
        <f>(1+F8)*E27</f>
        <v>6508.7079749999994</v>
      </c>
      <c r="G27" s="2">
        <f t="shared" ref="G27:L27" si="1">(1+G8)*F27</f>
        <v>7680.2754104999985</v>
      </c>
      <c r="H27" s="2">
        <f t="shared" si="1"/>
        <v>8909.1194761799979</v>
      </c>
      <c r="I27" s="2">
        <f t="shared" si="1"/>
        <v>10156.396202845199</v>
      </c>
      <c r="J27" s="2">
        <f t="shared" si="1"/>
        <v>11375.163747186623</v>
      </c>
      <c r="K27" s="2">
        <f t="shared" si="1"/>
        <v>12512.680121905287</v>
      </c>
      <c r="L27" s="2">
        <f t="shared" si="1"/>
        <v>13513.694531657711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2">(1+G9)*F28</f>
        <v>5266.7972280000013</v>
      </c>
      <c r="H28" s="13">
        <f t="shared" si="2"/>
        <v>5477.4691171200011</v>
      </c>
      <c r="I28" s="13">
        <f t="shared" si="2"/>
        <v>5641.7931906336016</v>
      </c>
      <c r="J28" s="13">
        <f t="shared" si="2"/>
        <v>5754.6290544462736</v>
      </c>
      <c r="K28" s="13">
        <f t="shared" si="2"/>
        <v>5869.7216355351993</v>
      </c>
      <c r="L28" s="13">
        <f t="shared" si="2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3">-D26*D7</f>
        <v>-77388.899999999994</v>
      </c>
      <c r="E30" s="13">
        <f t="shared" si="3"/>
        <v>-91644.75</v>
      </c>
      <c r="F30" s="13">
        <f t="shared" si="3"/>
        <v>-106698.9276</v>
      </c>
      <c r="G30" s="13">
        <f t="shared" si="3"/>
        <v>-122703.76673999999</v>
      </c>
      <c r="H30" s="13">
        <f t="shared" si="3"/>
        <v>-136201.18108139999</v>
      </c>
      <c r="I30" s="13">
        <f t="shared" si="3"/>
        <v>-147097.275567912</v>
      </c>
      <c r="J30" s="13">
        <f t="shared" si="3"/>
        <v>-154452.13934630761</v>
      </c>
      <c r="K30" s="13">
        <f t="shared" si="3"/>
        <v>-159085.70352669683</v>
      </c>
      <c r="L30" s="13">
        <f t="shared" si="3"/>
        <v>-163858.27463249772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4">-D26*D10</f>
        <v>-5091.375</v>
      </c>
      <c r="E31" s="16">
        <f t="shared" si="4"/>
        <v>-5804.1675000000005</v>
      </c>
      <c r="F31" s="16">
        <f t="shared" si="4"/>
        <v>-6488.4482999999991</v>
      </c>
      <c r="G31" s="16">
        <f t="shared" si="4"/>
        <v>-6632.6360399999994</v>
      </c>
      <c r="H31" s="16">
        <f t="shared" si="4"/>
        <v>-6902.0868791249995</v>
      </c>
      <c r="I31" s="16">
        <f t="shared" si="4"/>
        <v>-6957.3035741580006</v>
      </c>
      <c r="J31" s="16">
        <f t="shared" si="4"/>
        <v>-6261.5732167422002</v>
      </c>
      <c r="K31" s="16">
        <f t="shared" si="4"/>
        <v>-6449.4204132444656</v>
      </c>
      <c r="L31" s="16">
        <f t="shared" si="4"/>
        <v>-6642.9030256417991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5">D31*D11</f>
        <v>-4582.2375000000002</v>
      </c>
      <c r="E32" s="16">
        <f t="shared" si="5"/>
        <v>-4933.542375</v>
      </c>
      <c r="F32" s="16">
        <f t="shared" si="5"/>
        <v>-5190.75864</v>
      </c>
      <c r="G32" s="16">
        <f t="shared" si="5"/>
        <v>-4974.47703</v>
      </c>
      <c r="H32" s="16">
        <f t="shared" si="5"/>
        <v>-4831.4608153874997</v>
      </c>
      <c r="I32" s="16">
        <f t="shared" si="5"/>
        <v>-4870.1125019106003</v>
      </c>
      <c r="J32" s="16">
        <f t="shared" si="5"/>
        <v>-4383.1012517195395</v>
      </c>
      <c r="K32" s="16">
        <f t="shared" si="5"/>
        <v>-4514.5942892711255</v>
      </c>
      <c r="L32" s="16">
        <f t="shared" si="5"/>
        <v>-4650.0321179492594</v>
      </c>
    </row>
    <row r="33" spans="1:13" x14ac:dyDescent="0.2">
      <c r="L33" s="15"/>
    </row>
    <row r="34" spans="1:13" ht="16" x14ac:dyDescent="0.2">
      <c r="A34" s="2" t="s">
        <v>27</v>
      </c>
      <c r="C34" s="2" t="s">
        <v>21</v>
      </c>
      <c r="D34" s="16">
        <f t="shared" ref="D34:L34" si="6">D26+D30-D27-D28</f>
        <v>15577.750000000005</v>
      </c>
      <c r="E34" s="16">
        <f t="shared" si="6"/>
        <v>20481.304499999998</v>
      </c>
      <c r="F34" s="16">
        <f t="shared" si="6"/>
        <v>25964.107064999997</v>
      </c>
      <c r="G34" s="16">
        <f t="shared" si="6"/>
        <v>30165.06162149999</v>
      </c>
      <c r="H34" s="16">
        <f t="shared" si="6"/>
        <v>33467.880435299994</v>
      </c>
      <c r="I34" s="16">
        <f t="shared" si="6"/>
        <v>35884.637157409183</v>
      </c>
      <c r="J34" s="16">
        <f t="shared" si="6"/>
        <v>37137.175076799489</v>
      </c>
      <c r="K34" s="16">
        <f t="shared" si="6"/>
        <v>37512.57515734488</v>
      </c>
      <c r="L34" s="16">
        <f t="shared" si="6"/>
        <v>38071.015622325322</v>
      </c>
    </row>
    <row r="35" spans="1:13" x14ac:dyDescent="0.2">
      <c r="A35" s="2" t="s">
        <v>28</v>
      </c>
      <c r="C35" s="2" t="s">
        <v>21</v>
      </c>
      <c r="D35" s="17">
        <f t="shared" ref="D35:L35" si="7">D34+D31</f>
        <v>10486.375000000005</v>
      </c>
      <c r="E35" s="17">
        <f t="shared" si="7"/>
        <v>14677.136999999999</v>
      </c>
      <c r="F35" s="17">
        <f t="shared" si="7"/>
        <v>19475.658764999996</v>
      </c>
      <c r="G35" s="17">
        <f t="shared" si="7"/>
        <v>23532.425581499992</v>
      </c>
      <c r="H35" s="17">
        <f t="shared" si="7"/>
        <v>26565.793556174995</v>
      </c>
      <c r="I35" s="17">
        <f t="shared" si="7"/>
        <v>28927.33358325118</v>
      </c>
      <c r="J35" s="17">
        <f t="shared" si="7"/>
        <v>30875.60186005729</v>
      </c>
      <c r="K35" s="17">
        <f t="shared" si="7"/>
        <v>31063.154744100415</v>
      </c>
      <c r="L35" s="17">
        <f t="shared" si="7"/>
        <v>31428.112596683524</v>
      </c>
    </row>
    <row r="36" spans="1:13" x14ac:dyDescent="0.2">
      <c r="A36" s="2" t="s">
        <v>29</v>
      </c>
      <c r="C36" s="2" t="s">
        <v>21</v>
      </c>
      <c r="D36" s="17">
        <f t="shared" ref="D36:L36" si="8">$C$20*D35</f>
        <v>2202.138750000001</v>
      </c>
      <c r="E36" s="17">
        <f t="shared" si="8"/>
        <v>3082.1987699999995</v>
      </c>
      <c r="F36" s="17">
        <f t="shared" si="8"/>
        <v>4089.888340649999</v>
      </c>
      <c r="G36" s="17">
        <f t="shared" si="8"/>
        <v>4941.809372114998</v>
      </c>
      <c r="H36" s="17">
        <f t="shared" si="8"/>
        <v>5578.8166467967485</v>
      </c>
      <c r="I36" s="17">
        <f t="shared" si="8"/>
        <v>6074.7400524827481</v>
      </c>
      <c r="J36" s="17">
        <f t="shared" si="8"/>
        <v>6483.8763906120303</v>
      </c>
      <c r="K36" s="17">
        <f t="shared" si="8"/>
        <v>6523.2624962610871</v>
      </c>
      <c r="L36" s="17">
        <f t="shared" si="8"/>
        <v>6599.9036453035396</v>
      </c>
    </row>
    <row r="37" spans="1:13" x14ac:dyDescent="0.2">
      <c r="A37" s="2" t="s">
        <v>30</v>
      </c>
      <c r="C37" s="2" t="s">
        <v>21</v>
      </c>
      <c r="D37" s="17">
        <f t="shared" ref="D37:L37" si="9">D35-D36</f>
        <v>8284.2362500000054</v>
      </c>
      <c r="E37" s="17">
        <f t="shared" si="9"/>
        <v>11594.93823</v>
      </c>
      <c r="F37" s="17">
        <f t="shared" si="9"/>
        <v>15385.770424349997</v>
      </c>
      <c r="G37" s="17">
        <f t="shared" si="9"/>
        <v>18590.616209384993</v>
      </c>
      <c r="H37" s="17">
        <f t="shared" si="9"/>
        <v>20986.976909378245</v>
      </c>
      <c r="I37" s="17">
        <f t="shared" si="9"/>
        <v>22852.593530768434</v>
      </c>
      <c r="J37" s="17">
        <f t="shared" si="9"/>
        <v>24391.72546944526</v>
      </c>
      <c r="K37" s="17">
        <f t="shared" si="9"/>
        <v>24539.892247839329</v>
      </c>
      <c r="L37" s="17">
        <f t="shared" si="9"/>
        <v>24828.208951379984</v>
      </c>
    </row>
    <row r="38" spans="1:13" x14ac:dyDescent="0.2">
      <c r="A38" s="2" t="s">
        <v>31</v>
      </c>
      <c r="C38" s="2" t="s">
        <v>21</v>
      </c>
      <c r="D38" s="17">
        <f t="shared" ref="D38:L38" si="10">D37-D31</f>
        <v>13375.611250000005</v>
      </c>
      <c r="E38" s="17">
        <f t="shared" si="10"/>
        <v>17399.105729999999</v>
      </c>
      <c r="F38" s="17">
        <f t="shared" si="10"/>
        <v>21874.218724349998</v>
      </c>
      <c r="G38" s="17">
        <f t="shared" si="10"/>
        <v>25223.25224938499</v>
      </c>
      <c r="H38" s="17">
        <f t="shared" si="10"/>
        <v>27889.063788503245</v>
      </c>
      <c r="I38" s="17">
        <f t="shared" si="10"/>
        <v>29809.897104926436</v>
      </c>
      <c r="J38" s="17">
        <f t="shared" si="10"/>
        <v>30653.29868618746</v>
      </c>
      <c r="K38" s="17">
        <f t="shared" si="10"/>
        <v>30989.312661083794</v>
      </c>
      <c r="L38" s="17">
        <f t="shared" si="10"/>
        <v>31471.111977021785</v>
      </c>
    </row>
    <row r="39" spans="1:13" x14ac:dyDescent="0.2">
      <c r="A39" s="2" t="s">
        <v>32</v>
      </c>
      <c r="C39" s="2" t="s">
        <v>21</v>
      </c>
      <c r="D39" s="17">
        <f t="shared" ref="D39:L39" si="11">D38+D32</f>
        <v>8793.3737500000061</v>
      </c>
      <c r="E39" s="17">
        <f t="shared" si="11"/>
        <v>12465.563354999998</v>
      </c>
      <c r="F39" s="17">
        <f t="shared" si="11"/>
        <v>16683.460084349997</v>
      </c>
      <c r="G39" s="17">
        <f t="shared" si="11"/>
        <v>20248.775219384988</v>
      </c>
      <c r="H39" s="17">
        <f t="shared" si="11"/>
        <v>23057.602973115747</v>
      </c>
      <c r="I39" s="17">
        <f t="shared" si="11"/>
        <v>24939.784603015836</v>
      </c>
      <c r="J39" s="17">
        <f t="shared" si="11"/>
        <v>26270.197434467918</v>
      </c>
      <c r="K39" s="17">
        <f t="shared" si="11"/>
        <v>26474.718371812669</v>
      </c>
      <c r="L39" s="17">
        <f t="shared" si="11"/>
        <v>26821.079859072524</v>
      </c>
    </row>
    <row r="40" spans="1:13" x14ac:dyDescent="0.2">
      <c r="A40" s="12" t="s">
        <v>19</v>
      </c>
      <c r="C40" s="2" t="s">
        <v>21</v>
      </c>
      <c r="D40" s="17">
        <f t="shared" ref="D40:L40" si="12">D39</f>
        <v>8793.3737500000061</v>
      </c>
      <c r="E40" s="17">
        <f t="shared" si="12"/>
        <v>12465.563354999998</v>
      </c>
      <c r="F40" s="17">
        <f t="shared" si="12"/>
        <v>16683.460084349997</v>
      </c>
      <c r="G40" s="17">
        <f t="shared" si="12"/>
        <v>20248.775219384988</v>
      </c>
      <c r="H40" s="17">
        <f t="shared" si="12"/>
        <v>23057.602973115747</v>
      </c>
      <c r="I40" s="17">
        <f t="shared" si="12"/>
        <v>24939.784603015836</v>
      </c>
      <c r="J40" s="17">
        <f t="shared" si="12"/>
        <v>26270.197434467918</v>
      </c>
      <c r="K40" s="17">
        <f t="shared" si="12"/>
        <v>26474.718371812669</v>
      </c>
      <c r="L40" s="17">
        <f t="shared" si="12"/>
        <v>26821.079859072524</v>
      </c>
      <c r="M40" s="17">
        <f>(L40*(1+C19))/(C18-C19)</f>
        <v>306952.35838716337</v>
      </c>
    </row>
    <row r="41" spans="1:13" x14ac:dyDescent="0.2">
      <c r="A41" s="2" t="s">
        <v>33</v>
      </c>
      <c r="C41" s="2" t="s">
        <v>21</v>
      </c>
      <c r="D41" s="17">
        <f t="shared" ref="D41:M41" si="13">(D40)/(1+$C$18)^D24</f>
        <v>7851.2265625000045</v>
      </c>
      <c r="E41" s="17">
        <f t="shared" si="13"/>
        <v>9937.470786830354</v>
      </c>
      <c r="F41" s="17">
        <f t="shared" si="13"/>
        <v>11874.95735322379</v>
      </c>
      <c r="G41" s="17">
        <f t="shared" si="13"/>
        <v>12868.462717474911</v>
      </c>
      <c r="H41" s="17">
        <f t="shared" si="13"/>
        <v>13083.503155442893</v>
      </c>
      <c r="I41" s="17">
        <f t="shared" si="13"/>
        <v>12635.271035346792</v>
      </c>
      <c r="J41" s="17">
        <f t="shared" si="13"/>
        <v>11883.303196226834</v>
      </c>
      <c r="K41" s="17">
        <f t="shared" si="13"/>
        <v>10692.694715852409</v>
      </c>
      <c r="L41" s="17">
        <f t="shared" si="13"/>
        <v>9671.9502780130842</v>
      </c>
      <c r="M41" s="17">
        <f t="shared" si="13"/>
        <v>110690.09762614974</v>
      </c>
    </row>
    <row r="42" spans="1:13" x14ac:dyDescent="0.2">
      <c r="A42" s="2" t="s">
        <v>34</v>
      </c>
      <c r="B42" s="17">
        <f>SUM(D41:M41)</f>
        <v>211188.9374270608</v>
      </c>
      <c r="M42" s="18"/>
    </row>
    <row r="44" spans="1:13" x14ac:dyDescent="0.2">
      <c r="A44" s="12" t="s">
        <v>35</v>
      </c>
      <c r="B44" s="17">
        <f>M40</f>
        <v>306952.35838716337</v>
      </c>
    </row>
    <row r="45" spans="1:13" x14ac:dyDescent="0.2">
      <c r="A45" s="12" t="s">
        <v>36</v>
      </c>
      <c r="B45" s="13">
        <f>M40</f>
        <v>306952.35838716337</v>
      </c>
      <c r="D45" s="15"/>
      <c r="E45" s="15"/>
      <c r="F45" s="15"/>
    </row>
    <row r="46" spans="1:13" x14ac:dyDescent="0.2">
      <c r="D46" s="15"/>
      <c r="E46" s="15"/>
      <c r="F46" s="15"/>
    </row>
    <row r="47" spans="1:13" x14ac:dyDescent="0.2">
      <c r="A47" s="12" t="s">
        <v>37</v>
      </c>
      <c r="B47" s="17">
        <f>SUM(D41:M41)</f>
        <v>211188.9374270608</v>
      </c>
    </row>
    <row r="49" spans="1:13" x14ac:dyDescent="0.2">
      <c r="A49" s="12" t="s">
        <v>38</v>
      </c>
      <c r="B49" s="9"/>
      <c r="C49" s="9"/>
    </row>
    <row r="50" spans="1:13" x14ac:dyDescent="0.2">
      <c r="A50" s="2" t="s">
        <v>39</v>
      </c>
      <c r="B50" s="2">
        <v>3099</v>
      </c>
    </row>
    <row r="51" spans="1:13" x14ac:dyDescent="0.2">
      <c r="A51" s="2" t="s">
        <v>40</v>
      </c>
      <c r="B51" s="2">
        <v>22185</v>
      </c>
    </row>
    <row r="52" spans="1:13" x14ac:dyDescent="0.2">
      <c r="A52" s="2" t="s">
        <v>41</v>
      </c>
      <c r="B52" s="2">
        <v>3518</v>
      </c>
    </row>
    <row r="53" spans="1:13" x14ac:dyDescent="0.2">
      <c r="A53" s="2" t="s">
        <v>42</v>
      </c>
      <c r="B53" s="17">
        <f>B47-B50+B51</f>
        <v>230274.9374270608</v>
      </c>
    </row>
    <row r="54" spans="1:13" x14ac:dyDescent="0.2">
      <c r="A54" s="12" t="s">
        <v>38</v>
      </c>
      <c r="B54" s="19">
        <f>B53/B52</f>
        <v>65.456207341404436</v>
      </c>
    </row>
    <row r="56" spans="1:13" x14ac:dyDescent="0.2">
      <c r="A56" s="12"/>
    </row>
    <row r="57" spans="1:13" x14ac:dyDescent="0.2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3"/>
    </row>
    <row r="60" spans="1:13" x14ac:dyDescent="0.2">
      <c r="A60" s="20"/>
      <c r="B60" s="20"/>
      <c r="C60" s="20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9505-A069-3C4C-84F3-3E965BD04D5A}">
  <dimension ref="A1:P88"/>
  <sheetViews>
    <sheetView topLeftCell="A17" zoomScale="115" zoomScaleNormal="115" workbookViewId="0">
      <selection activeCell="I27" sqref="I27"/>
    </sheetView>
  </sheetViews>
  <sheetFormatPr baseColWidth="10" defaultColWidth="8.83203125" defaultRowHeight="15" x14ac:dyDescent="0.2"/>
  <cols>
    <col min="1" max="1" width="29.6640625" style="2" customWidth="1"/>
    <col min="2" max="13" width="11.5" style="2" customWidth="1"/>
    <col min="14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</v>
      </c>
      <c r="B5" s="4"/>
      <c r="C5" s="4"/>
      <c r="D5" s="5">
        <v>0.3</v>
      </c>
      <c r="E5" s="5">
        <v>0.27</v>
      </c>
      <c r="F5" s="5">
        <v>0.25</v>
      </c>
      <c r="G5" s="5">
        <v>0.2</v>
      </c>
      <c r="H5" s="5">
        <v>0.15</v>
      </c>
      <c r="I5" s="5">
        <v>0.13</v>
      </c>
      <c r="J5" s="5">
        <v>0.1</v>
      </c>
      <c r="K5" s="5">
        <v>0.08</v>
      </c>
      <c r="L5" s="5">
        <v>0.05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50</v>
      </c>
      <c r="B7" s="4"/>
      <c r="C7" s="4"/>
      <c r="D7" s="6">
        <v>0.76</v>
      </c>
      <c r="E7" s="6">
        <v>0.78</v>
      </c>
      <c r="F7" s="6">
        <v>0.79</v>
      </c>
      <c r="G7" s="6">
        <v>0.8</v>
      </c>
      <c r="H7" s="6">
        <v>0.82</v>
      </c>
      <c r="I7" s="6">
        <v>0.85</v>
      </c>
      <c r="J7" s="6">
        <v>0.85</v>
      </c>
      <c r="K7" s="6">
        <v>0.85</v>
      </c>
      <c r="L7" s="6">
        <v>0.85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0.14000000000000001</v>
      </c>
      <c r="J8" s="6">
        <v>0.12000000000000001</v>
      </c>
      <c r="K8" s="6">
        <v>0.1</v>
      </c>
      <c r="L8" s="6">
        <v>0.08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(100%+D5)*C15</f>
        <v>105900.6</v>
      </c>
      <c r="E26" s="13">
        <f>(100%+E5)*D26</f>
        <v>134493.76200000002</v>
      </c>
      <c r="F26" s="13">
        <f>(100%+F5)*E26</f>
        <v>168117.20250000001</v>
      </c>
      <c r="G26" s="13">
        <f t="shared" ref="G26:L26" si="0">(100%+G5)*F26</f>
        <v>201740.64300000001</v>
      </c>
      <c r="H26" s="13">
        <f t="shared" si="0"/>
        <v>232001.73944999999</v>
      </c>
      <c r="I26" s="13">
        <f t="shared" si="0"/>
        <v>262161.96557849995</v>
      </c>
      <c r="J26" s="13">
        <f t="shared" si="0"/>
        <v>288378.16213634994</v>
      </c>
      <c r="K26" s="13">
        <f t="shared" si="0"/>
        <v>311448.41510725796</v>
      </c>
      <c r="L26" s="13">
        <f t="shared" si="0"/>
        <v>327020.83586262085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(1+E8)*D27</f>
        <v>5379.0974999999999</v>
      </c>
      <c r="F27" s="2">
        <f>(1+F8)*E27</f>
        <v>6508.7079749999994</v>
      </c>
      <c r="G27" s="2">
        <f t="shared" ref="G27:K27" si="1">(1+G8)*F27</f>
        <v>7680.2754104999985</v>
      </c>
      <c r="H27" s="2">
        <f t="shared" si="1"/>
        <v>8909.1194761799979</v>
      </c>
      <c r="I27" s="2">
        <f t="shared" si="1"/>
        <v>10156.396202845199</v>
      </c>
      <c r="J27" s="2">
        <f t="shared" si="1"/>
        <v>11375.163747186623</v>
      </c>
      <c r="K27" s="2">
        <f t="shared" si="1"/>
        <v>12512.680121905287</v>
      </c>
      <c r="L27" s="2">
        <f>(1+L8)*K27</f>
        <v>13513.694531657711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2">(1+G9)*F28</f>
        <v>5266.7972280000013</v>
      </c>
      <c r="H28" s="13">
        <f t="shared" si="2"/>
        <v>5477.4691171200011</v>
      </c>
      <c r="I28" s="13">
        <f t="shared" si="2"/>
        <v>5641.7931906336016</v>
      </c>
      <c r="J28" s="13">
        <f t="shared" si="2"/>
        <v>5754.6290544462736</v>
      </c>
      <c r="K28" s="13">
        <f t="shared" si="2"/>
        <v>5869.7216355351993</v>
      </c>
      <c r="L28" s="13">
        <f t="shared" si="2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3">-D26*D7</f>
        <v>-80484.456000000006</v>
      </c>
      <c r="E30" s="13">
        <f t="shared" si="3"/>
        <v>-104905.13436000001</v>
      </c>
      <c r="F30" s="13">
        <f t="shared" si="3"/>
        <v>-132812.58997500001</v>
      </c>
      <c r="G30" s="13">
        <f t="shared" si="3"/>
        <v>-161392.51440000001</v>
      </c>
      <c r="H30" s="13">
        <f t="shared" si="3"/>
        <v>-190241.42634899999</v>
      </c>
      <c r="I30" s="13">
        <f t="shared" si="3"/>
        <v>-222837.67074172496</v>
      </c>
      <c r="J30" s="13">
        <f t="shared" si="3"/>
        <v>-245121.43781589746</v>
      </c>
      <c r="K30" s="13">
        <f t="shared" si="3"/>
        <v>-264731.15284116927</v>
      </c>
      <c r="L30" s="13">
        <f t="shared" si="3"/>
        <v>-277967.71048322774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4">-D26*D10</f>
        <v>-5295.0300000000007</v>
      </c>
      <c r="E31" s="16">
        <f t="shared" si="4"/>
        <v>-6388.4536950000011</v>
      </c>
      <c r="F31" s="16">
        <f t="shared" si="4"/>
        <v>-7565.2741125000002</v>
      </c>
      <c r="G31" s="16">
        <f t="shared" si="4"/>
        <v>-8069.6257200000009</v>
      </c>
      <c r="H31" s="16">
        <f t="shared" si="4"/>
        <v>-8700.065229374999</v>
      </c>
      <c r="I31" s="16">
        <f t="shared" si="4"/>
        <v>-9175.6687952474986</v>
      </c>
      <c r="J31" s="16">
        <f t="shared" si="4"/>
        <v>-8651.3448640904971</v>
      </c>
      <c r="K31" s="16">
        <f t="shared" si="4"/>
        <v>-9343.4524532177384</v>
      </c>
      <c r="L31" s="16">
        <f t="shared" si="4"/>
        <v>-9810.6250758786246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5">D31*D11</f>
        <v>-4765.527000000001</v>
      </c>
      <c r="E32" s="16">
        <f t="shared" si="5"/>
        <v>-5430.1856407500009</v>
      </c>
      <c r="F32" s="16">
        <f t="shared" si="5"/>
        <v>-6052.2192900000009</v>
      </c>
      <c r="G32" s="16">
        <f t="shared" si="5"/>
        <v>-6052.2192900000009</v>
      </c>
      <c r="H32" s="16">
        <f t="shared" si="5"/>
        <v>-6090.0456605624986</v>
      </c>
      <c r="I32" s="16">
        <f t="shared" si="5"/>
        <v>-6422.9681566732488</v>
      </c>
      <c r="J32" s="16">
        <f t="shared" si="5"/>
        <v>-6055.941404863348</v>
      </c>
      <c r="K32" s="16">
        <f t="shared" si="5"/>
        <v>-6540.4167172524167</v>
      </c>
      <c r="L32" s="16">
        <f t="shared" si="5"/>
        <v>-6867.4375531150372</v>
      </c>
    </row>
    <row r="33" spans="1:13" x14ac:dyDescent="0.2">
      <c r="L33" s="15"/>
    </row>
    <row r="34" spans="1:13" ht="16" x14ac:dyDescent="0.2">
      <c r="A34" s="2" t="s">
        <v>27</v>
      </c>
      <c r="C34" s="2" t="s">
        <v>21</v>
      </c>
      <c r="D34" s="16">
        <f t="shared" ref="D34:L34" si="6">D26+D30-D27-D28</f>
        <v>16555.294000000002</v>
      </c>
      <c r="E34" s="16">
        <f t="shared" si="6"/>
        <v>19521.682140000004</v>
      </c>
      <c r="F34" s="16">
        <f t="shared" si="6"/>
        <v>23779.907190000005</v>
      </c>
      <c r="G34" s="16">
        <f t="shared" si="6"/>
        <v>27401.055961499995</v>
      </c>
      <c r="H34" s="16">
        <f t="shared" si="6"/>
        <v>27373.724507700004</v>
      </c>
      <c r="I34" s="16">
        <f t="shared" si="6"/>
        <v>23526.10544329619</v>
      </c>
      <c r="J34" s="16">
        <f t="shared" si="6"/>
        <v>26126.931518819591</v>
      </c>
      <c r="K34" s="16">
        <f t="shared" si="6"/>
        <v>28334.860508648198</v>
      </c>
      <c r="L34" s="16">
        <f t="shared" si="6"/>
        <v>29552.314779489498</v>
      </c>
    </row>
    <row r="35" spans="1:13" x14ac:dyDescent="0.2">
      <c r="A35" s="2" t="s">
        <v>28</v>
      </c>
      <c r="C35" s="2" t="s">
        <v>21</v>
      </c>
      <c r="D35" s="17">
        <f t="shared" ref="D35:L35" si="7">D34+D31</f>
        <v>11260.264000000001</v>
      </c>
      <c r="E35" s="17">
        <f t="shared" si="7"/>
        <v>13133.228445000004</v>
      </c>
      <c r="F35" s="17">
        <f t="shared" si="7"/>
        <v>16214.633077500006</v>
      </c>
      <c r="G35" s="17">
        <f t="shared" si="7"/>
        <v>19331.430241499995</v>
      </c>
      <c r="H35" s="17">
        <f t="shared" si="7"/>
        <v>18673.659278325005</v>
      </c>
      <c r="I35" s="17">
        <f t="shared" si="7"/>
        <v>14350.436648048691</v>
      </c>
      <c r="J35" s="17">
        <f t="shared" si="7"/>
        <v>17475.586654729093</v>
      </c>
      <c r="K35" s="17">
        <f t="shared" si="7"/>
        <v>18991.40805543046</v>
      </c>
      <c r="L35" s="17">
        <f t="shared" si="7"/>
        <v>19741.689703610871</v>
      </c>
    </row>
    <row r="36" spans="1:13" x14ac:dyDescent="0.2">
      <c r="A36" s="2" t="s">
        <v>29</v>
      </c>
      <c r="C36" s="2" t="s">
        <v>21</v>
      </c>
      <c r="D36" s="17">
        <f t="shared" ref="D36:L36" si="8">$C$20*D35</f>
        <v>2364.65544</v>
      </c>
      <c r="E36" s="17">
        <f t="shared" si="8"/>
        <v>2757.9779734500007</v>
      </c>
      <c r="F36" s="17">
        <f t="shared" si="8"/>
        <v>3405.072946275001</v>
      </c>
      <c r="G36" s="17">
        <f t="shared" si="8"/>
        <v>4059.600350714999</v>
      </c>
      <c r="H36" s="17">
        <f t="shared" si="8"/>
        <v>3921.4684484482509</v>
      </c>
      <c r="I36" s="17">
        <f t="shared" si="8"/>
        <v>3013.591696090225</v>
      </c>
      <c r="J36" s="17">
        <f t="shared" si="8"/>
        <v>3669.8731974931093</v>
      </c>
      <c r="K36" s="17">
        <f t="shared" si="8"/>
        <v>3988.1956916403965</v>
      </c>
      <c r="L36" s="17">
        <f t="shared" si="8"/>
        <v>4145.7548377582825</v>
      </c>
    </row>
    <row r="37" spans="1:13" x14ac:dyDescent="0.2">
      <c r="A37" s="2" t="s">
        <v>30</v>
      </c>
      <c r="C37" s="2" t="s">
        <v>21</v>
      </c>
      <c r="D37" s="17">
        <f t="shared" ref="D37:L37" si="9">D35-D36</f>
        <v>8895.6085600000006</v>
      </c>
      <c r="E37" s="17">
        <f t="shared" si="9"/>
        <v>10375.250471550004</v>
      </c>
      <c r="F37" s="17">
        <f t="shared" si="9"/>
        <v>12809.560131225006</v>
      </c>
      <c r="G37" s="17">
        <f t="shared" si="9"/>
        <v>15271.829890784997</v>
      </c>
      <c r="H37" s="17">
        <f t="shared" si="9"/>
        <v>14752.190829876754</v>
      </c>
      <c r="I37" s="17">
        <f t="shared" si="9"/>
        <v>11336.844951958466</v>
      </c>
      <c r="J37" s="17">
        <f t="shared" si="9"/>
        <v>13805.713457235985</v>
      </c>
      <c r="K37" s="17">
        <f t="shared" si="9"/>
        <v>15003.212363790064</v>
      </c>
      <c r="L37" s="17">
        <f t="shared" si="9"/>
        <v>15595.934865852589</v>
      </c>
    </row>
    <row r="38" spans="1:13" x14ac:dyDescent="0.2">
      <c r="A38" s="2" t="s">
        <v>31</v>
      </c>
      <c r="C38" s="2" t="s">
        <v>21</v>
      </c>
      <c r="D38" s="17">
        <f t="shared" ref="D38:L38" si="10">D37-D31</f>
        <v>14190.638560000001</v>
      </c>
      <c r="E38" s="17">
        <f t="shared" si="10"/>
        <v>16763.704166550004</v>
      </c>
      <c r="F38" s="17">
        <f t="shared" si="10"/>
        <v>20374.834243725007</v>
      </c>
      <c r="G38" s="17">
        <f t="shared" si="10"/>
        <v>23341.455610784997</v>
      </c>
      <c r="H38" s="17">
        <f t="shared" si="10"/>
        <v>23452.256059251755</v>
      </c>
      <c r="I38" s="17">
        <f t="shared" si="10"/>
        <v>20512.513747205965</v>
      </c>
      <c r="J38" s="17">
        <f t="shared" si="10"/>
        <v>22457.058321326484</v>
      </c>
      <c r="K38" s="17">
        <f t="shared" si="10"/>
        <v>24346.664817007804</v>
      </c>
      <c r="L38" s="17">
        <f t="shared" si="10"/>
        <v>25406.559941731211</v>
      </c>
    </row>
    <row r="39" spans="1:13" x14ac:dyDescent="0.2">
      <c r="A39" s="2" t="s">
        <v>32</v>
      </c>
      <c r="C39" s="2" t="s">
        <v>21</v>
      </c>
      <c r="D39" s="17">
        <f t="shared" ref="D39:L39" si="11">D38+D32</f>
        <v>9425.1115600000012</v>
      </c>
      <c r="E39" s="17">
        <f t="shared" si="11"/>
        <v>11333.518525800002</v>
      </c>
      <c r="F39" s="17">
        <f t="shared" si="11"/>
        <v>14322.614953725006</v>
      </c>
      <c r="G39" s="17">
        <f t="shared" si="11"/>
        <v>17289.236320784996</v>
      </c>
      <c r="H39" s="17">
        <f t="shared" si="11"/>
        <v>17362.210398689254</v>
      </c>
      <c r="I39" s="17">
        <f t="shared" si="11"/>
        <v>14089.545590532716</v>
      </c>
      <c r="J39" s="17">
        <f t="shared" si="11"/>
        <v>16401.116916463136</v>
      </c>
      <c r="K39" s="17">
        <f t="shared" si="11"/>
        <v>17806.248099755387</v>
      </c>
      <c r="L39" s="17">
        <f t="shared" si="11"/>
        <v>18539.122388616175</v>
      </c>
    </row>
    <row r="40" spans="1:13" x14ac:dyDescent="0.2">
      <c r="A40" s="12" t="s">
        <v>19</v>
      </c>
      <c r="C40" s="2" t="s">
        <v>21</v>
      </c>
      <c r="D40" s="17">
        <f t="shared" ref="D40:L40" si="12">D39</f>
        <v>9425.1115600000012</v>
      </c>
      <c r="E40" s="17">
        <f t="shared" si="12"/>
        <v>11333.518525800002</v>
      </c>
      <c r="F40" s="17">
        <f t="shared" si="12"/>
        <v>14322.614953725006</v>
      </c>
      <c r="G40" s="17">
        <f t="shared" si="12"/>
        <v>17289.236320784996</v>
      </c>
      <c r="H40" s="17">
        <f t="shared" si="12"/>
        <v>17362.210398689254</v>
      </c>
      <c r="I40" s="17">
        <f t="shared" si="12"/>
        <v>14089.545590532716</v>
      </c>
      <c r="J40" s="17">
        <f t="shared" si="12"/>
        <v>16401.116916463136</v>
      </c>
      <c r="K40" s="17">
        <f t="shared" si="12"/>
        <v>17806.248099755387</v>
      </c>
      <c r="L40" s="17">
        <f t="shared" si="12"/>
        <v>18539.122388616175</v>
      </c>
      <c r="M40" s="17">
        <f>(L40*(1+C19))/(C18-C19)</f>
        <v>212169.95622527401</v>
      </c>
    </row>
    <row r="41" spans="1:13" x14ac:dyDescent="0.2">
      <c r="A41" s="2" t="s">
        <v>33</v>
      </c>
      <c r="C41" s="2" t="s">
        <v>21</v>
      </c>
      <c r="D41" s="17">
        <f t="shared" ref="D41:M41" si="13">(D40)/(1+$C$18)^D24</f>
        <v>8415.2781785714287</v>
      </c>
      <c r="E41" s="17">
        <f t="shared" si="13"/>
        <v>9035.0115798788265</v>
      </c>
      <c r="F41" s="17">
        <f t="shared" si="13"/>
        <v>10194.554421098448</v>
      </c>
      <c r="G41" s="17">
        <f t="shared" si="13"/>
        <v>10987.622243672295</v>
      </c>
      <c r="H41" s="17">
        <f t="shared" si="13"/>
        <v>9851.7844548530102</v>
      </c>
      <c r="I41" s="17">
        <f t="shared" si="13"/>
        <v>7138.2022794105651</v>
      </c>
      <c r="J41" s="17">
        <f t="shared" si="13"/>
        <v>7419.0323678107488</v>
      </c>
      <c r="K41" s="17">
        <f t="shared" si="13"/>
        <v>7191.6449607307131</v>
      </c>
      <c r="L41" s="17">
        <f t="shared" si="13"/>
        <v>6685.3933876954397</v>
      </c>
      <c r="M41" s="17">
        <f t="shared" si="13"/>
        <v>76510.613214736703</v>
      </c>
    </row>
    <row r="42" spans="1:13" x14ac:dyDescent="0.2">
      <c r="A42" s="2" t="s">
        <v>34</v>
      </c>
      <c r="B42" s="17">
        <f>SUM(D41:M41)</f>
        <v>153429.13708845817</v>
      </c>
      <c r="M42" s="18"/>
    </row>
    <row r="44" spans="1:13" x14ac:dyDescent="0.2">
      <c r="A44" s="12" t="s">
        <v>35</v>
      </c>
      <c r="B44" s="17">
        <f>M40</f>
        <v>212169.95622527401</v>
      </c>
    </row>
    <row r="45" spans="1:13" x14ac:dyDescent="0.2">
      <c r="A45" s="12" t="s">
        <v>36</v>
      </c>
      <c r="B45" s="13">
        <f>M40</f>
        <v>212169.95622527401</v>
      </c>
      <c r="D45" s="15"/>
      <c r="E45" s="15"/>
      <c r="F45" s="15"/>
    </row>
    <row r="46" spans="1:13" x14ac:dyDescent="0.2">
      <c r="D46" s="15"/>
      <c r="E46" s="15"/>
      <c r="F46" s="15"/>
    </row>
    <row r="47" spans="1:13" x14ac:dyDescent="0.2">
      <c r="A47" s="12" t="s">
        <v>37</v>
      </c>
      <c r="B47" s="17">
        <f>SUM(D41:M41)</f>
        <v>153429.13708845817</v>
      </c>
    </row>
    <row r="49" spans="1:13" x14ac:dyDescent="0.2">
      <c r="A49" s="12" t="s">
        <v>38</v>
      </c>
      <c r="B49" s="9"/>
      <c r="C49" s="9"/>
    </row>
    <row r="50" spans="1:13" x14ac:dyDescent="0.2">
      <c r="A50" s="2" t="s">
        <v>39</v>
      </c>
      <c r="B50" s="2">
        <v>3099</v>
      </c>
    </row>
    <row r="51" spans="1:13" x14ac:dyDescent="0.2">
      <c r="A51" s="2" t="s">
        <v>40</v>
      </c>
      <c r="B51" s="2">
        <v>22185</v>
      </c>
    </row>
    <row r="52" spans="1:13" x14ac:dyDescent="0.2">
      <c r="A52" s="2" t="s">
        <v>41</v>
      </c>
      <c r="B52" s="2">
        <v>3518</v>
      </c>
    </row>
    <row r="53" spans="1:13" x14ac:dyDescent="0.2">
      <c r="A53" s="2" t="s">
        <v>42</v>
      </c>
      <c r="B53" s="17">
        <f>B47-B50+B51</f>
        <v>172515.13708845817</v>
      </c>
    </row>
    <row r="54" spans="1:13" x14ac:dyDescent="0.2">
      <c r="A54" s="12" t="s">
        <v>38</v>
      </c>
      <c r="B54" s="19">
        <f>B53/B52</f>
        <v>49.037844539072815</v>
      </c>
    </row>
    <row r="56" spans="1:13" x14ac:dyDescent="0.2">
      <c r="A56" s="12"/>
    </row>
    <row r="57" spans="1:13" x14ac:dyDescent="0.2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3"/>
    </row>
    <row r="60" spans="1:13" x14ac:dyDescent="0.2">
      <c r="A60" s="20"/>
      <c r="B60" s="20"/>
      <c r="C60" s="20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D047-3CF9-C041-B8F3-39CFB23C295B}">
  <dimension ref="A1:P88"/>
  <sheetViews>
    <sheetView topLeftCell="A15" zoomScale="115" zoomScaleNormal="115" workbookViewId="0">
      <selection activeCell="D28" sqref="D28"/>
    </sheetView>
  </sheetViews>
  <sheetFormatPr baseColWidth="10" defaultColWidth="8.83203125" defaultRowHeight="15" x14ac:dyDescent="0.2"/>
  <cols>
    <col min="1" max="1" width="29.6640625" style="2" customWidth="1"/>
    <col min="2" max="13" width="11.5" style="2" customWidth="1"/>
    <col min="14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</v>
      </c>
      <c r="B5" s="4"/>
      <c r="C5" s="4"/>
      <c r="D5" s="5">
        <v>0.3</v>
      </c>
      <c r="E5" s="5">
        <v>0.27</v>
      </c>
      <c r="F5" s="5">
        <v>0.25</v>
      </c>
      <c r="G5" s="5">
        <v>0.2</v>
      </c>
      <c r="H5" s="5">
        <v>0.15</v>
      </c>
      <c r="I5" s="5">
        <v>0.13</v>
      </c>
      <c r="J5" s="5">
        <v>0.1</v>
      </c>
      <c r="K5" s="5">
        <v>0.08</v>
      </c>
      <c r="L5" s="5">
        <v>0.05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</v>
      </c>
      <c r="B7" s="4"/>
      <c r="C7" s="4"/>
      <c r="D7" s="6">
        <v>0.76</v>
      </c>
      <c r="E7" s="6">
        <v>0.75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6">
        <v>0.74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0.16</v>
      </c>
      <c r="J8" s="6">
        <v>0.16</v>
      </c>
      <c r="K8" s="6">
        <v>0.16</v>
      </c>
      <c r="L8" s="6">
        <v>0.16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(100%+D5)*C15</f>
        <v>105900.6</v>
      </c>
      <c r="E26" s="13">
        <f>(100%+E5)*D26</f>
        <v>134493.76200000002</v>
      </c>
      <c r="F26" s="13">
        <f>(100%+F5)*E26</f>
        <v>168117.20250000001</v>
      </c>
      <c r="G26" s="13">
        <f t="shared" ref="G26:L26" si="0">(100%+G5)*F26</f>
        <v>201740.64300000001</v>
      </c>
      <c r="H26" s="13">
        <f t="shared" si="0"/>
        <v>232001.73944999999</v>
      </c>
      <c r="I26" s="13">
        <f t="shared" si="0"/>
        <v>262161.96557849995</v>
      </c>
      <c r="J26" s="13">
        <f t="shared" si="0"/>
        <v>288378.16213634994</v>
      </c>
      <c r="K26" s="13">
        <f t="shared" si="0"/>
        <v>311448.41510725796</v>
      </c>
      <c r="L26" s="13">
        <f t="shared" si="0"/>
        <v>327020.83586262085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(100%+E8)*D27</f>
        <v>5379.0974999999999</v>
      </c>
      <c r="F27" s="2">
        <f>(100%+F8)*E27</f>
        <v>6508.7079749999994</v>
      </c>
      <c r="G27" s="2">
        <f t="shared" ref="G27:L27" si="1">(100%+G8)*F27</f>
        <v>7680.2754104999985</v>
      </c>
      <c r="H27" s="2">
        <f t="shared" si="1"/>
        <v>8909.1194761799979</v>
      </c>
      <c r="I27" s="2">
        <f t="shared" si="1"/>
        <v>10334.578592368796</v>
      </c>
      <c r="J27" s="2">
        <f t="shared" si="1"/>
        <v>11988.111167147803</v>
      </c>
      <c r="K27" s="2">
        <f t="shared" si="1"/>
        <v>13906.20895389145</v>
      </c>
      <c r="L27" s="2">
        <f t="shared" si="1"/>
        <v>16131.20238651408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2">(1+G9)*F28</f>
        <v>5266.7972280000013</v>
      </c>
      <c r="H28" s="13">
        <f t="shared" si="2"/>
        <v>5477.4691171200011</v>
      </c>
      <c r="I28" s="13">
        <f t="shared" si="2"/>
        <v>5641.7931906336016</v>
      </c>
      <c r="J28" s="13">
        <f t="shared" si="2"/>
        <v>5754.6290544462736</v>
      </c>
      <c r="K28" s="13">
        <f t="shared" si="2"/>
        <v>5869.7216355351993</v>
      </c>
      <c r="L28" s="13">
        <f t="shared" si="2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3">-D26*D7</f>
        <v>-80484.456000000006</v>
      </c>
      <c r="E30" s="13">
        <f t="shared" si="3"/>
        <v>-100870.32150000002</v>
      </c>
      <c r="F30" s="13">
        <f t="shared" si="3"/>
        <v>-124406.72985</v>
      </c>
      <c r="G30" s="13">
        <f t="shared" si="3"/>
        <v>-149288.07582</v>
      </c>
      <c r="H30" s="13">
        <f t="shared" si="3"/>
        <v>-171681.287193</v>
      </c>
      <c r="I30" s="13">
        <f t="shared" si="3"/>
        <v>-193999.85452808996</v>
      </c>
      <c r="J30" s="13">
        <f t="shared" si="3"/>
        <v>-213399.83998089895</v>
      </c>
      <c r="K30" s="13">
        <f t="shared" si="3"/>
        <v>-230471.82717937088</v>
      </c>
      <c r="L30" s="13">
        <f t="shared" si="3"/>
        <v>-241995.41853833944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4">-D26*D10</f>
        <v>-5295.0300000000007</v>
      </c>
      <c r="E31" s="16">
        <f t="shared" si="4"/>
        <v>-6388.4536950000011</v>
      </c>
      <c r="F31" s="16">
        <f t="shared" si="4"/>
        <v>-7565.2741125000002</v>
      </c>
      <c r="G31" s="16">
        <f t="shared" si="4"/>
        <v>-8069.6257200000009</v>
      </c>
      <c r="H31" s="16">
        <f t="shared" si="4"/>
        <v>-8700.065229374999</v>
      </c>
      <c r="I31" s="16">
        <f t="shared" si="4"/>
        <v>-9175.6687952474986</v>
      </c>
      <c r="J31" s="16">
        <f t="shared" si="4"/>
        <v>-8651.3448640904971</v>
      </c>
      <c r="K31" s="16">
        <f t="shared" si="4"/>
        <v>-9343.4524532177384</v>
      </c>
      <c r="L31" s="16">
        <f t="shared" si="4"/>
        <v>-9810.6250758786246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5">D31*D11</f>
        <v>-4765.527000000001</v>
      </c>
      <c r="E32" s="16">
        <f t="shared" si="5"/>
        <v>-5430.1856407500009</v>
      </c>
      <c r="F32" s="16">
        <f t="shared" si="5"/>
        <v>-6052.2192900000009</v>
      </c>
      <c r="G32" s="16">
        <f t="shared" si="5"/>
        <v>-6052.2192900000009</v>
      </c>
      <c r="H32" s="16">
        <f t="shared" si="5"/>
        <v>-6090.0456605624986</v>
      </c>
      <c r="I32" s="16">
        <f t="shared" si="5"/>
        <v>-6422.9681566732488</v>
      </c>
      <c r="J32" s="16">
        <f t="shared" si="5"/>
        <v>-6055.941404863348</v>
      </c>
      <c r="K32" s="16">
        <f t="shared" si="5"/>
        <v>-6540.4167172524167</v>
      </c>
      <c r="L32" s="16">
        <f t="shared" si="5"/>
        <v>-6867.4375531150372</v>
      </c>
    </row>
    <row r="33" spans="1:13" x14ac:dyDescent="0.2">
      <c r="L33" s="15"/>
    </row>
    <row r="34" spans="1:13" ht="16" x14ac:dyDescent="0.2">
      <c r="A34" s="2" t="s">
        <v>27</v>
      </c>
      <c r="C34" s="2" t="s">
        <v>21</v>
      </c>
      <c r="D34" s="16">
        <f t="shared" ref="D34:L34" si="6">D26+D30-D27-D28</f>
        <v>16555.294000000002</v>
      </c>
      <c r="E34" s="16">
        <f t="shared" si="6"/>
        <v>23556.494999999995</v>
      </c>
      <c r="F34" s="16">
        <f t="shared" si="6"/>
        <v>32185.767315000012</v>
      </c>
      <c r="G34" s="16">
        <f t="shared" si="6"/>
        <v>39505.494541500011</v>
      </c>
      <c r="H34" s="16">
        <f t="shared" si="6"/>
        <v>45933.863663699995</v>
      </c>
      <c r="I34" s="16">
        <f t="shared" si="6"/>
        <v>52185.739267407596</v>
      </c>
      <c r="J34" s="16">
        <f t="shared" si="6"/>
        <v>57235.58193385692</v>
      </c>
      <c r="K34" s="16">
        <f t="shared" si="6"/>
        <v>61200.657338460427</v>
      </c>
      <c r="L34" s="16">
        <f t="shared" si="6"/>
        <v>62907.098869521433</v>
      </c>
    </row>
    <row r="35" spans="1:13" x14ac:dyDescent="0.2">
      <c r="A35" s="2" t="s">
        <v>28</v>
      </c>
      <c r="C35" s="2" t="s">
        <v>21</v>
      </c>
      <c r="D35" s="17">
        <f t="shared" ref="D35:L35" si="7">D34+D31</f>
        <v>11260.264000000001</v>
      </c>
      <c r="E35" s="17">
        <f t="shared" si="7"/>
        <v>17168.041304999995</v>
      </c>
      <c r="F35" s="17">
        <f t="shared" si="7"/>
        <v>24620.493202500013</v>
      </c>
      <c r="G35" s="17">
        <f t="shared" si="7"/>
        <v>31435.868821500011</v>
      </c>
      <c r="H35" s="17">
        <f t="shared" si="7"/>
        <v>37233.798434324999</v>
      </c>
      <c r="I35" s="17">
        <f t="shared" si="7"/>
        <v>43010.0704721601</v>
      </c>
      <c r="J35" s="17">
        <f t="shared" si="7"/>
        <v>48584.237069766423</v>
      </c>
      <c r="K35" s="17">
        <f t="shared" si="7"/>
        <v>51857.204885242689</v>
      </c>
      <c r="L35" s="17">
        <f t="shared" si="7"/>
        <v>53096.473793642806</v>
      </c>
    </row>
    <row r="36" spans="1:13" x14ac:dyDescent="0.2">
      <c r="A36" s="2" t="s">
        <v>29</v>
      </c>
      <c r="C36" s="2" t="s">
        <v>21</v>
      </c>
      <c r="D36" s="17">
        <f t="shared" ref="D36:L36" si="8">$C$20*D35</f>
        <v>2364.65544</v>
      </c>
      <c r="E36" s="17">
        <f t="shared" si="8"/>
        <v>3605.2886740499989</v>
      </c>
      <c r="F36" s="17">
        <f t="shared" si="8"/>
        <v>5170.3035725250029</v>
      </c>
      <c r="G36" s="17">
        <f t="shared" si="8"/>
        <v>6601.5324525150018</v>
      </c>
      <c r="H36" s="17">
        <f t="shared" si="8"/>
        <v>7819.0976712082493</v>
      </c>
      <c r="I36" s="17">
        <f t="shared" si="8"/>
        <v>9032.11479915362</v>
      </c>
      <c r="J36" s="17">
        <f t="shared" si="8"/>
        <v>10202.689784650949</v>
      </c>
      <c r="K36" s="17">
        <f t="shared" si="8"/>
        <v>10890.013025900964</v>
      </c>
      <c r="L36" s="17">
        <f t="shared" si="8"/>
        <v>11150.259496664989</v>
      </c>
    </row>
    <row r="37" spans="1:13" x14ac:dyDescent="0.2">
      <c r="A37" s="2" t="s">
        <v>30</v>
      </c>
      <c r="C37" s="2" t="s">
        <v>21</v>
      </c>
      <c r="D37" s="17">
        <f t="shared" ref="D37:L37" si="9">D35-D36</f>
        <v>8895.6085600000006</v>
      </c>
      <c r="E37" s="17">
        <f t="shared" si="9"/>
        <v>13562.752630949995</v>
      </c>
      <c r="F37" s="17">
        <f t="shared" si="9"/>
        <v>19450.189629975008</v>
      </c>
      <c r="G37" s="17">
        <f t="shared" si="9"/>
        <v>24834.336368985008</v>
      </c>
      <c r="H37" s="17">
        <f t="shared" si="9"/>
        <v>29414.700763116751</v>
      </c>
      <c r="I37" s="17">
        <f t="shared" si="9"/>
        <v>33977.95567300648</v>
      </c>
      <c r="J37" s="17">
        <f t="shared" si="9"/>
        <v>38381.547285115477</v>
      </c>
      <c r="K37" s="17">
        <f t="shared" si="9"/>
        <v>40967.191859341721</v>
      </c>
      <c r="L37" s="17">
        <f t="shared" si="9"/>
        <v>41946.214296977822</v>
      </c>
    </row>
    <row r="38" spans="1:13" x14ac:dyDescent="0.2">
      <c r="A38" s="2" t="s">
        <v>31</v>
      </c>
      <c r="C38" s="2" t="s">
        <v>21</v>
      </c>
      <c r="D38" s="17">
        <f t="shared" ref="D38:L38" si="10">D37-D31</f>
        <v>14190.638560000001</v>
      </c>
      <c r="E38" s="17">
        <f t="shared" si="10"/>
        <v>19951.206325949996</v>
      </c>
      <c r="F38" s="17">
        <f t="shared" si="10"/>
        <v>27015.463742475007</v>
      </c>
      <c r="G38" s="17">
        <f t="shared" si="10"/>
        <v>32903.962088985012</v>
      </c>
      <c r="H38" s="17">
        <f t="shared" si="10"/>
        <v>38114.765992491753</v>
      </c>
      <c r="I38" s="17">
        <f t="shared" si="10"/>
        <v>43153.624468253976</v>
      </c>
      <c r="J38" s="17">
        <f t="shared" si="10"/>
        <v>47032.892149205974</v>
      </c>
      <c r="K38" s="17">
        <f t="shared" si="10"/>
        <v>50310.64431255946</v>
      </c>
      <c r="L38" s="17">
        <f t="shared" si="10"/>
        <v>51756.839372856448</v>
      </c>
    </row>
    <row r="39" spans="1:13" x14ac:dyDescent="0.2">
      <c r="A39" s="2" t="s">
        <v>32</v>
      </c>
      <c r="C39" s="2" t="s">
        <v>21</v>
      </c>
      <c r="D39" s="17">
        <f t="shared" ref="D39:L39" si="11">D38+D32</f>
        <v>9425.1115600000012</v>
      </c>
      <c r="E39" s="17">
        <f t="shared" si="11"/>
        <v>14521.020685199994</v>
      </c>
      <c r="F39" s="17">
        <f t="shared" si="11"/>
        <v>20963.244452475006</v>
      </c>
      <c r="G39" s="17">
        <f t="shared" si="11"/>
        <v>26851.742798985011</v>
      </c>
      <c r="H39" s="17">
        <f t="shared" si="11"/>
        <v>32024.720331929253</v>
      </c>
      <c r="I39" s="17">
        <f t="shared" si="11"/>
        <v>36730.656311580729</v>
      </c>
      <c r="J39" s="17">
        <f t="shared" si="11"/>
        <v>40976.950744342626</v>
      </c>
      <c r="K39" s="17">
        <f t="shared" si="11"/>
        <v>43770.227595307042</v>
      </c>
      <c r="L39" s="17">
        <f t="shared" si="11"/>
        <v>44889.401819741412</v>
      </c>
    </row>
    <row r="40" spans="1:13" x14ac:dyDescent="0.2">
      <c r="A40" s="12" t="s">
        <v>19</v>
      </c>
      <c r="C40" s="2" t="s">
        <v>21</v>
      </c>
      <c r="D40" s="17">
        <f t="shared" ref="D40:L40" si="12">D39</f>
        <v>9425.1115600000012</v>
      </c>
      <c r="E40" s="17">
        <f t="shared" si="12"/>
        <v>14521.020685199994</v>
      </c>
      <c r="F40" s="17">
        <f t="shared" si="12"/>
        <v>20963.244452475006</v>
      </c>
      <c r="G40" s="17">
        <f t="shared" si="12"/>
        <v>26851.742798985011</v>
      </c>
      <c r="H40" s="17">
        <f t="shared" si="12"/>
        <v>32024.720331929253</v>
      </c>
      <c r="I40" s="17">
        <f t="shared" si="12"/>
        <v>36730.656311580729</v>
      </c>
      <c r="J40" s="17">
        <f t="shared" si="12"/>
        <v>40976.950744342626</v>
      </c>
      <c r="K40" s="17">
        <f t="shared" si="12"/>
        <v>43770.227595307042</v>
      </c>
      <c r="L40" s="17">
        <f t="shared" si="12"/>
        <v>44889.401819741412</v>
      </c>
      <c r="M40" s="17">
        <f>(L40*(1+C19))/(C18-C19)</f>
        <v>513734.26527037396</v>
      </c>
    </row>
    <row r="41" spans="1:13" x14ac:dyDescent="0.2">
      <c r="A41" s="2" t="s">
        <v>33</v>
      </c>
      <c r="C41" s="2" t="s">
        <v>21</v>
      </c>
      <c r="D41" s="17">
        <f t="shared" ref="D41:M41" si="13">(D40)/(1+$C$18)^D24</f>
        <v>8415.2781785714287</v>
      </c>
      <c r="E41" s="17">
        <f t="shared" si="13"/>
        <v>11576.068786033156</v>
      </c>
      <c r="F41" s="17">
        <f t="shared" si="13"/>
        <v>14921.22333135577</v>
      </c>
      <c r="G41" s="17">
        <f t="shared" si="13"/>
        <v>17064.767985431718</v>
      </c>
      <c r="H41" s="17">
        <f t="shared" si="13"/>
        <v>18171.68636321411</v>
      </c>
      <c r="I41" s="17">
        <f t="shared" si="13"/>
        <v>18608.893588714975</v>
      </c>
      <c r="J41" s="17">
        <f t="shared" si="13"/>
        <v>18535.891516101918</v>
      </c>
      <c r="K41" s="17">
        <f t="shared" si="13"/>
        <v>17678.060810584266</v>
      </c>
      <c r="L41" s="17">
        <f t="shared" si="13"/>
        <v>16187.568311625113</v>
      </c>
      <c r="M41" s="17">
        <f t="shared" si="13"/>
        <v>185257.72623304298</v>
      </c>
    </row>
    <row r="42" spans="1:13" x14ac:dyDescent="0.2">
      <c r="A42" s="2" t="s">
        <v>34</v>
      </c>
      <c r="B42" s="17">
        <f>SUM(D41:M41)</f>
        <v>326417.16510467546</v>
      </c>
      <c r="M42" s="18"/>
    </row>
    <row r="44" spans="1:13" x14ac:dyDescent="0.2">
      <c r="A44" s="12" t="s">
        <v>35</v>
      </c>
      <c r="B44" s="17">
        <f>M40</f>
        <v>513734.26527037396</v>
      </c>
    </row>
    <row r="45" spans="1:13" x14ac:dyDescent="0.2">
      <c r="A45" s="12" t="s">
        <v>36</v>
      </c>
      <c r="B45" s="13">
        <f>M40</f>
        <v>513734.26527037396</v>
      </c>
      <c r="D45" s="15"/>
      <c r="E45" s="15"/>
      <c r="F45" s="15"/>
    </row>
    <row r="46" spans="1:13" x14ac:dyDescent="0.2">
      <c r="D46" s="15"/>
      <c r="E46" s="15"/>
      <c r="F46" s="15"/>
    </row>
    <row r="47" spans="1:13" x14ac:dyDescent="0.2">
      <c r="A47" s="12" t="s">
        <v>37</v>
      </c>
      <c r="B47" s="17">
        <f>SUM(D41:M41)</f>
        <v>326417.16510467546</v>
      </c>
    </row>
    <row r="49" spans="1:13" x14ac:dyDescent="0.2">
      <c r="A49" s="12" t="s">
        <v>38</v>
      </c>
      <c r="B49" s="9"/>
      <c r="C49" s="9"/>
    </row>
    <row r="50" spans="1:13" x14ac:dyDescent="0.2">
      <c r="A50" s="2" t="s">
        <v>39</v>
      </c>
      <c r="B50" s="2">
        <v>3099</v>
      </c>
    </row>
    <row r="51" spans="1:13" x14ac:dyDescent="0.2">
      <c r="A51" s="2" t="s">
        <v>40</v>
      </c>
      <c r="B51" s="2">
        <v>22185</v>
      </c>
    </row>
    <row r="52" spans="1:13" x14ac:dyDescent="0.2">
      <c r="A52" s="2" t="s">
        <v>41</v>
      </c>
      <c r="B52" s="2">
        <v>3518</v>
      </c>
    </row>
    <row r="53" spans="1:13" x14ac:dyDescent="0.2">
      <c r="A53" s="2" t="s">
        <v>42</v>
      </c>
      <c r="B53" s="17">
        <f>B47-B50+B51</f>
        <v>345503.16510467546</v>
      </c>
    </row>
    <row r="54" spans="1:13" x14ac:dyDescent="0.2">
      <c r="A54" s="12" t="s">
        <v>38</v>
      </c>
      <c r="B54" s="19">
        <f>B53/B52</f>
        <v>98.210109466934469</v>
      </c>
    </row>
    <row r="56" spans="1:13" x14ac:dyDescent="0.2">
      <c r="A56" s="12"/>
    </row>
    <row r="57" spans="1:13" x14ac:dyDescent="0.2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3"/>
    </row>
    <row r="60" spans="1:13" x14ac:dyDescent="0.2">
      <c r="A60" s="20"/>
      <c r="B60" s="20"/>
      <c r="C60" s="20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0F88-65A9-1145-9570-6089A14B56E6}">
  <dimension ref="A1:P88"/>
  <sheetViews>
    <sheetView zoomScale="115" zoomScaleNormal="115" workbookViewId="0">
      <selection activeCell="M40" sqref="M40"/>
    </sheetView>
  </sheetViews>
  <sheetFormatPr baseColWidth="10" defaultColWidth="8.83203125" defaultRowHeight="15" x14ac:dyDescent="0.2"/>
  <cols>
    <col min="1" max="1" width="29.6640625" style="2" customWidth="1"/>
    <col min="2" max="2" width="12.6640625" style="2" customWidth="1"/>
    <col min="3" max="12" width="11.5" style="2" customWidth="1"/>
    <col min="13" max="13" width="13.1640625" style="2" customWidth="1"/>
    <col min="14" max="14" width="12.6640625" style="2" bestFit="1" customWidth="1"/>
    <col min="15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43</v>
      </c>
      <c r="B5" s="4"/>
      <c r="C5" s="4"/>
      <c r="D5" s="5">
        <v>0.253</v>
      </c>
      <c r="E5" s="5">
        <v>0.253</v>
      </c>
      <c r="F5" s="5">
        <v>0.253</v>
      </c>
      <c r="G5" s="5">
        <v>0.253</v>
      </c>
      <c r="H5" s="5">
        <v>0.253</v>
      </c>
      <c r="I5" s="5">
        <v>0.253</v>
      </c>
      <c r="J5" s="5">
        <v>0.253</v>
      </c>
      <c r="K5" s="5">
        <v>0.253</v>
      </c>
      <c r="L5" s="5">
        <v>0.253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</v>
      </c>
      <c r="B7" s="4"/>
      <c r="C7" s="4"/>
      <c r="D7" s="6">
        <v>0.76</v>
      </c>
      <c r="E7" s="6">
        <v>0.75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6">
        <v>0.74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0.14000000000000001</v>
      </c>
      <c r="J8" s="6">
        <v>0.12000000000000001</v>
      </c>
      <c r="K8" s="6">
        <v>0.1</v>
      </c>
      <c r="L8" s="6">
        <v>0.08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(100%+D5)*C15</f>
        <v>102071.88600000001</v>
      </c>
      <c r="E26" s="13">
        <f>(100%+E5)*D26</f>
        <v>127896.07315800003</v>
      </c>
      <c r="F26" s="13">
        <f>(100%+F5)*E26</f>
        <v>160253.77966697406</v>
      </c>
      <c r="G26" s="13">
        <f t="shared" ref="G26:L26" si="0">(100%+G5)*F26</f>
        <v>200797.98592271851</v>
      </c>
      <c r="H26" s="13">
        <f t="shared" si="0"/>
        <v>251599.8763611663</v>
      </c>
      <c r="I26" s="13">
        <f t="shared" si="0"/>
        <v>315254.64508054138</v>
      </c>
      <c r="J26" s="13">
        <f t="shared" si="0"/>
        <v>395014.07028591837</v>
      </c>
      <c r="K26" s="13">
        <f t="shared" si="0"/>
        <v>494952.63006825576</v>
      </c>
      <c r="L26" s="13">
        <f t="shared" si="0"/>
        <v>620175.64547552448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(1+E8)*D27</f>
        <v>5379.0974999999999</v>
      </c>
      <c r="F27" s="2">
        <f>(1+F8)*E27</f>
        <v>6508.7079749999994</v>
      </c>
      <c r="G27" s="2">
        <f t="shared" ref="G27:L27" si="1">(1+G8)*F27</f>
        <v>7680.2754104999985</v>
      </c>
      <c r="H27" s="2">
        <f t="shared" si="1"/>
        <v>8909.1194761799979</v>
      </c>
      <c r="I27" s="2">
        <f t="shared" si="1"/>
        <v>10156.396202845199</v>
      </c>
      <c r="J27" s="2">
        <f t="shared" si="1"/>
        <v>11375.163747186623</v>
      </c>
      <c r="K27" s="2">
        <f t="shared" si="1"/>
        <v>12512.680121905287</v>
      </c>
      <c r="L27" s="2">
        <f t="shared" si="1"/>
        <v>13513.694531657711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2">(1+G9)*F28</f>
        <v>5266.7972280000013</v>
      </c>
      <c r="H28" s="13">
        <f t="shared" si="2"/>
        <v>5477.4691171200011</v>
      </c>
      <c r="I28" s="13">
        <f t="shared" si="2"/>
        <v>5641.7931906336016</v>
      </c>
      <c r="J28" s="13">
        <f t="shared" si="2"/>
        <v>5754.6290544462736</v>
      </c>
      <c r="K28" s="13">
        <f t="shared" si="2"/>
        <v>5869.7216355351993</v>
      </c>
      <c r="L28" s="13">
        <f t="shared" si="2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3">-D26*D7</f>
        <v>-77574.633360000007</v>
      </c>
      <c r="E30" s="13">
        <f t="shared" si="3"/>
        <v>-95922.054868500025</v>
      </c>
      <c r="F30" s="13">
        <f t="shared" si="3"/>
        <v>-118587.7969535608</v>
      </c>
      <c r="G30" s="13">
        <f t="shared" si="3"/>
        <v>-148590.5095828117</v>
      </c>
      <c r="H30" s="13">
        <f t="shared" si="3"/>
        <v>-186183.90850726306</v>
      </c>
      <c r="I30" s="13">
        <f t="shared" si="3"/>
        <v>-233288.43735960062</v>
      </c>
      <c r="J30" s="13">
        <f t="shared" si="3"/>
        <v>-292310.41201157961</v>
      </c>
      <c r="K30" s="13">
        <f t="shared" si="3"/>
        <v>-366264.94625050924</v>
      </c>
      <c r="L30" s="13">
        <f t="shared" si="3"/>
        <v>-458929.9776518881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4">-D26*D10</f>
        <v>-5103.5943000000007</v>
      </c>
      <c r="E31" s="16">
        <f t="shared" si="4"/>
        <v>-6075.0634750050012</v>
      </c>
      <c r="F31" s="16">
        <f t="shared" si="4"/>
        <v>-7211.4200850138322</v>
      </c>
      <c r="G31" s="16">
        <f t="shared" si="4"/>
        <v>-8031.9194369087409</v>
      </c>
      <c r="H31" s="16">
        <f t="shared" si="4"/>
        <v>-9434.9953635437359</v>
      </c>
      <c r="I31" s="16">
        <f t="shared" si="4"/>
        <v>-11033.91257781895</v>
      </c>
      <c r="J31" s="16">
        <f t="shared" si="4"/>
        <v>-11850.42210857755</v>
      </c>
      <c r="K31" s="16">
        <f t="shared" si="4"/>
        <v>-14848.578902047673</v>
      </c>
      <c r="L31" s="16">
        <f t="shared" si="4"/>
        <v>-18605.269364265732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5">D31*D11</f>
        <v>-4593.2348700000011</v>
      </c>
      <c r="E32" s="16">
        <f t="shared" si="5"/>
        <v>-5163.8039537542509</v>
      </c>
      <c r="F32" s="16">
        <f t="shared" si="5"/>
        <v>-5769.1360680110665</v>
      </c>
      <c r="G32" s="16">
        <f t="shared" si="5"/>
        <v>-6023.9395776815554</v>
      </c>
      <c r="H32" s="16">
        <f t="shared" si="5"/>
        <v>-6604.496754480615</v>
      </c>
      <c r="I32" s="16">
        <f t="shared" si="5"/>
        <v>-7723.7388044732643</v>
      </c>
      <c r="J32" s="16">
        <f t="shared" si="5"/>
        <v>-8295.2954760042849</v>
      </c>
      <c r="K32" s="16">
        <f t="shared" si="5"/>
        <v>-10394.00523143337</v>
      </c>
      <c r="L32" s="16">
        <f t="shared" si="5"/>
        <v>-13023.688554986013</v>
      </c>
    </row>
    <row r="33" spans="1:14" x14ac:dyDescent="0.2">
      <c r="L33" s="15"/>
    </row>
    <row r="34" spans="1:14" ht="16" x14ac:dyDescent="0.2">
      <c r="A34" s="2" t="s">
        <v>27</v>
      </c>
      <c r="C34" s="2" t="s">
        <v>21</v>
      </c>
      <c r="D34" s="16">
        <f t="shared" ref="D34:L34" si="6">D26+D30-D27-D28</f>
        <v>15636.402640000006</v>
      </c>
      <c r="E34" s="16">
        <f t="shared" si="6"/>
        <v>21907.072789500002</v>
      </c>
      <c r="F34" s="16">
        <f t="shared" si="6"/>
        <v>30141.277378413266</v>
      </c>
      <c r="G34" s="16">
        <f t="shared" si="6"/>
        <v>39260.403701406802</v>
      </c>
      <c r="H34" s="16">
        <f t="shared" si="6"/>
        <v>51029.379260603244</v>
      </c>
      <c r="I34" s="16">
        <f t="shared" si="6"/>
        <v>66168.018327461963</v>
      </c>
      <c r="J34" s="16">
        <f t="shared" si="6"/>
        <v>85573.86547270586</v>
      </c>
      <c r="K34" s="16">
        <f t="shared" si="6"/>
        <v>110305.28206030604</v>
      </c>
      <c r="L34" s="16">
        <f t="shared" si="6"/>
        <v>141744.85722373278</v>
      </c>
    </row>
    <row r="35" spans="1:14" x14ac:dyDescent="0.2">
      <c r="A35" s="2" t="s">
        <v>28</v>
      </c>
      <c r="C35" s="2" t="s">
        <v>21</v>
      </c>
      <c r="D35" s="17">
        <f t="shared" ref="D35:L35" si="7">D34+D31</f>
        <v>10532.808340000005</v>
      </c>
      <c r="E35" s="17">
        <f t="shared" si="7"/>
        <v>15832.009314495001</v>
      </c>
      <c r="F35" s="17">
        <f t="shared" si="7"/>
        <v>22929.857293399433</v>
      </c>
      <c r="G35" s="17">
        <f t="shared" si="7"/>
        <v>31228.48426449806</v>
      </c>
      <c r="H35" s="17">
        <f t="shared" si="7"/>
        <v>41594.38389705951</v>
      </c>
      <c r="I35" s="17">
        <f t="shared" si="7"/>
        <v>55134.105749643015</v>
      </c>
      <c r="J35" s="17">
        <f t="shared" si="7"/>
        <v>73723.44336412831</v>
      </c>
      <c r="K35" s="17">
        <f t="shared" si="7"/>
        <v>95456.703158258373</v>
      </c>
      <c r="L35" s="17">
        <f t="shared" si="7"/>
        <v>123139.58785946705</v>
      </c>
    </row>
    <row r="36" spans="1:14" x14ac:dyDescent="0.2">
      <c r="A36" s="2" t="s">
        <v>29</v>
      </c>
      <c r="C36" s="2" t="s">
        <v>21</v>
      </c>
      <c r="D36" s="17">
        <f t="shared" ref="D36:L36" si="8">$C$20*D35</f>
        <v>2211.8897514000009</v>
      </c>
      <c r="E36" s="17">
        <f t="shared" si="8"/>
        <v>3324.7219560439498</v>
      </c>
      <c r="F36" s="17">
        <f t="shared" si="8"/>
        <v>4815.2700316138807</v>
      </c>
      <c r="G36" s="17">
        <f t="shared" si="8"/>
        <v>6557.9816955445922</v>
      </c>
      <c r="H36" s="17">
        <f t="shared" si="8"/>
        <v>8734.8206183824968</v>
      </c>
      <c r="I36" s="17">
        <f t="shared" si="8"/>
        <v>11578.162207425034</v>
      </c>
      <c r="J36" s="17">
        <f t="shared" si="8"/>
        <v>15481.923106466944</v>
      </c>
      <c r="K36" s="17">
        <f t="shared" si="8"/>
        <v>20045.907663234259</v>
      </c>
      <c r="L36" s="17">
        <f t="shared" si="8"/>
        <v>25859.31345048808</v>
      </c>
    </row>
    <row r="37" spans="1:14" x14ac:dyDescent="0.2">
      <c r="A37" s="2" t="s">
        <v>30</v>
      </c>
      <c r="C37" s="2" t="s">
        <v>21</v>
      </c>
      <c r="D37" s="17">
        <f t="shared" ref="D37:L37" si="9">D35-D36</f>
        <v>8320.918588600005</v>
      </c>
      <c r="E37" s="17">
        <f t="shared" si="9"/>
        <v>12507.287358451051</v>
      </c>
      <c r="F37" s="17">
        <f t="shared" si="9"/>
        <v>18114.587261785553</v>
      </c>
      <c r="G37" s="17">
        <f t="shared" si="9"/>
        <v>24670.502568953467</v>
      </c>
      <c r="H37" s="17">
        <f t="shared" si="9"/>
        <v>32859.563278677015</v>
      </c>
      <c r="I37" s="17">
        <f t="shared" si="9"/>
        <v>43555.943542217981</v>
      </c>
      <c r="J37" s="17">
        <f t="shared" si="9"/>
        <v>58241.520257661366</v>
      </c>
      <c r="K37" s="17">
        <f t="shared" si="9"/>
        <v>75410.795495024111</v>
      </c>
      <c r="L37" s="17">
        <f t="shared" si="9"/>
        <v>97280.274408978963</v>
      </c>
    </row>
    <row r="38" spans="1:14" x14ac:dyDescent="0.2">
      <c r="A38" s="2" t="s">
        <v>31</v>
      </c>
      <c r="C38" s="2" t="s">
        <v>21</v>
      </c>
      <c r="D38" s="17">
        <f t="shared" ref="D38:L38" si="10">D37-D31</f>
        <v>13424.512888600006</v>
      </c>
      <c r="E38" s="17">
        <f t="shared" si="10"/>
        <v>18582.350833456054</v>
      </c>
      <c r="F38" s="17">
        <f t="shared" si="10"/>
        <v>25326.007346799386</v>
      </c>
      <c r="G38" s="17">
        <f t="shared" si="10"/>
        <v>32702.422005862209</v>
      </c>
      <c r="H38" s="17">
        <f t="shared" si="10"/>
        <v>42294.558642220749</v>
      </c>
      <c r="I38" s="17">
        <f t="shared" si="10"/>
        <v>54589.856120036929</v>
      </c>
      <c r="J38" s="17">
        <f t="shared" si="10"/>
        <v>70091.942366238916</v>
      </c>
      <c r="K38" s="17">
        <f t="shared" si="10"/>
        <v>90259.374397071777</v>
      </c>
      <c r="L38" s="17">
        <f t="shared" si="10"/>
        <v>115885.54377324469</v>
      </c>
    </row>
    <row r="39" spans="1:14" x14ac:dyDescent="0.2">
      <c r="A39" s="2" t="s">
        <v>32</v>
      </c>
      <c r="C39" s="2" t="s">
        <v>21</v>
      </c>
      <c r="D39" s="17">
        <f t="shared" ref="D39:L39" si="11">D38+D32</f>
        <v>8831.2780186000055</v>
      </c>
      <c r="E39" s="17">
        <f t="shared" si="11"/>
        <v>13418.546879701804</v>
      </c>
      <c r="F39" s="17">
        <f t="shared" si="11"/>
        <v>19556.87127878832</v>
      </c>
      <c r="G39" s="17">
        <f t="shared" si="11"/>
        <v>26678.482428180654</v>
      </c>
      <c r="H39" s="17">
        <f t="shared" si="11"/>
        <v>35690.061887740136</v>
      </c>
      <c r="I39" s="17">
        <f t="shared" si="11"/>
        <v>46866.117315563664</v>
      </c>
      <c r="J39" s="17">
        <f t="shared" si="11"/>
        <v>61796.646890234631</v>
      </c>
      <c r="K39" s="17">
        <f t="shared" si="11"/>
        <v>79865.369165638404</v>
      </c>
      <c r="L39" s="17">
        <f t="shared" si="11"/>
        <v>102861.85521825867</v>
      </c>
    </row>
    <row r="40" spans="1:14" x14ac:dyDescent="0.2">
      <c r="A40" s="12" t="s">
        <v>19</v>
      </c>
      <c r="C40" s="2" t="s">
        <v>21</v>
      </c>
      <c r="D40" s="17">
        <f t="shared" ref="D40:L40" si="12">D39</f>
        <v>8831.2780186000055</v>
      </c>
      <c r="E40" s="17">
        <f t="shared" si="12"/>
        <v>13418.546879701804</v>
      </c>
      <c r="F40" s="17">
        <f t="shared" si="12"/>
        <v>19556.87127878832</v>
      </c>
      <c r="G40" s="17">
        <f t="shared" si="12"/>
        <v>26678.482428180654</v>
      </c>
      <c r="H40" s="17">
        <f t="shared" si="12"/>
        <v>35690.061887740136</v>
      </c>
      <c r="I40" s="17">
        <f t="shared" si="12"/>
        <v>46866.117315563664</v>
      </c>
      <c r="J40" s="17">
        <f t="shared" si="12"/>
        <v>61796.646890234631</v>
      </c>
      <c r="K40" s="17">
        <f t="shared" si="12"/>
        <v>79865.369165638404</v>
      </c>
      <c r="L40" s="17">
        <f t="shared" si="12"/>
        <v>102861.85521825867</v>
      </c>
      <c r="M40" s="17">
        <f>(L40*(1+C19))/(C18-C19)</f>
        <v>1177196.7874978492</v>
      </c>
      <c r="N40" s="17"/>
    </row>
    <row r="41" spans="1:14" x14ac:dyDescent="0.2">
      <c r="A41" s="2" t="s">
        <v>33</v>
      </c>
      <c r="C41" s="2" t="s">
        <v>21</v>
      </c>
      <c r="D41" s="17">
        <f t="shared" ref="D41:M41" si="13">(D40)/(1+$C$18)^D24</f>
        <v>7885.0696594642895</v>
      </c>
      <c r="E41" s="17">
        <f t="shared" si="13"/>
        <v>10697.183418129625</v>
      </c>
      <c r="F41" s="17">
        <f t="shared" si="13"/>
        <v>13920.194685270928</v>
      </c>
      <c r="G41" s="17">
        <f t="shared" si="13"/>
        <v>16954.657887514422</v>
      </c>
      <c r="H41" s="17">
        <f t="shared" si="13"/>
        <v>20251.499597362599</v>
      </c>
      <c r="I41" s="17">
        <f t="shared" si="13"/>
        <v>23743.833560811861</v>
      </c>
      <c r="J41" s="17">
        <f t="shared" si="13"/>
        <v>27953.664731248711</v>
      </c>
      <c r="K41" s="17">
        <f t="shared" si="13"/>
        <v>32256.283102382011</v>
      </c>
      <c r="L41" s="17">
        <f t="shared" si="13"/>
        <v>37093.016179907878</v>
      </c>
      <c r="M41" s="17">
        <f t="shared" si="13"/>
        <v>424508.96294783463</v>
      </c>
    </row>
    <row r="42" spans="1:14" x14ac:dyDescent="0.2">
      <c r="A42" s="2" t="s">
        <v>34</v>
      </c>
      <c r="B42" s="17">
        <f>SUM(D41:M41)</f>
        <v>615264.36576992692</v>
      </c>
      <c r="M42" s="18"/>
    </row>
    <row r="44" spans="1:14" x14ac:dyDescent="0.2">
      <c r="A44" s="12" t="s">
        <v>35</v>
      </c>
      <c r="B44" s="17">
        <f>M40</f>
        <v>1177196.7874978492</v>
      </c>
    </row>
    <row r="45" spans="1:14" x14ac:dyDescent="0.2">
      <c r="A45" s="12" t="s">
        <v>36</v>
      </c>
      <c r="B45" s="13">
        <f>M40</f>
        <v>1177196.7874978492</v>
      </c>
      <c r="D45" s="15"/>
      <c r="E45" s="15"/>
      <c r="F45" s="15"/>
    </row>
    <row r="46" spans="1:14" x14ac:dyDescent="0.2">
      <c r="D46" s="15"/>
      <c r="E46" s="15"/>
      <c r="F46" s="15"/>
    </row>
    <row r="47" spans="1:14" x14ac:dyDescent="0.2">
      <c r="A47" s="12" t="s">
        <v>37</v>
      </c>
      <c r="B47" s="17">
        <f>SUM(D41:M41)</f>
        <v>615264.36576992692</v>
      </c>
    </row>
    <row r="49" spans="1:13" x14ac:dyDescent="0.2">
      <c r="A49" s="12" t="s">
        <v>38</v>
      </c>
      <c r="B49" s="9"/>
      <c r="C49" s="9"/>
    </row>
    <row r="50" spans="1:13" x14ac:dyDescent="0.2">
      <c r="A50" s="2" t="s">
        <v>39</v>
      </c>
      <c r="B50" s="2">
        <v>3099</v>
      </c>
    </row>
    <row r="51" spans="1:13" x14ac:dyDescent="0.2">
      <c r="A51" s="2" t="s">
        <v>40</v>
      </c>
      <c r="B51" s="2">
        <v>22185</v>
      </c>
    </row>
    <row r="52" spans="1:13" x14ac:dyDescent="0.2">
      <c r="A52" s="2" t="s">
        <v>41</v>
      </c>
      <c r="B52" s="2">
        <v>3518</v>
      </c>
    </row>
    <row r="53" spans="1:13" x14ac:dyDescent="0.2">
      <c r="A53" s="2" t="s">
        <v>42</v>
      </c>
      <c r="B53" s="17">
        <f>B47-B50+B51</f>
        <v>634350.36576992692</v>
      </c>
    </row>
    <row r="54" spans="1:13" x14ac:dyDescent="0.2">
      <c r="A54" s="12" t="s">
        <v>38</v>
      </c>
      <c r="B54" s="19">
        <f>B53/B52</f>
        <v>180.31562415290702</v>
      </c>
    </row>
    <row r="56" spans="1:13" x14ac:dyDescent="0.2">
      <c r="A56" s="12" t="s">
        <v>49</v>
      </c>
      <c r="B56" s="9">
        <f>RATE(8,0,-D40,L40)</f>
        <v>0.35918586531296937</v>
      </c>
    </row>
    <row r="57" spans="1:13" x14ac:dyDescent="0.2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3"/>
    </row>
    <row r="60" spans="1:13" x14ac:dyDescent="0.2">
      <c r="A60" s="20"/>
      <c r="B60" s="20"/>
      <c r="C60" s="20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C6A5-D187-E443-9D89-84CCB1359909}">
  <dimension ref="A1:P88"/>
  <sheetViews>
    <sheetView topLeftCell="A17" zoomScale="115" zoomScaleNormal="115" workbookViewId="0">
      <selection activeCell="B48" sqref="B48"/>
    </sheetView>
  </sheetViews>
  <sheetFormatPr baseColWidth="10" defaultColWidth="8.83203125" defaultRowHeight="15" x14ac:dyDescent="0.2"/>
  <cols>
    <col min="1" max="1" width="51" style="2" customWidth="1"/>
    <col min="2" max="13" width="11.5" style="2" customWidth="1"/>
    <col min="14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</v>
      </c>
      <c r="B5" s="4"/>
      <c r="C5" s="4"/>
      <c r="D5" s="5">
        <v>0.3</v>
      </c>
      <c r="E5" s="5">
        <v>0.27</v>
      </c>
      <c r="F5" s="5">
        <v>0.25</v>
      </c>
      <c r="G5" s="5">
        <v>0.2</v>
      </c>
      <c r="H5" s="5">
        <v>0.15</v>
      </c>
      <c r="I5" s="5">
        <v>0.13</v>
      </c>
      <c r="J5" s="5">
        <v>0.1</v>
      </c>
      <c r="K5" s="5">
        <v>0.08</v>
      </c>
      <c r="L5" s="5">
        <v>0.05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</v>
      </c>
      <c r="B7" s="4"/>
      <c r="C7" s="4"/>
      <c r="D7" s="6">
        <v>0.76</v>
      </c>
      <c r="E7" s="6">
        <v>0.75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6">
        <v>0.74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0.14000000000000001</v>
      </c>
      <c r="J8" s="6">
        <v>0.12000000000000001</v>
      </c>
      <c r="K8" s="6">
        <v>0.1</v>
      </c>
      <c r="L8" s="6">
        <v>0.08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(100%+D5)*C15</f>
        <v>105900.6</v>
      </c>
      <c r="E26" s="13">
        <f>(100%+E5)*D26</f>
        <v>134493.76200000002</v>
      </c>
      <c r="F26" s="13">
        <f>(100%+F5)*E26</f>
        <v>168117.20250000001</v>
      </c>
      <c r="G26" s="13">
        <f t="shared" ref="G26:L26" si="0">(100%+G5)*F26</f>
        <v>201740.64300000001</v>
      </c>
      <c r="H26" s="13">
        <f t="shared" si="0"/>
        <v>232001.73944999999</v>
      </c>
      <c r="I26" s="13">
        <f t="shared" si="0"/>
        <v>262161.96557849995</v>
      </c>
      <c r="J26" s="13">
        <f t="shared" si="0"/>
        <v>288378.16213634994</v>
      </c>
      <c r="K26" s="13">
        <f t="shared" si="0"/>
        <v>311448.41510725796</v>
      </c>
      <c r="L26" s="13">
        <f t="shared" si="0"/>
        <v>327020.83586262085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(1+E8)*D27</f>
        <v>5379.0974999999999</v>
      </c>
      <c r="F27" s="2">
        <f>(1+F8)*E27</f>
        <v>6508.7079749999994</v>
      </c>
      <c r="G27" s="2">
        <f t="shared" ref="G27:L27" si="1">(1+G8)*F27</f>
        <v>7680.2754104999985</v>
      </c>
      <c r="H27" s="2">
        <f t="shared" si="1"/>
        <v>8909.1194761799979</v>
      </c>
      <c r="I27" s="2">
        <f t="shared" si="1"/>
        <v>10156.396202845199</v>
      </c>
      <c r="J27" s="2">
        <f t="shared" si="1"/>
        <v>11375.163747186623</v>
      </c>
      <c r="K27" s="2">
        <f t="shared" si="1"/>
        <v>12512.680121905287</v>
      </c>
      <c r="L27" s="2">
        <f t="shared" si="1"/>
        <v>13513.694531657711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2">(1+G9)*F28</f>
        <v>5266.7972280000013</v>
      </c>
      <c r="H28" s="13">
        <f t="shared" si="2"/>
        <v>5477.4691171200011</v>
      </c>
      <c r="I28" s="13">
        <f t="shared" si="2"/>
        <v>5641.7931906336016</v>
      </c>
      <c r="J28" s="13">
        <f t="shared" si="2"/>
        <v>5754.6290544462736</v>
      </c>
      <c r="K28" s="13">
        <f t="shared" si="2"/>
        <v>5869.7216355351993</v>
      </c>
      <c r="L28" s="13">
        <f t="shared" si="2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3">-D26*D7</f>
        <v>-80484.456000000006</v>
      </c>
      <c r="E30" s="13">
        <f t="shared" si="3"/>
        <v>-100870.32150000002</v>
      </c>
      <c r="F30" s="13">
        <f t="shared" si="3"/>
        <v>-124406.72985</v>
      </c>
      <c r="G30" s="13">
        <f t="shared" si="3"/>
        <v>-149288.07582</v>
      </c>
      <c r="H30" s="13">
        <f t="shared" si="3"/>
        <v>-171681.287193</v>
      </c>
      <c r="I30" s="13">
        <f t="shared" si="3"/>
        <v>-193999.85452808996</v>
      </c>
      <c r="J30" s="13">
        <f t="shared" si="3"/>
        <v>-213399.83998089895</v>
      </c>
      <c r="K30" s="13">
        <f t="shared" si="3"/>
        <v>-230471.82717937088</v>
      </c>
      <c r="L30" s="13">
        <f t="shared" si="3"/>
        <v>-241995.41853833944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4">-D26*D10</f>
        <v>-5295.0300000000007</v>
      </c>
      <c r="E31" s="16">
        <f t="shared" si="4"/>
        <v>-6388.4536950000011</v>
      </c>
      <c r="F31" s="16">
        <f t="shared" si="4"/>
        <v>-7565.2741125000002</v>
      </c>
      <c r="G31" s="16">
        <f t="shared" si="4"/>
        <v>-8069.6257200000009</v>
      </c>
      <c r="H31" s="16">
        <f t="shared" si="4"/>
        <v>-8700.065229374999</v>
      </c>
      <c r="I31" s="16">
        <f t="shared" si="4"/>
        <v>-9175.6687952474986</v>
      </c>
      <c r="J31" s="16">
        <f t="shared" si="4"/>
        <v>-8651.3448640904971</v>
      </c>
      <c r="K31" s="16">
        <f t="shared" si="4"/>
        <v>-9343.4524532177384</v>
      </c>
      <c r="L31" s="16">
        <f t="shared" si="4"/>
        <v>-9810.6250758786246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5">D31*D11</f>
        <v>-4765.527000000001</v>
      </c>
      <c r="E32" s="16">
        <f t="shared" si="5"/>
        <v>-5430.1856407500009</v>
      </c>
      <c r="F32" s="16">
        <f t="shared" si="5"/>
        <v>-6052.2192900000009</v>
      </c>
      <c r="G32" s="16">
        <f t="shared" si="5"/>
        <v>-6052.2192900000009</v>
      </c>
      <c r="H32" s="16">
        <f t="shared" si="5"/>
        <v>-6090.0456605624986</v>
      </c>
      <c r="I32" s="16">
        <f t="shared" si="5"/>
        <v>-6422.9681566732488</v>
      </c>
      <c r="J32" s="16">
        <f t="shared" si="5"/>
        <v>-6055.941404863348</v>
      </c>
      <c r="K32" s="16">
        <f t="shared" si="5"/>
        <v>-6540.4167172524167</v>
      </c>
      <c r="L32" s="16">
        <f t="shared" si="5"/>
        <v>-6867.4375531150372</v>
      </c>
    </row>
    <row r="33" spans="1:13" x14ac:dyDescent="0.2">
      <c r="L33" s="15"/>
    </row>
    <row r="34" spans="1:13" ht="16" x14ac:dyDescent="0.2">
      <c r="A34" s="2" t="s">
        <v>27</v>
      </c>
      <c r="C34" s="2" t="s">
        <v>21</v>
      </c>
      <c r="D34" s="16">
        <f t="shared" ref="D34:L34" si="6">D26+D30-D27-D28</f>
        <v>16555.294000000002</v>
      </c>
      <c r="E34" s="16">
        <f t="shared" si="6"/>
        <v>23556.494999999995</v>
      </c>
      <c r="F34" s="16">
        <f t="shared" si="6"/>
        <v>32185.767315000012</v>
      </c>
      <c r="G34" s="16">
        <f t="shared" si="6"/>
        <v>39505.494541500011</v>
      </c>
      <c r="H34" s="16">
        <f t="shared" si="6"/>
        <v>45933.863663699995</v>
      </c>
      <c r="I34" s="16">
        <f t="shared" si="6"/>
        <v>52363.92165693119</v>
      </c>
      <c r="J34" s="16">
        <f t="shared" si="6"/>
        <v>57848.529353818092</v>
      </c>
      <c r="K34" s="16">
        <f t="shared" si="6"/>
        <v>62594.186170446585</v>
      </c>
      <c r="L34" s="16">
        <f t="shared" si="6"/>
        <v>65524.606724377809</v>
      </c>
    </row>
    <row r="35" spans="1:13" x14ac:dyDescent="0.2">
      <c r="A35" s="2" t="s">
        <v>28</v>
      </c>
      <c r="C35" s="2" t="s">
        <v>21</v>
      </c>
      <c r="D35" s="17">
        <f t="shared" ref="D35:L35" si="7">D34+D31</f>
        <v>11260.264000000001</v>
      </c>
      <c r="E35" s="17">
        <f t="shared" si="7"/>
        <v>17168.041304999995</v>
      </c>
      <c r="F35" s="17">
        <f t="shared" si="7"/>
        <v>24620.493202500013</v>
      </c>
      <c r="G35" s="17">
        <f t="shared" si="7"/>
        <v>31435.868821500011</v>
      </c>
      <c r="H35" s="17">
        <f t="shared" si="7"/>
        <v>37233.798434324999</v>
      </c>
      <c r="I35" s="17">
        <f t="shared" si="7"/>
        <v>43188.252861683693</v>
      </c>
      <c r="J35" s="17">
        <f t="shared" si="7"/>
        <v>49197.184489727595</v>
      </c>
      <c r="K35" s="17">
        <f t="shared" si="7"/>
        <v>53250.733717228846</v>
      </c>
      <c r="L35" s="17">
        <f t="shared" si="7"/>
        <v>55713.981648499182</v>
      </c>
    </row>
    <row r="36" spans="1:13" x14ac:dyDescent="0.2">
      <c r="A36" s="2" t="s">
        <v>29</v>
      </c>
      <c r="C36" s="2" t="s">
        <v>21</v>
      </c>
      <c r="D36" s="17">
        <f t="shared" ref="D36:L36" si="8">$C$20*D35</f>
        <v>2364.65544</v>
      </c>
      <c r="E36" s="17">
        <f t="shared" si="8"/>
        <v>3605.2886740499989</v>
      </c>
      <c r="F36" s="17">
        <f t="shared" si="8"/>
        <v>5170.3035725250029</v>
      </c>
      <c r="G36" s="17">
        <f t="shared" si="8"/>
        <v>6601.5324525150018</v>
      </c>
      <c r="H36" s="17">
        <f t="shared" si="8"/>
        <v>7819.0976712082493</v>
      </c>
      <c r="I36" s="17">
        <f t="shared" si="8"/>
        <v>9069.5331009535748</v>
      </c>
      <c r="J36" s="17">
        <f t="shared" si="8"/>
        <v>10331.408742842794</v>
      </c>
      <c r="K36" s="17">
        <f t="shared" si="8"/>
        <v>11182.654080618056</v>
      </c>
      <c r="L36" s="17">
        <f t="shared" si="8"/>
        <v>11699.936146184828</v>
      </c>
    </row>
    <row r="37" spans="1:13" x14ac:dyDescent="0.2">
      <c r="A37" s="2" t="s">
        <v>30</v>
      </c>
      <c r="C37" s="2" t="s">
        <v>21</v>
      </c>
      <c r="D37" s="17">
        <f t="shared" ref="D37:L37" si="9">D35-D36</f>
        <v>8895.6085600000006</v>
      </c>
      <c r="E37" s="17">
        <f t="shared" si="9"/>
        <v>13562.752630949995</v>
      </c>
      <c r="F37" s="17">
        <f t="shared" si="9"/>
        <v>19450.189629975008</v>
      </c>
      <c r="G37" s="17">
        <f t="shared" si="9"/>
        <v>24834.336368985008</v>
      </c>
      <c r="H37" s="17">
        <f t="shared" si="9"/>
        <v>29414.700763116751</v>
      </c>
      <c r="I37" s="17">
        <f t="shared" si="9"/>
        <v>34118.71976073012</v>
      </c>
      <c r="J37" s="17">
        <f t="shared" si="9"/>
        <v>38865.775746884799</v>
      </c>
      <c r="K37" s="17">
        <f t="shared" si="9"/>
        <v>42068.07963661079</v>
      </c>
      <c r="L37" s="17">
        <f t="shared" si="9"/>
        <v>44014.045502314359</v>
      </c>
    </row>
    <row r="38" spans="1:13" x14ac:dyDescent="0.2">
      <c r="A38" s="2" t="s">
        <v>31</v>
      </c>
      <c r="C38" s="2" t="s">
        <v>21</v>
      </c>
      <c r="D38" s="17">
        <f t="shared" ref="D38:L38" si="10">D37-D31</f>
        <v>14190.638560000001</v>
      </c>
      <c r="E38" s="17">
        <f t="shared" si="10"/>
        <v>19951.206325949996</v>
      </c>
      <c r="F38" s="17">
        <f t="shared" si="10"/>
        <v>27015.463742475007</v>
      </c>
      <c r="G38" s="17">
        <f t="shared" si="10"/>
        <v>32903.962088985012</v>
      </c>
      <c r="H38" s="17">
        <f t="shared" si="10"/>
        <v>38114.765992491753</v>
      </c>
      <c r="I38" s="17">
        <f t="shared" si="10"/>
        <v>43294.388555977617</v>
      </c>
      <c r="J38" s="17">
        <f t="shared" si="10"/>
        <v>47517.120610975297</v>
      </c>
      <c r="K38" s="17">
        <f t="shared" si="10"/>
        <v>51411.532089828528</v>
      </c>
      <c r="L38" s="17">
        <f t="shared" si="10"/>
        <v>53824.670578192985</v>
      </c>
    </row>
    <row r="39" spans="1:13" x14ac:dyDescent="0.2">
      <c r="A39" s="2" t="s">
        <v>32</v>
      </c>
      <c r="C39" s="2" t="s">
        <v>21</v>
      </c>
      <c r="D39" s="17">
        <f t="shared" ref="D39:L39" si="11">D38+D32</f>
        <v>9425.1115600000012</v>
      </c>
      <c r="E39" s="17">
        <f t="shared" si="11"/>
        <v>14521.020685199994</v>
      </c>
      <c r="F39" s="17">
        <f t="shared" si="11"/>
        <v>20963.244452475006</v>
      </c>
      <c r="G39" s="17">
        <f t="shared" si="11"/>
        <v>26851.742798985011</v>
      </c>
      <c r="H39" s="17">
        <f t="shared" si="11"/>
        <v>32024.720331929253</v>
      </c>
      <c r="I39" s="17">
        <f t="shared" si="11"/>
        <v>36871.42039930437</v>
      </c>
      <c r="J39" s="17">
        <f t="shared" si="11"/>
        <v>41461.179206111949</v>
      </c>
      <c r="K39" s="17">
        <f t="shared" si="11"/>
        <v>44871.115372576111</v>
      </c>
      <c r="L39" s="17">
        <f t="shared" si="11"/>
        <v>46957.233025077949</v>
      </c>
    </row>
    <row r="40" spans="1:13" x14ac:dyDescent="0.2">
      <c r="A40" s="12" t="s">
        <v>19</v>
      </c>
      <c r="C40" s="2" t="s">
        <v>21</v>
      </c>
      <c r="D40" s="17">
        <f t="shared" ref="D40:L40" si="12">D39</f>
        <v>9425.1115600000012</v>
      </c>
      <c r="E40" s="17">
        <f t="shared" si="12"/>
        <v>14521.020685199994</v>
      </c>
      <c r="F40" s="17">
        <f t="shared" si="12"/>
        <v>20963.244452475006</v>
      </c>
      <c r="G40" s="17">
        <f t="shared" si="12"/>
        <v>26851.742798985011</v>
      </c>
      <c r="H40" s="17">
        <f t="shared" si="12"/>
        <v>32024.720331929253</v>
      </c>
      <c r="I40" s="17">
        <f t="shared" si="12"/>
        <v>36871.42039930437</v>
      </c>
      <c r="J40" s="17">
        <f t="shared" si="12"/>
        <v>41461.179206111949</v>
      </c>
      <c r="K40" s="17">
        <f t="shared" si="12"/>
        <v>44871.115372576111</v>
      </c>
      <c r="L40" s="17">
        <f t="shared" si="12"/>
        <v>46957.233025077949</v>
      </c>
      <c r="M40" s="17">
        <f>(L40*(1+C19))/(C18-C19)</f>
        <v>537399.44462033664</v>
      </c>
    </row>
    <row r="41" spans="1:13" x14ac:dyDescent="0.2">
      <c r="A41" s="2" t="s">
        <v>33</v>
      </c>
      <c r="C41" s="2" t="s">
        <v>21</v>
      </c>
      <c r="D41" s="17">
        <f t="shared" ref="D41:M41" si="13">(D40)/(1+$C$18)^D24</f>
        <v>8415.2781785714287</v>
      </c>
      <c r="E41" s="17">
        <f t="shared" si="13"/>
        <v>11576.068786033156</v>
      </c>
      <c r="F41" s="17">
        <f t="shared" si="13"/>
        <v>14921.22333135577</v>
      </c>
      <c r="G41" s="17">
        <f t="shared" si="13"/>
        <v>17064.767985431718</v>
      </c>
      <c r="H41" s="17">
        <f t="shared" si="13"/>
        <v>18171.68636321411</v>
      </c>
      <c r="I41" s="17">
        <f t="shared" si="13"/>
        <v>18680.209056299907</v>
      </c>
      <c r="J41" s="17">
        <f t="shared" si="13"/>
        <v>18754.931880827062</v>
      </c>
      <c r="K41" s="17">
        <f t="shared" si="13"/>
        <v>18122.690919710731</v>
      </c>
      <c r="L41" s="17">
        <f t="shared" si="13"/>
        <v>16933.248974239214</v>
      </c>
      <c r="M41" s="17">
        <f t="shared" si="13"/>
        <v>193791.62714962658</v>
      </c>
    </row>
    <row r="42" spans="1:13" x14ac:dyDescent="0.2">
      <c r="A42" s="27" t="s">
        <v>44</v>
      </c>
      <c r="B42" s="28">
        <f>SUM(D41:M41)</f>
        <v>336431.73262530967</v>
      </c>
      <c r="C42" s="27"/>
      <c r="D42" s="27"/>
      <c r="E42" s="27"/>
      <c r="F42" s="27"/>
      <c r="M42" s="18"/>
    </row>
    <row r="45" spans="1:13" x14ac:dyDescent="0.2">
      <c r="A45" s="27" t="s">
        <v>46</v>
      </c>
      <c r="B45" s="27"/>
      <c r="C45" s="27"/>
      <c r="D45" s="27"/>
      <c r="E45" s="27"/>
      <c r="F45" s="27"/>
    </row>
    <row r="47" spans="1:13" x14ac:dyDescent="0.2">
      <c r="A47" s="2" t="s">
        <v>45</v>
      </c>
      <c r="B47" s="2">
        <v>5.9</v>
      </c>
    </row>
    <row r="48" spans="1:13" x14ac:dyDescent="0.2">
      <c r="A48" s="2" t="s">
        <v>47</v>
      </c>
      <c r="B48" s="17">
        <f>B47*D34</f>
        <v>97676.234600000011</v>
      </c>
    </row>
    <row r="49" spans="1:13" x14ac:dyDescent="0.2">
      <c r="A49" s="12"/>
      <c r="B49" s="17"/>
    </row>
    <row r="50" spans="1:13" x14ac:dyDescent="0.2">
      <c r="A50" s="12"/>
      <c r="B50" s="13"/>
      <c r="D50" s="15"/>
      <c r="E50" s="15"/>
      <c r="F50" s="15"/>
    </row>
    <row r="51" spans="1:13" x14ac:dyDescent="0.2">
      <c r="D51" s="15"/>
      <c r="E51" s="15"/>
      <c r="F51" s="15"/>
    </row>
    <row r="52" spans="1:13" x14ac:dyDescent="0.2">
      <c r="A52" s="12"/>
      <c r="B52" s="17"/>
    </row>
    <row r="54" spans="1:13" x14ac:dyDescent="0.2">
      <c r="A54" s="12" t="s">
        <v>38</v>
      </c>
      <c r="B54" s="9"/>
      <c r="C54" s="9"/>
    </row>
    <row r="55" spans="1:13" x14ac:dyDescent="0.2">
      <c r="A55" s="2" t="s">
        <v>39</v>
      </c>
      <c r="B55" s="2">
        <v>3099</v>
      </c>
    </row>
    <row r="56" spans="1:13" x14ac:dyDescent="0.2">
      <c r="A56" s="2" t="s">
        <v>40</v>
      </c>
      <c r="B56" s="2">
        <v>22185</v>
      </c>
    </row>
    <row r="57" spans="1:13" x14ac:dyDescent="0.2">
      <c r="A57" s="2" t="s">
        <v>41</v>
      </c>
      <c r="B57" s="2">
        <v>3518</v>
      </c>
    </row>
    <row r="58" spans="1:13" x14ac:dyDescent="0.2">
      <c r="A58" s="2" t="s">
        <v>42</v>
      </c>
      <c r="B58" s="17">
        <f>B48-B55+B56</f>
        <v>116762.23460000001</v>
      </c>
    </row>
    <row r="59" spans="1:13" x14ac:dyDescent="0.2">
      <c r="A59" s="12" t="s">
        <v>38</v>
      </c>
      <c r="B59" s="19">
        <f>B58/B57</f>
        <v>33.189947299602046</v>
      </c>
    </row>
    <row r="60" spans="1:13" x14ac:dyDescent="0.2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9614-6CA3-5540-9577-01C0F3C10CFE}">
  <dimension ref="A1:P88"/>
  <sheetViews>
    <sheetView tabSelected="1" topLeftCell="A24" zoomScale="115" zoomScaleNormal="115" workbookViewId="0">
      <selection activeCell="D29" sqref="D29"/>
    </sheetView>
  </sheetViews>
  <sheetFormatPr baseColWidth="10" defaultColWidth="8.83203125" defaultRowHeight="15" x14ac:dyDescent="0.2"/>
  <cols>
    <col min="1" max="1" width="51" style="2" customWidth="1"/>
    <col min="2" max="13" width="11.5" style="2" customWidth="1"/>
    <col min="14" max="16384" width="8.83203125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4"/>
      <c r="C2" s="4"/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</row>
    <row r="3" spans="1:12" x14ac:dyDescent="0.2">
      <c r="A3" s="4" t="s">
        <v>2</v>
      </c>
      <c r="B3" s="4"/>
      <c r="C3" s="4"/>
      <c r="D3" s="5">
        <v>0.4</v>
      </c>
      <c r="E3" s="5">
        <v>0.35</v>
      </c>
      <c r="F3" s="5">
        <v>0.3</v>
      </c>
      <c r="G3" s="5">
        <v>0.28000000000000003</v>
      </c>
      <c r="H3" s="5">
        <v>0.25</v>
      </c>
      <c r="I3" s="5">
        <v>0.17</v>
      </c>
      <c r="J3" s="5">
        <v>0.15</v>
      </c>
      <c r="K3" s="5">
        <v>0.13</v>
      </c>
      <c r="L3" s="5">
        <v>0.1</v>
      </c>
    </row>
    <row r="4" spans="1:12" x14ac:dyDescent="0.2">
      <c r="A4" s="4" t="s">
        <v>3</v>
      </c>
      <c r="B4" s="4"/>
      <c r="C4" s="4"/>
      <c r="D4" s="5">
        <v>0.25</v>
      </c>
      <c r="E4" s="5">
        <v>0.2</v>
      </c>
      <c r="F4" s="5">
        <v>0.18</v>
      </c>
      <c r="G4" s="5">
        <v>0.15</v>
      </c>
      <c r="H4" s="5">
        <v>0.11</v>
      </c>
      <c r="I4" s="5">
        <v>0.08</v>
      </c>
      <c r="J4" s="5">
        <v>0.05</v>
      </c>
      <c r="K4" s="5">
        <v>0.03</v>
      </c>
      <c r="L4" s="5">
        <v>0.03</v>
      </c>
    </row>
    <row r="5" spans="1:12" x14ac:dyDescent="0.2">
      <c r="A5" s="1" t="s">
        <v>4</v>
      </c>
      <c r="B5" s="4"/>
      <c r="C5" s="4"/>
      <c r="D5" s="5">
        <v>0.3</v>
      </c>
      <c r="E5" s="5">
        <v>0.27</v>
      </c>
      <c r="F5" s="5">
        <v>0.25</v>
      </c>
      <c r="G5" s="5">
        <v>0.2</v>
      </c>
      <c r="H5" s="5">
        <v>0.15</v>
      </c>
      <c r="I5" s="5">
        <v>0.13</v>
      </c>
      <c r="J5" s="5">
        <v>0.1</v>
      </c>
      <c r="K5" s="5">
        <v>0.08</v>
      </c>
      <c r="L5" s="5">
        <v>0.05</v>
      </c>
    </row>
    <row r="6" spans="1:12" x14ac:dyDescent="0.2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4" t="s">
        <v>5</v>
      </c>
      <c r="B7" s="4"/>
      <c r="C7" s="4"/>
      <c r="D7" s="6">
        <v>0.76</v>
      </c>
      <c r="E7" s="6">
        <v>0.75</v>
      </c>
      <c r="F7" s="6">
        <v>0.74</v>
      </c>
      <c r="G7" s="6">
        <v>0.74</v>
      </c>
      <c r="H7" s="6">
        <v>0.74</v>
      </c>
      <c r="I7" s="6">
        <v>0.74</v>
      </c>
      <c r="J7" s="6">
        <v>0.74</v>
      </c>
      <c r="K7" s="6">
        <v>0.74</v>
      </c>
      <c r="L7" s="6">
        <v>0.74</v>
      </c>
    </row>
    <row r="8" spans="1:12" x14ac:dyDescent="0.2">
      <c r="A8" s="4" t="s">
        <v>6</v>
      </c>
      <c r="B8" s="4"/>
      <c r="C8" s="4"/>
      <c r="D8" s="6">
        <v>0.47</v>
      </c>
      <c r="E8" s="6">
        <v>0.19</v>
      </c>
      <c r="F8" s="6">
        <v>0.21</v>
      </c>
      <c r="G8" s="6">
        <v>0.18</v>
      </c>
      <c r="H8" s="6">
        <v>0.16</v>
      </c>
      <c r="I8" s="6">
        <v>0.14000000000000001</v>
      </c>
      <c r="J8" s="6">
        <v>0.12000000000000001</v>
      </c>
      <c r="K8" s="6">
        <v>0.1</v>
      </c>
      <c r="L8" s="6">
        <v>0.08</v>
      </c>
    </row>
    <row r="9" spans="1:12" x14ac:dyDescent="0.2">
      <c r="A9" s="4" t="s">
        <v>7</v>
      </c>
      <c r="B9" s="4"/>
      <c r="C9" s="4"/>
      <c r="D9" s="6">
        <v>0.1</v>
      </c>
      <c r="E9" s="6">
        <v>0.08</v>
      </c>
      <c r="F9" s="6">
        <v>7.0000000000000007E-2</v>
      </c>
      <c r="G9" s="6">
        <v>0.05</v>
      </c>
      <c r="H9" s="6">
        <v>0.04</v>
      </c>
      <c r="I9" s="6">
        <v>0.03</v>
      </c>
      <c r="J9" s="6">
        <v>0.02</v>
      </c>
      <c r="K9" s="6">
        <v>0.02</v>
      </c>
      <c r="L9" s="6">
        <v>0.02</v>
      </c>
    </row>
    <row r="10" spans="1:12" ht="16" x14ac:dyDescent="0.2">
      <c r="A10" s="4" t="s">
        <v>8</v>
      </c>
      <c r="B10" s="4"/>
      <c r="C10" s="4"/>
      <c r="D10" s="7">
        <v>0.05</v>
      </c>
      <c r="E10" s="7">
        <v>4.7500000000000001E-2</v>
      </c>
      <c r="F10" s="7">
        <v>4.4999999999999998E-2</v>
      </c>
      <c r="G10" s="7">
        <v>0.04</v>
      </c>
      <c r="H10" s="7">
        <v>3.7499999999999999E-2</v>
      </c>
      <c r="I10" s="7">
        <v>3.5000000000000003E-2</v>
      </c>
      <c r="J10" s="7">
        <v>0.03</v>
      </c>
      <c r="K10" s="7">
        <v>0.03</v>
      </c>
      <c r="L10" s="7">
        <v>0.03</v>
      </c>
    </row>
    <row r="11" spans="1:12" ht="16" x14ac:dyDescent="0.2">
      <c r="A11" s="4" t="s">
        <v>9</v>
      </c>
      <c r="B11" s="4"/>
      <c r="C11" s="4"/>
      <c r="D11" s="7">
        <v>0.9</v>
      </c>
      <c r="E11" s="7">
        <v>0.85</v>
      </c>
      <c r="F11" s="7">
        <v>0.8</v>
      </c>
      <c r="G11" s="7">
        <v>0.75</v>
      </c>
      <c r="H11" s="7">
        <v>0.7</v>
      </c>
      <c r="I11" s="7">
        <v>0.7</v>
      </c>
      <c r="J11" s="7">
        <v>0.7</v>
      </c>
      <c r="K11" s="7">
        <v>0.7</v>
      </c>
      <c r="L11" s="7">
        <v>0.7</v>
      </c>
    </row>
    <row r="12" spans="1:12" ht="16" x14ac:dyDescent="0.2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4" t="s">
        <v>10</v>
      </c>
      <c r="B13" s="4"/>
      <c r="C13" s="4"/>
      <c r="D13" s="6">
        <v>0.76</v>
      </c>
      <c r="E13" s="6">
        <v>0.78</v>
      </c>
      <c r="F13" s="6">
        <v>0.79</v>
      </c>
      <c r="G13" s="6">
        <v>0.8</v>
      </c>
      <c r="H13" s="6">
        <v>0.82</v>
      </c>
      <c r="I13" s="6">
        <v>0.85</v>
      </c>
      <c r="J13" s="6">
        <v>0.85</v>
      </c>
      <c r="K13" s="6">
        <v>0.85</v>
      </c>
      <c r="L13" s="6">
        <v>0.85</v>
      </c>
    </row>
    <row r="14" spans="1:12" x14ac:dyDescent="0.2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 t="s">
        <v>11</v>
      </c>
      <c r="B15" s="4"/>
      <c r="C15" s="4">
        <v>81462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 t="s">
        <v>12</v>
      </c>
      <c r="B16" s="4"/>
      <c r="C16" s="4">
        <v>3075</v>
      </c>
      <c r="D16" s="4"/>
      <c r="E16" s="4"/>
      <c r="F16" s="4"/>
      <c r="G16" s="4"/>
      <c r="H16" s="4"/>
      <c r="I16" s="4"/>
      <c r="J16" s="4"/>
      <c r="K16" s="4"/>
      <c r="L16" s="4"/>
    </row>
    <row r="17" spans="1:16" x14ac:dyDescent="0.2">
      <c r="A17" s="4" t="s">
        <v>13</v>
      </c>
      <c r="B17" s="4"/>
      <c r="C17" s="4">
        <v>3946</v>
      </c>
      <c r="D17" s="4"/>
      <c r="E17" s="4"/>
      <c r="F17" s="4"/>
      <c r="G17" s="4"/>
      <c r="H17" s="4"/>
      <c r="I17" s="4"/>
      <c r="J17" s="4"/>
      <c r="K17" s="4"/>
      <c r="L17" s="4"/>
    </row>
    <row r="18" spans="1:16" x14ac:dyDescent="0.2">
      <c r="A18" s="4" t="s">
        <v>14</v>
      </c>
      <c r="B18" s="4"/>
      <c r="C18" s="5">
        <v>0.12</v>
      </c>
      <c r="D18" s="4"/>
      <c r="E18" s="4"/>
      <c r="F18" s="4"/>
      <c r="G18" s="4"/>
      <c r="H18" s="4"/>
      <c r="I18" s="4"/>
      <c r="J18" s="4"/>
      <c r="K18" s="4"/>
      <c r="L18" s="4"/>
    </row>
    <row r="19" spans="1:16" x14ac:dyDescent="0.2">
      <c r="A19" s="4" t="s">
        <v>15</v>
      </c>
      <c r="B19" s="4"/>
      <c r="C19" s="5">
        <v>0.03</v>
      </c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">
      <c r="A20" s="4" t="s">
        <v>16</v>
      </c>
      <c r="C20" s="9">
        <v>0.21</v>
      </c>
    </row>
    <row r="21" spans="1:16" x14ac:dyDescent="0.2">
      <c r="A21" s="4"/>
    </row>
    <row r="22" spans="1:16" x14ac:dyDescent="0.2">
      <c r="A22" s="2" t="s">
        <v>17</v>
      </c>
      <c r="D22" s="10"/>
    </row>
    <row r="23" spans="1:16" x14ac:dyDescent="0.2">
      <c r="C23" s="11">
        <v>2022</v>
      </c>
      <c r="D23" s="11">
        <v>2023</v>
      </c>
      <c r="E23" s="11">
        <v>2024</v>
      </c>
      <c r="F23" s="11">
        <v>2025</v>
      </c>
      <c r="G23" s="11">
        <v>2026</v>
      </c>
      <c r="H23" s="11">
        <v>2027</v>
      </c>
      <c r="I23" s="11">
        <v>2028</v>
      </c>
      <c r="J23" s="11">
        <v>2029</v>
      </c>
      <c r="K23" s="11">
        <v>2030</v>
      </c>
      <c r="L23" s="11">
        <v>2031</v>
      </c>
      <c r="M23" s="11" t="s">
        <v>18</v>
      </c>
    </row>
    <row r="24" spans="1:16" x14ac:dyDescent="0.2"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9</v>
      </c>
    </row>
    <row r="25" spans="1:16" x14ac:dyDescent="0.2">
      <c r="A25" s="12" t="s">
        <v>19</v>
      </c>
      <c r="M25" s="13"/>
      <c r="N25" s="9"/>
      <c r="O25" s="9"/>
      <c r="P25" s="9"/>
    </row>
    <row r="26" spans="1:16" x14ac:dyDescent="0.2">
      <c r="A26" s="2" t="s">
        <v>20</v>
      </c>
      <c r="C26" s="2" t="s">
        <v>21</v>
      </c>
      <c r="D26" s="13">
        <f>(100%+D5)*C15</f>
        <v>105900.6</v>
      </c>
      <c r="E26" s="13">
        <f>(100%+E5)*D26</f>
        <v>134493.76200000002</v>
      </c>
      <c r="F26" s="13">
        <f>(100%+F5)*E26</f>
        <v>168117.20250000001</v>
      </c>
      <c r="G26" s="13">
        <f t="shared" ref="G26:L26" si="0">(100%+G5)*F26</f>
        <v>201740.64300000001</v>
      </c>
      <c r="H26" s="13">
        <f t="shared" si="0"/>
        <v>232001.73944999999</v>
      </c>
      <c r="I26" s="13">
        <f t="shared" si="0"/>
        <v>262161.96557849995</v>
      </c>
      <c r="J26" s="13">
        <f t="shared" si="0"/>
        <v>288378.16213634994</v>
      </c>
      <c r="K26" s="13">
        <f t="shared" si="0"/>
        <v>311448.41510725796</v>
      </c>
      <c r="L26" s="13">
        <f t="shared" si="0"/>
        <v>327020.83586262085</v>
      </c>
      <c r="M26" s="13"/>
      <c r="N26" s="9"/>
      <c r="O26" s="9"/>
      <c r="P26" s="9"/>
    </row>
    <row r="27" spans="1:16" x14ac:dyDescent="0.2">
      <c r="A27" s="14" t="s">
        <v>22</v>
      </c>
      <c r="B27" s="9"/>
      <c r="C27" s="13" t="s">
        <v>21</v>
      </c>
      <c r="D27" s="2">
        <f>(1+D8)*C16</f>
        <v>4520.25</v>
      </c>
      <c r="E27" s="2">
        <f>(1+E8)*D27</f>
        <v>5379.0974999999999</v>
      </c>
      <c r="F27" s="2">
        <f>(1+F8)*E27</f>
        <v>6508.7079749999994</v>
      </c>
      <c r="G27" s="2">
        <f t="shared" ref="G27:L27" si="1">(1+G8)*F27</f>
        <v>7680.2754104999985</v>
      </c>
      <c r="H27" s="2">
        <f t="shared" si="1"/>
        <v>8909.1194761799979</v>
      </c>
      <c r="I27" s="2">
        <f t="shared" si="1"/>
        <v>10156.396202845199</v>
      </c>
      <c r="J27" s="2">
        <f t="shared" si="1"/>
        <v>11375.163747186623</v>
      </c>
      <c r="K27" s="2">
        <f t="shared" si="1"/>
        <v>12512.680121905287</v>
      </c>
      <c r="L27" s="2">
        <f t="shared" si="1"/>
        <v>13513.694531657711</v>
      </c>
      <c r="M27" s="13"/>
      <c r="N27" s="9"/>
      <c r="O27" s="9"/>
      <c r="P27" s="9"/>
    </row>
    <row r="28" spans="1:16" x14ac:dyDescent="0.2">
      <c r="A28" s="14" t="s">
        <v>23</v>
      </c>
      <c r="B28" s="9"/>
      <c r="C28" s="13" t="s">
        <v>21</v>
      </c>
      <c r="D28" s="13">
        <f>(1+D9)*C17</f>
        <v>4340.6000000000004</v>
      </c>
      <c r="E28" s="13">
        <f>(1+E9)*D28</f>
        <v>4687.8480000000009</v>
      </c>
      <c r="F28" s="13">
        <f>(1+F9)*E28</f>
        <v>5015.9973600000012</v>
      </c>
      <c r="G28" s="13">
        <f t="shared" ref="G28:L28" si="2">(1+G9)*F28</f>
        <v>5266.7972280000013</v>
      </c>
      <c r="H28" s="13">
        <f t="shared" si="2"/>
        <v>5477.4691171200011</v>
      </c>
      <c r="I28" s="13">
        <f t="shared" si="2"/>
        <v>5641.7931906336016</v>
      </c>
      <c r="J28" s="13">
        <f t="shared" si="2"/>
        <v>5754.6290544462736</v>
      </c>
      <c r="K28" s="13">
        <f t="shared" si="2"/>
        <v>5869.7216355351993</v>
      </c>
      <c r="L28" s="13">
        <f t="shared" si="2"/>
        <v>5987.1160682459031</v>
      </c>
      <c r="M28" s="13"/>
      <c r="N28" s="9"/>
      <c r="O28" s="9"/>
      <c r="P28" s="9"/>
    </row>
    <row r="29" spans="1:16" x14ac:dyDescent="0.2">
      <c r="A29" s="14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9"/>
      <c r="N29" s="9"/>
      <c r="O29" s="9"/>
      <c r="P29" s="9"/>
    </row>
    <row r="30" spans="1:16" ht="16" x14ac:dyDescent="0.2">
      <c r="A30" s="14" t="s">
        <v>24</v>
      </c>
      <c r="C30" s="13" t="s">
        <v>21</v>
      </c>
      <c r="D30" s="13">
        <f t="shared" ref="D30:L30" si="3">-D26*D7</f>
        <v>-80484.456000000006</v>
      </c>
      <c r="E30" s="13">
        <f t="shared" si="3"/>
        <v>-100870.32150000002</v>
      </c>
      <c r="F30" s="13">
        <f t="shared" si="3"/>
        <v>-124406.72985</v>
      </c>
      <c r="G30" s="13">
        <f t="shared" si="3"/>
        <v>-149288.07582</v>
      </c>
      <c r="H30" s="13">
        <f t="shared" si="3"/>
        <v>-171681.287193</v>
      </c>
      <c r="I30" s="13">
        <f t="shared" si="3"/>
        <v>-193999.85452808996</v>
      </c>
      <c r="J30" s="13">
        <f t="shared" si="3"/>
        <v>-213399.83998089895</v>
      </c>
      <c r="K30" s="13">
        <f t="shared" si="3"/>
        <v>-230471.82717937088</v>
      </c>
      <c r="L30" s="13">
        <f t="shared" si="3"/>
        <v>-241995.41853833944</v>
      </c>
      <c r="M30" s="15"/>
      <c r="N30" s="15"/>
      <c r="O30" s="15"/>
      <c r="P30" s="15"/>
    </row>
    <row r="31" spans="1:16" ht="16" x14ac:dyDescent="0.2">
      <c r="A31" s="14" t="s">
        <v>25</v>
      </c>
      <c r="D31" s="16">
        <f t="shared" ref="D31:L31" si="4">-D26*D10</f>
        <v>-5295.0300000000007</v>
      </c>
      <c r="E31" s="16">
        <f t="shared" si="4"/>
        <v>-6388.4536950000011</v>
      </c>
      <c r="F31" s="16">
        <f t="shared" si="4"/>
        <v>-7565.2741125000002</v>
      </c>
      <c r="G31" s="16">
        <f t="shared" si="4"/>
        <v>-8069.6257200000009</v>
      </c>
      <c r="H31" s="16">
        <f t="shared" si="4"/>
        <v>-8700.065229374999</v>
      </c>
      <c r="I31" s="16">
        <f t="shared" si="4"/>
        <v>-9175.6687952474986</v>
      </c>
      <c r="J31" s="16">
        <f t="shared" si="4"/>
        <v>-8651.3448640904971</v>
      </c>
      <c r="K31" s="16">
        <f t="shared" si="4"/>
        <v>-9343.4524532177384</v>
      </c>
      <c r="L31" s="16">
        <f t="shared" si="4"/>
        <v>-9810.6250758786246</v>
      </c>
      <c r="M31" s="15"/>
      <c r="N31" s="15"/>
      <c r="O31" s="15"/>
      <c r="P31" s="15"/>
    </row>
    <row r="32" spans="1:16" ht="16" x14ac:dyDescent="0.2">
      <c r="A32" s="2" t="s">
        <v>26</v>
      </c>
      <c r="C32" s="13" t="s">
        <v>21</v>
      </c>
      <c r="D32" s="16">
        <f t="shared" ref="D32:L32" si="5">D31*D11</f>
        <v>-4765.527000000001</v>
      </c>
      <c r="E32" s="16">
        <f t="shared" si="5"/>
        <v>-5430.1856407500009</v>
      </c>
      <c r="F32" s="16">
        <f t="shared" si="5"/>
        <v>-6052.2192900000009</v>
      </c>
      <c r="G32" s="16">
        <f t="shared" si="5"/>
        <v>-6052.2192900000009</v>
      </c>
      <c r="H32" s="16">
        <f t="shared" si="5"/>
        <v>-6090.0456605624986</v>
      </c>
      <c r="I32" s="16">
        <f t="shared" si="5"/>
        <v>-6422.9681566732488</v>
      </c>
      <c r="J32" s="16">
        <f t="shared" si="5"/>
        <v>-6055.941404863348</v>
      </c>
      <c r="K32" s="16">
        <f t="shared" si="5"/>
        <v>-6540.4167172524167</v>
      </c>
      <c r="L32" s="16">
        <f t="shared" si="5"/>
        <v>-6867.4375531150372</v>
      </c>
    </row>
    <row r="33" spans="1:13" x14ac:dyDescent="0.2">
      <c r="L33" s="15"/>
    </row>
    <row r="34" spans="1:13" ht="16" x14ac:dyDescent="0.2">
      <c r="A34" s="2" t="s">
        <v>27</v>
      </c>
      <c r="C34" s="2" t="s">
        <v>21</v>
      </c>
      <c r="D34" s="16">
        <f t="shared" ref="D34:L34" si="6">D26+D30-D27-D28</f>
        <v>16555.294000000002</v>
      </c>
      <c r="E34" s="16">
        <f t="shared" si="6"/>
        <v>23556.494999999995</v>
      </c>
      <c r="F34" s="16">
        <f t="shared" si="6"/>
        <v>32185.767315000012</v>
      </c>
      <c r="G34" s="16">
        <f t="shared" si="6"/>
        <v>39505.494541500011</v>
      </c>
      <c r="H34" s="16">
        <f t="shared" si="6"/>
        <v>45933.863663699995</v>
      </c>
      <c r="I34" s="16">
        <f t="shared" si="6"/>
        <v>52363.92165693119</v>
      </c>
      <c r="J34" s="16">
        <f t="shared" si="6"/>
        <v>57848.529353818092</v>
      </c>
      <c r="K34" s="16">
        <f t="shared" si="6"/>
        <v>62594.186170446585</v>
      </c>
      <c r="L34" s="16">
        <f t="shared" si="6"/>
        <v>65524.606724377809</v>
      </c>
    </row>
    <row r="35" spans="1:13" x14ac:dyDescent="0.2">
      <c r="A35" s="2" t="s">
        <v>28</v>
      </c>
      <c r="C35" s="2" t="s">
        <v>21</v>
      </c>
      <c r="D35" s="17">
        <f t="shared" ref="D35:L35" si="7">D34+D31</f>
        <v>11260.264000000001</v>
      </c>
      <c r="E35" s="17">
        <f t="shared" si="7"/>
        <v>17168.041304999995</v>
      </c>
      <c r="F35" s="17">
        <f t="shared" si="7"/>
        <v>24620.493202500013</v>
      </c>
      <c r="G35" s="17">
        <f t="shared" si="7"/>
        <v>31435.868821500011</v>
      </c>
      <c r="H35" s="17">
        <f t="shared" si="7"/>
        <v>37233.798434324999</v>
      </c>
      <c r="I35" s="17">
        <f t="shared" si="7"/>
        <v>43188.252861683693</v>
      </c>
      <c r="J35" s="17">
        <f t="shared" si="7"/>
        <v>49197.184489727595</v>
      </c>
      <c r="K35" s="17">
        <f t="shared" si="7"/>
        <v>53250.733717228846</v>
      </c>
      <c r="L35" s="17">
        <f t="shared" si="7"/>
        <v>55713.981648499182</v>
      </c>
    </row>
    <row r="36" spans="1:13" x14ac:dyDescent="0.2">
      <c r="A36" s="2" t="s">
        <v>29</v>
      </c>
      <c r="C36" s="2" t="s">
        <v>21</v>
      </c>
      <c r="D36" s="17">
        <f t="shared" ref="D36:L36" si="8">$C$20*D35</f>
        <v>2364.65544</v>
      </c>
      <c r="E36" s="17">
        <f t="shared" si="8"/>
        <v>3605.2886740499989</v>
      </c>
      <c r="F36" s="17">
        <f t="shared" si="8"/>
        <v>5170.3035725250029</v>
      </c>
      <c r="G36" s="17">
        <f t="shared" si="8"/>
        <v>6601.5324525150018</v>
      </c>
      <c r="H36" s="17">
        <f t="shared" si="8"/>
        <v>7819.0976712082493</v>
      </c>
      <c r="I36" s="17">
        <f t="shared" si="8"/>
        <v>9069.5331009535748</v>
      </c>
      <c r="J36" s="17">
        <f t="shared" si="8"/>
        <v>10331.408742842794</v>
      </c>
      <c r="K36" s="17">
        <f t="shared" si="8"/>
        <v>11182.654080618056</v>
      </c>
      <c r="L36" s="17">
        <f t="shared" si="8"/>
        <v>11699.936146184828</v>
      </c>
    </row>
    <row r="37" spans="1:13" x14ac:dyDescent="0.2">
      <c r="A37" s="2" t="s">
        <v>30</v>
      </c>
      <c r="C37" s="2" t="s">
        <v>21</v>
      </c>
      <c r="D37" s="17">
        <f t="shared" ref="D37:L37" si="9">D35-D36</f>
        <v>8895.6085600000006</v>
      </c>
      <c r="E37" s="17">
        <f t="shared" si="9"/>
        <v>13562.752630949995</v>
      </c>
      <c r="F37" s="17">
        <f t="shared" si="9"/>
        <v>19450.189629975008</v>
      </c>
      <c r="G37" s="17">
        <f t="shared" si="9"/>
        <v>24834.336368985008</v>
      </c>
      <c r="H37" s="17">
        <f t="shared" si="9"/>
        <v>29414.700763116751</v>
      </c>
      <c r="I37" s="17">
        <f t="shared" si="9"/>
        <v>34118.71976073012</v>
      </c>
      <c r="J37" s="17">
        <f t="shared" si="9"/>
        <v>38865.775746884799</v>
      </c>
      <c r="K37" s="17">
        <f t="shared" si="9"/>
        <v>42068.07963661079</v>
      </c>
      <c r="L37" s="17">
        <f t="shared" si="9"/>
        <v>44014.045502314359</v>
      </c>
    </row>
    <row r="38" spans="1:13" x14ac:dyDescent="0.2">
      <c r="A38" s="2" t="s">
        <v>31</v>
      </c>
      <c r="C38" s="2" t="s">
        <v>21</v>
      </c>
      <c r="D38" s="17">
        <f t="shared" ref="D38:L38" si="10">D37-D31</f>
        <v>14190.638560000001</v>
      </c>
      <c r="E38" s="17">
        <f t="shared" si="10"/>
        <v>19951.206325949996</v>
      </c>
      <c r="F38" s="17">
        <f t="shared" si="10"/>
        <v>27015.463742475007</v>
      </c>
      <c r="G38" s="17">
        <f t="shared" si="10"/>
        <v>32903.962088985012</v>
      </c>
      <c r="H38" s="17">
        <f t="shared" si="10"/>
        <v>38114.765992491753</v>
      </c>
      <c r="I38" s="17">
        <f t="shared" si="10"/>
        <v>43294.388555977617</v>
      </c>
      <c r="J38" s="17">
        <f t="shared" si="10"/>
        <v>47517.120610975297</v>
      </c>
      <c r="K38" s="17">
        <f t="shared" si="10"/>
        <v>51411.532089828528</v>
      </c>
      <c r="L38" s="17">
        <f t="shared" si="10"/>
        <v>53824.670578192985</v>
      </c>
    </row>
    <row r="39" spans="1:13" x14ac:dyDescent="0.2">
      <c r="A39" s="2" t="s">
        <v>32</v>
      </c>
      <c r="C39" s="2" t="s">
        <v>21</v>
      </c>
      <c r="D39" s="17">
        <f t="shared" ref="D39:L39" si="11">D38+D32</f>
        <v>9425.1115600000012</v>
      </c>
      <c r="E39" s="17">
        <f t="shared" si="11"/>
        <v>14521.020685199994</v>
      </c>
      <c r="F39" s="17">
        <f t="shared" si="11"/>
        <v>20963.244452475006</v>
      </c>
      <c r="G39" s="17">
        <f t="shared" si="11"/>
        <v>26851.742798985011</v>
      </c>
      <c r="H39" s="17">
        <f t="shared" si="11"/>
        <v>32024.720331929253</v>
      </c>
      <c r="I39" s="17">
        <f t="shared" si="11"/>
        <v>36871.42039930437</v>
      </c>
      <c r="J39" s="17">
        <f t="shared" si="11"/>
        <v>41461.179206111949</v>
      </c>
      <c r="K39" s="17">
        <f t="shared" si="11"/>
        <v>44871.115372576111</v>
      </c>
      <c r="L39" s="17">
        <f t="shared" si="11"/>
        <v>46957.233025077949</v>
      </c>
    </row>
    <row r="40" spans="1:13" x14ac:dyDescent="0.2">
      <c r="A40" s="12" t="s">
        <v>19</v>
      </c>
      <c r="C40" s="2" t="s">
        <v>21</v>
      </c>
      <c r="D40" s="17">
        <f t="shared" ref="D40:L40" si="12">D39</f>
        <v>9425.1115600000012</v>
      </c>
      <c r="E40" s="17">
        <f t="shared" si="12"/>
        <v>14521.020685199994</v>
      </c>
      <c r="F40" s="17">
        <f t="shared" si="12"/>
        <v>20963.244452475006</v>
      </c>
      <c r="G40" s="17">
        <f t="shared" si="12"/>
        <v>26851.742798985011</v>
      </c>
      <c r="H40" s="17">
        <f t="shared" si="12"/>
        <v>32024.720331929253</v>
      </c>
      <c r="I40" s="17">
        <f t="shared" si="12"/>
        <v>36871.42039930437</v>
      </c>
      <c r="J40" s="17">
        <f t="shared" si="12"/>
        <v>41461.179206111949</v>
      </c>
      <c r="K40" s="17">
        <f t="shared" si="12"/>
        <v>44871.115372576111</v>
      </c>
      <c r="L40" s="17">
        <f t="shared" si="12"/>
        <v>46957.233025077949</v>
      </c>
      <c r="M40" s="17">
        <f>(L40*(1+C19))/(C18-C19)</f>
        <v>537399.44462033664</v>
      </c>
    </row>
    <row r="41" spans="1:13" x14ac:dyDescent="0.2">
      <c r="A41" s="2" t="s">
        <v>33</v>
      </c>
      <c r="C41" s="2" t="s">
        <v>21</v>
      </c>
      <c r="D41" s="17">
        <f t="shared" ref="D41:M41" si="13">(D40)/(1+$C$18)^D24</f>
        <v>8415.2781785714287</v>
      </c>
      <c r="E41" s="17">
        <f t="shared" si="13"/>
        <v>11576.068786033156</v>
      </c>
      <c r="F41" s="17">
        <f t="shared" si="13"/>
        <v>14921.22333135577</v>
      </c>
      <c r="G41" s="17">
        <f t="shared" si="13"/>
        <v>17064.767985431718</v>
      </c>
      <c r="H41" s="17">
        <f t="shared" si="13"/>
        <v>18171.68636321411</v>
      </c>
      <c r="I41" s="17">
        <f t="shared" si="13"/>
        <v>18680.209056299907</v>
      </c>
      <c r="J41" s="17">
        <f t="shared" si="13"/>
        <v>18754.931880827062</v>
      </c>
      <c r="K41" s="17">
        <f t="shared" si="13"/>
        <v>18122.690919710731</v>
      </c>
      <c r="L41" s="17">
        <f t="shared" si="13"/>
        <v>16933.248974239214</v>
      </c>
      <c r="M41" s="17">
        <f t="shared" si="13"/>
        <v>193791.62714962658</v>
      </c>
    </row>
    <row r="42" spans="1:13" x14ac:dyDescent="0.2">
      <c r="A42" s="27" t="s">
        <v>44</v>
      </c>
      <c r="B42" s="28">
        <f>SUM(D41:M41)</f>
        <v>336431.73262530967</v>
      </c>
      <c r="C42" s="27"/>
      <c r="D42" s="27"/>
      <c r="E42" s="27"/>
      <c r="F42" s="27"/>
      <c r="M42" s="18"/>
    </row>
    <row r="45" spans="1:13" x14ac:dyDescent="0.2">
      <c r="A45" s="27" t="s">
        <v>46</v>
      </c>
      <c r="B45" s="27"/>
      <c r="C45" s="27"/>
      <c r="D45" s="27"/>
      <c r="E45" s="27"/>
      <c r="F45" s="27"/>
    </row>
    <row r="47" spans="1:13" x14ac:dyDescent="0.2">
      <c r="A47" s="2" t="s">
        <v>45</v>
      </c>
      <c r="B47" s="2">
        <v>13.4</v>
      </c>
    </row>
    <row r="48" spans="1:13" x14ac:dyDescent="0.2">
      <c r="A48" s="2" t="s">
        <v>48</v>
      </c>
      <c r="B48" s="17">
        <f>B47*D34</f>
        <v>221840.93960000004</v>
      </c>
    </row>
    <row r="49" spans="1:13" x14ac:dyDescent="0.2">
      <c r="A49" s="12"/>
      <c r="B49" s="17"/>
    </row>
    <row r="50" spans="1:13" x14ac:dyDescent="0.2">
      <c r="A50" s="12"/>
      <c r="B50" s="13"/>
      <c r="D50" s="15"/>
      <c r="E50" s="15"/>
      <c r="F50" s="15"/>
    </row>
    <row r="51" spans="1:13" x14ac:dyDescent="0.2">
      <c r="D51" s="15"/>
      <c r="E51" s="15"/>
      <c r="F51" s="15"/>
    </row>
    <row r="52" spans="1:13" x14ac:dyDescent="0.2">
      <c r="A52" s="12"/>
      <c r="B52" s="17"/>
    </row>
    <row r="54" spans="1:13" x14ac:dyDescent="0.2">
      <c r="A54" s="12" t="s">
        <v>38</v>
      </c>
      <c r="B54" s="9"/>
      <c r="C54" s="9"/>
    </row>
    <row r="55" spans="1:13" x14ac:dyDescent="0.2">
      <c r="A55" s="2" t="s">
        <v>39</v>
      </c>
      <c r="B55" s="2">
        <v>3099</v>
      </c>
    </row>
    <row r="56" spans="1:13" x14ac:dyDescent="0.2">
      <c r="A56" s="2" t="s">
        <v>40</v>
      </c>
      <c r="B56" s="2">
        <v>22185</v>
      </c>
    </row>
    <row r="57" spans="1:13" x14ac:dyDescent="0.2">
      <c r="A57" s="2" t="s">
        <v>41</v>
      </c>
      <c r="B57" s="2">
        <v>3518</v>
      </c>
    </row>
    <row r="58" spans="1:13" x14ac:dyDescent="0.2">
      <c r="A58" s="2" t="s">
        <v>42</v>
      </c>
      <c r="B58" s="17">
        <f>B48-B55+B56</f>
        <v>240926.93960000004</v>
      </c>
    </row>
    <row r="59" spans="1:13" x14ac:dyDescent="0.2">
      <c r="A59" s="12" t="s">
        <v>38</v>
      </c>
      <c r="B59" s="19">
        <f>B58/B57</f>
        <v>68.484064695849924</v>
      </c>
    </row>
    <row r="60" spans="1:13" x14ac:dyDescent="0.2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3"/>
    </row>
    <row r="61" spans="1:13" x14ac:dyDescent="0.2">
      <c r="A61" s="20"/>
      <c r="B61" s="2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3"/>
    </row>
    <row r="62" spans="1:13" x14ac:dyDescent="0.2">
      <c r="A62" s="20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A63" s="20"/>
      <c r="B63" s="2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x14ac:dyDescent="0.2">
      <c r="A64" s="20"/>
      <c r="B64" s="2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5"/>
    </row>
    <row r="65" spans="1:13" x14ac:dyDescent="0.2">
      <c r="A65" s="20"/>
      <c r="B65" s="20"/>
      <c r="C65" s="20"/>
      <c r="D65" s="26"/>
      <c r="E65" s="26"/>
      <c r="F65" s="26"/>
      <c r="G65" s="26"/>
      <c r="H65" s="26"/>
      <c r="I65" s="26"/>
      <c r="J65" s="26"/>
      <c r="K65" s="26"/>
      <c r="L65" s="26"/>
      <c r="M65" s="25"/>
    </row>
    <row r="66" spans="1:13" x14ac:dyDescent="0.2">
      <c r="A66" s="20"/>
      <c r="B66" s="20"/>
      <c r="C66" s="23"/>
      <c r="D66" s="26"/>
      <c r="E66" s="26"/>
      <c r="F66" s="26"/>
      <c r="G66" s="26"/>
      <c r="H66" s="26"/>
      <c r="I66" s="26"/>
      <c r="J66" s="26"/>
      <c r="K66" s="26"/>
      <c r="L66" s="26"/>
      <c r="M66" s="20"/>
    </row>
    <row r="67" spans="1:13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</row>
    <row r="68" spans="1:13" x14ac:dyDescent="0.2">
      <c r="A68" s="20"/>
      <c r="B68" s="20"/>
      <c r="C68" s="20"/>
      <c r="D68" s="26"/>
      <c r="E68" s="26"/>
      <c r="F68" s="26"/>
      <c r="G68" s="26"/>
      <c r="H68" s="26"/>
      <c r="I68" s="26"/>
      <c r="J68" s="26"/>
      <c r="K68" s="26"/>
      <c r="L68" s="26"/>
      <c r="M68" s="20"/>
    </row>
    <row r="69" spans="1:13" x14ac:dyDescent="0.2">
      <c r="A69" s="20"/>
      <c r="B69" s="20"/>
      <c r="C69" s="20"/>
      <c r="D69" s="26"/>
      <c r="E69" s="26"/>
      <c r="F69" s="26"/>
      <c r="G69" s="26"/>
      <c r="H69" s="26"/>
      <c r="I69" s="26"/>
      <c r="J69" s="26"/>
      <c r="K69" s="26"/>
      <c r="L69" s="26"/>
      <c r="M69" s="20"/>
    </row>
    <row r="70" spans="1:13" x14ac:dyDescent="0.2">
      <c r="A70" s="20"/>
      <c r="B70" s="20"/>
      <c r="C70" s="20"/>
      <c r="D70" s="26"/>
      <c r="E70" s="26"/>
      <c r="F70" s="26"/>
      <c r="G70" s="26"/>
      <c r="H70" s="26"/>
      <c r="I70" s="26"/>
      <c r="J70" s="26"/>
      <c r="K70" s="26"/>
      <c r="L70" s="26"/>
      <c r="M70" s="20"/>
    </row>
    <row r="71" spans="1:13" x14ac:dyDescent="0.2">
      <c r="A71" s="20"/>
      <c r="B71" s="20"/>
      <c r="C71" s="20"/>
      <c r="D71" s="26"/>
      <c r="E71" s="26"/>
      <c r="F71" s="26"/>
      <c r="G71" s="26"/>
      <c r="H71" s="26"/>
      <c r="I71" s="26"/>
      <c r="J71" s="26"/>
      <c r="K71" s="26"/>
      <c r="L71" s="26"/>
      <c r="M71" s="20"/>
    </row>
    <row r="72" spans="1:13" x14ac:dyDescent="0.2">
      <c r="A72" s="20"/>
      <c r="B72" s="20"/>
      <c r="C72" s="20"/>
      <c r="D72" s="26"/>
      <c r="E72" s="26"/>
      <c r="F72" s="26"/>
      <c r="G72" s="26"/>
      <c r="H72" s="26"/>
      <c r="I72" s="26"/>
      <c r="J72" s="26"/>
      <c r="K72" s="26"/>
      <c r="L72" s="26"/>
      <c r="M72" s="20"/>
    </row>
    <row r="73" spans="1:13" x14ac:dyDescent="0.2">
      <c r="A73" s="20"/>
      <c r="B73" s="20"/>
      <c r="C73" s="20"/>
      <c r="D73" s="26"/>
      <c r="E73" s="26"/>
      <c r="F73" s="26"/>
      <c r="G73" s="26"/>
      <c r="H73" s="26"/>
      <c r="I73" s="26"/>
      <c r="J73" s="26"/>
      <c r="K73" s="26"/>
      <c r="L73" s="26"/>
      <c r="M73" s="20"/>
    </row>
    <row r="74" spans="1:13" x14ac:dyDescent="0.2">
      <c r="A74" s="22"/>
      <c r="B74" s="20"/>
      <c r="C74" s="20"/>
      <c r="D74" s="26"/>
      <c r="E74" s="26"/>
      <c r="F74" s="26"/>
      <c r="G74" s="26"/>
      <c r="H74" s="26"/>
      <c r="I74" s="26"/>
      <c r="J74" s="26"/>
      <c r="K74" s="26"/>
      <c r="L74" s="26"/>
      <c r="M74" s="20"/>
    </row>
    <row r="75" spans="1:13" x14ac:dyDescent="0.2">
      <c r="A75" s="20"/>
      <c r="B75" s="20"/>
      <c r="C75" s="20"/>
      <c r="D75" s="26"/>
      <c r="E75" s="26"/>
      <c r="F75" s="26"/>
      <c r="G75" s="26"/>
      <c r="H75" s="26"/>
      <c r="I75" s="26"/>
      <c r="J75" s="26"/>
      <c r="K75" s="26"/>
      <c r="L75" s="26"/>
      <c r="M75" s="20"/>
    </row>
    <row r="76" spans="1:13" x14ac:dyDescent="0.2">
      <c r="A76" s="20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">
      <c r="A78" s="22"/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">
      <c r="A79" s="22"/>
      <c r="B79" s="23"/>
      <c r="C79" s="20"/>
      <c r="D79" s="25"/>
      <c r="E79" s="25"/>
      <c r="F79" s="25"/>
      <c r="G79" s="20"/>
      <c r="H79" s="20"/>
      <c r="I79" s="20"/>
      <c r="J79" s="20"/>
      <c r="K79" s="20"/>
      <c r="L79" s="20"/>
      <c r="M79" s="20"/>
    </row>
    <row r="80" spans="1:13" x14ac:dyDescent="0.2">
      <c r="A80" s="20"/>
      <c r="B80" s="20"/>
      <c r="C80" s="20"/>
      <c r="D80" s="25"/>
      <c r="E80" s="25"/>
      <c r="F80" s="25"/>
      <c r="G80" s="20"/>
      <c r="H80" s="20"/>
      <c r="I80" s="20"/>
      <c r="J80" s="20"/>
      <c r="K80" s="20"/>
      <c r="L80" s="20"/>
      <c r="M80" s="20"/>
    </row>
    <row r="81" spans="1:13" x14ac:dyDescent="0.2">
      <c r="A81" s="22"/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">
      <c r="A83" s="22"/>
      <c r="B83" s="24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">
      <c r="A87" s="20"/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">
      <c r="A88" s="22"/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4CD5-C051-8B40-88A2-605697C4156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 Case</vt:lpstr>
      <vt:lpstr>Upside Case</vt:lpstr>
      <vt:lpstr>Downside Case</vt:lpstr>
      <vt:lpstr>Base Case W New Cost of Revenue</vt:lpstr>
      <vt:lpstr>Base Case W New R&amp;D</vt:lpstr>
      <vt:lpstr>Base Case W New YOY Growth</vt:lpstr>
      <vt:lpstr>Base Case W EBITDA Ratio 5.9</vt:lpstr>
      <vt:lpstr>Base Case W EBITDA Ratio 13.4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2023-03-16T17:54:35Z</dcterms:created>
  <dcterms:modified xsi:type="dcterms:W3CDTF">2023-03-18T04:39:50Z</dcterms:modified>
</cp:coreProperties>
</file>