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bryan/Documents/HUPoker/"/>
    </mc:Choice>
  </mc:AlternateContent>
  <xr:revisionPtr revIDLastSave="0" documentId="13_ncr:1_{9E8A4BC4-F0B2-7940-9E84-80EACB9F45B6}" xr6:coauthVersionLast="46" xr6:coauthVersionMax="46" xr10:uidLastSave="{00000000-0000-0000-0000-000000000000}"/>
  <bookViews>
    <workbookView xWindow="0" yWindow="460" windowWidth="38400" windowHeight="20260" xr2:uid="{00000000-000D-0000-FFFF-FFFF00000000}"/>
  </bookViews>
  <sheets>
    <sheet name="Sheet 1 - poker_now_log_s_u3gD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8" i="1" l="1"/>
  <c r="C267" i="1"/>
  <c r="C266" i="1"/>
  <c r="C265" i="1"/>
  <c r="C263" i="1"/>
  <c r="C262" i="1"/>
  <c r="C260" i="1"/>
  <c r="C259" i="1"/>
  <c r="C258" i="1"/>
  <c r="C253" i="1"/>
  <c r="C252" i="1"/>
  <c r="C251" i="1"/>
  <c r="C245" i="1"/>
  <c r="C242" i="1"/>
  <c r="C239" i="1"/>
  <c r="C238" i="1"/>
  <c r="C237" i="1"/>
  <c r="C236" i="1"/>
  <c r="C234" i="1"/>
  <c r="C233" i="1"/>
  <c r="C232" i="1"/>
  <c r="C230" i="1"/>
  <c r="C229" i="1"/>
  <c r="C228" i="1"/>
  <c r="C221" i="1"/>
  <c r="C220" i="1"/>
  <c r="C217" i="1"/>
  <c r="C216" i="1"/>
  <c r="C215" i="1"/>
  <c r="C211" i="1"/>
  <c r="C207" i="1"/>
  <c r="C210" i="1"/>
  <c r="C206" i="1"/>
  <c r="C209" i="1"/>
  <c r="C205" i="1"/>
  <c r="C203" i="1"/>
  <c r="C202" i="1"/>
  <c r="C200" i="1"/>
  <c r="C199" i="1"/>
  <c r="C198" i="1"/>
  <c r="C196" i="1"/>
  <c r="C192" i="1"/>
  <c r="C191" i="1"/>
  <c r="C187" i="1"/>
  <c r="C186" i="1"/>
  <c r="C185" i="1"/>
  <c r="C181" i="1"/>
  <c r="C179" i="1"/>
  <c r="C175" i="1"/>
  <c r="C178" i="1"/>
  <c r="C177" i="1"/>
  <c r="C173" i="1"/>
  <c r="C174" i="1"/>
  <c r="C170" i="1"/>
  <c r="C169" i="1"/>
  <c r="C168" i="1"/>
  <c r="C162" i="1"/>
  <c r="C158" i="1"/>
  <c r="C157" i="1"/>
  <c r="C156" i="1"/>
  <c r="C155" i="1"/>
  <c r="C152" i="1"/>
  <c r="C151" i="1"/>
  <c r="C150" i="1"/>
  <c r="C148" i="1"/>
  <c r="C147" i="1"/>
  <c r="C146" i="1"/>
  <c r="C144" i="1"/>
  <c r="C143" i="1"/>
  <c r="C138" i="1"/>
  <c r="C136" i="1"/>
  <c r="C135" i="1"/>
  <c r="C130" i="1"/>
  <c r="C128" i="1"/>
  <c r="C127" i="1"/>
  <c r="C122" i="1"/>
  <c r="C126" i="1"/>
  <c r="C125" i="1"/>
  <c r="C121" i="1"/>
  <c r="C123" i="1"/>
  <c r="C119" i="1"/>
  <c r="C118" i="1"/>
  <c r="C117" i="1"/>
  <c r="C116" i="1"/>
  <c r="C115" i="1"/>
  <c r="C113" i="1"/>
  <c r="C112" i="1"/>
  <c r="C111" i="1"/>
  <c r="C106" i="1"/>
  <c r="C105" i="1"/>
  <c r="C101" i="1"/>
  <c r="C100" i="1"/>
  <c r="C99" i="1"/>
  <c r="C97" i="1"/>
  <c r="C96" i="1"/>
  <c r="C95" i="1"/>
  <c r="C93" i="1"/>
  <c r="C92" i="1"/>
  <c r="C91" i="1"/>
  <c r="C90" i="1"/>
  <c r="C89" i="1"/>
  <c r="C84" i="1"/>
  <c r="C75" i="1"/>
  <c r="C74" i="1"/>
  <c r="C73" i="1"/>
  <c r="C67" i="1"/>
  <c r="C66" i="1"/>
  <c r="C62" i="1"/>
  <c r="C61" i="1"/>
  <c r="C60" i="1"/>
  <c r="C59" i="1"/>
  <c r="C58" i="1"/>
  <c r="C55" i="1"/>
  <c r="C54" i="1"/>
  <c r="C50" i="1"/>
  <c r="C49" i="1"/>
  <c r="C45" i="1"/>
  <c r="C44" i="1"/>
  <c r="C43" i="1"/>
  <c r="C42" i="1"/>
  <c r="C39" i="1"/>
  <c r="C38" i="1"/>
  <c r="C37" i="1"/>
  <c r="C31" i="1"/>
  <c r="C30" i="1"/>
  <c r="C29" i="1"/>
  <c r="C25" i="1"/>
  <c r="C24" i="1"/>
  <c r="C23" i="1"/>
  <c r="C21" i="1"/>
  <c r="C18" i="1"/>
  <c r="C16" i="1"/>
  <c r="C15" i="1"/>
  <c r="C14" i="1"/>
  <c r="C13" i="1"/>
  <c r="C11" i="1"/>
  <c r="C10" i="1"/>
  <c r="C8" i="1"/>
  <c r="C9" i="1"/>
  <c r="C7" i="1"/>
  <c r="C6" i="1"/>
  <c r="C5" i="1"/>
  <c r="C4" i="1"/>
</calcChain>
</file>

<file path=xl/sharedStrings.xml><?xml version="1.0" encoding="utf-8"?>
<sst xmlns="http://schemas.openxmlformats.org/spreadsheetml/2006/main" count="553" uniqueCount="292">
  <si>
    <t>Your hand is A♥, Q♣</t>
  </si>
  <si>
    <t>Your hand is 5♦, Q♥</t>
  </si>
  <si>
    <t>Your hand is 8♥, 6♥</t>
  </si>
  <si>
    <t>Your hand is 2♣, K♠</t>
  </si>
  <si>
    <t>Your hand is 5♦, 6♠</t>
  </si>
  <si>
    <t>Your hand is 5♦, 4♠</t>
  </si>
  <si>
    <t>Your hand is 10♣, 5♠</t>
  </si>
  <si>
    <t>Your hand is 2♣, K♥</t>
  </si>
  <si>
    <t>Your hand is K♥, 2♠</t>
  </si>
  <si>
    <t>Your hand is 7♣, A♠</t>
  </si>
  <si>
    <t>river: 5♣, A♥, 7♦, 5♠ [3♥]</t>
  </si>
  <si>
    <t>turn: 5♣, A♥, 7♦ [5♠]</t>
  </si>
  <si>
    <t>flop:  [5♣, A♥, 7♦]</t>
  </si>
  <si>
    <t>Your hand is Q♦, Q♠</t>
  </si>
  <si>
    <t>Your hand is 5♠, 6♣</t>
  </si>
  <si>
    <t>Your hand is 8♥, 9♦</t>
  </si>
  <si>
    <t>turn: A♦, 10♣, 8♥ [5♦]</t>
  </si>
  <si>
    <t>flop:  [A♦, 10♣, 8♥]</t>
  </si>
  <si>
    <t>Your hand is J♦, K♣</t>
  </si>
  <si>
    <t>Your hand is A♠, Q♥</t>
  </si>
  <si>
    <t>river: 8♣, Q♦, 5♣, 7♥ [4♦]</t>
  </si>
  <si>
    <t>turn: 8♣, Q♦, 5♣ [7♥]</t>
  </si>
  <si>
    <t>flop:  [8♣, Q♦, 5♣]</t>
  </si>
  <si>
    <t>Your hand is 6♣, 6♠</t>
  </si>
  <si>
    <t>Your hand is 6♠, A♦</t>
  </si>
  <si>
    <t>flop:  [A♠, 8♣, Q♦]</t>
  </si>
  <si>
    <t>Your hand is 3♦, 2♥</t>
  </si>
  <si>
    <t>Your hand is 3♣, K♥</t>
  </si>
  <si>
    <t>Your hand is 3♥, Q♦</t>
  </si>
  <si>
    <t>turn: 2♠, 8♦, 2♣ [J♣]</t>
  </si>
  <si>
    <t>flop:  [2♠, 8♦, 2♣]</t>
  </si>
  <si>
    <t>Your hand is A♦, 10♣</t>
  </si>
  <si>
    <t>Your hand is 5♥, 9♦</t>
  </si>
  <si>
    <t>Your hand is K♣, 8♣</t>
  </si>
  <si>
    <t>river: A♦, 8♥, 2♥, 6♣ [Q♦]</t>
  </si>
  <si>
    <t>turn: A♦, 8♥, 2♥ [6♣]</t>
  </si>
  <si>
    <t>flop:  [A♦, 8♥, 2♥]</t>
  </si>
  <si>
    <t>Your hand is K♦, 10♠</t>
  </si>
  <si>
    <t>Your hand is 3♥, 9♠</t>
  </si>
  <si>
    <t>river: 5♥, 9♠, 8♠, 10♥ [4♠]</t>
  </si>
  <si>
    <t>turn: 5♥, 9♠, 8♠ [10♥]</t>
  </si>
  <si>
    <t>flop:  [5♥, 9♠, 8♠]</t>
  </si>
  <si>
    <t>Your hand is Q♠, 5♦</t>
  </si>
  <si>
    <t>Your hand is 10♣, Q♠</t>
  </si>
  <si>
    <t>Your hand is 5♣, K♥</t>
  </si>
  <si>
    <t>Your hand is J♣, 2♥</t>
  </si>
  <si>
    <t>Your hand is 4♣, 2♦</t>
  </si>
  <si>
    <t>river: 7♦, J♥, 4♣, 3♥ [10♣]</t>
  </si>
  <si>
    <t>turn: 7♦, J♥, 4♣ [3♥]</t>
  </si>
  <si>
    <t>flop:  [7♦, J♥, 4♣]</t>
  </si>
  <si>
    <t>Your hand is J♣, Q♥</t>
  </si>
  <si>
    <t>Your hand is 3♦, 4♠</t>
  </si>
  <si>
    <t>Your hand is 4♥, J♣</t>
  </si>
  <si>
    <t>river: K♥, 5♣, Q♥, 4♠ [9♠]</t>
  </si>
  <si>
    <t>turn: K♥, 5♣, Q♥ [4♠]</t>
  </si>
  <si>
    <t>flop:  [K♥, 5♣, Q♥]</t>
  </si>
  <si>
    <t>Your hand is A♥, 10♦</t>
  </si>
  <si>
    <t>flop:  [J♦, 2♥, 7♣]</t>
  </si>
  <si>
    <t>Your hand is 5♣, 2♣</t>
  </si>
  <si>
    <t>Your hand is J♥, K♠</t>
  </si>
  <si>
    <t>flop:  [6♦, 4♥, K♦]</t>
  </si>
  <si>
    <t>river: K♦, 4♠, J♥, 5♣ [J♠]</t>
  </si>
  <si>
    <t>turn: K♦, 4♠, J♥ [5♣]</t>
  </si>
  <si>
    <t>flop:  [K♦, 4♠, J♥]</t>
  </si>
  <si>
    <t>Your hand is K♠, 8♣</t>
  </si>
  <si>
    <t>river: 8♥, K♦, 6♥, 7♦ [4♦]</t>
  </si>
  <si>
    <t>turn: 8♥, K♦, 6♥ [7♦]</t>
  </si>
  <si>
    <t>flop:  [8♥, K♦, 6♥]</t>
  </si>
  <si>
    <t>Your hand is 8♦, 10♣</t>
  </si>
  <si>
    <t>position</t>
  </si>
  <si>
    <t>betOutstanding</t>
  </si>
  <si>
    <t>street</t>
  </si>
  <si>
    <t>output</t>
  </si>
  <si>
    <t>0-pre, 1-flop, 2-turn, 3-river</t>
  </si>
  <si>
    <t>checked in BB</t>
  </si>
  <si>
    <t>"Ritik shows a K♥, 3♣.</t>
  </si>
  <si>
    <t>bet 10 in D</t>
  </si>
  <si>
    <t>called 10 in BB</t>
  </si>
  <si>
    <t>called in D</t>
  </si>
  <si>
    <t>Ritik flop:  [8♥, K♦, 6♥]</t>
  </si>
  <si>
    <t>Ritik turn: 8♥, K♦, 6♥ [7♦]</t>
  </si>
  <si>
    <t>bet 20 in D</t>
  </si>
  <si>
    <t>called 20 in BB</t>
  </si>
  <si>
    <t>Ritik river: 8♥, K♦, 6♥, 7♦ [4♦]</t>
  </si>
  <si>
    <t>checked in D</t>
  </si>
  <si>
    <t>called in BB</t>
  </si>
  <si>
    <t>called 33 in BB</t>
  </si>
  <si>
    <t>raise to 25 in D</t>
  </si>
  <si>
    <t>cbet 25 in D</t>
  </si>
  <si>
    <t>raise to 25 in BB</t>
  </si>
  <si>
    <t>action descr</t>
  </si>
  <si>
    <t>fold in D</t>
  </si>
  <si>
    <t>called 28 in BB</t>
  </si>
  <si>
    <t xml:space="preserve">betO:pot </t>
  </si>
  <si>
    <t>betO:stack</t>
  </si>
  <si>
    <t>called 34 in BB</t>
  </si>
  <si>
    <t>called 30 in BB</t>
  </si>
  <si>
    <t>fold in BB</t>
  </si>
  <si>
    <t>bet 25 in D</t>
  </si>
  <si>
    <t>called 35 in BB</t>
  </si>
  <si>
    <t>called 80 in BB</t>
  </si>
  <si>
    <t>bet 222 in BB</t>
  </si>
  <si>
    <t>bet 50 in D</t>
  </si>
  <si>
    <t>Your hand is J♥, 10♥</t>
  </si>
  <si>
    <t>flop:  [2♠, 2♣, 9♥]</t>
  </si>
  <si>
    <t>Your hand is 3♥, 7♠</t>
  </si>
  <si>
    <t>Your hand is 6♠, 9♦</t>
  </si>
  <si>
    <t>Your hand is J♠, 3♣</t>
  </si>
  <si>
    <t>Your hand is Q♥, 10♦</t>
  </si>
  <si>
    <t>flop:  [6♦, 3♣, K♦]</t>
  </si>
  <si>
    <t>turn: 6♦, 3♣, K♦ [9♥]</t>
  </si>
  <si>
    <t>river: 6♦, 3♣, K♦, 9♥ [10♠]</t>
  </si>
  <si>
    <t>called 25 in BB</t>
  </si>
  <si>
    <t>Your hand is 5♦, 2♦</t>
  </si>
  <si>
    <t>flop:  [8♦, 7♦, 10♠]</t>
  </si>
  <si>
    <t>called 25 in D</t>
  </si>
  <si>
    <t>turn: 8♦, 7♦, 10♠ [J♠]</t>
  </si>
  <si>
    <t>flop:  [9♠, 6♠, Q♥]</t>
  </si>
  <si>
    <t>turn: 9♠, 6♠, Q♥ [6♦]</t>
  </si>
  <si>
    <t>river: 9♠, 6♠, Q♥, 6♦ [5♣]</t>
  </si>
  <si>
    <t>bet 45 in BB</t>
  </si>
  <si>
    <t>Your hand is J♣, 3♣</t>
  </si>
  <si>
    <t>Your hand is 9♠, 2♥</t>
  </si>
  <si>
    <t>Your hand is 6♥, K♥</t>
  </si>
  <si>
    <t>flop:  [10♦, 10♠, Q♣]</t>
  </si>
  <si>
    <t>called 10 in D</t>
  </si>
  <si>
    <t>turn: 10♦, 10♠, Q♣ [4♥]</t>
  </si>
  <si>
    <t>Your hand is 3♠, Q♥</t>
  </si>
  <si>
    <t>Your hand is 2♥, 10♣</t>
  </si>
  <si>
    <t>Your hand is Q♣, 6♦</t>
  </si>
  <si>
    <t>Your hand is J♦, A♦</t>
  </si>
  <si>
    <t>flop:  [5♣, 3♠, 4♣]</t>
  </si>
  <si>
    <t>turn: 5♣, 3♠, 4♣ [8♠]</t>
  </si>
  <si>
    <t>river: 5♣, 3♠, 4♣, 8♠ [9♠]</t>
  </si>
  <si>
    <t>Your hand is 7♥, 7♠</t>
  </si>
  <si>
    <t>flop:  [Q♣, 5♥, 5♣]</t>
  </si>
  <si>
    <t>turn: Q♣, 5♥, 5♣ [3♦]</t>
  </si>
  <si>
    <t>called 75 in BB</t>
  </si>
  <si>
    <t>river: Q♣, 5♥, 5♣, 3♦ [4♣]</t>
  </si>
  <si>
    <t>Your hand is A♣, 2♠</t>
  </si>
  <si>
    <t>flop:  [7♥, 10♦, A♦]</t>
  </si>
  <si>
    <t>turn: 7♥, 10♦, A♦ [6♠]</t>
  </si>
  <si>
    <t>river: 7♥, 10♦, A♦, 6♠ [K♥]</t>
  </si>
  <si>
    <t>"Ritik @ uuWqny3Uwq" shows a 8♦, K♣.</t>
  </si>
  <si>
    <t>bet 25 in BB</t>
  </si>
  <si>
    <t>Your hand is 8♠, J♦</t>
  </si>
  <si>
    <t>flop:  [Q♥, 8♦, 4♦]</t>
  </si>
  <si>
    <t>Your hand is 4♣, 6♠</t>
  </si>
  <si>
    <t>Your hand is 10♠, 3♦</t>
  </si>
  <si>
    <t>Your hand is Q♣, 4♦</t>
  </si>
  <si>
    <t>Your hand is 7♠, 9♠</t>
  </si>
  <si>
    <t>flop:  [J♦, 4♠, 5♦]</t>
  </si>
  <si>
    <t>folded in BB</t>
  </si>
  <si>
    <t>Your hand is 7♣, 6♥</t>
  </si>
  <si>
    <t>flop:  [6♠, 4♣, 3♣]</t>
  </si>
  <si>
    <t>Your hand is 2♣, J♦</t>
  </si>
  <si>
    <t>Your hand is Q♣, 9♣</t>
  </si>
  <si>
    <t>Your hand is K♥, 3♣</t>
  </si>
  <si>
    <t>Your hand is 2♠, 2♥</t>
  </si>
  <si>
    <t>flop:  [10♥, 5♣, 8♠]</t>
  </si>
  <si>
    <t>Your hand is J♠, 9♠</t>
  </si>
  <si>
    <t>flop:  [3♣, 7♦, 10♥]</t>
  </si>
  <si>
    <t>turn: 3♣, 7♦, 10♥ [3♥]</t>
  </si>
  <si>
    <t>bet 33 in BB</t>
  </si>
  <si>
    <t>river: 3♣, 7♦, 10♥, 3♥ [3♦]</t>
  </si>
  <si>
    <t>bet 70 in BB</t>
  </si>
  <si>
    <t>Your hand is K♠, 5♥</t>
  </si>
  <si>
    <t>flop:  [2♦, 10♣, 4♦]</t>
  </si>
  <si>
    <t>turn: 2♦, 10♣, 4♦ [8♥]</t>
  </si>
  <si>
    <t>river: 2♦, 10♣, 4♦, 8♥ [2♣]</t>
  </si>
  <si>
    <t>Your hand is K♥, Q♠</t>
  </si>
  <si>
    <t>Your hand is 6♣, J♠</t>
  </si>
  <si>
    <t>flop:  [A♦, K♣, 10♣]</t>
  </si>
  <si>
    <t>turn: A♦, K♣, 10♣ [3♥]</t>
  </si>
  <si>
    <t>river: A♦, K♣, 10♣, 3♥ [7♥]</t>
  </si>
  <si>
    <t>Your hand is 2♥, 8♣</t>
  </si>
  <si>
    <t>Your hand is 5♠, 2♦</t>
  </si>
  <si>
    <t>Your hand is 6♦, 8♠</t>
  </si>
  <si>
    <t>flop:  [6♥, 3♥, Q♥]</t>
  </si>
  <si>
    <t>Your hand is 6♦, 3♥</t>
  </si>
  <si>
    <t>Your hand is 3♣, 8♦</t>
  </si>
  <si>
    <t>Your hand is J♥, 4♣</t>
  </si>
  <si>
    <t>Your hand is K♦, 5♥</t>
  </si>
  <si>
    <t>Your hand is 10♣, K♥</t>
  </si>
  <si>
    <t>flop:  [8♦, 2♥, 10♠]</t>
  </si>
  <si>
    <t>turn: 8♦, 2♥, 10♠ [Q♣]</t>
  </si>
  <si>
    <t>called 15 in D</t>
  </si>
  <si>
    <t>river: 8♦, 2♥, 10♠, Q♣ [9♥]</t>
  </si>
  <si>
    <t>Your hand is K♥, Q♣</t>
  </si>
  <si>
    <t>called 85 in D</t>
  </si>
  <si>
    <t>flop:  [2♥, 9♦, K♦]</t>
  </si>
  <si>
    <t>called 100 in D</t>
  </si>
  <si>
    <t>turn: 2♥, 9♦, K♦ [A♥]</t>
  </si>
  <si>
    <t>called 200 in D</t>
  </si>
  <si>
    <t>river: 2♥, 9♦, K♦, A♥ [5♥]</t>
  </si>
  <si>
    <t>Your hand is 4♥, 7♥</t>
  </si>
  <si>
    <t>flop:  [Q♠, A♥, 8♠]</t>
  </si>
  <si>
    <t>Your hand is 7♦, 4♥</t>
  </si>
  <si>
    <t>Your hand is 3♣, J♣</t>
  </si>
  <si>
    <t>Your hand is 9♣, K♠</t>
  </si>
  <si>
    <t>flop:  [A♦, J♣, 6♥]</t>
  </si>
  <si>
    <t>turn: A♦, J♣, 6♥ [5♠]</t>
  </si>
  <si>
    <t>Your hand is 7♦, 4♦</t>
  </si>
  <si>
    <t>Your hand is 4♦, 10♠</t>
  </si>
  <si>
    <t>Your hand is K♥, 6♣</t>
  </si>
  <si>
    <t>flop:  [A♠, 10♠, K♠]</t>
  </si>
  <si>
    <t>turn: A♠, 10♠, K♠ [2♥]</t>
  </si>
  <si>
    <t>bet 10 in BB</t>
  </si>
  <si>
    <t>Your hand is 6♦, 6♠</t>
  </si>
  <si>
    <t>shove in D</t>
  </si>
  <si>
    <t>Your hand is 5♥, 5♠</t>
  </si>
  <si>
    <t>shove in BB</t>
  </si>
  <si>
    <t>Your hand is 8♦, 6♥</t>
  </si>
  <si>
    <t>flop:  [4♠, 4♣, 8♣]</t>
  </si>
  <si>
    <t>"Ritik @ uuWqny3Uwq" shows a Q♦, A♣.</t>
  </si>
  <si>
    <t>raise to 110 in BB</t>
  </si>
  <si>
    <t>cbet 100 in BB</t>
  </si>
  <si>
    <t>bet 200 in BB</t>
  </si>
  <si>
    <t>Your hand is Q♠, 2♠</t>
  </si>
  <si>
    <t>flop:  [7♣, 7♥, 10♠]</t>
  </si>
  <si>
    <t>turn: 7♣, 7♥, 10♠ [K♥]</t>
  </si>
  <si>
    <t>river: 7♣, 7♥, 10♠, K♥ [A♠]</t>
  </si>
  <si>
    <t>Your hand is 7♠, 10♠</t>
  </si>
  <si>
    <t>flop:  [5♠, J♦, J♣]</t>
  </si>
  <si>
    <t>Your hand is Q♥, 9♠</t>
  </si>
  <si>
    <t>flop:  [6♦, 3♣, K♥]</t>
  </si>
  <si>
    <t>turn: 6♦, 3♣, K♥ [7♥]</t>
  </si>
  <si>
    <t>river: 6♦, 3♣, K♥, 7♥ [5♦]</t>
  </si>
  <si>
    <t>"Ritik @ uuWqny3Uwq" shows a 5♣, Q♠.</t>
  </si>
  <si>
    <t>Your hand is Q♠, K♦</t>
  </si>
  <si>
    <t>Your hand is A♦, 5♥</t>
  </si>
  <si>
    <t>Your hand is K♥, 2♦</t>
  </si>
  <si>
    <t>check in BB</t>
  </si>
  <si>
    <t>flop:  [2♠, Q♠, 8♥]</t>
  </si>
  <si>
    <t>turn: 2♠, Q♠, 8♥ [J♥]</t>
  </si>
  <si>
    <t>Your hand is 2♥, K♠</t>
  </si>
  <si>
    <t>Your hand is 9♦, 9♥</t>
  </si>
  <si>
    <t>flop:  [2♠, 3♥, 10♣]</t>
  </si>
  <si>
    <t>turn: 2♠, 3♥, 10♣ [7♠]</t>
  </si>
  <si>
    <t>Your hand is 2♠, 9♦</t>
  </si>
  <si>
    <t>Your hand is 4♣, J♦</t>
  </si>
  <si>
    <t>Your hand is K♣, 6♥</t>
  </si>
  <si>
    <t>Your hand is 9♥, 10♦</t>
  </si>
  <si>
    <t>Your hand is A♦, K♠</t>
  </si>
  <si>
    <t>flop:  [3♣, A♥, 8♣]</t>
  </si>
  <si>
    <t>cbet 25 in BB</t>
  </si>
  <si>
    <t>turn: 3♣, A♥, 8♣ [K♦]</t>
  </si>
  <si>
    <t>river: 3♣, A♥, 8♣, K♦ [7♠]</t>
  </si>
  <si>
    <t>bet 50 in BB</t>
  </si>
  <si>
    <t>Your hand is 5♦, K♥</t>
  </si>
  <si>
    <t>flop:  [4♥, 8♦, 7♠]</t>
  </si>
  <si>
    <t>turn: 4♥, 8♦, 7♠ [2♥]</t>
  </si>
  <si>
    <t>river: 4♥, 8♦, 7♠, 2♥ [Q♠]</t>
  </si>
  <si>
    <t>Your hand is K♣, K♥</t>
  </si>
  <si>
    <t>flop:  [10♣, 9♥, 5♠]</t>
  </si>
  <si>
    <t>turn: 10♣, 9♥, 5♠ [3♣]</t>
  </si>
  <si>
    <t>river: 10♣, 9♥, 5♠, 3♣ [2♥]</t>
  </si>
  <si>
    <t>bet 35 in BB</t>
  </si>
  <si>
    <t>Your hand is 8♥, Q♥</t>
  </si>
  <si>
    <t>flop:  [9♦, 3♠, 3♥]</t>
  </si>
  <si>
    <t>Your hand is K♦, K♣</t>
  </si>
  <si>
    <t>flop:  [10♣, Q♥, 3♣]</t>
  </si>
  <si>
    <t>turn: 10♣, Q♥, 3♣ [2♠]</t>
  </si>
  <si>
    <t>Your hand is K♥, 3♠</t>
  </si>
  <si>
    <t>Your hand is 4♠, 6♥</t>
  </si>
  <si>
    <t>Your hand is 5♣, 2♠</t>
  </si>
  <si>
    <t>Your hand is J♦, Q♦</t>
  </si>
  <si>
    <t>Your hand is 10♣, J♣</t>
  </si>
  <si>
    <t>flop:  [4♦, 8♠, 2♠]</t>
  </si>
  <si>
    <t>turn: 4♦, 8♠, 2♠ [3♥]</t>
  </si>
  <si>
    <t>river: 4♦, 8♠, 2♠, 3♥ [4♥]</t>
  </si>
  <si>
    <t>Your hand is A♦, 7♦</t>
  </si>
  <si>
    <t>Your hand is 3♣, 5♣</t>
  </si>
  <si>
    <t>Your hand is A♣, A♠</t>
  </si>
  <si>
    <t>flop:  [10♦, 8♠, 7♣]</t>
  </si>
  <si>
    <t>turn: 10♦, 8♠, 7♣ [J♠]</t>
  </si>
  <si>
    <t>river: 10♦, 8♠, 7♣, J♠ [4♠]</t>
  </si>
  <si>
    <t>Your hand is J♦, 10♣</t>
  </si>
  <si>
    <t>flop:  [3♥, K♠, 2♦]</t>
  </si>
  <si>
    <t>turn: 3♥, K♠, 2♦ [5♠]</t>
  </si>
  <si>
    <t>flop:  [7♠, 2♦, 4♣]</t>
  </si>
  <si>
    <t>turn: 7♠, 2♦, 4♣ [J♣]</t>
  </si>
  <si>
    <t>river: 7♠, 2♦, 4♣, J♣ [5♥]</t>
  </si>
  <si>
    <t>bet 20 in BB</t>
  </si>
  <si>
    <t>Your hand is 9♣, 4♥</t>
  </si>
  <si>
    <t>Your hand is K♠, A♠</t>
  </si>
  <si>
    <t>Your hand is K♦, J♥</t>
  </si>
  <si>
    <t>hand_score</t>
  </si>
  <si>
    <t>3bet</t>
  </si>
  <si>
    <t>4bet</t>
  </si>
  <si>
    <t>preflop_aggressor</t>
  </si>
  <si>
    <t>betO_in_BB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</si>
</sst>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4" x14ac:knownFonts="1">
    <font>
      <sz val="10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2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49" fontId="3" fillId="2" borderId="1" xfId="0" applyNumberFormat="1" applyFont="1" applyFill="1" applyBorder="1" applyAlignment="1">
      <alignment vertical="top"/>
    </xf>
    <xf numFmtId="49" fontId="1" fillId="0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1"/>
  <sheetViews>
    <sheetView tabSelected="1" zoomScale="130" zoomScaleNormal="130" workbookViewId="0">
      <pane ySplit="1" topLeftCell="A267" activePane="bottomLeft" state="frozen"/>
      <selection pane="bottomLeft" activeCell="A272" sqref="A272"/>
    </sheetView>
  </sheetViews>
  <sheetFormatPr baseColWidth="10" defaultColWidth="8.33203125" defaultRowHeight="20" customHeight="1" x14ac:dyDescent="0.15"/>
  <cols>
    <col min="1" max="1" width="33.83203125" style="1" customWidth="1"/>
    <col min="2" max="2" width="12" style="1" customWidth="1"/>
    <col min="3" max="3" width="12" style="4" customWidth="1"/>
    <col min="4" max="4" width="8.33203125" style="1"/>
    <col min="5" max="5" width="16" style="1" customWidth="1"/>
    <col min="6" max="6" width="8.33203125" style="1"/>
    <col min="7" max="7" width="6.1640625" style="1" customWidth="1"/>
    <col min="8" max="8" width="5.1640625" style="1" customWidth="1"/>
    <col min="9" max="9" width="15.1640625" style="1" customWidth="1"/>
    <col min="10" max="10" width="9.1640625" style="4" bestFit="1" customWidth="1"/>
    <col min="11" max="11" width="10.33203125" style="4" customWidth="1"/>
    <col min="12" max="12" width="9.83203125" style="4" customWidth="1"/>
    <col min="13" max="16384" width="8.33203125" style="1"/>
  </cols>
  <sheetData>
    <row r="1" spans="1:13" ht="27.75" customHeight="1" x14ac:dyDescent="0.15">
      <c r="A1" s="1" t="s">
        <v>73</v>
      </c>
      <c r="B1" s="3" t="s">
        <v>90</v>
      </c>
      <c r="C1" s="5" t="s">
        <v>287</v>
      </c>
      <c r="D1" s="3" t="s">
        <v>69</v>
      </c>
      <c r="E1" s="3" t="s">
        <v>70</v>
      </c>
      <c r="F1" s="3" t="s">
        <v>288</v>
      </c>
      <c r="G1" s="3" t="s">
        <v>289</v>
      </c>
      <c r="H1" s="3" t="s">
        <v>71</v>
      </c>
      <c r="I1" s="3" t="s">
        <v>290</v>
      </c>
      <c r="J1" s="5" t="s">
        <v>93</v>
      </c>
      <c r="K1" s="5" t="s">
        <v>94</v>
      </c>
      <c r="L1" s="5" t="s">
        <v>291</v>
      </c>
      <c r="M1" s="3" t="s">
        <v>72</v>
      </c>
    </row>
    <row r="2" spans="1:13" ht="20" customHeight="1" x14ac:dyDescent="0.15">
      <c r="A2" s="2" t="s">
        <v>68</v>
      </c>
      <c r="B2" s="3" t="s">
        <v>78</v>
      </c>
      <c r="C2" s="5">
        <v>0.25</v>
      </c>
      <c r="D2" s="1">
        <v>0</v>
      </c>
      <c r="E2" s="1">
        <v>5</v>
      </c>
      <c r="F2" s="1">
        <v>0</v>
      </c>
      <c r="G2" s="1">
        <v>0</v>
      </c>
      <c r="H2" s="1">
        <v>0</v>
      </c>
      <c r="I2" s="1">
        <v>0</v>
      </c>
      <c r="J2" s="4">
        <v>0.5</v>
      </c>
      <c r="K2" s="5">
        <v>5.0000000000000001E-3</v>
      </c>
      <c r="L2" s="5">
        <v>0.5</v>
      </c>
      <c r="M2" s="1">
        <v>2</v>
      </c>
    </row>
    <row r="3" spans="1:13" ht="20" customHeight="1" x14ac:dyDescent="0.15">
      <c r="A3" s="6" t="s">
        <v>75</v>
      </c>
      <c r="B3" s="3" t="s">
        <v>74</v>
      </c>
      <c r="C3" s="5">
        <v>0.15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4">
        <v>0</v>
      </c>
      <c r="K3" s="4">
        <v>0</v>
      </c>
      <c r="L3" s="5">
        <v>0</v>
      </c>
      <c r="M3" s="1">
        <v>1</v>
      </c>
    </row>
    <row r="4" spans="1:13" ht="20" customHeight="1" x14ac:dyDescent="0.15">
      <c r="A4" s="2" t="s">
        <v>67</v>
      </c>
      <c r="B4" s="3" t="s">
        <v>76</v>
      </c>
      <c r="C4" s="5">
        <f>5.703125/8.791044776</f>
        <v>0.64874257216500841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4">
        <v>0</v>
      </c>
      <c r="K4" s="4">
        <v>0</v>
      </c>
      <c r="L4" s="5">
        <v>0</v>
      </c>
      <c r="M4" s="1">
        <v>3</v>
      </c>
    </row>
    <row r="5" spans="1:13" ht="20" customHeight="1" x14ac:dyDescent="0.15">
      <c r="A5" s="6" t="s">
        <v>79</v>
      </c>
      <c r="B5" s="3" t="s">
        <v>77</v>
      </c>
      <c r="C5" s="5">
        <f>5.871875/8.791044776</f>
        <v>0.66793824279345249</v>
      </c>
      <c r="D5" s="1">
        <v>1</v>
      </c>
      <c r="E5" s="1">
        <v>10</v>
      </c>
      <c r="F5" s="1">
        <v>0</v>
      </c>
      <c r="G5" s="1">
        <v>0</v>
      </c>
      <c r="H5" s="1">
        <v>1</v>
      </c>
      <c r="I5" s="1">
        <v>0</v>
      </c>
      <c r="J5" s="4">
        <v>0.5</v>
      </c>
      <c r="K5" s="4">
        <v>1.0101010101010102E-2</v>
      </c>
      <c r="L5" s="5">
        <v>1</v>
      </c>
      <c r="M5" s="1">
        <v>2</v>
      </c>
    </row>
    <row r="6" spans="1:13" ht="20" customHeight="1" x14ac:dyDescent="0.15">
      <c r="A6" s="6" t="s">
        <v>79</v>
      </c>
      <c r="B6" s="3" t="s">
        <v>74</v>
      </c>
      <c r="C6" s="5">
        <f>5.871875/8.791044776</f>
        <v>0.66793824279345249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4">
        <v>0</v>
      </c>
      <c r="K6" s="4">
        <v>0</v>
      </c>
      <c r="L6" s="5">
        <v>0</v>
      </c>
      <c r="M6" s="1">
        <v>1</v>
      </c>
    </row>
    <row r="7" spans="1:13" ht="20" customHeight="1" x14ac:dyDescent="0.15">
      <c r="A7" s="2" t="s">
        <v>66</v>
      </c>
      <c r="B7" s="3" t="s">
        <v>81</v>
      </c>
      <c r="C7" s="5">
        <f>7.21875/8.805070149</f>
        <v>0.81984014639790681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0</v>
      </c>
      <c r="J7" s="4">
        <v>0</v>
      </c>
      <c r="K7" s="4">
        <v>0</v>
      </c>
      <c r="L7" s="5">
        <v>0</v>
      </c>
      <c r="M7" s="1">
        <v>3</v>
      </c>
    </row>
    <row r="8" spans="1:13" ht="20" customHeight="1" x14ac:dyDescent="0.15">
      <c r="A8" s="6" t="s">
        <v>80</v>
      </c>
      <c r="B8" s="3" t="s">
        <v>74</v>
      </c>
      <c r="C8" s="5">
        <f>4.734375/8.805070149</f>
        <v>0.53768736874148437</v>
      </c>
      <c r="D8" s="1">
        <v>1</v>
      </c>
      <c r="E8" s="1">
        <v>0</v>
      </c>
      <c r="F8" s="1">
        <v>0</v>
      </c>
      <c r="G8" s="1">
        <v>0</v>
      </c>
      <c r="H8" s="1">
        <v>2</v>
      </c>
      <c r="I8" s="1">
        <v>0</v>
      </c>
      <c r="J8" s="4">
        <v>0</v>
      </c>
      <c r="K8" s="4">
        <v>0</v>
      </c>
      <c r="L8" s="5">
        <v>0</v>
      </c>
      <c r="M8" s="1">
        <v>1</v>
      </c>
    </row>
    <row r="9" spans="1:13" ht="20" customHeight="1" x14ac:dyDescent="0.15">
      <c r="A9" s="6" t="s">
        <v>80</v>
      </c>
      <c r="B9" s="3" t="s">
        <v>82</v>
      </c>
      <c r="C9" s="5">
        <f>4.734375/8.805070149</f>
        <v>0.53768736874148437</v>
      </c>
      <c r="D9" s="1">
        <v>1</v>
      </c>
      <c r="E9" s="1">
        <v>20</v>
      </c>
      <c r="F9" s="1">
        <v>0</v>
      </c>
      <c r="G9" s="1">
        <v>0</v>
      </c>
      <c r="H9" s="1">
        <v>2</v>
      </c>
      <c r="I9" s="1">
        <v>0</v>
      </c>
      <c r="J9" s="4">
        <v>0.5</v>
      </c>
      <c r="K9" s="4">
        <v>2.0408163265306121E-2</v>
      </c>
      <c r="L9" s="5">
        <v>2</v>
      </c>
      <c r="M9" s="1">
        <v>2</v>
      </c>
    </row>
    <row r="10" spans="1:13" ht="20" customHeight="1" x14ac:dyDescent="0.15">
      <c r="A10" s="2" t="s">
        <v>65</v>
      </c>
      <c r="B10" s="3" t="s">
        <v>84</v>
      </c>
      <c r="C10" s="5">
        <f>4.71875/8.805070149</f>
        <v>0.53591282297006038</v>
      </c>
      <c r="D10" s="1">
        <v>0</v>
      </c>
      <c r="E10" s="1">
        <v>0</v>
      </c>
      <c r="F10" s="1">
        <v>0</v>
      </c>
      <c r="G10" s="1">
        <v>0</v>
      </c>
      <c r="H10" s="1">
        <v>3</v>
      </c>
      <c r="I10" s="1">
        <v>0</v>
      </c>
      <c r="J10" s="4">
        <v>0</v>
      </c>
      <c r="K10" s="4">
        <v>0</v>
      </c>
      <c r="L10" s="5">
        <v>0</v>
      </c>
      <c r="M10" s="1">
        <v>1</v>
      </c>
    </row>
    <row r="11" spans="1:13" ht="20" customHeight="1" x14ac:dyDescent="0.15">
      <c r="A11" s="6" t="s">
        <v>83</v>
      </c>
      <c r="B11" s="3" t="s">
        <v>84</v>
      </c>
      <c r="C11" s="5">
        <f>4.734375/8.805070149</f>
        <v>0.53768736874148437</v>
      </c>
      <c r="D11" s="1">
        <v>1</v>
      </c>
      <c r="E11" s="1">
        <v>0</v>
      </c>
      <c r="F11" s="1">
        <v>0</v>
      </c>
      <c r="G11" s="1">
        <v>0</v>
      </c>
      <c r="H11" s="1">
        <v>3</v>
      </c>
      <c r="I11" s="1">
        <v>0</v>
      </c>
      <c r="J11" s="4">
        <v>0</v>
      </c>
      <c r="K11" s="4">
        <v>0</v>
      </c>
      <c r="L11" s="5">
        <v>0</v>
      </c>
      <c r="M11" s="1">
        <v>1</v>
      </c>
    </row>
    <row r="12" spans="1:13" ht="20" customHeight="1" x14ac:dyDescent="0.15">
      <c r="A12" s="2" t="s">
        <v>64</v>
      </c>
      <c r="B12" s="3" t="s">
        <v>85</v>
      </c>
      <c r="C12" s="5">
        <v>0.15</v>
      </c>
      <c r="D12" s="1">
        <v>1</v>
      </c>
      <c r="E12" s="1">
        <v>23</v>
      </c>
      <c r="F12" s="1">
        <v>0</v>
      </c>
      <c r="G12" s="1">
        <v>0</v>
      </c>
      <c r="H12" s="1">
        <v>0</v>
      </c>
      <c r="I12" s="1">
        <v>0</v>
      </c>
      <c r="J12" s="4">
        <v>1.1499999999999999</v>
      </c>
      <c r="K12" s="4">
        <v>2.4210526315789474E-2</v>
      </c>
      <c r="L12" s="5">
        <v>2.2999999999999998</v>
      </c>
      <c r="M12" s="1">
        <v>2</v>
      </c>
    </row>
    <row r="13" spans="1:13" ht="20" customHeight="1" x14ac:dyDescent="0.15">
      <c r="A13" s="6" t="s">
        <v>63</v>
      </c>
      <c r="B13" s="3" t="s">
        <v>74</v>
      </c>
      <c r="C13" s="5">
        <f>4.765625/8.805970149</f>
        <v>0.54118114408338991</v>
      </c>
      <c r="D13" s="1">
        <v>1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4">
        <v>0</v>
      </c>
      <c r="K13" s="4">
        <v>0</v>
      </c>
      <c r="L13" s="5">
        <v>0</v>
      </c>
      <c r="M13" s="1">
        <v>1</v>
      </c>
    </row>
    <row r="14" spans="1:13" ht="20" customHeight="1" x14ac:dyDescent="0.15">
      <c r="A14" s="2" t="s">
        <v>63</v>
      </c>
      <c r="B14" s="3" t="s">
        <v>86</v>
      </c>
      <c r="C14" s="5">
        <f>4.765625/8.805970149</f>
        <v>0.54118114408338991</v>
      </c>
      <c r="D14" s="1">
        <v>1</v>
      </c>
      <c r="E14" s="1">
        <v>33</v>
      </c>
      <c r="F14" s="1">
        <v>0</v>
      </c>
      <c r="G14" s="1">
        <v>0</v>
      </c>
      <c r="H14" s="1">
        <v>1</v>
      </c>
      <c r="I14" s="1">
        <v>0</v>
      </c>
      <c r="J14" s="4">
        <v>0.5</v>
      </c>
      <c r="K14" s="4">
        <v>3.5598705501618123E-2</v>
      </c>
      <c r="L14" s="5">
        <v>3.3</v>
      </c>
      <c r="M14" s="1">
        <v>2</v>
      </c>
    </row>
    <row r="15" spans="1:13" ht="20" customHeight="1" x14ac:dyDescent="0.15">
      <c r="A15" s="2" t="s">
        <v>62</v>
      </c>
      <c r="B15" s="3" t="s">
        <v>74</v>
      </c>
      <c r="C15" s="5">
        <f>4.78125/8.820895522</f>
        <v>0.54203680205430271</v>
      </c>
      <c r="D15" s="1">
        <v>1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4">
        <v>0</v>
      </c>
      <c r="K15" s="4">
        <v>0</v>
      </c>
      <c r="L15" s="5">
        <v>0</v>
      </c>
      <c r="M15" s="1">
        <v>1</v>
      </c>
    </row>
    <row r="16" spans="1:13" ht="20" customHeight="1" x14ac:dyDescent="0.15">
      <c r="A16" s="2" t="s">
        <v>61</v>
      </c>
      <c r="B16" s="3" t="s">
        <v>74</v>
      </c>
      <c r="C16" s="5">
        <f>6.84848484848/14.89705882</f>
        <v>0.45972060198121711</v>
      </c>
      <c r="D16" s="1">
        <v>1</v>
      </c>
      <c r="E16" s="1">
        <v>0</v>
      </c>
      <c r="F16" s="1">
        <v>0</v>
      </c>
      <c r="G16" s="1">
        <v>0</v>
      </c>
      <c r="H16" s="1">
        <v>3</v>
      </c>
      <c r="I16" s="1">
        <v>0</v>
      </c>
      <c r="J16" s="4">
        <v>0</v>
      </c>
      <c r="K16" s="4">
        <v>0</v>
      </c>
      <c r="L16" s="5">
        <v>0</v>
      </c>
      <c r="M16" s="1">
        <v>1</v>
      </c>
    </row>
    <row r="17" spans="1:13" ht="20" customHeight="1" x14ac:dyDescent="0.15">
      <c r="A17" s="2" t="s">
        <v>0</v>
      </c>
      <c r="B17" s="3" t="s">
        <v>87</v>
      </c>
      <c r="C17" s="5">
        <v>0.45</v>
      </c>
      <c r="D17" s="1">
        <v>0</v>
      </c>
      <c r="E17" s="1">
        <v>5</v>
      </c>
      <c r="F17" s="1">
        <v>0</v>
      </c>
      <c r="G17" s="1">
        <v>0</v>
      </c>
      <c r="H17" s="1">
        <v>0</v>
      </c>
      <c r="I17" s="1">
        <v>0</v>
      </c>
      <c r="J17" s="4">
        <v>0.5</v>
      </c>
      <c r="K17" s="4">
        <v>0.01</v>
      </c>
      <c r="L17" s="5">
        <v>0.5</v>
      </c>
      <c r="M17" s="1">
        <v>3</v>
      </c>
    </row>
    <row r="18" spans="1:13" ht="20" customHeight="1" x14ac:dyDescent="0.15">
      <c r="A18" s="2" t="s">
        <v>60</v>
      </c>
      <c r="B18" s="3" t="s">
        <v>88</v>
      </c>
      <c r="C18" s="5">
        <f>2.8305084746/8.731343284</f>
        <v>0.32417789365662059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4">
        <v>0</v>
      </c>
      <c r="K18" s="4">
        <v>0</v>
      </c>
      <c r="L18" s="5">
        <v>0</v>
      </c>
      <c r="M18" s="1">
        <v>3</v>
      </c>
    </row>
    <row r="19" spans="1:13" ht="20" customHeight="1" x14ac:dyDescent="0.15">
      <c r="A19" s="2" t="s">
        <v>59</v>
      </c>
      <c r="B19" s="3" t="s">
        <v>89</v>
      </c>
      <c r="C19" s="5">
        <v>0.35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4">
        <v>0</v>
      </c>
      <c r="K19" s="4">
        <v>0</v>
      </c>
      <c r="L19" s="5">
        <v>0</v>
      </c>
      <c r="M19" s="1">
        <v>3</v>
      </c>
    </row>
    <row r="20" spans="1:13" ht="20" customHeight="1" x14ac:dyDescent="0.15">
      <c r="A20" s="2" t="s">
        <v>58</v>
      </c>
      <c r="B20" s="3" t="s">
        <v>78</v>
      </c>
      <c r="C20" s="5">
        <v>0.15</v>
      </c>
      <c r="D20" s="1">
        <v>0</v>
      </c>
      <c r="E20" s="1">
        <v>5</v>
      </c>
      <c r="F20" s="1">
        <v>0</v>
      </c>
      <c r="G20" s="1">
        <v>0</v>
      </c>
      <c r="H20" s="1">
        <v>0</v>
      </c>
      <c r="I20" s="1">
        <v>0</v>
      </c>
      <c r="J20" s="4">
        <v>0.5</v>
      </c>
      <c r="K20" s="4">
        <v>0.01</v>
      </c>
      <c r="L20" s="5">
        <v>0.5</v>
      </c>
      <c r="M20" s="1">
        <v>2</v>
      </c>
    </row>
    <row r="21" spans="1:13" ht="20" customHeight="1" x14ac:dyDescent="0.15">
      <c r="A21" s="2" t="s">
        <v>57</v>
      </c>
      <c r="B21" s="1" t="s">
        <v>76</v>
      </c>
      <c r="C21" s="4">
        <f>(4.421875+1.2)/8.626865672</f>
        <v>0.65167063146083037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4">
        <v>0</v>
      </c>
      <c r="K21" s="4">
        <v>0</v>
      </c>
      <c r="L21" s="5">
        <v>0</v>
      </c>
      <c r="M21" s="1">
        <v>3</v>
      </c>
    </row>
    <row r="22" spans="1:13" ht="20" customHeight="1" x14ac:dyDescent="0.15">
      <c r="A22" s="2" t="s">
        <v>56</v>
      </c>
      <c r="B22" s="1" t="s">
        <v>87</v>
      </c>
      <c r="C22" s="4">
        <v>0.3</v>
      </c>
      <c r="D22" s="1">
        <v>0</v>
      </c>
      <c r="E22" s="1">
        <v>5</v>
      </c>
      <c r="F22" s="1">
        <v>0</v>
      </c>
      <c r="G22" s="1">
        <v>0</v>
      </c>
      <c r="H22" s="1">
        <v>0</v>
      </c>
      <c r="I22" s="1">
        <v>0</v>
      </c>
      <c r="J22" s="4">
        <v>0.5</v>
      </c>
      <c r="K22" s="4">
        <v>0.01</v>
      </c>
      <c r="L22" s="5">
        <v>0.5</v>
      </c>
      <c r="M22" s="1">
        <v>3</v>
      </c>
    </row>
    <row r="23" spans="1:13" ht="20" customHeight="1" x14ac:dyDescent="0.15">
      <c r="A23" s="2" t="s">
        <v>55</v>
      </c>
      <c r="B23" s="1" t="s">
        <v>88</v>
      </c>
      <c r="C23" s="4">
        <f>(2.9152542373+3.3333)/8.835820896</f>
        <v>0.70718434776430772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4">
        <v>0</v>
      </c>
      <c r="K23" s="4">
        <v>0</v>
      </c>
      <c r="L23" s="5">
        <v>0</v>
      </c>
      <c r="M23" s="1">
        <v>3</v>
      </c>
    </row>
    <row r="24" spans="1:13" ht="20" customHeight="1" x14ac:dyDescent="0.15">
      <c r="A24" s="2" t="s">
        <v>54</v>
      </c>
      <c r="B24" s="1" t="s">
        <v>84</v>
      </c>
      <c r="C24" s="4">
        <f>(2.9152542373+2.5)/8.835820896</f>
        <v>0.61287505722886493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4">
        <v>0</v>
      </c>
      <c r="K24" s="4">
        <v>0</v>
      </c>
      <c r="L24" s="5">
        <v>0</v>
      </c>
      <c r="M24" s="1">
        <v>1</v>
      </c>
    </row>
    <row r="25" spans="1:13" ht="20" customHeight="1" x14ac:dyDescent="0.15">
      <c r="A25" s="2" t="s">
        <v>53</v>
      </c>
      <c r="B25" s="1" t="s">
        <v>91</v>
      </c>
      <c r="C25" s="4">
        <f>2.9830508475/8.8955223881</f>
        <v>0.33534296439864864</v>
      </c>
      <c r="D25" s="1">
        <v>0</v>
      </c>
      <c r="E25" s="1">
        <v>70</v>
      </c>
      <c r="F25" s="1">
        <v>0</v>
      </c>
      <c r="G25" s="1">
        <v>0</v>
      </c>
      <c r="H25" s="1">
        <v>3</v>
      </c>
      <c r="I25" s="1">
        <v>1</v>
      </c>
      <c r="J25" s="4">
        <v>0.7</v>
      </c>
      <c r="K25" s="4">
        <v>6.8226120857699801E-2</v>
      </c>
      <c r="L25" s="5">
        <v>7</v>
      </c>
      <c r="M25" s="1">
        <v>0</v>
      </c>
    </row>
    <row r="26" spans="1:13" ht="20" customHeight="1" x14ac:dyDescent="0.15">
      <c r="A26" s="2" t="s">
        <v>52</v>
      </c>
      <c r="B26" s="1" t="s">
        <v>91</v>
      </c>
      <c r="C26" s="4">
        <v>0.05</v>
      </c>
      <c r="D26" s="1">
        <v>0</v>
      </c>
      <c r="E26" s="1">
        <v>5</v>
      </c>
      <c r="F26" s="1">
        <v>0</v>
      </c>
      <c r="G26" s="1">
        <v>0</v>
      </c>
      <c r="H26" s="1">
        <v>0</v>
      </c>
      <c r="I26" s="1">
        <v>0</v>
      </c>
      <c r="J26" s="4">
        <v>0.5</v>
      </c>
      <c r="K26" s="4">
        <v>4.8732943469785572E-3</v>
      </c>
      <c r="L26" s="5">
        <v>0.5</v>
      </c>
      <c r="M26" s="1">
        <v>0</v>
      </c>
    </row>
    <row r="27" spans="1:13" ht="20" customHeight="1" x14ac:dyDescent="0.15">
      <c r="A27" s="2" t="s">
        <v>51</v>
      </c>
      <c r="B27" s="1" t="s">
        <v>91</v>
      </c>
      <c r="C27" s="4">
        <v>0.15</v>
      </c>
      <c r="D27" s="1">
        <v>0</v>
      </c>
      <c r="E27" s="1">
        <v>5</v>
      </c>
      <c r="F27" s="1">
        <v>0</v>
      </c>
      <c r="G27" s="1">
        <v>0</v>
      </c>
      <c r="H27" s="1">
        <v>0</v>
      </c>
      <c r="I27" s="1">
        <v>0</v>
      </c>
      <c r="J27" s="4">
        <v>0.5</v>
      </c>
      <c r="K27" s="4">
        <v>4.849660523763337E-3</v>
      </c>
      <c r="L27" s="5">
        <v>0.5</v>
      </c>
      <c r="M27" s="1">
        <v>0</v>
      </c>
    </row>
    <row r="28" spans="1:13" ht="20" customHeight="1" x14ac:dyDescent="0.15">
      <c r="A28" s="2" t="s">
        <v>50</v>
      </c>
      <c r="B28" s="1" t="s">
        <v>92</v>
      </c>
      <c r="C28" s="4">
        <v>0.35</v>
      </c>
      <c r="D28" s="1">
        <v>1</v>
      </c>
      <c r="E28" s="1">
        <v>18</v>
      </c>
      <c r="F28" s="1">
        <v>0</v>
      </c>
      <c r="G28" s="1">
        <v>0</v>
      </c>
      <c r="H28" s="1">
        <v>0</v>
      </c>
      <c r="I28" s="1">
        <v>0</v>
      </c>
      <c r="J28" s="4">
        <v>0.9</v>
      </c>
      <c r="K28" s="4">
        <v>1.7716535433070866E-2</v>
      </c>
      <c r="L28" s="5">
        <v>1.8</v>
      </c>
      <c r="M28" s="1">
        <v>2</v>
      </c>
    </row>
    <row r="29" spans="1:13" ht="20" customHeight="1" x14ac:dyDescent="0.15">
      <c r="A29" s="2" t="s">
        <v>49</v>
      </c>
      <c r="B29" s="1" t="s">
        <v>74</v>
      </c>
      <c r="C29" s="4">
        <f>4.703125/8.656716418</f>
        <v>0.54329202585644865</v>
      </c>
      <c r="D29" s="1">
        <v>1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4">
        <v>0</v>
      </c>
      <c r="K29" s="4">
        <v>0</v>
      </c>
      <c r="L29" s="5">
        <v>0</v>
      </c>
      <c r="M29" s="1">
        <v>1</v>
      </c>
    </row>
    <row r="30" spans="1:13" ht="20" customHeight="1" x14ac:dyDescent="0.15">
      <c r="A30" s="2" t="s">
        <v>48</v>
      </c>
      <c r="B30" s="1" t="s">
        <v>74</v>
      </c>
      <c r="C30" s="4">
        <f>4.703125/8.656716418</f>
        <v>0.54329202585644865</v>
      </c>
      <c r="D30" s="1">
        <v>1</v>
      </c>
      <c r="E30" s="1">
        <v>0</v>
      </c>
      <c r="F30" s="1">
        <v>0</v>
      </c>
      <c r="G30" s="1">
        <v>0</v>
      </c>
      <c r="H30" s="1">
        <v>2</v>
      </c>
      <c r="I30" s="1">
        <v>0</v>
      </c>
      <c r="J30" s="4">
        <v>0</v>
      </c>
      <c r="K30" s="4">
        <v>0</v>
      </c>
      <c r="L30" s="5">
        <v>0</v>
      </c>
      <c r="M30" s="1">
        <v>1</v>
      </c>
    </row>
    <row r="31" spans="1:13" ht="20" customHeight="1" x14ac:dyDescent="0.15">
      <c r="A31" s="2" t="s">
        <v>47</v>
      </c>
      <c r="B31" s="1" t="s">
        <v>74</v>
      </c>
      <c r="C31" s="4">
        <f>4.796875/10.75</f>
        <v>0.44622093023255816</v>
      </c>
      <c r="D31" s="1">
        <v>1</v>
      </c>
      <c r="E31" s="1">
        <v>0</v>
      </c>
      <c r="F31" s="1">
        <v>0</v>
      </c>
      <c r="G31" s="1">
        <v>0</v>
      </c>
      <c r="H31" s="1">
        <v>3</v>
      </c>
      <c r="I31" s="1">
        <v>0</v>
      </c>
      <c r="J31" s="4">
        <v>0</v>
      </c>
      <c r="K31" s="4">
        <v>0</v>
      </c>
      <c r="L31" s="5">
        <v>0</v>
      </c>
      <c r="M31" s="1">
        <v>1</v>
      </c>
    </row>
    <row r="32" spans="1:13" ht="20" customHeight="1" x14ac:dyDescent="0.15">
      <c r="A32" s="7" t="s">
        <v>46</v>
      </c>
      <c r="B32" s="1" t="s">
        <v>91</v>
      </c>
      <c r="C32" s="4">
        <v>0.1</v>
      </c>
      <c r="D32" s="1">
        <v>0</v>
      </c>
      <c r="E32" s="1">
        <v>5</v>
      </c>
      <c r="F32" s="1">
        <v>0</v>
      </c>
      <c r="G32" s="1">
        <v>0</v>
      </c>
      <c r="H32" s="1">
        <v>0</v>
      </c>
      <c r="I32" s="1">
        <v>0</v>
      </c>
      <c r="J32" s="4">
        <v>0.5</v>
      </c>
      <c r="K32" s="4">
        <v>4.7664442326024788E-3</v>
      </c>
      <c r="L32" s="5">
        <v>0.5</v>
      </c>
      <c r="M32" s="1">
        <v>0</v>
      </c>
    </row>
    <row r="33" spans="1:13" ht="20" customHeight="1" x14ac:dyDescent="0.15">
      <c r="A33" s="7" t="s">
        <v>45</v>
      </c>
      <c r="B33" s="1" t="s">
        <v>91</v>
      </c>
      <c r="C33" s="4">
        <v>0.05</v>
      </c>
      <c r="D33" s="1">
        <v>0</v>
      </c>
      <c r="E33" s="1">
        <v>5</v>
      </c>
      <c r="F33" s="1">
        <v>0</v>
      </c>
      <c r="G33" s="1">
        <v>0</v>
      </c>
      <c r="H33" s="1">
        <v>0</v>
      </c>
      <c r="I33" s="1">
        <v>0</v>
      </c>
      <c r="J33" s="4">
        <v>0.5</v>
      </c>
      <c r="K33" s="4">
        <v>4.7664442326024788E-3</v>
      </c>
      <c r="L33" s="5">
        <v>0.5</v>
      </c>
      <c r="M33" s="1">
        <v>0</v>
      </c>
    </row>
    <row r="34" spans="1:13" ht="20" customHeight="1" x14ac:dyDescent="0.15">
      <c r="A34" s="7" t="s">
        <v>44</v>
      </c>
      <c r="B34" s="1" t="s">
        <v>87</v>
      </c>
      <c r="C34" s="4">
        <v>0.15</v>
      </c>
      <c r="D34" s="1">
        <v>0</v>
      </c>
      <c r="E34" s="1">
        <v>5</v>
      </c>
      <c r="F34" s="1">
        <v>0</v>
      </c>
      <c r="G34" s="1">
        <v>0</v>
      </c>
      <c r="H34" s="1">
        <v>0</v>
      </c>
      <c r="I34" s="1">
        <v>0</v>
      </c>
      <c r="J34" s="4">
        <v>0.5</v>
      </c>
      <c r="K34" s="4">
        <v>4.7664442326024788E-3</v>
      </c>
      <c r="L34" s="5">
        <v>0.5</v>
      </c>
      <c r="M34" s="1">
        <v>3</v>
      </c>
    </row>
    <row r="35" spans="1:13" ht="20" customHeight="1" x14ac:dyDescent="0.15">
      <c r="A35" s="7" t="s">
        <v>43</v>
      </c>
      <c r="B35" s="1" t="s">
        <v>87</v>
      </c>
      <c r="C35" s="4">
        <v>0.3</v>
      </c>
      <c r="D35" s="1">
        <v>0</v>
      </c>
      <c r="E35" s="1">
        <v>5</v>
      </c>
      <c r="F35" s="1">
        <v>0</v>
      </c>
      <c r="G35" s="1">
        <v>0</v>
      </c>
      <c r="H35" s="1">
        <v>0</v>
      </c>
      <c r="I35" s="1">
        <v>0</v>
      </c>
      <c r="J35" s="4">
        <v>0.5</v>
      </c>
      <c r="K35" s="4">
        <v>4.6992481203007516E-3</v>
      </c>
      <c r="L35" s="5">
        <v>0.5</v>
      </c>
      <c r="M35" s="1">
        <v>3</v>
      </c>
    </row>
    <row r="36" spans="1:13" ht="20" customHeight="1" x14ac:dyDescent="0.15">
      <c r="A36" s="7" t="s">
        <v>42</v>
      </c>
      <c r="B36" s="1" t="s">
        <v>74</v>
      </c>
      <c r="C36" s="4">
        <v>0.1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4">
        <v>0</v>
      </c>
      <c r="K36" s="4">
        <v>0</v>
      </c>
      <c r="L36" s="5">
        <v>0</v>
      </c>
      <c r="M36" s="1">
        <v>1</v>
      </c>
    </row>
    <row r="37" spans="1:13" ht="20" customHeight="1" x14ac:dyDescent="0.15">
      <c r="A37" s="7" t="s">
        <v>41</v>
      </c>
      <c r="B37" s="1" t="s">
        <v>74</v>
      </c>
      <c r="C37" s="4">
        <f>(4.609375+1.2)/10.58333333</f>
        <v>0.54891732300753304</v>
      </c>
      <c r="D37" s="1">
        <v>1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4">
        <v>0</v>
      </c>
      <c r="K37" s="4">
        <v>0</v>
      </c>
      <c r="L37" s="5">
        <v>0</v>
      </c>
      <c r="M37" s="1">
        <v>1</v>
      </c>
    </row>
    <row r="38" spans="1:13" ht="20" customHeight="1" x14ac:dyDescent="0.15">
      <c r="A38" s="7" t="s">
        <v>40</v>
      </c>
      <c r="B38" s="1" t="s">
        <v>74</v>
      </c>
      <c r="C38" s="4">
        <f>(4.640625+2.5)/10.75</f>
        <v>0.66424418604651159</v>
      </c>
      <c r="D38" s="1">
        <v>1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4">
        <v>0</v>
      </c>
      <c r="K38" s="4">
        <v>0</v>
      </c>
      <c r="L38" s="5">
        <v>0</v>
      </c>
      <c r="M38" s="1">
        <v>1</v>
      </c>
    </row>
    <row r="39" spans="1:13" ht="20" customHeight="1" x14ac:dyDescent="0.15">
      <c r="A39" s="7" t="s">
        <v>39</v>
      </c>
      <c r="B39" s="1" t="s">
        <v>74</v>
      </c>
      <c r="C39" s="4">
        <f>4.640625/10.75</f>
        <v>0.4316860465116279</v>
      </c>
      <c r="D39" s="1">
        <v>1</v>
      </c>
      <c r="E39" s="1">
        <v>0</v>
      </c>
      <c r="F39" s="1">
        <v>0</v>
      </c>
      <c r="G39" s="1">
        <v>0</v>
      </c>
      <c r="H39" s="1">
        <v>3</v>
      </c>
      <c r="I39" s="1">
        <v>0</v>
      </c>
      <c r="J39" s="4">
        <v>0</v>
      </c>
      <c r="K39" s="4">
        <v>0</v>
      </c>
      <c r="L39" s="5">
        <v>0</v>
      </c>
      <c r="M39" s="1">
        <v>1</v>
      </c>
    </row>
    <row r="40" spans="1:13" ht="20" customHeight="1" x14ac:dyDescent="0.15">
      <c r="A40" s="7" t="s">
        <v>38</v>
      </c>
      <c r="B40" s="1" t="s">
        <v>91</v>
      </c>
      <c r="C40" s="4">
        <v>0</v>
      </c>
      <c r="D40" s="1">
        <v>0</v>
      </c>
      <c r="E40" s="1">
        <v>5</v>
      </c>
      <c r="F40" s="1">
        <v>0</v>
      </c>
      <c r="G40" s="1">
        <v>0</v>
      </c>
      <c r="H40" s="1">
        <v>0</v>
      </c>
      <c r="I40" s="1">
        <v>0</v>
      </c>
      <c r="J40" s="4">
        <v>0.5</v>
      </c>
      <c r="K40" s="4">
        <v>4.6125461254612546E-3</v>
      </c>
      <c r="L40" s="5">
        <v>0.5</v>
      </c>
      <c r="M40" s="1">
        <v>0</v>
      </c>
    </row>
    <row r="41" spans="1:13" ht="20" customHeight="1" x14ac:dyDescent="0.15">
      <c r="A41" s="7" t="s">
        <v>37</v>
      </c>
      <c r="B41" s="1" t="s">
        <v>95</v>
      </c>
      <c r="C41" s="4">
        <v>0.3</v>
      </c>
      <c r="D41" s="1">
        <v>1</v>
      </c>
      <c r="E41" s="1">
        <v>24</v>
      </c>
      <c r="F41" s="1">
        <v>0</v>
      </c>
      <c r="G41" s="1">
        <v>0</v>
      </c>
      <c r="H41" s="1">
        <v>0</v>
      </c>
      <c r="I41" s="1">
        <v>0</v>
      </c>
      <c r="J41" s="4">
        <v>1.2</v>
      </c>
      <c r="K41" s="4">
        <v>2.23463687150838E-2</v>
      </c>
      <c r="L41" s="5">
        <v>2.4</v>
      </c>
      <c r="M41" s="1">
        <v>2</v>
      </c>
    </row>
    <row r="42" spans="1:13" ht="20" customHeight="1" x14ac:dyDescent="0.15">
      <c r="A42" s="7" t="s">
        <v>36</v>
      </c>
      <c r="B42" s="1" t="s">
        <v>74</v>
      </c>
      <c r="C42" s="4">
        <f>(2.7966101695+1)/8.776119403</f>
        <v>0.4326069410817473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4">
        <v>0</v>
      </c>
      <c r="K42" s="4">
        <v>0</v>
      </c>
      <c r="L42" s="5">
        <v>0</v>
      </c>
      <c r="M42" s="1">
        <v>1</v>
      </c>
    </row>
    <row r="43" spans="1:13" ht="20" customHeight="1" x14ac:dyDescent="0.15">
      <c r="A43" s="7" t="s">
        <v>36</v>
      </c>
      <c r="B43" s="1" t="s">
        <v>96</v>
      </c>
      <c r="C43" s="4">
        <f>(2.7966101695+1)/8.776119403</f>
        <v>0.4326069410817473</v>
      </c>
      <c r="D43" s="1">
        <v>1</v>
      </c>
      <c r="E43" s="1">
        <v>30</v>
      </c>
      <c r="F43" s="1">
        <v>0</v>
      </c>
      <c r="G43" s="1">
        <v>0</v>
      </c>
      <c r="H43" s="1">
        <v>1</v>
      </c>
      <c r="I43" s="1">
        <v>0</v>
      </c>
      <c r="J43" s="4">
        <v>0.44117647058823528</v>
      </c>
      <c r="K43" s="4">
        <v>2.8571428571428571E-2</v>
      </c>
      <c r="L43" s="5">
        <v>3</v>
      </c>
      <c r="M43" s="1">
        <v>2</v>
      </c>
    </row>
    <row r="44" spans="1:13" ht="20" customHeight="1" x14ac:dyDescent="0.15">
      <c r="A44" s="7" t="s">
        <v>35</v>
      </c>
      <c r="B44" s="1" t="s">
        <v>74</v>
      </c>
      <c r="C44" s="4">
        <f>2.8644067797/8.835820896</f>
        <v>0.32418117268501051</v>
      </c>
      <c r="D44" s="1">
        <v>1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4">
        <v>0</v>
      </c>
      <c r="K44" s="4">
        <v>0</v>
      </c>
      <c r="L44" s="5">
        <v>0</v>
      </c>
      <c r="M44" s="1">
        <v>1</v>
      </c>
    </row>
    <row r="45" spans="1:13" ht="20" customHeight="1" x14ac:dyDescent="0.15">
      <c r="A45" s="7" t="s">
        <v>34</v>
      </c>
      <c r="B45" s="1" t="s">
        <v>74</v>
      </c>
      <c r="C45" s="4">
        <f>2.9830508475/8.9253731343</f>
        <v>0.33422141602530941</v>
      </c>
      <c r="D45" s="1">
        <v>1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4">
        <v>0</v>
      </c>
      <c r="K45" s="4">
        <v>0</v>
      </c>
      <c r="L45" s="5">
        <v>0</v>
      </c>
      <c r="M45" s="1">
        <v>1</v>
      </c>
    </row>
    <row r="46" spans="1:13" ht="20" customHeight="1" x14ac:dyDescent="0.15">
      <c r="A46" s="7" t="s">
        <v>33</v>
      </c>
      <c r="B46" s="1" t="s">
        <v>87</v>
      </c>
      <c r="C46" s="4">
        <v>0.25</v>
      </c>
      <c r="D46" s="1">
        <v>0</v>
      </c>
      <c r="E46" s="1">
        <v>5</v>
      </c>
      <c r="F46" s="1">
        <v>0</v>
      </c>
      <c r="G46" s="1">
        <v>0</v>
      </c>
      <c r="H46" s="1">
        <v>0</v>
      </c>
      <c r="I46" s="1">
        <v>0</v>
      </c>
      <c r="J46" s="4">
        <v>0.5</v>
      </c>
      <c r="K46" s="4">
        <v>4.9261083743842365E-3</v>
      </c>
      <c r="L46" s="5">
        <v>0.5</v>
      </c>
      <c r="M46" s="1">
        <v>3</v>
      </c>
    </row>
    <row r="47" spans="1:13" ht="20" customHeight="1" x14ac:dyDescent="0.15">
      <c r="A47" s="7" t="s">
        <v>32</v>
      </c>
      <c r="B47" s="1" t="s">
        <v>97</v>
      </c>
      <c r="C47" s="4">
        <v>0.05</v>
      </c>
      <c r="D47" s="1">
        <v>1</v>
      </c>
      <c r="E47" s="1">
        <v>23</v>
      </c>
      <c r="F47" s="1">
        <v>0</v>
      </c>
      <c r="G47" s="1">
        <v>0</v>
      </c>
      <c r="H47" s="1">
        <v>0</v>
      </c>
      <c r="I47" s="1">
        <v>0</v>
      </c>
      <c r="J47" s="4">
        <v>1.1499999999999999</v>
      </c>
      <c r="K47" s="4">
        <v>2.2549019607843137E-2</v>
      </c>
      <c r="L47" s="5">
        <v>2.2999999999999998</v>
      </c>
      <c r="M47" s="1">
        <v>0</v>
      </c>
    </row>
    <row r="48" spans="1:13" ht="20" customHeight="1" x14ac:dyDescent="0.15">
      <c r="A48" s="7" t="s">
        <v>31</v>
      </c>
      <c r="B48" s="1" t="s">
        <v>87</v>
      </c>
      <c r="C48" s="4">
        <v>0.3</v>
      </c>
      <c r="D48" s="1">
        <v>0</v>
      </c>
      <c r="E48" s="1">
        <v>5</v>
      </c>
      <c r="F48" s="1">
        <v>0</v>
      </c>
      <c r="G48" s="1">
        <v>0</v>
      </c>
      <c r="H48" s="1">
        <v>0</v>
      </c>
      <c r="I48" s="1">
        <v>0</v>
      </c>
      <c r="J48" s="4">
        <v>0.5</v>
      </c>
      <c r="K48" s="4">
        <v>4.9261083743842365E-3</v>
      </c>
      <c r="L48" s="5">
        <v>0.5</v>
      </c>
      <c r="M48" s="1">
        <v>3</v>
      </c>
    </row>
    <row r="49" spans="1:13" ht="20" customHeight="1" x14ac:dyDescent="0.15">
      <c r="A49" s="7" t="s">
        <v>30</v>
      </c>
      <c r="B49" s="1" t="s">
        <v>84</v>
      </c>
      <c r="C49" s="4">
        <f>4.5625/16.23188406</f>
        <v>0.281082589250579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4">
        <v>0</v>
      </c>
      <c r="K49" s="4">
        <v>0</v>
      </c>
      <c r="L49" s="5">
        <v>0</v>
      </c>
      <c r="M49" s="1">
        <v>1</v>
      </c>
    </row>
    <row r="50" spans="1:13" ht="20" customHeight="1" x14ac:dyDescent="0.15">
      <c r="A50" s="7" t="s">
        <v>29</v>
      </c>
      <c r="B50" s="1" t="s">
        <v>98</v>
      </c>
      <c r="C50" s="4">
        <f>4.609375/16.27536232</f>
        <v>0.28321182099496267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1</v>
      </c>
      <c r="J50" s="4">
        <v>0</v>
      </c>
      <c r="K50" s="4">
        <v>0</v>
      </c>
      <c r="L50" s="5">
        <v>0</v>
      </c>
      <c r="M50" s="1">
        <v>3</v>
      </c>
    </row>
    <row r="51" spans="1:13" ht="20" customHeight="1" x14ac:dyDescent="0.15">
      <c r="A51" s="7" t="s">
        <v>28</v>
      </c>
      <c r="B51" s="1" t="s">
        <v>97</v>
      </c>
      <c r="C51" s="4">
        <v>0.05</v>
      </c>
      <c r="D51" s="1">
        <v>1</v>
      </c>
      <c r="E51" s="1">
        <v>23</v>
      </c>
      <c r="F51" s="1">
        <v>0</v>
      </c>
      <c r="G51" s="1">
        <v>0</v>
      </c>
      <c r="H51" s="1">
        <v>0</v>
      </c>
      <c r="I51" s="1">
        <v>0</v>
      </c>
      <c r="J51" s="4">
        <v>1.1499999999999999</v>
      </c>
      <c r="K51" s="4">
        <v>2.2222222222222223E-2</v>
      </c>
      <c r="L51" s="5">
        <v>2.2999999999999998</v>
      </c>
      <c r="M51" s="1">
        <v>0</v>
      </c>
    </row>
    <row r="52" spans="1:13" ht="20" customHeight="1" x14ac:dyDescent="0.15">
      <c r="A52" s="7" t="s">
        <v>27</v>
      </c>
      <c r="B52" s="1" t="s">
        <v>91</v>
      </c>
      <c r="C52" s="4">
        <v>0.15</v>
      </c>
      <c r="D52" s="1">
        <v>0</v>
      </c>
      <c r="E52" s="1">
        <v>5</v>
      </c>
      <c r="F52" s="1">
        <v>0</v>
      </c>
      <c r="G52" s="1">
        <v>0</v>
      </c>
      <c r="H52" s="1">
        <v>0</v>
      </c>
      <c r="I52" s="1">
        <v>0</v>
      </c>
      <c r="J52" s="4">
        <v>0.5</v>
      </c>
      <c r="K52" s="4">
        <v>4.8543689320388345E-3</v>
      </c>
      <c r="L52" s="5">
        <v>0.5</v>
      </c>
      <c r="M52" s="1">
        <v>0</v>
      </c>
    </row>
    <row r="53" spans="1:13" ht="20" customHeight="1" x14ac:dyDescent="0.15">
      <c r="A53" s="7" t="s">
        <v>26</v>
      </c>
      <c r="B53" s="1" t="s">
        <v>74</v>
      </c>
      <c r="C53" s="4">
        <v>0.15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4">
        <v>0</v>
      </c>
      <c r="K53" s="4">
        <v>0</v>
      </c>
      <c r="L53" s="5">
        <v>0</v>
      </c>
      <c r="M53" s="1">
        <v>1</v>
      </c>
    </row>
    <row r="54" spans="1:13" ht="20" customHeight="1" x14ac:dyDescent="0.15">
      <c r="A54" s="7" t="s">
        <v>25</v>
      </c>
      <c r="B54" s="1" t="s">
        <v>74</v>
      </c>
      <c r="C54" s="4">
        <f>2.6610169492/8.925373134</f>
        <v>0.29814069498822587</v>
      </c>
      <c r="D54" s="1">
        <v>1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4">
        <v>0</v>
      </c>
      <c r="K54" s="4">
        <v>0</v>
      </c>
      <c r="L54" s="5">
        <v>0</v>
      </c>
      <c r="M54" s="1">
        <v>1</v>
      </c>
    </row>
    <row r="55" spans="1:13" ht="20" customHeight="1" x14ac:dyDescent="0.15">
      <c r="A55" s="7" t="s">
        <v>25</v>
      </c>
      <c r="B55" s="1" t="s">
        <v>97</v>
      </c>
      <c r="C55" s="4">
        <f>2.6610169492/8.925373134</f>
        <v>0.29814069498822587</v>
      </c>
      <c r="D55" s="1">
        <v>1</v>
      </c>
      <c r="E55" s="1">
        <v>10</v>
      </c>
      <c r="F55" s="1">
        <v>0</v>
      </c>
      <c r="G55" s="1">
        <v>0</v>
      </c>
      <c r="H55" s="1">
        <v>1</v>
      </c>
      <c r="I55" s="1">
        <v>0</v>
      </c>
      <c r="J55" s="4">
        <v>0.5</v>
      </c>
      <c r="K55" s="4">
        <v>9.8039215686274508E-3</v>
      </c>
      <c r="L55" s="5">
        <v>1</v>
      </c>
      <c r="M55" s="1">
        <v>0</v>
      </c>
    </row>
    <row r="56" spans="1:13" ht="20" customHeight="1" x14ac:dyDescent="0.15">
      <c r="A56" s="7" t="s">
        <v>24</v>
      </c>
      <c r="B56" s="1" t="s">
        <v>89</v>
      </c>
      <c r="C56" s="4">
        <v>0.25</v>
      </c>
      <c r="D56" s="1">
        <v>0</v>
      </c>
      <c r="E56" s="1">
        <v>5</v>
      </c>
      <c r="F56" s="1">
        <v>0</v>
      </c>
      <c r="G56" s="1">
        <v>0</v>
      </c>
      <c r="H56" s="1">
        <v>0</v>
      </c>
      <c r="I56" s="1">
        <v>0</v>
      </c>
      <c r="J56" s="4">
        <v>0.5</v>
      </c>
      <c r="K56" s="4">
        <v>4.9261083743842365E-3</v>
      </c>
      <c r="L56" s="5">
        <v>0.5</v>
      </c>
      <c r="M56" s="1">
        <v>3</v>
      </c>
    </row>
    <row r="57" spans="1:13" ht="20" customHeight="1" x14ac:dyDescent="0.15">
      <c r="A57" s="7" t="s">
        <v>23</v>
      </c>
      <c r="B57" s="1" t="s">
        <v>86</v>
      </c>
      <c r="C57" s="4">
        <v>0.1</v>
      </c>
      <c r="D57" s="1">
        <v>1</v>
      </c>
      <c r="E57" s="1">
        <v>23</v>
      </c>
      <c r="F57" s="1">
        <v>0</v>
      </c>
      <c r="G57" s="1">
        <v>0</v>
      </c>
      <c r="H57" s="1">
        <v>0</v>
      </c>
      <c r="I57" s="1">
        <v>0</v>
      </c>
      <c r="J57" s="4">
        <v>1.1499999999999999</v>
      </c>
      <c r="K57" s="4">
        <v>2.2549019607843137E-2</v>
      </c>
      <c r="L57" s="5">
        <v>2.2999999999999998</v>
      </c>
      <c r="M57" s="1">
        <v>2</v>
      </c>
    </row>
    <row r="58" spans="1:13" ht="20" customHeight="1" x14ac:dyDescent="0.15">
      <c r="A58" s="7" t="s">
        <v>22</v>
      </c>
      <c r="B58" s="1" t="s">
        <v>74</v>
      </c>
      <c r="C58" s="4">
        <f>(4.578125+1)/8.731343284</f>
        <v>0.63886217945660151</v>
      </c>
      <c r="D58" s="1">
        <v>1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4">
        <v>0</v>
      </c>
      <c r="K58" s="4">
        <v>0</v>
      </c>
      <c r="L58" s="5">
        <v>0</v>
      </c>
      <c r="M58" s="1">
        <v>1</v>
      </c>
    </row>
    <row r="59" spans="1:13" ht="20" customHeight="1" x14ac:dyDescent="0.15">
      <c r="A59" s="7" t="s">
        <v>22</v>
      </c>
      <c r="B59" s="1" t="s">
        <v>99</v>
      </c>
      <c r="C59" s="4">
        <f>(4.578125+1)/8.731343284</f>
        <v>0.63886217945660151</v>
      </c>
      <c r="D59" s="1">
        <v>1</v>
      </c>
      <c r="E59" s="1">
        <v>35</v>
      </c>
      <c r="F59" s="1">
        <v>0</v>
      </c>
      <c r="G59" s="1">
        <v>0</v>
      </c>
      <c r="H59" s="1">
        <v>1</v>
      </c>
      <c r="I59" s="1">
        <v>0</v>
      </c>
      <c r="J59" s="4">
        <v>0.53030303030303028</v>
      </c>
      <c r="K59" s="4">
        <v>3.5105315947843531E-2</v>
      </c>
      <c r="L59" s="5">
        <v>3.5</v>
      </c>
      <c r="M59" s="1">
        <v>2</v>
      </c>
    </row>
    <row r="60" spans="1:13" ht="20" customHeight="1" x14ac:dyDescent="0.15">
      <c r="A60" s="7" t="s">
        <v>21</v>
      </c>
      <c r="B60" s="1" t="s">
        <v>74</v>
      </c>
      <c r="C60" s="4">
        <f>(4.60975+3.333)/10.583333333</f>
        <v>0.75049606301576366</v>
      </c>
      <c r="D60" s="1">
        <v>1</v>
      </c>
      <c r="E60" s="1">
        <v>0</v>
      </c>
      <c r="F60" s="1">
        <v>0</v>
      </c>
      <c r="G60" s="1">
        <v>0</v>
      </c>
      <c r="H60" s="1">
        <v>2</v>
      </c>
      <c r="I60" s="1">
        <v>0</v>
      </c>
      <c r="J60" s="4">
        <v>0</v>
      </c>
      <c r="K60" s="4">
        <v>0</v>
      </c>
      <c r="L60" s="5">
        <v>0</v>
      </c>
      <c r="M60" s="1">
        <v>1</v>
      </c>
    </row>
    <row r="61" spans="1:13" ht="20" customHeight="1" x14ac:dyDescent="0.15">
      <c r="A61" s="7" t="s">
        <v>21</v>
      </c>
      <c r="B61" s="1" t="s">
        <v>100</v>
      </c>
      <c r="C61" s="4">
        <f>(4.60975+3.333)/10.583333333</f>
        <v>0.75049606301576366</v>
      </c>
      <c r="D61" s="1">
        <v>1</v>
      </c>
      <c r="E61" s="1">
        <v>80</v>
      </c>
      <c r="F61" s="1">
        <v>0</v>
      </c>
      <c r="G61" s="1">
        <v>0</v>
      </c>
      <c r="H61" s="1">
        <v>2</v>
      </c>
      <c r="I61" s="1">
        <v>0</v>
      </c>
      <c r="J61" s="4">
        <v>0.58823529411764708</v>
      </c>
      <c r="K61" s="4">
        <v>8.3160083160083165E-2</v>
      </c>
      <c r="L61" s="5">
        <v>8</v>
      </c>
      <c r="M61" s="1">
        <v>2</v>
      </c>
    </row>
    <row r="62" spans="1:13" ht="20" customHeight="1" x14ac:dyDescent="0.15">
      <c r="A62" s="7" t="s">
        <v>20</v>
      </c>
      <c r="B62" s="1" t="s">
        <v>101</v>
      </c>
      <c r="C62" s="4">
        <f>10.5/10.58333333</f>
        <v>0.99212598456444911</v>
      </c>
      <c r="D62" s="1">
        <v>1</v>
      </c>
      <c r="E62" s="1">
        <v>222</v>
      </c>
      <c r="F62" s="1">
        <v>0</v>
      </c>
      <c r="G62" s="1">
        <v>0</v>
      </c>
      <c r="H62" s="1">
        <v>3</v>
      </c>
      <c r="I62" s="1">
        <v>0</v>
      </c>
      <c r="J62" s="4">
        <v>0</v>
      </c>
      <c r="K62" s="4">
        <v>0</v>
      </c>
      <c r="L62" s="5">
        <v>22.2</v>
      </c>
      <c r="M62" s="1">
        <v>3</v>
      </c>
    </row>
    <row r="63" spans="1:13" ht="20" customHeight="1" x14ac:dyDescent="0.15">
      <c r="A63" s="7" t="s">
        <v>19</v>
      </c>
      <c r="B63" s="1" t="s">
        <v>87</v>
      </c>
      <c r="C63" s="4">
        <v>0.45</v>
      </c>
      <c r="D63" s="1">
        <v>0</v>
      </c>
      <c r="E63" s="1">
        <v>5</v>
      </c>
      <c r="F63" s="1">
        <v>0</v>
      </c>
      <c r="G63" s="1">
        <v>0</v>
      </c>
      <c r="H63" s="1">
        <v>0</v>
      </c>
      <c r="I63" s="1">
        <v>0</v>
      </c>
      <c r="J63" s="4">
        <v>0.5</v>
      </c>
      <c r="K63" s="4">
        <v>4.2625745950554137E-3</v>
      </c>
      <c r="L63" s="5">
        <v>0.5</v>
      </c>
      <c r="M63" s="1">
        <v>3</v>
      </c>
    </row>
    <row r="64" spans="1:13" ht="20" customHeight="1" x14ac:dyDescent="0.15">
      <c r="A64" s="7" t="s">
        <v>1</v>
      </c>
      <c r="B64" s="1" t="s">
        <v>97</v>
      </c>
      <c r="C64" s="4">
        <v>0.1</v>
      </c>
      <c r="D64" s="1">
        <v>1</v>
      </c>
      <c r="E64" s="1">
        <v>23</v>
      </c>
      <c r="F64" s="1">
        <v>0</v>
      </c>
      <c r="G64" s="1">
        <v>0</v>
      </c>
      <c r="H64" s="1">
        <v>0</v>
      </c>
      <c r="I64" s="1">
        <v>0</v>
      </c>
      <c r="J64" s="4">
        <v>1.1499999999999999</v>
      </c>
      <c r="K64" s="4">
        <v>1.9524617996604415E-2</v>
      </c>
      <c r="L64" s="5">
        <v>2.2999999999999998</v>
      </c>
      <c r="M64" s="1">
        <v>0</v>
      </c>
    </row>
    <row r="65" spans="1:13" ht="20" customHeight="1" x14ac:dyDescent="0.15">
      <c r="A65" s="7" t="s">
        <v>18</v>
      </c>
      <c r="B65" s="1" t="s">
        <v>87</v>
      </c>
      <c r="C65" s="4">
        <v>0.35</v>
      </c>
      <c r="D65" s="1">
        <v>0</v>
      </c>
      <c r="E65" s="1">
        <v>5</v>
      </c>
      <c r="F65" s="1">
        <v>0</v>
      </c>
      <c r="G65" s="1">
        <v>0</v>
      </c>
      <c r="H65" s="1">
        <v>0</v>
      </c>
      <c r="I65" s="1">
        <v>0</v>
      </c>
      <c r="J65" s="4">
        <v>0.5</v>
      </c>
      <c r="K65" s="4">
        <v>4.2625745950554137E-3</v>
      </c>
      <c r="L65" s="5">
        <v>0.5</v>
      </c>
      <c r="M65" s="1">
        <v>3</v>
      </c>
    </row>
    <row r="66" spans="1:13" ht="20" customHeight="1" x14ac:dyDescent="0.15">
      <c r="A66" s="7" t="s">
        <v>17</v>
      </c>
      <c r="B66" s="1" t="s">
        <v>84</v>
      </c>
      <c r="C66" s="4">
        <f>(2.9491525424+3.3333)/8.895522388</f>
        <v>0.70624885963695472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4">
        <v>0</v>
      </c>
      <c r="K66" s="4">
        <v>0</v>
      </c>
      <c r="L66" s="5">
        <v>0</v>
      </c>
      <c r="M66" s="1">
        <v>1</v>
      </c>
    </row>
    <row r="67" spans="1:13" ht="20" customHeight="1" x14ac:dyDescent="0.15">
      <c r="A67" s="7" t="s">
        <v>16</v>
      </c>
      <c r="B67" s="1" t="s">
        <v>91</v>
      </c>
      <c r="C67" s="4">
        <f>(2.9491525424+2.5)/8.895522388</f>
        <v>0.61257251735444684</v>
      </c>
      <c r="D67" s="1">
        <v>0</v>
      </c>
      <c r="E67" s="1">
        <v>30</v>
      </c>
      <c r="F67" s="1">
        <v>0</v>
      </c>
      <c r="G67" s="1">
        <v>0</v>
      </c>
      <c r="H67" s="1">
        <v>2</v>
      </c>
      <c r="I67" s="1">
        <v>1</v>
      </c>
      <c r="J67" s="4">
        <v>0.6</v>
      </c>
      <c r="K67" s="4">
        <v>2.6019080659150044E-2</v>
      </c>
      <c r="L67" s="5">
        <v>3</v>
      </c>
      <c r="M67" s="1">
        <v>0</v>
      </c>
    </row>
    <row r="68" spans="1:13" ht="20" customHeight="1" x14ac:dyDescent="0.15">
      <c r="A68" s="7" t="s">
        <v>2</v>
      </c>
      <c r="B68" s="1" t="s">
        <v>89</v>
      </c>
      <c r="C68" s="4">
        <v>0.3</v>
      </c>
      <c r="D68" s="1">
        <v>1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4">
        <v>0</v>
      </c>
      <c r="K68" s="4">
        <v>0</v>
      </c>
      <c r="L68" s="5">
        <v>0</v>
      </c>
      <c r="M68" s="1">
        <v>3</v>
      </c>
    </row>
    <row r="69" spans="1:13" ht="20" customHeight="1" x14ac:dyDescent="0.15">
      <c r="A69" s="7" t="s">
        <v>15</v>
      </c>
      <c r="B69" s="1" t="s">
        <v>87</v>
      </c>
      <c r="C69" s="4">
        <v>0.3</v>
      </c>
      <c r="D69" s="1">
        <v>0</v>
      </c>
      <c r="E69" s="1">
        <v>5</v>
      </c>
      <c r="F69" s="1">
        <v>0</v>
      </c>
      <c r="G69" s="1">
        <v>0</v>
      </c>
      <c r="H69" s="1">
        <v>0</v>
      </c>
      <c r="I69" s="1">
        <v>0</v>
      </c>
      <c r="J69" s="4">
        <v>0.5</v>
      </c>
      <c r="K69" s="4">
        <v>4.3177892918825561E-3</v>
      </c>
      <c r="L69" s="5">
        <v>0.5</v>
      </c>
      <c r="M69" s="1">
        <v>3</v>
      </c>
    </row>
    <row r="70" spans="1:13" ht="20" customHeight="1" x14ac:dyDescent="0.15">
      <c r="A70" s="7" t="s">
        <v>15</v>
      </c>
      <c r="B70" s="1" t="s">
        <v>91</v>
      </c>
      <c r="C70" s="4">
        <v>0.3</v>
      </c>
      <c r="D70" s="1">
        <v>0</v>
      </c>
      <c r="E70" s="1">
        <v>75</v>
      </c>
      <c r="F70" s="1">
        <v>1</v>
      </c>
      <c r="G70" s="1">
        <v>0</v>
      </c>
      <c r="H70" s="1">
        <v>0</v>
      </c>
      <c r="I70" s="1">
        <v>0</v>
      </c>
      <c r="J70" s="4">
        <v>1.5</v>
      </c>
      <c r="K70" s="4">
        <v>6.5905096660808432E-2</v>
      </c>
      <c r="L70" s="5">
        <v>7.5</v>
      </c>
      <c r="M70" s="1">
        <v>0</v>
      </c>
    </row>
    <row r="71" spans="1:13" ht="20" customHeight="1" x14ac:dyDescent="0.15">
      <c r="A71" s="7" t="s">
        <v>14</v>
      </c>
      <c r="B71" s="1" t="s">
        <v>97</v>
      </c>
      <c r="C71" s="4">
        <v>0.2</v>
      </c>
      <c r="D71" s="1">
        <v>1</v>
      </c>
      <c r="E71" s="1">
        <v>23</v>
      </c>
      <c r="F71" s="1">
        <v>0</v>
      </c>
      <c r="G71" s="1">
        <v>0</v>
      </c>
      <c r="H71" s="1">
        <v>0</v>
      </c>
      <c r="I71" s="1">
        <v>0</v>
      </c>
      <c r="J71" s="4">
        <v>1.1499999999999999</v>
      </c>
      <c r="K71" s="4">
        <v>2.0390070921985817E-2</v>
      </c>
      <c r="L71" s="5">
        <v>2.2999999999999998</v>
      </c>
      <c r="M71" s="1">
        <v>0</v>
      </c>
    </row>
    <row r="72" spans="1:13" ht="20" customHeight="1" x14ac:dyDescent="0.15">
      <c r="A72" s="7" t="s">
        <v>13</v>
      </c>
      <c r="B72" s="1" t="s">
        <v>87</v>
      </c>
      <c r="C72" s="4">
        <v>0.7</v>
      </c>
      <c r="D72" s="1">
        <v>0</v>
      </c>
      <c r="E72" s="1">
        <v>5</v>
      </c>
      <c r="F72" s="1">
        <v>0</v>
      </c>
      <c r="G72" s="1">
        <v>0</v>
      </c>
      <c r="H72" s="1">
        <v>0</v>
      </c>
      <c r="I72" s="1">
        <v>0</v>
      </c>
      <c r="J72" s="4">
        <v>0.5</v>
      </c>
      <c r="K72" s="4">
        <v>4.4523597506678537E-3</v>
      </c>
      <c r="L72" s="5">
        <v>0.5</v>
      </c>
      <c r="M72" s="1">
        <v>3</v>
      </c>
    </row>
    <row r="73" spans="1:13" ht="20" customHeight="1" x14ac:dyDescent="0.15">
      <c r="A73" s="7" t="s">
        <v>12</v>
      </c>
      <c r="B73" s="1" t="s">
        <v>88</v>
      </c>
      <c r="C73" s="4">
        <f>4.78125/8.805970149</f>
        <v>0.54295550849022078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4">
        <v>0</v>
      </c>
      <c r="K73" s="4">
        <v>0</v>
      </c>
      <c r="L73" s="5">
        <v>0</v>
      </c>
      <c r="M73" s="1">
        <v>3</v>
      </c>
    </row>
    <row r="74" spans="1:13" ht="20" customHeight="1" x14ac:dyDescent="0.15">
      <c r="A74" s="7" t="s">
        <v>11</v>
      </c>
      <c r="B74" s="1" t="s">
        <v>102</v>
      </c>
      <c r="C74" s="4">
        <f>6.72727272727/16.49275362</f>
        <v>0.40789263468485626</v>
      </c>
      <c r="D74" s="1">
        <v>0</v>
      </c>
      <c r="E74" s="1">
        <v>0</v>
      </c>
      <c r="F74" s="1">
        <v>0</v>
      </c>
      <c r="G74" s="1">
        <v>0</v>
      </c>
      <c r="H74" s="1">
        <v>2</v>
      </c>
      <c r="I74" s="1">
        <v>1</v>
      </c>
      <c r="J74" s="4">
        <v>0</v>
      </c>
      <c r="K74" s="4">
        <v>0</v>
      </c>
      <c r="L74" s="5">
        <v>0</v>
      </c>
      <c r="M74" s="1">
        <v>3</v>
      </c>
    </row>
    <row r="75" spans="1:13" ht="20" customHeight="1" x14ac:dyDescent="0.15">
      <c r="A75" s="7" t="s">
        <v>10</v>
      </c>
      <c r="B75" s="1" t="s">
        <v>91</v>
      </c>
      <c r="C75" s="4">
        <f>6.72727272727/16.49275362</f>
        <v>0.40789263468485626</v>
      </c>
      <c r="D75" s="1">
        <v>0</v>
      </c>
      <c r="E75" s="1">
        <v>120</v>
      </c>
      <c r="F75" s="1">
        <v>0</v>
      </c>
      <c r="G75" s="1">
        <v>0</v>
      </c>
      <c r="H75" s="1">
        <v>3</v>
      </c>
      <c r="I75" s="1">
        <v>1</v>
      </c>
      <c r="J75" s="4">
        <v>0.8</v>
      </c>
      <c r="K75" s="4">
        <v>0.11673151750972763</v>
      </c>
      <c r="L75" s="5">
        <v>12</v>
      </c>
      <c r="M75" s="1">
        <v>0</v>
      </c>
    </row>
    <row r="76" spans="1:13" ht="20" customHeight="1" x14ac:dyDescent="0.15">
      <c r="A76" s="7" t="s">
        <v>9</v>
      </c>
      <c r="B76" s="1" t="s">
        <v>87</v>
      </c>
      <c r="C76" s="4">
        <v>0.25</v>
      </c>
      <c r="D76" s="1">
        <v>0</v>
      </c>
      <c r="E76" s="1">
        <v>5</v>
      </c>
      <c r="F76" s="1">
        <v>0</v>
      </c>
      <c r="G76" s="1">
        <v>0</v>
      </c>
      <c r="H76" s="1">
        <v>0</v>
      </c>
      <c r="I76" s="1">
        <v>0</v>
      </c>
      <c r="J76" s="4">
        <v>0.5</v>
      </c>
      <c r="K76" s="4">
        <v>4.8638132295719845E-3</v>
      </c>
      <c r="L76" s="5">
        <v>0.5</v>
      </c>
      <c r="M76" s="1">
        <v>3</v>
      </c>
    </row>
    <row r="77" spans="1:13" ht="20" customHeight="1" x14ac:dyDescent="0.15">
      <c r="A77" s="7" t="s">
        <v>8</v>
      </c>
      <c r="B77" s="1" t="s">
        <v>97</v>
      </c>
      <c r="C77" s="4">
        <v>0.15</v>
      </c>
      <c r="D77" s="1">
        <v>1</v>
      </c>
      <c r="E77" s="1">
        <v>22</v>
      </c>
      <c r="F77" s="1">
        <v>0</v>
      </c>
      <c r="G77" s="1">
        <v>0</v>
      </c>
      <c r="H77" s="1">
        <v>0</v>
      </c>
      <c r="I77" s="1">
        <v>0</v>
      </c>
      <c r="J77" s="4">
        <v>1.1000000000000001</v>
      </c>
      <c r="K77" s="4">
        <v>2.1297192642787996E-2</v>
      </c>
      <c r="L77" s="5">
        <v>2.2000000000000002</v>
      </c>
      <c r="M77" s="1">
        <v>0</v>
      </c>
    </row>
    <row r="78" spans="1:13" ht="20" customHeight="1" x14ac:dyDescent="0.15">
      <c r="A78" s="7" t="s">
        <v>7</v>
      </c>
      <c r="B78" s="1" t="s">
        <v>91</v>
      </c>
      <c r="C78" s="4">
        <v>0.15</v>
      </c>
      <c r="D78" s="1">
        <v>0</v>
      </c>
      <c r="E78" s="1">
        <v>5</v>
      </c>
      <c r="F78" s="1">
        <v>0</v>
      </c>
      <c r="G78" s="1">
        <v>0</v>
      </c>
      <c r="H78" s="1">
        <v>0</v>
      </c>
      <c r="I78" s="1">
        <v>0</v>
      </c>
      <c r="J78" s="4">
        <v>0.5</v>
      </c>
      <c r="K78" s="4">
        <v>4.8638132295719845E-3</v>
      </c>
      <c r="L78" s="5">
        <v>0.5</v>
      </c>
      <c r="M78" s="1">
        <v>0</v>
      </c>
    </row>
    <row r="79" spans="1:13" ht="20" customHeight="1" x14ac:dyDescent="0.15">
      <c r="A79" s="7" t="s">
        <v>6</v>
      </c>
      <c r="B79" s="1" t="s">
        <v>91</v>
      </c>
      <c r="C79" s="4">
        <v>0</v>
      </c>
      <c r="D79" s="1">
        <v>0</v>
      </c>
      <c r="E79" s="1">
        <v>5</v>
      </c>
      <c r="F79" s="1">
        <v>0</v>
      </c>
      <c r="G79" s="1">
        <v>0</v>
      </c>
      <c r="H79" s="1">
        <v>0</v>
      </c>
      <c r="I79" s="1">
        <v>0</v>
      </c>
      <c r="J79" s="4">
        <v>0.5</v>
      </c>
      <c r="K79" s="4">
        <v>4.8638132295719845E-3</v>
      </c>
      <c r="L79" s="5">
        <v>0.5</v>
      </c>
      <c r="M79" s="1">
        <v>0</v>
      </c>
    </row>
    <row r="80" spans="1:13" ht="20" customHeight="1" x14ac:dyDescent="0.15">
      <c r="A80" s="7" t="s">
        <v>5</v>
      </c>
      <c r="B80" s="1" t="s">
        <v>97</v>
      </c>
      <c r="C80" s="4">
        <v>0.2</v>
      </c>
      <c r="D80" s="1">
        <v>1</v>
      </c>
      <c r="E80" s="1">
        <v>23</v>
      </c>
      <c r="F80" s="1">
        <v>0</v>
      </c>
      <c r="G80" s="1">
        <v>0</v>
      </c>
      <c r="H80" s="1">
        <v>0</v>
      </c>
      <c r="I80" s="1">
        <v>0</v>
      </c>
      <c r="J80" s="4">
        <v>1.1499999999999999</v>
      </c>
      <c r="K80" s="4">
        <v>2.2593320235756387E-2</v>
      </c>
      <c r="L80" s="5">
        <v>2.2999999999999998</v>
      </c>
      <c r="M80" s="1">
        <v>0</v>
      </c>
    </row>
    <row r="81" spans="1:13" ht="20" customHeight="1" x14ac:dyDescent="0.15">
      <c r="A81" s="7" t="s">
        <v>4</v>
      </c>
      <c r="B81" s="1" t="s">
        <v>87</v>
      </c>
      <c r="C81" s="4">
        <v>0.2</v>
      </c>
      <c r="D81" s="1">
        <v>0</v>
      </c>
      <c r="E81" s="1">
        <v>5</v>
      </c>
      <c r="F81" s="1">
        <v>0</v>
      </c>
      <c r="G81" s="1">
        <v>0</v>
      </c>
      <c r="H81" s="1">
        <v>0</v>
      </c>
      <c r="I81" s="1">
        <v>0</v>
      </c>
      <c r="J81" s="4">
        <v>0.5</v>
      </c>
      <c r="K81" s="4">
        <v>4.9358341559723592E-3</v>
      </c>
      <c r="L81" s="5">
        <v>0.5</v>
      </c>
      <c r="M81" s="1">
        <v>3</v>
      </c>
    </row>
    <row r="82" spans="1:13" ht="20" customHeight="1" x14ac:dyDescent="0.15">
      <c r="A82" s="7" t="s">
        <v>3</v>
      </c>
      <c r="B82" s="1" t="s">
        <v>97</v>
      </c>
      <c r="C82" s="4">
        <v>0.15</v>
      </c>
      <c r="D82" s="1">
        <v>1</v>
      </c>
      <c r="E82" s="1">
        <v>25</v>
      </c>
      <c r="F82" s="1">
        <v>0</v>
      </c>
      <c r="G82" s="1">
        <v>0</v>
      </c>
      <c r="H82" s="1">
        <v>0</v>
      </c>
      <c r="I82" s="1">
        <v>0</v>
      </c>
      <c r="J82" s="4">
        <v>1.25</v>
      </c>
      <c r="K82" s="4">
        <v>2.4437927663734114E-2</v>
      </c>
      <c r="L82" s="5">
        <v>2.5</v>
      </c>
      <c r="M82" s="1">
        <v>0</v>
      </c>
    </row>
    <row r="83" spans="1:13" ht="20" customHeight="1" x14ac:dyDescent="0.15">
      <c r="A83" s="7" t="s">
        <v>103</v>
      </c>
      <c r="B83" s="1" t="s">
        <v>87</v>
      </c>
      <c r="C83" s="4">
        <v>0.45</v>
      </c>
      <c r="D83" s="1">
        <v>0</v>
      </c>
      <c r="E83" s="1">
        <v>5</v>
      </c>
      <c r="F83" s="1">
        <v>0</v>
      </c>
      <c r="G83" s="1">
        <v>0</v>
      </c>
      <c r="H83" s="1">
        <v>0</v>
      </c>
      <c r="I83" s="1">
        <v>0</v>
      </c>
      <c r="J83" s="4">
        <v>0.5</v>
      </c>
      <c r="K83" s="4">
        <v>4.8875855327468231E-3</v>
      </c>
      <c r="L83" s="5">
        <v>0.5</v>
      </c>
      <c r="M83" s="1">
        <v>3</v>
      </c>
    </row>
    <row r="84" spans="1:13" ht="20" customHeight="1" x14ac:dyDescent="0.15">
      <c r="A84" s="7" t="s">
        <v>104</v>
      </c>
      <c r="B84" s="1" t="s">
        <v>88</v>
      </c>
      <c r="C84" s="4">
        <f>(4.53125+1+1.2)/16.24637681</f>
        <v>0.4143231490147864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1</v>
      </c>
      <c r="J84" s="4">
        <v>0</v>
      </c>
      <c r="K84" s="4">
        <v>0</v>
      </c>
      <c r="L84" s="5">
        <v>0</v>
      </c>
      <c r="M84" s="1">
        <v>3</v>
      </c>
    </row>
    <row r="85" spans="1:13" ht="20" customHeight="1" x14ac:dyDescent="0.15">
      <c r="A85" s="7" t="s">
        <v>105</v>
      </c>
      <c r="B85" s="1" t="s">
        <v>91</v>
      </c>
      <c r="C85" s="4">
        <v>0</v>
      </c>
      <c r="D85" s="1">
        <v>0</v>
      </c>
      <c r="E85" s="1">
        <v>5</v>
      </c>
      <c r="F85" s="1">
        <v>0</v>
      </c>
      <c r="G85" s="1">
        <v>0</v>
      </c>
      <c r="H85" s="1">
        <v>0</v>
      </c>
      <c r="I85" s="1">
        <v>0</v>
      </c>
      <c r="J85" s="4">
        <v>0.5</v>
      </c>
      <c r="K85" s="4">
        <v>4.7483380816714148E-3</v>
      </c>
      <c r="L85" s="5">
        <v>0.5</v>
      </c>
      <c r="M85" s="1">
        <v>0</v>
      </c>
    </row>
    <row r="86" spans="1:13" ht="20" customHeight="1" x14ac:dyDescent="0.15">
      <c r="A86" s="7" t="s">
        <v>106</v>
      </c>
      <c r="B86" s="1" t="s">
        <v>97</v>
      </c>
      <c r="C86" s="4">
        <v>0.15</v>
      </c>
      <c r="D86" s="1">
        <v>1</v>
      </c>
      <c r="E86" s="1">
        <v>23</v>
      </c>
      <c r="F86" s="1">
        <v>0</v>
      </c>
      <c r="G86" s="1">
        <v>0</v>
      </c>
      <c r="H86" s="1">
        <v>0</v>
      </c>
      <c r="I86" s="1">
        <v>0</v>
      </c>
      <c r="J86" s="4">
        <v>1.1499999999999999</v>
      </c>
      <c r="K86" s="4">
        <v>2.2051773729626079E-2</v>
      </c>
      <c r="L86" s="5">
        <v>2.2999999999999998</v>
      </c>
      <c r="M86" s="1">
        <v>0</v>
      </c>
    </row>
    <row r="87" spans="1:13" ht="20" customHeight="1" x14ac:dyDescent="0.15">
      <c r="A87" s="7" t="s">
        <v>107</v>
      </c>
      <c r="B87" s="1" t="s">
        <v>91</v>
      </c>
      <c r="C87" s="4">
        <v>0.05</v>
      </c>
      <c r="D87" s="1">
        <v>0</v>
      </c>
      <c r="E87" s="1">
        <v>5</v>
      </c>
      <c r="F87" s="1">
        <v>0</v>
      </c>
      <c r="G87" s="1">
        <v>0</v>
      </c>
      <c r="H87" s="1">
        <v>0</v>
      </c>
      <c r="I87" s="1">
        <v>0</v>
      </c>
      <c r="J87" s="4">
        <v>0.5</v>
      </c>
      <c r="K87" s="4">
        <v>4.8169556840077067E-3</v>
      </c>
      <c r="L87" s="5">
        <v>0.5</v>
      </c>
      <c r="M87" s="1">
        <v>0</v>
      </c>
    </row>
    <row r="88" spans="1:13" ht="20" customHeight="1" x14ac:dyDescent="0.15">
      <c r="A88" s="7" t="s">
        <v>108</v>
      </c>
      <c r="B88" s="1" t="s">
        <v>74</v>
      </c>
      <c r="C88" s="4">
        <v>0.3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4">
        <v>0</v>
      </c>
      <c r="K88" s="4">
        <v>0</v>
      </c>
      <c r="L88" s="5">
        <v>0</v>
      </c>
      <c r="M88" s="1">
        <v>1</v>
      </c>
    </row>
    <row r="89" spans="1:13" ht="20" customHeight="1" x14ac:dyDescent="0.15">
      <c r="A89" s="7" t="s">
        <v>109</v>
      </c>
      <c r="B89" s="1" t="s">
        <v>74</v>
      </c>
      <c r="C89" s="4">
        <f>(2.7457627119+2.2)/8.71641791</f>
        <v>0.56740770841493537</v>
      </c>
      <c r="D89" s="1">
        <v>1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4">
        <v>0</v>
      </c>
      <c r="K89" s="4">
        <v>0</v>
      </c>
      <c r="L89" s="5">
        <v>0</v>
      </c>
      <c r="M89" s="1">
        <v>1</v>
      </c>
    </row>
    <row r="90" spans="1:13" ht="20" customHeight="1" x14ac:dyDescent="0.15">
      <c r="A90" s="7" t="s">
        <v>110</v>
      </c>
      <c r="B90" s="1" t="s">
        <v>74</v>
      </c>
      <c r="C90" s="4">
        <f>(2.8474576271+2.5)/8.805970149</f>
        <v>0.6072536627559717</v>
      </c>
      <c r="D90" s="1">
        <v>1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4">
        <v>0</v>
      </c>
      <c r="K90" s="4">
        <v>0</v>
      </c>
      <c r="L90" s="5">
        <v>0</v>
      </c>
      <c r="M90" s="1">
        <v>1</v>
      </c>
    </row>
    <row r="91" spans="1:13" ht="20" customHeight="1" x14ac:dyDescent="0.15">
      <c r="A91" s="7" t="s">
        <v>110</v>
      </c>
      <c r="B91" s="1" t="s">
        <v>77</v>
      </c>
      <c r="C91" s="4">
        <f>2.8474576271/8.805970149</f>
        <v>0.32335535766304579</v>
      </c>
      <c r="D91" s="1">
        <v>1</v>
      </c>
      <c r="E91" s="1">
        <v>10</v>
      </c>
      <c r="F91" s="1">
        <v>0</v>
      </c>
      <c r="G91" s="1">
        <v>0</v>
      </c>
      <c r="H91" s="1">
        <v>2</v>
      </c>
      <c r="I91" s="1">
        <v>0</v>
      </c>
      <c r="J91" s="4">
        <v>0.5</v>
      </c>
      <c r="K91" s="4">
        <v>9.727626459143969E-3</v>
      </c>
      <c r="L91" s="5">
        <v>1</v>
      </c>
      <c r="M91" s="1">
        <v>2</v>
      </c>
    </row>
    <row r="92" spans="1:13" ht="20" customHeight="1" x14ac:dyDescent="0.15">
      <c r="A92" s="7" t="s">
        <v>111</v>
      </c>
      <c r="B92" s="1" t="s">
        <v>74</v>
      </c>
      <c r="C92" s="4">
        <f>4.84375/8.865671642</f>
        <v>0.54634890571102879</v>
      </c>
      <c r="D92" s="1">
        <v>1</v>
      </c>
      <c r="E92" s="1">
        <v>0</v>
      </c>
      <c r="F92" s="1">
        <v>0</v>
      </c>
      <c r="G92" s="1">
        <v>0</v>
      </c>
      <c r="H92" s="1">
        <v>3</v>
      </c>
      <c r="I92" s="1">
        <v>0</v>
      </c>
      <c r="J92" s="4">
        <v>0</v>
      </c>
      <c r="K92" s="4">
        <v>0</v>
      </c>
      <c r="L92" s="5">
        <v>0</v>
      </c>
      <c r="M92" s="1">
        <v>1</v>
      </c>
    </row>
    <row r="93" spans="1:13" ht="20" customHeight="1" x14ac:dyDescent="0.15">
      <c r="A93" s="7" t="s">
        <v>111</v>
      </c>
      <c r="B93" s="1" t="s">
        <v>112</v>
      </c>
      <c r="C93" s="4">
        <f>4.84375/8.865671642</f>
        <v>0.54634890571102879</v>
      </c>
      <c r="D93" s="1">
        <v>1</v>
      </c>
      <c r="E93" s="1">
        <v>25</v>
      </c>
      <c r="F93" s="1">
        <v>0</v>
      </c>
      <c r="G93" s="1">
        <v>0</v>
      </c>
      <c r="H93" s="1">
        <v>3</v>
      </c>
      <c r="I93" s="1">
        <v>0</v>
      </c>
      <c r="J93" s="4">
        <v>0.625</v>
      </c>
      <c r="K93" s="4">
        <v>2.4557956777996069E-2</v>
      </c>
      <c r="L93" s="5">
        <v>2.5</v>
      </c>
      <c r="M93" s="1">
        <v>2</v>
      </c>
    </row>
    <row r="94" spans="1:13" ht="20" customHeight="1" x14ac:dyDescent="0.15">
      <c r="A94" s="7" t="s">
        <v>113</v>
      </c>
      <c r="B94" s="1" t="s">
        <v>78</v>
      </c>
      <c r="C94" s="4">
        <v>0.15</v>
      </c>
      <c r="D94" s="1">
        <v>0</v>
      </c>
      <c r="E94" s="1">
        <v>5</v>
      </c>
      <c r="F94" s="1">
        <v>0</v>
      </c>
      <c r="G94" s="1">
        <v>0</v>
      </c>
      <c r="H94" s="1">
        <v>0</v>
      </c>
      <c r="I94" s="1">
        <v>0</v>
      </c>
      <c r="J94" s="4">
        <v>0.5</v>
      </c>
      <c r="K94" s="4">
        <v>5.0607287449392713E-3</v>
      </c>
      <c r="L94" s="5">
        <v>0.5</v>
      </c>
      <c r="M94" s="1">
        <v>2</v>
      </c>
    </row>
    <row r="95" spans="1:13" ht="20" customHeight="1" x14ac:dyDescent="0.15">
      <c r="A95" s="7" t="s">
        <v>114</v>
      </c>
      <c r="B95" s="1" t="s">
        <v>76</v>
      </c>
      <c r="C95" s="4">
        <f>(2.5423728814+4+1)/10.75</f>
        <v>0.70161608199069769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4">
        <v>0</v>
      </c>
      <c r="K95" s="4">
        <v>0</v>
      </c>
      <c r="L95" s="5">
        <v>0</v>
      </c>
      <c r="M95" s="1">
        <v>3</v>
      </c>
    </row>
    <row r="96" spans="1:13" ht="20" customHeight="1" x14ac:dyDescent="0.15">
      <c r="A96" s="7" t="s">
        <v>114</v>
      </c>
      <c r="B96" s="1" t="s">
        <v>115</v>
      </c>
      <c r="C96" s="4">
        <f>(2.5423728814+4+1)/10.75</f>
        <v>0.70161608199069769</v>
      </c>
      <c r="D96" s="1">
        <v>0</v>
      </c>
      <c r="E96" s="1">
        <v>25</v>
      </c>
      <c r="F96" s="1">
        <v>0</v>
      </c>
      <c r="G96" s="1">
        <v>0</v>
      </c>
      <c r="H96" s="1">
        <v>1</v>
      </c>
      <c r="I96" s="1">
        <v>0</v>
      </c>
      <c r="J96" s="4">
        <v>0.625</v>
      </c>
      <c r="K96" s="4">
        <v>2.5693730729701953E-2</v>
      </c>
      <c r="L96" s="5">
        <v>2.5</v>
      </c>
      <c r="M96" s="1">
        <v>2</v>
      </c>
    </row>
    <row r="97" spans="1:13" ht="20" customHeight="1" x14ac:dyDescent="0.15">
      <c r="A97" s="7" t="s">
        <v>116</v>
      </c>
      <c r="B97" s="1" t="s">
        <v>91</v>
      </c>
      <c r="C97" s="4">
        <f>(2.5593220339+3)/10.8333333</f>
        <v>0.51316818932359443</v>
      </c>
      <c r="D97" s="1">
        <v>0</v>
      </c>
      <c r="E97" s="1">
        <v>40</v>
      </c>
      <c r="F97" s="1">
        <v>0</v>
      </c>
      <c r="G97" s="1">
        <v>0</v>
      </c>
      <c r="H97" s="1">
        <v>2</v>
      </c>
      <c r="I97" s="1">
        <v>0</v>
      </c>
      <c r="J97" s="4">
        <v>0.44444444444444442</v>
      </c>
      <c r="K97" s="4">
        <v>4.2194092827004218E-2</v>
      </c>
      <c r="L97" s="5">
        <v>4</v>
      </c>
      <c r="M97" s="1">
        <v>0</v>
      </c>
    </row>
    <row r="98" spans="1:13" ht="20" customHeight="1" x14ac:dyDescent="0.15">
      <c r="A98" s="7" t="s">
        <v>2</v>
      </c>
      <c r="B98" s="1" t="s">
        <v>85</v>
      </c>
      <c r="C98" s="4">
        <v>0.3</v>
      </c>
      <c r="D98" s="1">
        <v>1</v>
      </c>
      <c r="E98" s="1">
        <v>20</v>
      </c>
      <c r="F98" s="1">
        <v>0</v>
      </c>
      <c r="G98" s="1">
        <v>0</v>
      </c>
      <c r="H98" s="1">
        <v>0</v>
      </c>
      <c r="I98" s="1">
        <v>0</v>
      </c>
      <c r="J98" s="4">
        <v>1</v>
      </c>
      <c r="K98" s="4">
        <v>2.1321961620469083E-2</v>
      </c>
      <c r="L98" s="5">
        <v>2</v>
      </c>
      <c r="M98" s="1">
        <v>2</v>
      </c>
    </row>
    <row r="99" spans="1:13" ht="20" customHeight="1" x14ac:dyDescent="0.15">
      <c r="A99" s="7" t="s">
        <v>117</v>
      </c>
      <c r="B99" s="1" t="s">
        <v>74</v>
      </c>
      <c r="C99" s="4">
        <f>(4.640625+1.2+1)/8.76119403</f>
        <v>0.78078683985041253</v>
      </c>
      <c r="D99" s="1">
        <v>1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4">
        <v>0</v>
      </c>
      <c r="K99" s="4">
        <v>0</v>
      </c>
      <c r="L99" s="5">
        <v>0</v>
      </c>
      <c r="M99" s="1">
        <v>1</v>
      </c>
    </row>
    <row r="100" spans="1:13" ht="20" customHeight="1" x14ac:dyDescent="0.15">
      <c r="A100" s="7" t="s">
        <v>118</v>
      </c>
      <c r="B100" s="1" t="s">
        <v>74</v>
      </c>
      <c r="C100" s="4">
        <f>8.5820895522/16.52173913</f>
        <v>0.51944226238366953</v>
      </c>
      <c r="D100" s="1">
        <v>1</v>
      </c>
      <c r="E100" s="1">
        <v>0</v>
      </c>
      <c r="F100" s="1">
        <v>0</v>
      </c>
      <c r="G100" s="1">
        <v>0</v>
      </c>
      <c r="H100" s="1">
        <v>2</v>
      </c>
      <c r="I100" s="1">
        <v>0</v>
      </c>
      <c r="J100" s="4">
        <v>0</v>
      </c>
      <c r="K100" s="4">
        <v>0</v>
      </c>
      <c r="L100" s="5">
        <v>0</v>
      </c>
      <c r="M100" s="1">
        <v>1</v>
      </c>
    </row>
    <row r="101" spans="1:13" ht="20" customHeight="1" x14ac:dyDescent="0.15">
      <c r="A101" s="7" t="s">
        <v>119</v>
      </c>
      <c r="B101" s="1" t="s">
        <v>120</v>
      </c>
      <c r="C101" s="4">
        <f>8.5820895522/16.52173913</f>
        <v>0.51944226238366953</v>
      </c>
      <c r="D101" s="1">
        <v>1</v>
      </c>
      <c r="E101" s="1">
        <v>0</v>
      </c>
      <c r="F101" s="1">
        <v>0</v>
      </c>
      <c r="G101" s="1">
        <v>0</v>
      </c>
      <c r="H101" s="1">
        <v>3</v>
      </c>
      <c r="I101" s="1">
        <v>0</v>
      </c>
      <c r="J101" s="4">
        <v>0</v>
      </c>
      <c r="K101" s="4">
        <v>0</v>
      </c>
      <c r="L101" s="5">
        <v>0</v>
      </c>
      <c r="M101" s="1">
        <v>3</v>
      </c>
    </row>
    <row r="102" spans="1:13" ht="20" customHeight="1" x14ac:dyDescent="0.15">
      <c r="A102" s="7" t="s">
        <v>121</v>
      </c>
      <c r="B102" s="1" t="s">
        <v>91</v>
      </c>
      <c r="C102" s="4">
        <v>0.15</v>
      </c>
      <c r="D102" s="1">
        <v>0</v>
      </c>
      <c r="E102" s="1">
        <v>5</v>
      </c>
      <c r="F102" s="1">
        <v>0</v>
      </c>
      <c r="G102" s="1">
        <v>0</v>
      </c>
      <c r="H102" s="1">
        <v>0</v>
      </c>
      <c r="I102" s="1">
        <v>0</v>
      </c>
      <c r="J102" s="4">
        <v>0.5</v>
      </c>
      <c r="K102" s="4">
        <v>5.1387461459403904E-3</v>
      </c>
      <c r="L102" s="5">
        <v>0.5</v>
      </c>
      <c r="M102" s="1">
        <v>0</v>
      </c>
    </row>
    <row r="103" spans="1:13" ht="20" customHeight="1" x14ac:dyDescent="0.15">
      <c r="A103" s="7" t="s">
        <v>122</v>
      </c>
      <c r="B103" s="1" t="s">
        <v>91</v>
      </c>
      <c r="C103" s="4">
        <v>0</v>
      </c>
      <c r="D103" s="1">
        <v>0</v>
      </c>
      <c r="E103" s="1">
        <v>5</v>
      </c>
      <c r="F103" s="1">
        <v>0</v>
      </c>
      <c r="G103" s="1">
        <v>0</v>
      </c>
      <c r="H103" s="1">
        <v>0</v>
      </c>
      <c r="I103" s="1">
        <v>0</v>
      </c>
      <c r="J103" s="4">
        <v>0.5</v>
      </c>
      <c r="K103" s="4">
        <v>5.1387461459403904E-3</v>
      </c>
      <c r="L103" s="5">
        <v>0.5</v>
      </c>
      <c r="M103" s="1">
        <v>0</v>
      </c>
    </row>
    <row r="104" spans="1:13" ht="20" customHeight="1" x14ac:dyDescent="0.15">
      <c r="A104" s="7" t="s">
        <v>123</v>
      </c>
      <c r="B104" s="1" t="s">
        <v>78</v>
      </c>
      <c r="C104" s="4">
        <v>0.25</v>
      </c>
      <c r="D104" s="1">
        <v>0</v>
      </c>
      <c r="E104" s="1">
        <v>5</v>
      </c>
      <c r="F104" s="1">
        <v>0</v>
      </c>
      <c r="G104" s="1">
        <v>0</v>
      </c>
      <c r="H104" s="1">
        <v>0</v>
      </c>
      <c r="I104" s="1">
        <v>0</v>
      </c>
      <c r="J104" s="4">
        <v>0.5</v>
      </c>
      <c r="K104" s="4">
        <v>5.1124744376278121E-3</v>
      </c>
      <c r="L104" s="5">
        <v>0.5</v>
      </c>
      <c r="M104" s="1">
        <v>2</v>
      </c>
    </row>
    <row r="105" spans="1:13" ht="20" customHeight="1" x14ac:dyDescent="0.15">
      <c r="A105" s="7" t="s">
        <v>124</v>
      </c>
      <c r="B105" s="1" t="s">
        <v>125</v>
      </c>
      <c r="C105" s="4">
        <f>(4.796875+1)/16.75362319</f>
        <v>0.34600724477676403</v>
      </c>
      <c r="D105" s="1">
        <v>0</v>
      </c>
      <c r="E105" s="1">
        <v>10</v>
      </c>
      <c r="F105" s="1">
        <v>0</v>
      </c>
      <c r="G105" s="1">
        <v>0</v>
      </c>
      <c r="H105" s="1">
        <v>1</v>
      </c>
      <c r="I105" s="1">
        <v>0</v>
      </c>
      <c r="J105" s="4">
        <v>0.5</v>
      </c>
      <c r="K105" s="4">
        <v>1.0330578512396695E-2</v>
      </c>
      <c r="L105" s="5">
        <v>1</v>
      </c>
      <c r="M105" s="1">
        <v>2</v>
      </c>
    </row>
    <row r="106" spans="1:13" ht="20" customHeight="1" x14ac:dyDescent="0.15">
      <c r="A106" s="7" t="s">
        <v>126</v>
      </c>
      <c r="B106" s="1" t="s">
        <v>91</v>
      </c>
      <c r="C106" s="4">
        <f>4.796875/16.75362319</f>
        <v>0.28631866346756485</v>
      </c>
      <c r="D106" s="1">
        <v>0</v>
      </c>
      <c r="E106" s="1">
        <v>10</v>
      </c>
      <c r="F106" s="1">
        <v>0</v>
      </c>
      <c r="G106" s="1">
        <v>0</v>
      </c>
      <c r="H106" s="1">
        <v>2</v>
      </c>
      <c r="I106" s="1">
        <v>0</v>
      </c>
      <c r="J106" s="4">
        <v>0.25</v>
      </c>
      <c r="K106" s="4">
        <v>1.0438413361169102E-2</v>
      </c>
      <c r="L106" s="5">
        <v>1</v>
      </c>
      <c r="M106" s="1">
        <v>0</v>
      </c>
    </row>
    <row r="107" spans="1:13" ht="20" customHeight="1" x14ac:dyDescent="0.15">
      <c r="A107" s="7" t="s">
        <v>127</v>
      </c>
      <c r="B107" s="1" t="s">
        <v>97</v>
      </c>
      <c r="C107" s="4">
        <v>0.1</v>
      </c>
      <c r="D107" s="1">
        <v>1</v>
      </c>
      <c r="E107" s="1">
        <v>15</v>
      </c>
      <c r="F107" s="1">
        <v>0</v>
      </c>
      <c r="G107" s="1">
        <v>0</v>
      </c>
      <c r="H107" s="1">
        <v>0</v>
      </c>
      <c r="I107" s="1">
        <v>0</v>
      </c>
      <c r="J107" s="4">
        <v>0.75</v>
      </c>
      <c r="K107" s="4">
        <v>1.5822784810126583E-2</v>
      </c>
      <c r="L107" s="5">
        <v>1.5</v>
      </c>
      <c r="M107" s="1">
        <v>0</v>
      </c>
    </row>
    <row r="108" spans="1:13" ht="20" customHeight="1" x14ac:dyDescent="0.15">
      <c r="A108" s="7" t="s">
        <v>128</v>
      </c>
      <c r="B108" s="1" t="s">
        <v>91</v>
      </c>
      <c r="C108" s="4">
        <v>0</v>
      </c>
      <c r="D108" s="1">
        <v>0</v>
      </c>
      <c r="E108" s="1">
        <v>5</v>
      </c>
      <c r="F108" s="1">
        <v>0</v>
      </c>
      <c r="G108" s="1">
        <v>0</v>
      </c>
      <c r="H108" s="1">
        <v>0</v>
      </c>
      <c r="I108" s="1">
        <v>0</v>
      </c>
      <c r="J108" s="4">
        <v>0.5</v>
      </c>
      <c r="K108" s="4">
        <v>5.3022269353128317E-3</v>
      </c>
      <c r="L108" s="5">
        <v>0.5</v>
      </c>
      <c r="M108" s="1">
        <v>0</v>
      </c>
    </row>
    <row r="109" spans="1:13" ht="20" customHeight="1" x14ac:dyDescent="0.15">
      <c r="A109" s="7" t="s">
        <v>129</v>
      </c>
      <c r="B109" s="1" t="s">
        <v>97</v>
      </c>
      <c r="C109" s="4">
        <v>0.1</v>
      </c>
      <c r="D109" s="1">
        <v>1</v>
      </c>
      <c r="E109" s="1">
        <v>25</v>
      </c>
      <c r="F109" s="1">
        <v>0</v>
      </c>
      <c r="G109" s="1">
        <v>0</v>
      </c>
      <c r="H109" s="1">
        <v>0</v>
      </c>
      <c r="I109" s="1">
        <v>0</v>
      </c>
      <c r="J109" s="4">
        <v>1.25</v>
      </c>
      <c r="K109" s="4">
        <v>2.6795284030010719E-2</v>
      </c>
      <c r="L109" s="5">
        <v>2.5</v>
      </c>
      <c r="M109" s="1">
        <v>0</v>
      </c>
    </row>
    <row r="110" spans="1:13" ht="20" customHeight="1" x14ac:dyDescent="0.15">
      <c r="A110" s="7" t="s">
        <v>130</v>
      </c>
      <c r="B110" s="1" t="s">
        <v>78</v>
      </c>
      <c r="C110" s="4">
        <v>0.5</v>
      </c>
      <c r="D110" s="1">
        <v>0</v>
      </c>
      <c r="E110" s="1">
        <v>5</v>
      </c>
      <c r="F110" s="1">
        <v>0</v>
      </c>
      <c r="G110" s="1">
        <v>0</v>
      </c>
      <c r="H110" s="1">
        <v>0</v>
      </c>
      <c r="I110" s="1">
        <v>0</v>
      </c>
      <c r="J110" s="4">
        <v>0.5</v>
      </c>
      <c r="K110" s="4">
        <v>5.387931034482759E-3</v>
      </c>
      <c r="L110" s="5">
        <v>0.5</v>
      </c>
      <c r="M110" s="1">
        <v>2</v>
      </c>
    </row>
    <row r="111" spans="1:13" ht="20" customHeight="1" x14ac:dyDescent="0.15">
      <c r="A111" s="7" t="s">
        <v>131</v>
      </c>
      <c r="B111" s="1" t="s">
        <v>84</v>
      </c>
      <c r="C111" s="4">
        <f>(2.6271186441+3.333)/10.416666666</f>
        <v>0.57217138987021898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4">
        <v>0</v>
      </c>
      <c r="K111" s="4">
        <v>0</v>
      </c>
      <c r="L111" s="5">
        <v>0</v>
      </c>
      <c r="M111" s="1">
        <v>1</v>
      </c>
    </row>
    <row r="112" spans="1:13" ht="20" customHeight="1" x14ac:dyDescent="0.15">
      <c r="A112" s="7" t="s">
        <v>132</v>
      </c>
      <c r="B112" s="1" t="s">
        <v>84</v>
      </c>
      <c r="C112" s="4">
        <f>5.194915254/10.5</f>
        <v>0.49475383371428566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4">
        <v>0</v>
      </c>
      <c r="K112" s="4">
        <v>0</v>
      </c>
      <c r="L112" s="5">
        <v>0</v>
      </c>
      <c r="M112" s="1">
        <v>1</v>
      </c>
    </row>
    <row r="113" spans="1:13" ht="20" customHeight="1" x14ac:dyDescent="0.15">
      <c r="A113" s="7" t="s">
        <v>133</v>
      </c>
      <c r="B113" s="1" t="s">
        <v>84</v>
      </c>
      <c r="C113" s="4">
        <f>2.7966101695/12.78333333</f>
        <v>0.2187700263543077</v>
      </c>
      <c r="D113" s="1">
        <v>0</v>
      </c>
      <c r="E113" s="1">
        <v>0</v>
      </c>
      <c r="F113" s="1">
        <v>0</v>
      </c>
      <c r="G113" s="1">
        <v>0</v>
      </c>
      <c r="H113" s="1">
        <v>3</v>
      </c>
      <c r="I113" s="1">
        <v>0</v>
      </c>
      <c r="J113" s="4">
        <v>0</v>
      </c>
      <c r="K113" s="4">
        <v>0</v>
      </c>
      <c r="L113" s="5">
        <v>0</v>
      </c>
      <c r="M113" s="1">
        <v>1</v>
      </c>
    </row>
    <row r="114" spans="1:13" ht="20" customHeight="1" x14ac:dyDescent="0.15">
      <c r="A114" s="7" t="s">
        <v>134</v>
      </c>
      <c r="B114" s="1" t="s">
        <v>86</v>
      </c>
      <c r="C114" s="4">
        <v>0.35</v>
      </c>
      <c r="D114" s="1">
        <v>1</v>
      </c>
      <c r="E114" s="1">
        <v>23</v>
      </c>
      <c r="F114" s="1">
        <v>0</v>
      </c>
      <c r="G114" s="1">
        <v>0</v>
      </c>
      <c r="H114" s="1">
        <v>0</v>
      </c>
      <c r="I114" s="1">
        <v>0</v>
      </c>
      <c r="J114" s="4">
        <v>1.1499999999999999</v>
      </c>
      <c r="K114" s="4">
        <v>2.465166130760986E-2</v>
      </c>
      <c r="L114" s="5">
        <v>2.2999999999999998</v>
      </c>
      <c r="M114" s="1">
        <v>2</v>
      </c>
    </row>
    <row r="115" spans="1:13" ht="20" customHeight="1" x14ac:dyDescent="0.15">
      <c r="A115" s="7" t="s">
        <v>135</v>
      </c>
      <c r="B115" s="1" t="s">
        <v>74</v>
      </c>
      <c r="C115" s="4">
        <f>6.54545454545/16.46376812</f>
        <v>0.39756722141261547</v>
      </c>
      <c r="D115" s="1">
        <v>1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4">
        <v>0</v>
      </c>
      <c r="K115" s="4">
        <v>0</v>
      </c>
      <c r="L115" s="5">
        <v>0</v>
      </c>
      <c r="M115" s="1">
        <v>1</v>
      </c>
    </row>
    <row r="116" spans="1:13" ht="20" customHeight="1" x14ac:dyDescent="0.15">
      <c r="A116" s="7" t="s">
        <v>135</v>
      </c>
      <c r="B116" s="1" t="s">
        <v>86</v>
      </c>
      <c r="C116" s="4">
        <f>6.54545454545/16.46376812</f>
        <v>0.39756722141261547</v>
      </c>
      <c r="D116" s="1">
        <v>1</v>
      </c>
      <c r="E116" s="1">
        <v>33</v>
      </c>
      <c r="F116" s="1">
        <v>0</v>
      </c>
      <c r="G116" s="1">
        <v>0</v>
      </c>
      <c r="H116" s="1">
        <v>1</v>
      </c>
      <c r="I116" s="1">
        <v>0</v>
      </c>
      <c r="J116" s="4">
        <v>0.5</v>
      </c>
      <c r="K116" s="4">
        <v>3.6263736263736267E-2</v>
      </c>
      <c r="L116" s="5">
        <v>3.3</v>
      </c>
      <c r="M116" s="1">
        <v>2</v>
      </c>
    </row>
    <row r="117" spans="1:13" ht="20" customHeight="1" x14ac:dyDescent="0.15">
      <c r="A117" s="7" t="s">
        <v>136</v>
      </c>
      <c r="B117" s="1" t="s">
        <v>74</v>
      </c>
      <c r="C117" s="4">
        <f>6.54545454545/16.46376812</f>
        <v>0.39756722141261547</v>
      </c>
      <c r="D117" s="1">
        <v>1</v>
      </c>
      <c r="E117" s="1">
        <v>0</v>
      </c>
      <c r="F117" s="1">
        <v>0</v>
      </c>
      <c r="G117" s="1">
        <v>0</v>
      </c>
      <c r="H117" s="1">
        <v>2</v>
      </c>
      <c r="I117" s="1">
        <v>0</v>
      </c>
      <c r="J117" s="4">
        <v>0</v>
      </c>
      <c r="K117" s="4">
        <v>0</v>
      </c>
      <c r="L117" s="5">
        <v>0</v>
      </c>
      <c r="M117" s="1">
        <v>1</v>
      </c>
    </row>
    <row r="118" spans="1:13" ht="20" customHeight="1" x14ac:dyDescent="0.15">
      <c r="A118" s="7" t="s">
        <v>136</v>
      </c>
      <c r="B118" s="1" t="s">
        <v>137</v>
      </c>
      <c r="C118" s="4">
        <f>6.54545454545/16.46376812</f>
        <v>0.39756722141261547</v>
      </c>
      <c r="D118" s="1">
        <v>1</v>
      </c>
      <c r="E118" s="1">
        <v>75</v>
      </c>
      <c r="F118" s="1">
        <v>0</v>
      </c>
      <c r="G118" s="1">
        <v>0</v>
      </c>
      <c r="H118" s="1">
        <v>2</v>
      </c>
      <c r="I118" s="1">
        <v>0</v>
      </c>
      <c r="J118" s="4">
        <v>0.56818181818181823</v>
      </c>
      <c r="K118" s="4">
        <v>8.551881413911061E-2</v>
      </c>
      <c r="L118" s="5">
        <v>7.5</v>
      </c>
      <c r="M118" s="1">
        <v>2</v>
      </c>
    </row>
    <row r="119" spans="1:13" ht="20" customHeight="1" x14ac:dyDescent="0.15">
      <c r="A119" s="7" t="s">
        <v>138</v>
      </c>
      <c r="B119" s="1" t="s">
        <v>74</v>
      </c>
      <c r="C119" s="4">
        <f>6.54545454545/16.46376812</f>
        <v>0.39756722141261547</v>
      </c>
      <c r="D119" s="1">
        <v>1</v>
      </c>
      <c r="E119" s="1">
        <v>0</v>
      </c>
      <c r="F119" s="1">
        <v>0</v>
      </c>
      <c r="G119" s="1">
        <v>0</v>
      </c>
      <c r="H119" s="1">
        <v>3</v>
      </c>
      <c r="I119" s="1">
        <v>0</v>
      </c>
      <c r="J119" s="4">
        <v>0</v>
      </c>
      <c r="K119" s="4">
        <v>0</v>
      </c>
      <c r="L119" s="5">
        <v>0</v>
      </c>
      <c r="M119" s="1">
        <v>1</v>
      </c>
    </row>
    <row r="120" spans="1:13" ht="20" customHeight="1" x14ac:dyDescent="0.15">
      <c r="A120" s="7" t="s">
        <v>139</v>
      </c>
      <c r="B120" s="1" t="s">
        <v>78</v>
      </c>
      <c r="C120" s="4">
        <v>0.25</v>
      </c>
      <c r="D120" s="1">
        <v>0</v>
      </c>
      <c r="E120" s="1">
        <v>5</v>
      </c>
      <c r="F120" s="1">
        <v>0</v>
      </c>
      <c r="G120" s="1">
        <v>0</v>
      </c>
      <c r="H120" s="1">
        <v>0</v>
      </c>
      <c r="I120" s="1">
        <v>0</v>
      </c>
      <c r="J120" s="4">
        <v>0.5</v>
      </c>
      <c r="K120" s="4">
        <v>6.2735257214554582E-3</v>
      </c>
      <c r="L120" s="5">
        <v>0.5</v>
      </c>
      <c r="M120" s="1">
        <v>2</v>
      </c>
    </row>
    <row r="121" spans="1:13" ht="20" customHeight="1" x14ac:dyDescent="0.15">
      <c r="A121" s="7" t="s">
        <v>140</v>
      </c>
      <c r="B121" s="1" t="s">
        <v>76</v>
      </c>
      <c r="C121" s="4">
        <f>4.734375/8.880597015</f>
        <v>0.5331144957938394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4">
        <v>0</v>
      </c>
      <c r="K121" s="4">
        <v>0</v>
      </c>
      <c r="L121" s="5">
        <v>0</v>
      </c>
      <c r="M121" s="1">
        <v>3</v>
      </c>
    </row>
    <row r="122" spans="1:13" ht="20" customHeight="1" x14ac:dyDescent="0.15">
      <c r="A122" s="7" t="s">
        <v>141</v>
      </c>
      <c r="B122" s="1" t="s">
        <v>84</v>
      </c>
      <c r="C122" s="4">
        <f>4.796875/8.880597015</f>
        <v>0.54015231091983074</v>
      </c>
      <c r="D122" s="1">
        <v>0</v>
      </c>
      <c r="E122" s="1">
        <v>0</v>
      </c>
      <c r="F122" s="1">
        <v>0</v>
      </c>
      <c r="G122" s="1">
        <v>0</v>
      </c>
      <c r="H122" s="1">
        <v>2</v>
      </c>
      <c r="I122" s="1">
        <v>0</v>
      </c>
      <c r="J122" s="4">
        <v>0</v>
      </c>
      <c r="K122" s="4">
        <v>0</v>
      </c>
      <c r="L122" s="5">
        <v>0</v>
      </c>
      <c r="M122" s="1">
        <v>1</v>
      </c>
    </row>
    <row r="123" spans="1:13" ht="20" customHeight="1" x14ac:dyDescent="0.15">
      <c r="A123" s="7" t="s">
        <v>142</v>
      </c>
      <c r="B123" s="1" t="s">
        <v>115</v>
      </c>
      <c r="C123" s="4">
        <f>4.90625/11</f>
        <v>0.44602272727272729</v>
      </c>
      <c r="D123" s="1">
        <v>0</v>
      </c>
      <c r="E123" s="1">
        <v>25</v>
      </c>
      <c r="F123" s="1">
        <v>0</v>
      </c>
      <c r="G123" s="1">
        <v>0</v>
      </c>
      <c r="H123" s="1">
        <v>3</v>
      </c>
      <c r="I123" s="1">
        <v>0</v>
      </c>
      <c r="J123" s="4">
        <v>0.625</v>
      </c>
      <c r="K123" s="4">
        <v>3.1969309462915603E-2</v>
      </c>
      <c r="L123" s="5">
        <v>2.5</v>
      </c>
      <c r="M123" s="1">
        <v>2</v>
      </c>
    </row>
    <row r="124" spans="1:13" ht="20" customHeight="1" x14ac:dyDescent="0.15">
      <c r="A124" s="7" t="s">
        <v>143</v>
      </c>
      <c r="B124" s="1" t="s">
        <v>74</v>
      </c>
      <c r="C124" s="4">
        <v>0.15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4">
        <v>0</v>
      </c>
      <c r="K124" s="4">
        <v>0</v>
      </c>
      <c r="L124" s="5">
        <v>0</v>
      </c>
      <c r="M124" s="1">
        <v>1</v>
      </c>
    </row>
    <row r="125" spans="1:13" ht="20" customHeight="1" x14ac:dyDescent="0.15">
      <c r="A125" s="7" t="s">
        <v>140</v>
      </c>
      <c r="B125" s="1" t="s">
        <v>74</v>
      </c>
      <c r="C125" s="4">
        <f>5.081355932/8.880597015</f>
        <v>0.5721862982204019</v>
      </c>
      <c r="D125" s="1">
        <v>1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4">
        <v>0</v>
      </c>
      <c r="K125" s="4">
        <v>0</v>
      </c>
      <c r="L125" s="5">
        <v>0</v>
      </c>
      <c r="M125" s="1">
        <v>1</v>
      </c>
    </row>
    <row r="126" spans="1:13" ht="20" customHeight="1" x14ac:dyDescent="0.15">
      <c r="A126" s="7" t="s">
        <v>140</v>
      </c>
      <c r="B126" s="1" t="s">
        <v>77</v>
      </c>
      <c r="C126" s="4">
        <f>5.081355932/8.880597015</f>
        <v>0.5721862982204019</v>
      </c>
      <c r="D126" s="1">
        <v>1</v>
      </c>
      <c r="E126" s="1">
        <v>10</v>
      </c>
      <c r="F126" s="1">
        <v>0</v>
      </c>
      <c r="G126" s="1">
        <v>0</v>
      </c>
      <c r="H126" s="1">
        <v>1</v>
      </c>
      <c r="I126" s="1">
        <v>0</v>
      </c>
      <c r="J126" s="4">
        <v>0.5</v>
      </c>
      <c r="K126" s="4">
        <v>8.4175084175084174E-3</v>
      </c>
      <c r="L126" s="5">
        <v>1</v>
      </c>
      <c r="M126" s="1">
        <v>2</v>
      </c>
    </row>
    <row r="127" spans="1:13" ht="20" customHeight="1" x14ac:dyDescent="0.15">
      <c r="A127" s="7" t="s">
        <v>141</v>
      </c>
      <c r="B127" s="1" t="s">
        <v>74</v>
      </c>
      <c r="C127" s="4">
        <f>4.381355932/8.880597015</f>
        <v>0.49336276880929952</v>
      </c>
      <c r="D127" s="1">
        <v>1</v>
      </c>
      <c r="E127" s="1">
        <v>0</v>
      </c>
      <c r="F127" s="1">
        <v>0</v>
      </c>
      <c r="G127" s="1">
        <v>0</v>
      </c>
      <c r="H127" s="1">
        <v>2</v>
      </c>
      <c r="I127" s="1">
        <v>0</v>
      </c>
      <c r="J127" s="4">
        <v>0</v>
      </c>
      <c r="K127" s="4">
        <v>0</v>
      </c>
      <c r="L127" s="5">
        <v>0</v>
      </c>
      <c r="M127" s="1">
        <v>1</v>
      </c>
    </row>
    <row r="128" spans="1:13" ht="20" customHeight="1" x14ac:dyDescent="0.15">
      <c r="A128" s="7" t="s">
        <v>142</v>
      </c>
      <c r="B128" s="1" t="s">
        <v>144</v>
      </c>
      <c r="C128" s="4">
        <f>4.90625/11</f>
        <v>0.44602272727272729</v>
      </c>
      <c r="D128" s="1">
        <v>1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4">
        <v>0</v>
      </c>
      <c r="K128" s="4">
        <v>0</v>
      </c>
      <c r="L128" s="5">
        <v>0</v>
      </c>
      <c r="M128" s="1">
        <v>3</v>
      </c>
    </row>
    <row r="129" spans="1:13" ht="20" customHeight="1" x14ac:dyDescent="0.15">
      <c r="A129" s="7" t="s">
        <v>145</v>
      </c>
      <c r="B129" s="1" t="s">
        <v>78</v>
      </c>
      <c r="C129" s="4">
        <v>0.2</v>
      </c>
      <c r="D129" s="1">
        <v>0</v>
      </c>
      <c r="E129" s="1">
        <v>5</v>
      </c>
      <c r="F129" s="1">
        <v>0</v>
      </c>
      <c r="G129" s="1">
        <v>0</v>
      </c>
      <c r="H129" s="1">
        <v>0</v>
      </c>
      <c r="I129" s="1">
        <v>0</v>
      </c>
      <c r="J129" s="4">
        <v>0.5</v>
      </c>
      <c r="K129" s="4">
        <v>5.9031877213695395E-3</v>
      </c>
      <c r="L129" s="5">
        <v>0.5</v>
      </c>
      <c r="M129" s="1">
        <v>2</v>
      </c>
    </row>
    <row r="130" spans="1:13" ht="20" customHeight="1" x14ac:dyDescent="0.15">
      <c r="A130" s="7" t="s">
        <v>146</v>
      </c>
      <c r="B130" s="1" t="s">
        <v>76</v>
      </c>
      <c r="C130" s="4">
        <f>6.871875/8.71641791</f>
        <v>0.788382919561047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4">
        <v>0</v>
      </c>
      <c r="K130" s="4">
        <v>0</v>
      </c>
      <c r="L130" s="5">
        <v>0</v>
      </c>
      <c r="M130" s="1">
        <v>3</v>
      </c>
    </row>
    <row r="131" spans="1:13" ht="20" customHeight="1" x14ac:dyDescent="0.15">
      <c r="A131" s="7" t="s">
        <v>147</v>
      </c>
      <c r="B131" s="1" t="s">
        <v>97</v>
      </c>
      <c r="C131" s="4">
        <v>0.15</v>
      </c>
      <c r="D131" s="1">
        <v>1</v>
      </c>
      <c r="E131" s="1">
        <v>23</v>
      </c>
      <c r="F131" s="1">
        <v>0</v>
      </c>
      <c r="G131" s="1">
        <v>0</v>
      </c>
      <c r="H131" s="1">
        <v>0</v>
      </c>
      <c r="I131" s="1">
        <v>0</v>
      </c>
      <c r="J131" s="4">
        <v>1.1499999999999999</v>
      </c>
      <c r="K131" s="4">
        <v>2.699530516431925E-2</v>
      </c>
      <c r="L131" s="5">
        <v>2.2999999999999998</v>
      </c>
      <c r="M131" s="1">
        <v>0</v>
      </c>
    </row>
    <row r="132" spans="1:13" ht="20" customHeight="1" x14ac:dyDescent="0.15">
      <c r="A132" s="7" t="s">
        <v>148</v>
      </c>
      <c r="B132" s="1" t="s">
        <v>91</v>
      </c>
      <c r="C132" s="4">
        <v>0</v>
      </c>
      <c r="D132" s="1">
        <v>0</v>
      </c>
      <c r="E132" s="1">
        <v>5</v>
      </c>
      <c r="F132" s="1">
        <v>0</v>
      </c>
      <c r="G132" s="1">
        <v>0</v>
      </c>
      <c r="H132" s="1">
        <v>0</v>
      </c>
      <c r="I132" s="1">
        <v>0</v>
      </c>
      <c r="J132" s="4">
        <v>0.5</v>
      </c>
      <c r="K132" s="4">
        <v>5.9031877213695395E-3</v>
      </c>
      <c r="L132" s="5">
        <v>0.5</v>
      </c>
      <c r="M132" s="1">
        <v>0</v>
      </c>
    </row>
    <row r="133" spans="1:13" ht="20" customHeight="1" x14ac:dyDescent="0.15">
      <c r="A133" s="7" t="s">
        <v>149</v>
      </c>
      <c r="B133" s="1" t="s">
        <v>91</v>
      </c>
      <c r="C133" s="4">
        <v>0.1</v>
      </c>
      <c r="D133" s="1">
        <v>0</v>
      </c>
      <c r="E133" s="1">
        <v>5</v>
      </c>
      <c r="F133" s="1">
        <v>0</v>
      </c>
      <c r="G133" s="1">
        <v>0</v>
      </c>
      <c r="H133" s="1">
        <v>0</v>
      </c>
      <c r="I133" s="1">
        <v>0</v>
      </c>
      <c r="J133" s="4">
        <v>0.5</v>
      </c>
      <c r="K133" s="4">
        <v>5.9031877213695395E-3</v>
      </c>
      <c r="L133" s="5">
        <v>0.5</v>
      </c>
      <c r="M133" s="1">
        <v>0</v>
      </c>
    </row>
    <row r="134" spans="1:13" ht="20" customHeight="1" x14ac:dyDescent="0.15">
      <c r="A134" s="7" t="s">
        <v>150</v>
      </c>
      <c r="B134" s="1" t="s">
        <v>99</v>
      </c>
      <c r="C134" s="4">
        <v>0.35</v>
      </c>
      <c r="D134" s="1">
        <v>1</v>
      </c>
      <c r="E134" s="1">
        <v>25</v>
      </c>
      <c r="F134" s="1">
        <v>0</v>
      </c>
      <c r="G134" s="1">
        <v>0</v>
      </c>
      <c r="H134" s="1">
        <v>0</v>
      </c>
      <c r="I134" s="1">
        <v>0</v>
      </c>
      <c r="J134" s="4">
        <v>1.25</v>
      </c>
      <c r="K134" s="4">
        <v>2.986857825567503E-2</v>
      </c>
      <c r="L134" s="5">
        <v>2.5</v>
      </c>
      <c r="M134" s="1">
        <v>2</v>
      </c>
    </row>
    <row r="135" spans="1:13" ht="20" customHeight="1" x14ac:dyDescent="0.15">
      <c r="A135" s="7" t="s">
        <v>151</v>
      </c>
      <c r="B135" s="1" t="s">
        <v>74</v>
      </c>
      <c r="C135" s="4">
        <f>4.810169492/8.626865672</f>
        <v>0.55758020060660574</v>
      </c>
      <c r="D135" s="1">
        <v>1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4">
        <v>0</v>
      </c>
      <c r="K135" s="4">
        <v>0</v>
      </c>
      <c r="L135" s="5">
        <v>0</v>
      </c>
      <c r="M135" s="1">
        <v>1</v>
      </c>
    </row>
    <row r="136" spans="1:13" ht="20" customHeight="1" x14ac:dyDescent="0.15">
      <c r="A136" s="7" t="s">
        <v>151</v>
      </c>
      <c r="B136" s="1" t="s">
        <v>152</v>
      </c>
      <c r="C136" s="4">
        <f>4.810169492/8.626865672</f>
        <v>0.55758020060660574</v>
      </c>
      <c r="D136" s="1">
        <v>1</v>
      </c>
      <c r="E136" s="1">
        <v>35</v>
      </c>
      <c r="F136" s="1">
        <v>0</v>
      </c>
      <c r="G136" s="1">
        <v>0</v>
      </c>
      <c r="H136" s="1">
        <v>1</v>
      </c>
      <c r="I136" s="1">
        <v>0</v>
      </c>
      <c r="J136" s="4">
        <v>0.5</v>
      </c>
      <c r="K136" s="4">
        <v>4.3103448275862072E-2</v>
      </c>
      <c r="L136" s="5">
        <v>3.5</v>
      </c>
      <c r="M136" s="1">
        <v>0</v>
      </c>
    </row>
    <row r="137" spans="1:13" ht="20" customHeight="1" x14ac:dyDescent="0.15">
      <c r="A137" s="7" t="s">
        <v>153</v>
      </c>
      <c r="B137" s="1" t="s">
        <v>78</v>
      </c>
      <c r="C137" s="4">
        <v>0.25</v>
      </c>
      <c r="D137" s="1">
        <v>0</v>
      </c>
      <c r="E137" s="1">
        <v>5</v>
      </c>
      <c r="F137" s="1">
        <v>0</v>
      </c>
      <c r="G137" s="1">
        <v>0</v>
      </c>
      <c r="H137" s="1">
        <v>0</v>
      </c>
      <c r="I137" s="1">
        <v>0</v>
      </c>
      <c r="J137" s="4">
        <v>0.5</v>
      </c>
      <c r="K137" s="4">
        <v>6.1957868649318466E-3</v>
      </c>
      <c r="L137" s="5">
        <v>0.5</v>
      </c>
      <c r="M137" s="1">
        <v>2</v>
      </c>
    </row>
    <row r="138" spans="1:13" ht="20" customHeight="1" x14ac:dyDescent="0.15">
      <c r="A138" s="7" t="s">
        <v>154</v>
      </c>
      <c r="B138" s="1" t="s">
        <v>76</v>
      </c>
      <c r="C138" s="4">
        <f>6.40625/10.41666666</f>
        <v>0.61500000039359992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4">
        <v>0</v>
      </c>
      <c r="K138" s="4">
        <v>0</v>
      </c>
      <c r="L138" s="5">
        <v>0</v>
      </c>
      <c r="M138" s="1">
        <v>3</v>
      </c>
    </row>
    <row r="139" spans="1:13" ht="20" customHeight="1" x14ac:dyDescent="0.15">
      <c r="A139" s="7" t="s">
        <v>155</v>
      </c>
      <c r="B139" s="1" t="s">
        <v>91</v>
      </c>
      <c r="C139" s="4">
        <v>0.05</v>
      </c>
      <c r="D139" s="1">
        <v>0</v>
      </c>
      <c r="E139" s="1">
        <v>5</v>
      </c>
      <c r="F139" s="1">
        <v>0</v>
      </c>
      <c r="G139" s="1">
        <v>0</v>
      </c>
      <c r="H139" s="1">
        <v>0</v>
      </c>
      <c r="I139" s="1">
        <v>0</v>
      </c>
      <c r="J139" s="4">
        <v>0.5</v>
      </c>
      <c r="K139" s="4">
        <v>6.1199510403916772E-3</v>
      </c>
      <c r="L139" s="5">
        <v>0.5</v>
      </c>
      <c r="M139" s="1">
        <v>0</v>
      </c>
    </row>
    <row r="140" spans="1:13" ht="20" customHeight="1" x14ac:dyDescent="0.15">
      <c r="A140" s="7" t="s">
        <v>156</v>
      </c>
      <c r="B140" s="1" t="s">
        <v>87</v>
      </c>
      <c r="C140" s="4">
        <v>0.35</v>
      </c>
      <c r="D140" s="1">
        <v>0</v>
      </c>
      <c r="E140" s="1">
        <v>5</v>
      </c>
      <c r="F140" s="1">
        <v>0</v>
      </c>
      <c r="G140" s="1">
        <v>0</v>
      </c>
      <c r="H140" s="1">
        <v>0</v>
      </c>
      <c r="I140" s="1">
        <v>0</v>
      </c>
      <c r="J140" s="4">
        <v>0.5</v>
      </c>
      <c r="K140" s="4">
        <v>6.1957868649318466E-3</v>
      </c>
      <c r="L140" s="5">
        <v>0.5</v>
      </c>
      <c r="M140" s="1">
        <v>3</v>
      </c>
    </row>
    <row r="141" spans="1:13" ht="20" customHeight="1" x14ac:dyDescent="0.15">
      <c r="A141" s="7" t="s">
        <v>157</v>
      </c>
      <c r="B141" s="1" t="s">
        <v>97</v>
      </c>
      <c r="C141" s="4">
        <v>0.15</v>
      </c>
      <c r="D141" s="1">
        <v>1</v>
      </c>
      <c r="E141" s="1">
        <v>23</v>
      </c>
      <c r="F141" s="1">
        <v>0</v>
      </c>
      <c r="G141" s="1">
        <v>0</v>
      </c>
      <c r="H141" s="1">
        <v>0</v>
      </c>
      <c r="I141" s="1">
        <v>0</v>
      </c>
      <c r="J141" s="4">
        <v>1.1499999999999999</v>
      </c>
      <c r="K141" s="4">
        <v>2.832512315270936E-2</v>
      </c>
      <c r="L141" s="5">
        <v>2.2999999999999998</v>
      </c>
      <c r="M141" s="1">
        <v>0</v>
      </c>
    </row>
    <row r="142" spans="1:13" ht="20" customHeight="1" x14ac:dyDescent="0.15">
      <c r="A142" s="7" t="s">
        <v>158</v>
      </c>
      <c r="B142" s="1" t="s">
        <v>87</v>
      </c>
      <c r="C142" s="4">
        <v>0.25</v>
      </c>
      <c r="D142" s="1">
        <v>0</v>
      </c>
      <c r="E142" s="1">
        <v>5</v>
      </c>
      <c r="F142" s="1">
        <v>0</v>
      </c>
      <c r="G142" s="1">
        <v>0</v>
      </c>
      <c r="H142" s="1">
        <v>0</v>
      </c>
      <c r="I142" s="1">
        <v>0</v>
      </c>
      <c r="J142" s="4">
        <v>0.5</v>
      </c>
      <c r="K142" s="4">
        <v>6.1957868649318466E-3</v>
      </c>
      <c r="L142" s="5">
        <v>0.5</v>
      </c>
      <c r="M142" s="1">
        <v>3</v>
      </c>
    </row>
    <row r="143" spans="1:13" ht="20" customHeight="1" x14ac:dyDescent="0.15">
      <c r="A143" s="7" t="s">
        <v>159</v>
      </c>
      <c r="B143" s="1" t="s">
        <v>88</v>
      </c>
      <c r="C143" s="4">
        <f>4.421875/8.641791045</f>
        <v>0.51168501725790105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1</v>
      </c>
      <c r="J143" s="4">
        <v>0</v>
      </c>
      <c r="K143" s="4">
        <v>0</v>
      </c>
      <c r="L143" s="5">
        <v>0</v>
      </c>
      <c r="M143" s="1">
        <v>3</v>
      </c>
    </row>
    <row r="144" spans="1:13" ht="20" customHeight="1" x14ac:dyDescent="0.15">
      <c r="A144" s="7" t="s">
        <v>159</v>
      </c>
      <c r="B144" s="1" t="s">
        <v>91</v>
      </c>
      <c r="C144" s="4">
        <f>4.421875/8.641791045</f>
        <v>0.51168501725790105</v>
      </c>
      <c r="D144" s="1">
        <v>0</v>
      </c>
      <c r="E144" s="1">
        <v>75</v>
      </c>
      <c r="F144" s="1">
        <v>0</v>
      </c>
      <c r="G144" s="1">
        <v>0</v>
      </c>
      <c r="H144" s="1">
        <v>1</v>
      </c>
      <c r="I144" s="1">
        <v>1</v>
      </c>
      <c r="J144" s="4">
        <v>0.75</v>
      </c>
      <c r="K144" s="4">
        <v>9.8425196850393706E-2</v>
      </c>
      <c r="L144" s="5">
        <v>7.5</v>
      </c>
      <c r="M144" s="1">
        <v>0</v>
      </c>
    </row>
    <row r="145" spans="1:13" ht="20" customHeight="1" x14ac:dyDescent="0.15">
      <c r="A145" s="7" t="s">
        <v>160</v>
      </c>
      <c r="B145" s="1" t="s">
        <v>86</v>
      </c>
      <c r="C145" s="4">
        <v>0.4</v>
      </c>
      <c r="D145" s="1">
        <v>1</v>
      </c>
      <c r="E145" s="1">
        <v>23</v>
      </c>
      <c r="F145" s="1">
        <v>0</v>
      </c>
      <c r="G145" s="1">
        <v>0</v>
      </c>
      <c r="H145" s="1">
        <v>0</v>
      </c>
      <c r="I145" s="1">
        <v>0</v>
      </c>
      <c r="J145" s="4">
        <v>1.1499999999999999</v>
      </c>
      <c r="K145" s="4">
        <v>3.0585106382978722E-2</v>
      </c>
      <c r="L145" s="5">
        <v>2.2999999999999998</v>
      </c>
      <c r="M145" s="1">
        <v>2</v>
      </c>
    </row>
    <row r="146" spans="1:13" ht="20" customHeight="1" x14ac:dyDescent="0.15">
      <c r="A146" s="7" t="s">
        <v>161</v>
      </c>
      <c r="B146" s="1" t="s">
        <v>74</v>
      </c>
      <c r="C146" s="4">
        <f>4.677966102/8.5970149254</f>
        <v>0.54413841811288288</v>
      </c>
      <c r="D146" s="1">
        <v>1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4">
        <v>0</v>
      </c>
      <c r="K146" s="4">
        <v>0</v>
      </c>
      <c r="L146" s="5">
        <v>0</v>
      </c>
      <c r="M146" s="1">
        <v>1</v>
      </c>
    </row>
    <row r="147" spans="1:13" ht="20" customHeight="1" x14ac:dyDescent="0.15">
      <c r="A147" s="7" t="s">
        <v>162</v>
      </c>
      <c r="B147" s="1" t="s">
        <v>163</v>
      </c>
      <c r="C147" s="4">
        <f>6.0625/16.3188405797</f>
        <v>0.37150310834836592</v>
      </c>
      <c r="D147" s="1">
        <v>1</v>
      </c>
      <c r="E147" s="1">
        <v>0</v>
      </c>
      <c r="F147" s="1">
        <v>0</v>
      </c>
      <c r="G147" s="1">
        <v>0</v>
      </c>
      <c r="H147" s="1">
        <v>2</v>
      </c>
      <c r="I147" s="1">
        <v>0</v>
      </c>
      <c r="J147" s="4">
        <v>0</v>
      </c>
      <c r="K147" s="4">
        <v>0</v>
      </c>
      <c r="L147" s="5">
        <v>0</v>
      </c>
      <c r="M147" s="1">
        <v>3</v>
      </c>
    </row>
    <row r="148" spans="1:13" ht="20" customHeight="1" x14ac:dyDescent="0.15">
      <c r="A148" s="7" t="s">
        <v>164</v>
      </c>
      <c r="B148" s="1" t="s">
        <v>165</v>
      </c>
      <c r="C148" s="4">
        <f>8.447761194/16.3768115942</f>
        <v>0.51583674547442759</v>
      </c>
      <c r="D148" s="1">
        <v>1</v>
      </c>
      <c r="E148" s="1">
        <v>0</v>
      </c>
      <c r="F148" s="1">
        <v>0</v>
      </c>
      <c r="G148" s="1">
        <v>0</v>
      </c>
      <c r="H148" s="1">
        <v>3</v>
      </c>
      <c r="I148" s="1">
        <v>0</v>
      </c>
      <c r="J148" s="4">
        <v>0</v>
      </c>
      <c r="K148" s="4">
        <v>0</v>
      </c>
      <c r="L148" s="5">
        <v>0</v>
      </c>
      <c r="M148" s="1">
        <v>3</v>
      </c>
    </row>
    <row r="149" spans="1:13" ht="20" customHeight="1" x14ac:dyDescent="0.15">
      <c r="A149" s="7" t="s">
        <v>166</v>
      </c>
      <c r="B149" s="1" t="s">
        <v>78</v>
      </c>
      <c r="C149" s="4">
        <v>0.15</v>
      </c>
      <c r="D149" s="1">
        <v>0</v>
      </c>
      <c r="E149" s="1">
        <v>5</v>
      </c>
      <c r="F149" s="1">
        <v>0</v>
      </c>
      <c r="G149" s="1">
        <v>0</v>
      </c>
      <c r="H149" s="1">
        <v>0</v>
      </c>
      <c r="I149" s="1">
        <v>0</v>
      </c>
      <c r="J149" s="4">
        <v>0.5</v>
      </c>
      <c r="K149" s="4">
        <v>6.0753341433778859E-3</v>
      </c>
      <c r="L149" s="5">
        <v>0.5</v>
      </c>
      <c r="M149" s="1">
        <v>2</v>
      </c>
    </row>
    <row r="150" spans="1:13" ht="20" customHeight="1" x14ac:dyDescent="0.15">
      <c r="A150" s="7" t="s">
        <v>167</v>
      </c>
      <c r="B150" s="1" t="s">
        <v>84</v>
      </c>
      <c r="C150" s="4">
        <f>3.576271186/8.537313433</f>
        <v>0.41889889765278343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4">
        <v>0</v>
      </c>
      <c r="K150" s="4">
        <v>0</v>
      </c>
      <c r="L150" s="5">
        <v>0</v>
      </c>
      <c r="M150" s="1">
        <v>1</v>
      </c>
    </row>
    <row r="151" spans="1:13" ht="20" customHeight="1" x14ac:dyDescent="0.15">
      <c r="A151" s="7" t="s">
        <v>168</v>
      </c>
      <c r="B151" s="1" t="s">
        <v>84</v>
      </c>
      <c r="C151" s="4">
        <f>2.6779661017/8.6268656716</f>
        <v>0.31042167615011973</v>
      </c>
      <c r="D151" s="1">
        <v>0</v>
      </c>
      <c r="E151" s="1">
        <v>0</v>
      </c>
      <c r="F151" s="1">
        <v>0</v>
      </c>
      <c r="G151" s="1">
        <v>0</v>
      </c>
      <c r="H151" s="1">
        <v>2</v>
      </c>
      <c r="I151" s="1">
        <v>0</v>
      </c>
      <c r="J151" s="4">
        <v>0</v>
      </c>
      <c r="K151" s="4">
        <v>0</v>
      </c>
      <c r="L151" s="5">
        <v>0</v>
      </c>
      <c r="M151" s="1">
        <v>1</v>
      </c>
    </row>
    <row r="152" spans="1:13" ht="20" customHeight="1" x14ac:dyDescent="0.15">
      <c r="A152" s="7" t="s">
        <v>169</v>
      </c>
      <c r="B152" s="1" t="s">
        <v>84</v>
      </c>
      <c r="C152" s="4">
        <f>4.546875/16.2608695652</f>
        <v>0.27962065508051298</v>
      </c>
      <c r="D152" s="1">
        <v>0</v>
      </c>
      <c r="E152" s="1">
        <v>0</v>
      </c>
      <c r="F152" s="1">
        <v>0</v>
      </c>
      <c r="G152" s="1">
        <v>0</v>
      </c>
      <c r="H152" s="1">
        <v>3</v>
      </c>
      <c r="I152" s="1">
        <v>0</v>
      </c>
      <c r="J152" s="4">
        <v>0</v>
      </c>
      <c r="K152" s="4">
        <v>0</v>
      </c>
      <c r="L152" s="5">
        <v>0</v>
      </c>
      <c r="M152" s="1">
        <v>1</v>
      </c>
    </row>
    <row r="153" spans="1:13" ht="20" customHeight="1" x14ac:dyDescent="0.15">
      <c r="A153" s="7" t="s">
        <v>170</v>
      </c>
      <c r="B153" s="1" t="s">
        <v>87</v>
      </c>
      <c r="C153" s="4">
        <v>0.4</v>
      </c>
      <c r="D153" s="1">
        <v>0</v>
      </c>
      <c r="E153" s="1">
        <v>5</v>
      </c>
      <c r="F153" s="1">
        <v>0</v>
      </c>
      <c r="G153" s="1">
        <v>0</v>
      </c>
      <c r="H153" s="1">
        <v>0</v>
      </c>
      <c r="I153" s="1">
        <v>0</v>
      </c>
      <c r="J153" s="4">
        <v>0.5</v>
      </c>
      <c r="K153" s="4">
        <v>5.9665871121718375E-3</v>
      </c>
      <c r="L153" s="5">
        <v>0.5</v>
      </c>
      <c r="M153" s="1">
        <v>3</v>
      </c>
    </row>
    <row r="154" spans="1:13" ht="20" customHeight="1" x14ac:dyDescent="0.15">
      <c r="A154" s="7" t="s">
        <v>171</v>
      </c>
      <c r="B154" s="1" t="s">
        <v>74</v>
      </c>
      <c r="C154" s="4">
        <v>0.05</v>
      </c>
      <c r="D154" s="1">
        <v>1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4">
        <v>0</v>
      </c>
      <c r="K154" s="4">
        <v>0</v>
      </c>
      <c r="L154" s="5">
        <v>0</v>
      </c>
      <c r="M154" s="1">
        <v>1</v>
      </c>
    </row>
    <row r="155" spans="1:13" ht="20" customHeight="1" x14ac:dyDescent="0.15">
      <c r="A155" s="7" t="s">
        <v>172</v>
      </c>
      <c r="B155" s="1" t="s">
        <v>74</v>
      </c>
      <c r="C155" s="4">
        <f>6.115254237/11</f>
        <v>0.55593220336363636</v>
      </c>
      <c r="D155" s="1">
        <v>1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4">
        <v>0</v>
      </c>
      <c r="K155" s="4">
        <v>0</v>
      </c>
      <c r="L155" s="5">
        <v>0</v>
      </c>
      <c r="M155" s="1">
        <v>1</v>
      </c>
    </row>
    <row r="156" spans="1:13" ht="20" customHeight="1" x14ac:dyDescent="0.15">
      <c r="A156" s="7" t="s">
        <v>172</v>
      </c>
      <c r="B156" s="1" t="s">
        <v>77</v>
      </c>
      <c r="C156" s="4">
        <f>6.115254237/11</f>
        <v>0.55593220336363636</v>
      </c>
      <c r="D156" s="1">
        <v>1</v>
      </c>
      <c r="E156" s="1">
        <v>10</v>
      </c>
      <c r="F156" s="1">
        <v>0</v>
      </c>
      <c r="G156" s="1">
        <v>0</v>
      </c>
      <c r="H156" s="1">
        <v>1</v>
      </c>
      <c r="I156" s="1">
        <v>0</v>
      </c>
      <c r="J156" s="4">
        <v>0.5</v>
      </c>
      <c r="K156" s="4">
        <v>1.1862396204033215E-2</v>
      </c>
      <c r="L156" s="5">
        <v>1</v>
      </c>
      <c r="M156" s="1">
        <v>2</v>
      </c>
    </row>
    <row r="157" spans="1:13" ht="20" customHeight="1" x14ac:dyDescent="0.15">
      <c r="A157" s="7" t="s">
        <v>173</v>
      </c>
      <c r="B157" s="1" t="s">
        <v>74</v>
      </c>
      <c r="C157" s="4">
        <f>4.415254237/11</f>
        <v>0.40138674881818182</v>
      </c>
      <c r="D157" s="1">
        <v>1</v>
      </c>
      <c r="E157" s="1">
        <v>0</v>
      </c>
      <c r="F157" s="1">
        <v>0</v>
      </c>
      <c r="G157" s="1">
        <v>0</v>
      </c>
      <c r="H157" s="1">
        <v>2</v>
      </c>
      <c r="I157" s="1">
        <v>0</v>
      </c>
      <c r="J157" s="4">
        <v>0</v>
      </c>
      <c r="K157" s="4">
        <v>0</v>
      </c>
      <c r="L157" s="5">
        <v>0</v>
      </c>
      <c r="M157" s="1">
        <v>1</v>
      </c>
    </row>
    <row r="158" spans="1:13" ht="20" customHeight="1" x14ac:dyDescent="0.15">
      <c r="A158" s="7" t="s">
        <v>174</v>
      </c>
      <c r="B158" s="1" t="s">
        <v>74</v>
      </c>
      <c r="C158" s="4">
        <f>2.9322033898/11</f>
        <v>0.26656394452727272</v>
      </c>
      <c r="D158" s="1">
        <v>1</v>
      </c>
      <c r="E158" s="1">
        <v>0</v>
      </c>
      <c r="F158" s="1">
        <v>0</v>
      </c>
      <c r="G158" s="1">
        <v>0</v>
      </c>
      <c r="H158" s="1">
        <v>3</v>
      </c>
      <c r="I158" s="1">
        <v>0</v>
      </c>
      <c r="J158" s="4">
        <v>0</v>
      </c>
      <c r="K158" s="4">
        <v>0</v>
      </c>
      <c r="L158" s="5">
        <v>0</v>
      </c>
      <c r="M158" s="1">
        <v>1</v>
      </c>
    </row>
    <row r="159" spans="1:13" ht="20" customHeight="1" x14ac:dyDescent="0.15">
      <c r="A159" s="7" t="s">
        <v>175</v>
      </c>
      <c r="B159" s="1" t="s">
        <v>91</v>
      </c>
      <c r="C159" s="4">
        <v>-0.05</v>
      </c>
      <c r="D159" s="1">
        <v>0</v>
      </c>
      <c r="E159" s="1">
        <v>5</v>
      </c>
      <c r="F159" s="1">
        <v>0</v>
      </c>
      <c r="G159" s="1">
        <v>0</v>
      </c>
      <c r="H159" s="1">
        <v>0</v>
      </c>
      <c r="I159" s="1">
        <v>0</v>
      </c>
      <c r="J159" s="4">
        <v>0.5</v>
      </c>
      <c r="K159" s="4">
        <v>5.7603686635944703E-3</v>
      </c>
      <c r="L159" s="5">
        <v>0.5</v>
      </c>
      <c r="M159" s="1">
        <v>0</v>
      </c>
    </row>
    <row r="160" spans="1:13" ht="20" customHeight="1" x14ac:dyDescent="0.15">
      <c r="A160" s="7" t="s">
        <v>176</v>
      </c>
      <c r="B160" s="1" t="s">
        <v>97</v>
      </c>
      <c r="C160" s="4">
        <v>0.05</v>
      </c>
      <c r="D160" s="1">
        <v>1</v>
      </c>
      <c r="E160" s="1">
        <v>20</v>
      </c>
      <c r="F160" s="1">
        <v>0</v>
      </c>
      <c r="G160" s="1">
        <v>0</v>
      </c>
      <c r="H160" s="1">
        <v>0</v>
      </c>
      <c r="I160" s="1">
        <v>0</v>
      </c>
      <c r="J160" s="4">
        <v>1</v>
      </c>
      <c r="K160" s="4">
        <v>2.3310023310023312E-2</v>
      </c>
      <c r="L160" s="5">
        <v>2</v>
      </c>
      <c r="M160" s="1">
        <v>0</v>
      </c>
    </row>
    <row r="161" spans="1:13" ht="20" customHeight="1" x14ac:dyDescent="0.15">
      <c r="A161" s="7" t="s">
        <v>177</v>
      </c>
      <c r="B161" s="1" t="s">
        <v>78</v>
      </c>
      <c r="C161" s="4">
        <v>0.2</v>
      </c>
      <c r="D161" s="1">
        <v>0</v>
      </c>
      <c r="E161" s="1">
        <v>5</v>
      </c>
      <c r="F161" s="1">
        <v>0</v>
      </c>
      <c r="G161" s="1">
        <v>0</v>
      </c>
      <c r="H161" s="1">
        <v>0</v>
      </c>
      <c r="I161" s="1">
        <v>0</v>
      </c>
      <c r="J161" s="4">
        <v>0.5</v>
      </c>
      <c r="K161" s="4">
        <v>5.8616647127784291E-3</v>
      </c>
      <c r="L161" s="4">
        <v>0.5</v>
      </c>
      <c r="M161" s="1">
        <v>2</v>
      </c>
    </row>
    <row r="162" spans="1:13" ht="20" customHeight="1" x14ac:dyDescent="0.15">
      <c r="A162" s="7" t="s">
        <v>178</v>
      </c>
      <c r="B162" s="1" t="s">
        <v>76</v>
      </c>
      <c r="C162" s="4">
        <f>5.746875/12.8</f>
        <v>0.448974609375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4">
        <v>0</v>
      </c>
      <c r="K162" s="4">
        <v>0</v>
      </c>
      <c r="L162" s="4">
        <v>0</v>
      </c>
      <c r="M162" s="1">
        <v>3</v>
      </c>
    </row>
    <row r="163" spans="1:13" ht="20" customHeight="1" x14ac:dyDescent="0.15">
      <c r="A163" s="7" t="s">
        <v>179</v>
      </c>
      <c r="B163" s="1" t="s">
        <v>97</v>
      </c>
      <c r="C163" s="4">
        <v>0.05</v>
      </c>
      <c r="D163" s="1">
        <v>1</v>
      </c>
      <c r="E163" s="1">
        <v>23</v>
      </c>
      <c r="F163" s="1">
        <v>0</v>
      </c>
      <c r="G163" s="1">
        <v>0</v>
      </c>
      <c r="H163" s="1">
        <v>0</v>
      </c>
      <c r="I163" s="1">
        <v>0</v>
      </c>
      <c r="J163" s="4">
        <v>1.1499999999999999</v>
      </c>
      <c r="K163" s="4">
        <v>2.6806526806526808E-2</v>
      </c>
      <c r="L163" s="4">
        <v>2.2999999999999998</v>
      </c>
      <c r="M163" s="1">
        <v>0</v>
      </c>
    </row>
    <row r="164" spans="1:13" ht="20" customHeight="1" x14ac:dyDescent="0.15">
      <c r="A164" s="7" t="s">
        <v>180</v>
      </c>
      <c r="B164" s="1" t="s">
        <v>91</v>
      </c>
      <c r="C164" s="4">
        <v>-0.05</v>
      </c>
      <c r="D164" s="1">
        <v>0</v>
      </c>
      <c r="E164" s="1">
        <v>5</v>
      </c>
      <c r="F164" s="1">
        <v>0</v>
      </c>
      <c r="G164" s="1">
        <v>0</v>
      </c>
      <c r="H164" s="1">
        <v>0</v>
      </c>
      <c r="I164" s="1">
        <v>0</v>
      </c>
      <c r="J164" s="4">
        <v>0.5</v>
      </c>
      <c r="K164" s="4">
        <v>5.8616647127784291E-3</v>
      </c>
      <c r="L164" s="4">
        <v>0.5</v>
      </c>
      <c r="M164" s="1">
        <v>0</v>
      </c>
    </row>
    <row r="165" spans="1:13" ht="20" customHeight="1" x14ac:dyDescent="0.15">
      <c r="A165" s="7" t="s">
        <v>181</v>
      </c>
      <c r="B165" s="1" t="s">
        <v>91</v>
      </c>
      <c r="C165" s="4">
        <v>0.05</v>
      </c>
      <c r="D165" s="1">
        <v>0</v>
      </c>
      <c r="E165" s="1">
        <v>5</v>
      </c>
      <c r="F165" s="1">
        <v>0</v>
      </c>
      <c r="G165" s="1">
        <v>0</v>
      </c>
      <c r="H165" s="1">
        <v>0</v>
      </c>
      <c r="I165" s="1">
        <v>0</v>
      </c>
      <c r="J165" s="4">
        <v>0.5</v>
      </c>
      <c r="K165" s="4">
        <v>5.8616647127784291E-3</v>
      </c>
      <c r="L165" s="4">
        <v>0.5</v>
      </c>
      <c r="M165" s="1">
        <v>0</v>
      </c>
    </row>
    <row r="166" spans="1:13" ht="20" customHeight="1" x14ac:dyDescent="0.15">
      <c r="A166" s="7" t="s">
        <v>182</v>
      </c>
      <c r="B166" s="1" t="s">
        <v>97</v>
      </c>
      <c r="C166" s="4">
        <v>0.15</v>
      </c>
      <c r="D166" s="1">
        <v>1</v>
      </c>
      <c r="E166" s="1">
        <v>23</v>
      </c>
      <c r="F166" s="1">
        <v>0</v>
      </c>
      <c r="G166" s="1">
        <v>0</v>
      </c>
      <c r="H166" s="1">
        <v>0</v>
      </c>
      <c r="I166" s="1">
        <v>0</v>
      </c>
      <c r="J166" s="4">
        <v>1.1499999999999999</v>
      </c>
      <c r="K166" s="4">
        <v>2.7283511269276393E-2</v>
      </c>
      <c r="L166" s="4">
        <v>2.2999999999999998</v>
      </c>
      <c r="M166" s="1">
        <v>0</v>
      </c>
    </row>
    <row r="167" spans="1:13" ht="20" customHeight="1" x14ac:dyDescent="0.15">
      <c r="A167" s="7" t="s">
        <v>183</v>
      </c>
      <c r="B167" s="1" t="s">
        <v>78</v>
      </c>
      <c r="C167" s="4">
        <v>0.3</v>
      </c>
      <c r="D167" s="1">
        <v>0</v>
      </c>
      <c r="E167" s="1">
        <v>5</v>
      </c>
      <c r="F167" s="1">
        <v>0</v>
      </c>
      <c r="G167" s="1">
        <v>0</v>
      </c>
      <c r="H167" s="1">
        <v>0</v>
      </c>
      <c r="I167" s="1">
        <v>0</v>
      </c>
      <c r="J167" s="4">
        <v>0.5</v>
      </c>
      <c r="K167" s="4">
        <v>5.9665871121718375E-3</v>
      </c>
      <c r="L167" s="4">
        <v>0.5</v>
      </c>
      <c r="M167" s="1">
        <v>2</v>
      </c>
    </row>
    <row r="168" spans="1:13" ht="20" customHeight="1" x14ac:dyDescent="0.15">
      <c r="A168" s="7" t="s">
        <v>184</v>
      </c>
      <c r="B168" s="1" t="s">
        <v>84</v>
      </c>
      <c r="C168" s="4">
        <f>4.671875/8.597014925</f>
        <v>0.54342990453747531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4">
        <v>0</v>
      </c>
      <c r="K168" s="4">
        <v>0</v>
      </c>
      <c r="L168" s="4">
        <v>0</v>
      </c>
      <c r="M168" s="1">
        <v>1</v>
      </c>
    </row>
    <row r="169" spans="1:13" ht="20" customHeight="1" x14ac:dyDescent="0.15">
      <c r="A169" s="7" t="s">
        <v>185</v>
      </c>
      <c r="B169" s="1" t="s">
        <v>186</v>
      </c>
      <c r="C169" s="4">
        <f>4.828125/10.83333333</f>
        <v>0.44567307706020709</v>
      </c>
      <c r="D169" s="1">
        <v>0</v>
      </c>
      <c r="E169" s="1">
        <v>15</v>
      </c>
      <c r="F169" s="1">
        <v>0</v>
      </c>
      <c r="G169" s="1">
        <v>0</v>
      </c>
      <c r="H169" s="1">
        <v>2</v>
      </c>
      <c r="I169" s="1">
        <v>0</v>
      </c>
      <c r="J169" s="4">
        <v>0.75</v>
      </c>
      <c r="K169" s="4">
        <v>1.800720288115246E-2</v>
      </c>
      <c r="L169" s="4">
        <v>1.5</v>
      </c>
      <c r="M169" s="1">
        <v>2</v>
      </c>
    </row>
    <row r="170" spans="1:13" ht="20" customHeight="1" x14ac:dyDescent="0.15">
      <c r="A170" s="7" t="s">
        <v>187</v>
      </c>
      <c r="B170" s="1" t="s">
        <v>91</v>
      </c>
      <c r="C170" s="4">
        <f>4.84375/10.91666666</f>
        <v>0.44370229034729908</v>
      </c>
      <c r="D170" s="1">
        <v>0</v>
      </c>
      <c r="E170" s="1">
        <v>33</v>
      </c>
      <c r="F170" s="1">
        <v>0</v>
      </c>
      <c r="G170" s="1">
        <v>0</v>
      </c>
      <c r="H170" s="1">
        <v>3</v>
      </c>
      <c r="I170" s="1">
        <v>0</v>
      </c>
      <c r="J170" s="4">
        <v>0.66</v>
      </c>
      <c r="K170" s="4">
        <v>4.0342298288508556E-2</v>
      </c>
      <c r="L170" s="4">
        <v>3.3</v>
      </c>
      <c r="M170" s="1">
        <v>0</v>
      </c>
    </row>
    <row r="171" spans="1:13" ht="20" customHeight="1" x14ac:dyDescent="0.15">
      <c r="A171" s="7" t="s">
        <v>188</v>
      </c>
      <c r="B171" s="1" t="s">
        <v>87</v>
      </c>
      <c r="C171" s="4">
        <v>0.4</v>
      </c>
      <c r="D171" s="1">
        <v>0</v>
      </c>
      <c r="E171" s="1">
        <v>5</v>
      </c>
      <c r="F171" s="1">
        <v>0</v>
      </c>
      <c r="G171" s="1">
        <v>0</v>
      </c>
      <c r="H171" s="1">
        <v>0</v>
      </c>
      <c r="I171" s="1">
        <v>0</v>
      </c>
      <c r="J171" s="4">
        <v>0.5</v>
      </c>
      <c r="K171" s="4">
        <v>6.1124694376528121E-3</v>
      </c>
      <c r="L171" s="4">
        <v>0.5</v>
      </c>
      <c r="M171" s="1">
        <v>3</v>
      </c>
    </row>
    <row r="172" spans="1:13" ht="20" customHeight="1" x14ac:dyDescent="0.15">
      <c r="A172" s="7" t="s">
        <v>188</v>
      </c>
      <c r="B172" s="1" t="s">
        <v>189</v>
      </c>
      <c r="C172" s="4">
        <v>0.4</v>
      </c>
      <c r="D172" s="1">
        <v>0</v>
      </c>
      <c r="E172" s="1">
        <v>85</v>
      </c>
      <c r="F172" s="1">
        <v>1</v>
      </c>
      <c r="G172" s="1">
        <v>0</v>
      </c>
      <c r="H172" s="1">
        <v>0</v>
      </c>
      <c r="I172" s="1">
        <v>0</v>
      </c>
      <c r="J172" s="4">
        <v>1.7</v>
      </c>
      <c r="K172" s="4">
        <v>0.10651629072681704</v>
      </c>
      <c r="L172" s="4">
        <v>8.5</v>
      </c>
      <c r="M172" s="1">
        <v>2</v>
      </c>
    </row>
    <row r="173" spans="1:13" ht="20" customHeight="1" x14ac:dyDescent="0.15">
      <c r="A173" s="7" t="s">
        <v>190</v>
      </c>
      <c r="B173" s="1" t="s">
        <v>191</v>
      </c>
      <c r="C173" s="4">
        <f>4.765625/8.746268657</f>
        <v>0.54487521329291366</v>
      </c>
      <c r="D173" s="1">
        <v>0</v>
      </c>
      <c r="E173" s="1">
        <v>100</v>
      </c>
      <c r="F173" s="1">
        <v>1</v>
      </c>
      <c r="G173" s="1">
        <v>0</v>
      </c>
      <c r="H173" s="1">
        <v>1</v>
      </c>
      <c r="I173" s="1">
        <v>0</v>
      </c>
      <c r="J173" s="4">
        <v>0.45454545454545453</v>
      </c>
      <c r="K173" s="4">
        <v>0.15427769985974754</v>
      </c>
      <c r="L173" s="4">
        <v>10</v>
      </c>
      <c r="M173" s="1">
        <v>2</v>
      </c>
    </row>
    <row r="174" spans="1:13" ht="20" customHeight="1" x14ac:dyDescent="0.15">
      <c r="A174" s="7" t="s">
        <v>192</v>
      </c>
      <c r="B174" s="1" t="s">
        <v>193</v>
      </c>
      <c r="C174" s="4">
        <f>4.953125/8.9552238806</f>
        <v>0.55309895833314893</v>
      </c>
      <c r="D174" s="1">
        <v>0</v>
      </c>
      <c r="E174" s="1">
        <v>200</v>
      </c>
      <c r="F174" s="1">
        <v>1</v>
      </c>
      <c r="G174" s="1">
        <v>0</v>
      </c>
      <c r="H174" s="1">
        <v>2</v>
      </c>
      <c r="I174" s="1">
        <v>0</v>
      </c>
      <c r="J174" s="4">
        <v>0.32258064516129031</v>
      </c>
      <c r="K174" s="4">
        <v>0.32626427406199021</v>
      </c>
      <c r="L174" s="4">
        <v>20</v>
      </c>
      <c r="M174" s="1">
        <v>2</v>
      </c>
    </row>
    <row r="175" spans="1:13" ht="20" customHeight="1" x14ac:dyDescent="0.15">
      <c r="A175" s="7" t="s">
        <v>194</v>
      </c>
      <c r="B175" s="1" t="s">
        <v>84</v>
      </c>
      <c r="C175" s="4">
        <f>4.953125/18.46666666</f>
        <v>0.26821976543979054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0</v>
      </c>
      <c r="J175" s="4">
        <v>0</v>
      </c>
      <c r="K175" s="4">
        <v>0</v>
      </c>
      <c r="L175" s="4">
        <v>0</v>
      </c>
      <c r="M175" s="1">
        <v>1</v>
      </c>
    </row>
    <row r="176" spans="1:13" ht="20" customHeight="1" x14ac:dyDescent="0.15">
      <c r="A176" s="7" t="s">
        <v>214</v>
      </c>
      <c r="B176" s="1" t="s">
        <v>215</v>
      </c>
      <c r="C176" s="4">
        <v>0.45</v>
      </c>
      <c r="D176" s="1">
        <v>1</v>
      </c>
      <c r="E176" s="1">
        <v>15</v>
      </c>
      <c r="F176" s="1">
        <v>0</v>
      </c>
      <c r="G176" s="1">
        <v>0</v>
      </c>
      <c r="H176" s="1">
        <v>0</v>
      </c>
      <c r="I176" s="1">
        <v>0</v>
      </c>
      <c r="J176" s="4">
        <v>0.75</v>
      </c>
      <c r="K176" s="4">
        <v>1.2853470437017995E-2</v>
      </c>
      <c r="L176" s="4">
        <v>1.5</v>
      </c>
      <c r="M176" s="1">
        <v>3</v>
      </c>
    </row>
    <row r="177" spans="1:13" ht="20" customHeight="1" x14ac:dyDescent="0.15">
      <c r="A177" s="7" t="s">
        <v>190</v>
      </c>
      <c r="B177" s="1" t="s">
        <v>216</v>
      </c>
      <c r="C177" s="4">
        <f>5.047457627/8.746268657</f>
        <v>0.57709839760756854</v>
      </c>
      <c r="D177" s="1">
        <v>1</v>
      </c>
      <c r="E177" s="1">
        <v>0</v>
      </c>
      <c r="F177" s="1">
        <v>1</v>
      </c>
      <c r="G177" s="1">
        <v>0</v>
      </c>
      <c r="H177" s="1">
        <v>1</v>
      </c>
      <c r="I177" s="1">
        <v>1</v>
      </c>
      <c r="J177" s="4">
        <v>0</v>
      </c>
      <c r="K177" s="4">
        <v>0</v>
      </c>
      <c r="L177" s="4">
        <v>0</v>
      </c>
      <c r="M177" s="1">
        <v>3</v>
      </c>
    </row>
    <row r="178" spans="1:13" ht="20" customHeight="1" x14ac:dyDescent="0.15">
      <c r="A178" s="7" t="s">
        <v>192</v>
      </c>
      <c r="B178" s="1" t="s">
        <v>217</v>
      </c>
      <c r="C178" s="4">
        <f>4.96875/8.746268657</f>
        <v>0.5680994027119558</v>
      </c>
      <c r="D178" s="1">
        <v>1</v>
      </c>
      <c r="E178" s="1">
        <v>0</v>
      </c>
      <c r="F178" s="1">
        <v>1</v>
      </c>
      <c r="G178" s="1">
        <v>0</v>
      </c>
      <c r="H178" s="1">
        <v>2</v>
      </c>
      <c r="I178" s="1">
        <v>1</v>
      </c>
      <c r="J178" s="4">
        <v>0</v>
      </c>
      <c r="K178" s="4">
        <v>0</v>
      </c>
      <c r="L178" s="4">
        <v>0</v>
      </c>
      <c r="M178" s="1">
        <v>3</v>
      </c>
    </row>
    <row r="179" spans="1:13" ht="20" customHeight="1" x14ac:dyDescent="0.15">
      <c r="A179" s="7" t="s">
        <v>194</v>
      </c>
      <c r="B179" s="1" t="s">
        <v>74</v>
      </c>
      <c r="C179" s="4">
        <f>4.96875/18.46666666</f>
        <v>0.26906588457366998</v>
      </c>
      <c r="D179" s="1">
        <v>1</v>
      </c>
      <c r="E179" s="1">
        <v>0</v>
      </c>
      <c r="F179" s="1">
        <v>1</v>
      </c>
      <c r="G179" s="1">
        <v>0</v>
      </c>
      <c r="H179" s="1">
        <v>3</v>
      </c>
      <c r="I179" s="1">
        <v>1</v>
      </c>
      <c r="J179" s="4">
        <v>0</v>
      </c>
      <c r="K179" s="4">
        <v>0</v>
      </c>
      <c r="L179" s="4">
        <v>0</v>
      </c>
      <c r="M179" s="1">
        <v>1</v>
      </c>
    </row>
    <row r="180" spans="1:13" ht="20" customHeight="1" x14ac:dyDescent="0.15">
      <c r="A180" s="7" t="s">
        <v>195</v>
      </c>
      <c r="B180" s="1" t="s">
        <v>78</v>
      </c>
      <c r="C180" s="4">
        <v>0.2</v>
      </c>
      <c r="D180" s="1">
        <v>0</v>
      </c>
      <c r="E180" s="1">
        <v>5</v>
      </c>
      <c r="F180" s="1">
        <v>0</v>
      </c>
      <c r="G180" s="1">
        <v>0</v>
      </c>
      <c r="H180" s="1">
        <v>0</v>
      </c>
      <c r="I180" s="1">
        <v>0</v>
      </c>
      <c r="J180" s="4">
        <v>0.5</v>
      </c>
      <c r="K180" s="4">
        <v>1.2106537530266344E-2</v>
      </c>
      <c r="L180" s="4">
        <v>0.5</v>
      </c>
      <c r="M180" s="1">
        <v>2</v>
      </c>
    </row>
    <row r="181" spans="1:13" ht="20" customHeight="1" x14ac:dyDescent="0.15">
      <c r="A181" s="7" t="s">
        <v>196</v>
      </c>
      <c r="B181" s="1" t="s">
        <v>91</v>
      </c>
      <c r="C181" s="4">
        <f>4.962711864/8.925373134</f>
        <v>0.55602290117095732</v>
      </c>
      <c r="D181" s="1">
        <v>0</v>
      </c>
      <c r="E181" s="1">
        <v>10</v>
      </c>
      <c r="F181" s="1">
        <v>0</v>
      </c>
      <c r="G181" s="1">
        <v>0</v>
      </c>
      <c r="H181" s="1">
        <v>1</v>
      </c>
      <c r="I181" s="1">
        <v>0</v>
      </c>
      <c r="J181" s="4">
        <v>0.5</v>
      </c>
      <c r="K181" s="4">
        <v>2.4509803921568627E-2</v>
      </c>
      <c r="L181" s="4">
        <v>1</v>
      </c>
      <c r="M181" s="1">
        <v>0</v>
      </c>
    </row>
    <row r="182" spans="1:13" ht="20" customHeight="1" x14ac:dyDescent="0.15">
      <c r="A182" s="7" t="s">
        <v>197</v>
      </c>
      <c r="B182" s="1" t="s">
        <v>91</v>
      </c>
      <c r="C182" s="4">
        <v>0.1</v>
      </c>
      <c r="D182" s="1">
        <v>0</v>
      </c>
      <c r="E182" s="1">
        <v>5</v>
      </c>
      <c r="F182" s="1">
        <v>0</v>
      </c>
      <c r="G182" s="1">
        <v>0</v>
      </c>
      <c r="H182" s="1">
        <v>0</v>
      </c>
      <c r="I182" s="1">
        <v>0</v>
      </c>
      <c r="J182" s="4">
        <v>0.5</v>
      </c>
      <c r="K182" s="4">
        <v>1.2254901960784314E-2</v>
      </c>
      <c r="L182" s="4">
        <v>0.5</v>
      </c>
      <c r="M182" s="1">
        <v>0</v>
      </c>
    </row>
    <row r="183" spans="1:13" ht="20" customHeight="1" x14ac:dyDescent="0.15">
      <c r="A183" s="7" t="s">
        <v>198</v>
      </c>
      <c r="B183" s="1" t="s">
        <v>91</v>
      </c>
      <c r="C183" s="4">
        <v>0.15</v>
      </c>
      <c r="D183" s="1">
        <v>0</v>
      </c>
      <c r="E183" s="1">
        <v>5</v>
      </c>
      <c r="F183" s="1">
        <v>0</v>
      </c>
      <c r="G183" s="1">
        <v>0</v>
      </c>
      <c r="H183" s="1">
        <v>0</v>
      </c>
      <c r="I183" s="1">
        <v>0</v>
      </c>
      <c r="J183" s="4">
        <v>0.5</v>
      </c>
      <c r="K183" s="4">
        <v>1.2254901960784314E-2</v>
      </c>
      <c r="L183" s="4">
        <v>0.5</v>
      </c>
      <c r="M183" s="1">
        <v>0</v>
      </c>
    </row>
    <row r="184" spans="1:13" ht="20" customHeight="1" x14ac:dyDescent="0.15">
      <c r="A184" s="7" t="s">
        <v>199</v>
      </c>
      <c r="B184" s="1" t="s">
        <v>74</v>
      </c>
      <c r="C184" s="4">
        <v>0.2</v>
      </c>
      <c r="D184" s="1">
        <v>1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4">
        <v>0</v>
      </c>
      <c r="K184" s="4">
        <v>0</v>
      </c>
      <c r="L184" s="4">
        <v>0</v>
      </c>
      <c r="M184" s="1">
        <v>1</v>
      </c>
    </row>
    <row r="185" spans="1:13" ht="20" customHeight="1" x14ac:dyDescent="0.15">
      <c r="A185" s="7" t="s">
        <v>200</v>
      </c>
      <c r="B185" s="1" t="s">
        <v>74</v>
      </c>
      <c r="C185" s="4">
        <f>3.898305085/8.8805970149</f>
        <v>0.43896880789201054</v>
      </c>
      <c r="D185" s="1">
        <v>1</v>
      </c>
      <c r="E185" s="1">
        <v>0</v>
      </c>
      <c r="F185" s="1">
        <v>0</v>
      </c>
      <c r="G185" s="1">
        <v>0</v>
      </c>
      <c r="H185" s="1">
        <v>1</v>
      </c>
      <c r="I185" s="1">
        <v>0</v>
      </c>
      <c r="J185" s="4">
        <v>0</v>
      </c>
      <c r="K185" s="4">
        <v>0</v>
      </c>
      <c r="L185" s="4">
        <v>0</v>
      </c>
      <c r="M185" s="1">
        <v>1</v>
      </c>
    </row>
    <row r="186" spans="1:13" ht="20" customHeight="1" x14ac:dyDescent="0.15">
      <c r="A186" s="7" t="s">
        <v>201</v>
      </c>
      <c r="B186" s="1" t="s">
        <v>74</v>
      </c>
      <c r="C186" s="4">
        <f>2.8983050847/8.8805970149</f>
        <v>0.32636376584110055</v>
      </c>
      <c r="D186" s="1">
        <v>1</v>
      </c>
      <c r="E186" s="1">
        <v>0</v>
      </c>
      <c r="F186" s="1">
        <v>0</v>
      </c>
      <c r="G186" s="1">
        <v>0</v>
      </c>
      <c r="H186" s="1">
        <v>2</v>
      </c>
      <c r="I186" s="1">
        <v>0</v>
      </c>
      <c r="J186" s="4">
        <v>0</v>
      </c>
      <c r="K186" s="4">
        <v>0</v>
      </c>
      <c r="L186" s="4">
        <v>0</v>
      </c>
      <c r="M186" s="1">
        <v>1</v>
      </c>
    </row>
    <row r="187" spans="1:13" ht="20" customHeight="1" x14ac:dyDescent="0.15">
      <c r="A187" s="7" t="s">
        <v>201</v>
      </c>
      <c r="B187" s="1" t="s">
        <v>97</v>
      </c>
      <c r="C187" s="4">
        <f>2.8983050847/8.8805970149</f>
        <v>0.32636376584110055</v>
      </c>
      <c r="D187" s="1">
        <v>1</v>
      </c>
      <c r="E187" s="1">
        <v>10</v>
      </c>
      <c r="F187" s="1">
        <v>0</v>
      </c>
      <c r="G187" s="1">
        <v>0</v>
      </c>
      <c r="H187" s="1">
        <v>2</v>
      </c>
      <c r="I187" s="1">
        <v>0</v>
      </c>
      <c r="J187" s="4">
        <v>0.5</v>
      </c>
      <c r="K187" s="4">
        <v>2.5125628140703519E-2</v>
      </c>
      <c r="L187" s="4">
        <v>1</v>
      </c>
      <c r="M187" s="1">
        <v>0</v>
      </c>
    </row>
    <row r="188" spans="1:13" ht="20" customHeight="1" x14ac:dyDescent="0.15">
      <c r="A188" s="7" t="s">
        <v>202</v>
      </c>
      <c r="B188" s="1" t="s">
        <v>91</v>
      </c>
      <c r="C188" s="4">
        <v>0.2</v>
      </c>
      <c r="D188" s="1">
        <v>0</v>
      </c>
      <c r="E188" s="1">
        <v>5</v>
      </c>
      <c r="F188" s="1">
        <v>0</v>
      </c>
      <c r="G188" s="1">
        <v>0</v>
      </c>
      <c r="H188" s="1">
        <v>0</v>
      </c>
      <c r="I188" s="1">
        <v>0</v>
      </c>
      <c r="J188" s="4">
        <v>0.5</v>
      </c>
      <c r="K188" s="4">
        <v>1.2722646310432569E-2</v>
      </c>
      <c r="L188" s="4">
        <v>0.5</v>
      </c>
      <c r="M188" s="1">
        <v>0</v>
      </c>
    </row>
    <row r="189" spans="1:13" ht="20" customHeight="1" x14ac:dyDescent="0.15">
      <c r="A189" s="7" t="s">
        <v>203</v>
      </c>
      <c r="B189" s="1" t="s">
        <v>91</v>
      </c>
      <c r="C189" s="4">
        <v>0</v>
      </c>
      <c r="D189" s="1">
        <v>0</v>
      </c>
      <c r="E189" s="1">
        <v>5</v>
      </c>
      <c r="F189" s="1">
        <v>0</v>
      </c>
      <c r="G189" s="1">
        <v>0</v>
      </c>
      <c r="H189" s="1">
        <v>0</v>
      </c>
      <c r="I189" s="1">
        <v>0</v>
      </c>
      <c r="J189" s="4">
        <v>0.5</v>
      </c>
      <c r="K189" s="4">
        <v>1.2722646310432569E-2</v>
      </c>
      <c r="L189" s="4">
        <v>0.5</v>
      </c>
      <c r="M189" s="1">
        <v>0</v>
      </c>
    </row>
    <row r="190" spans="1:13" ht="20" customHeight="1" x14ac:dyDescent="0.15">
      <c r="A190" s="7" t="s">
        <v>204</v>
      </c>
      <c r="B190" s="1" t="s">
        <v>74</v>
      </c>
      <c r="C190" s="4">
        <v>0.15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4">
        <v>0</v>
      </c>
      <c r="K190" s="4">
        <v>0</v>
      </c>
      <c r="L190" s="4">
        <v>0</v>
      </c>
      <c r="M190" s="1">
        <v>1</v>
      </c>
    </row>
    <row r="191" spans="1:13" ht="20" customHeight="1" x14ac:dyDescent="0.15">
      <c r="A191" s="7" t="s">
        <v>205</v>
      </c>
      <c r="B191" s="1" t="s">
        <v>74</v>
      </c>
      <c r="C191" s="4">
        <f>7.07521</f>
        <v>7.0752100000000002</v>
      </c>
      <c r="D191" s="1">
        <v>1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4">
        <v>0</v>
      </c>
      <c r="K191" s="4">
        <v>0</v>
      </c>
      <c r="L191" s="4">
        <v>0</v>
      </c>
      <c r="M191" s="1">
        <v>1</v>
      </c>
    </row>
    <row r="192" spans="1:13" ht="20" customHeight="1" x14ac:dyDescent="0.15">
      <c r="A192" s="7" t="s">
        <v>206</v>
      </c>
      <c r="B192" s="1" t="s">
        <v>207</v>
      </c>
      <c r="C192" s="4">
        <f>4.875/21</f>
        <v>0.23214285714285715</v>
      </c>
      <c r="D192" s="1">
        <v>1</v>
      </c>
      <c r="E192" s="1">
        <v>0</v>
      </c>
      <c r="F192" s="1">
        <v>0</v>
      </c>
      <c r="G192" s="1">
        <v>0</v>
      </c>
      <c r="H192" s="1">
        <v>2</v>
      </c>
      <c r="I192" s="1">
        <v>0</v>
      </c>
      <c r="J192" s="4">
        <v>0</v>
      </c>
      <c r="K192" s="4">
        <v>0</v>
      </c>
      <c r="L192" s="4">
        <v>0</v>
      </c>
      <c r="M192" s="1">
        <v>3</v>
      </c>
    </row>
    <row r="193" spans="1:13" ht="20" customHeight="1" x14ac:dyDescent="0.15">
      <c r="A193" s="7" t="s">
        <v>208</v>
      </c>
      <c r="B193" s="1" t="s">
        <v>209</v>
      </c>
      <c r="C193" s="4">
        <v>0.3</v>
      </c>
      <c r="D193" s="1">
        <v>0</v>
      </c>
      <c r="E193" s="1">
        <v>5</v>
      </c>
      <c r="F193" s="1">
        <v>0</v>
      </c>
      <c r="G193" s="1">
        <v>0</v>
      </c>
      <c r="H193" s="1">
        <v>0</v>
      </c>
      <c r="I193" s="1">
        <v>0</v>
      </c>
      <c r="J193" s="4">
        <v>0.5</v>
      </c>
      <c r="K193" s="4">
        <v>1.2562814070351759E-2</v>
      </c>
      <c r="L193" s="4">
        <v>0.5</v>
      </c>
      <c r="M193" s="1">
        <v>3</v>
      </c>
    </row>
    <row r="194" spans="1:13" ht="20" customHeight="1" x14ac:dyDescent="0.15">
      <c r="A194" s="7" t="s">
        <v>210</v>
      </c>
      <c r="B194" s="1" t="s">
        <v>211</v>
      </c>
      <c r="C194" s="4">
        <v>0.25</v>
      </c>
      <c r="D194" s="1">
        <v>1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4">
        <v>0</v>
      </c>
      <c r="K194" s="4">
        <v>0</v>
      </c>
      <c r="L194" s="4">
        <v>0</v>
      </c>
      <c r="M194" s="1">
        <v>3</v>
      </c>
    </row>
    <row r="195" spans="1:13" ht="20" customHeight="1" x14ac:dyDescent="0.15">
      <c r="A195" s="7" t="s">
        <v>212</v>
      </c>
      <c r="B195" s="1" t="s">
        <v>78</v>
      </c>
      <c r="C195" s="4">
        <v>0.2</v>
      </c>
      <c r="D195" s="1">
        <v>0</v>
      </c>
      <c r="E195" s="1">
        <v>5</v>
      </c>
      <c r="F195" s="1">
        <v>0</v>
      </c>
      <c r="G195" s="1">
        <v>0</v>
      </c>
      <c r="H195" s="1">
        <v>0</v>
      </c>
      <c r="I195" s="1">
        <v>0</v>
      </c>
      <c r="J195" s="4">
        <v>0.5</v>
      </c>
      <c r="K195" s="4">
        <v>1.1961722488038277E-2</v>
      </c>
      <c r="L195" s="4">
        <v>0.5</v>
      </c>
      <c r="M195" s="1">
        <v>2</v>
      </c>
    </row>
    <row r="196" spans="1:13" ht="20" customHeight="1" x14ac:dyDescent="0.15">
      <c r="A196" s="7" t="s">
        <v>213</v>
      </c>
      <c r="B196" s="1" t="s">
        <v>209</v>
      </c>
      <c r="C196" s="4">
        <f>7.45454545/16.34782609</f>
        <v>0.45599613116510707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0</v>
      </c>
      <c r="J196" s="4">
        <v>0</v>
      </c>
      <c r="K196" s="4">
        <v>0</v>
      </c>
      <c r="L196" s="4">
        <v>0</v>
      </c>
      <c r="M196" s="1">
        <v>3</v>
      </c>
    </row>
    <row r="197" spans="1:13" ht="20" customHeight="1" x14ac:dyDescent="0.15">
      <c r="A197" s="7" t="s">
        <v>218</v>
      </c>
      <c r="B197" s="1" t="s">
        <v>78</v>
      </c>
      <c r="C197" s="4">
        <v>0.1</v>
      </c>
      <c r="D197" s="1">
        <v>0</v>
      </c>
      <c r="E197" s="1">
        <v>5</v>
      </c>
      <c r="F197" s="1">
        <v>0</v>
      </c>
      <c r="G197" s="1">
        <v>0</v>
      </c>
      <c r="H197" s="1">
        <v>0</v>
      </c>
      <c r="I197" s="1">
        <v>0</v>
      </c>
      <c r="J197" s="4">
        <v>0.5</v>
      </c>
      <c r="K197" s="4">
        <v>1.1547344110854504E-2</v>
      </c>
      <c r="L197" s="4">
        <v>0.5</v>
      </c>
      <c r="M197" s="1">
        <v>2</v>
      </c>
    </row>
    <row r="198" spans="1:13" ht="20" customHeight="1" x14ac:dyDescent="0.15">
      <c r="A198" s="7" t="s">
        <v>219</v>
      </c>
      <c r="B198" s="1" t="s">
        <v>84</v>
      </c>
      <c r="C198" s="4">
        <f>5.79375/16.55072464</f>
        <v>0.35006020135200561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4">
        <v>0</v>
      </c>
      <c r="K198" s="4">
        <v>0</v>
      </c>
      <c r="L198" s="4">
        <v>0</v>
      </c>
      <c r="M198" s="1">
        <v>1</v>
      </c>
    </row>
    <row r="199" spans="1:13" ht="20" customHeight="1" x14ac:dyDescent="0.15">
      <c r="A199" s="7" t="s">
        <v>220</v>
      </c>
      <c r="B199" s="1" t="s">
        <v>76</v>
      </c>
      <c r="C199" s="4">
        <f>4.765625/16.55072464</f>
        <v>0.28794056475825702</v>
      </c>
      <c r="D199" s="1">
        <v>0</v>
      </c>
      <c r="E199" s="1">
        <v>0</v>
      </c>
      <c r="F199" s="1">
        <v>0</v>
      </c>
      <c r="G199" s="1">
        <v>0</v>
      </c>
      <c r="H199" s="1">
        <v>2</v>
      </c>
      <c r="I199" s="1">
        <v>0</v>
      </c>
      <c r="J199" s="4">
        <v>0</v>
      </c>
      <c r="K199" s="4">
        <v>0</v>
      </c>
      <c r="L199" s="4">
        <v>0</v>
      </c>
      <c r="M199" s="1">
        <v>3</v>
      </c>
    </row>
    <row r="200" spans="1:13" ht="20" customHeight="1" x14ac:dyDescent="0.15">
      <c r="A200" s="7" t="s">
        <v>221</v>
      </c>
      <c r="B200" s="1" t="s">
        <v>84</v>
      </c>
      <c r="C200" s="4">
        <f>4.828125/16.55072464</f>
        <v>0.29171683446000468</v>
      </c>
      <c r="D200" s="1">
        <v>0</v>
      </c>
      <c r="E200" s="1">
        <v>0</v>
      </c>
      <c r="F200" s="1">
        <v>0</v>
      </c>
      <c r="G200" s="1">
        <v>0</v>
      </c>
      <c r="H200" s="1">
        <v>3</v>
      </c>
      <c r="I200" s="1">
        <v>0</v>
      </c>
      <c r="J200" s="4">
        <v>0</v>
      </c>
      <c r="K200" s="4">
        <v>0</v>
      </c>
      <c r="L200" s="4">
        <v>0</v>
      </c>
      <c r="M200" s="1">
        <v>1</v>
      </c>
    </row>
    <row r="201" spans="1:13" ht="20" customHeight="1" x14ac:dyDescent="0.15">
      <c r="A201" s="7" t="s">
        <v>222</v>
      </c>
      <c r="B201" s="1" t="s">
        <v>74</v>
      </c>
      <c r="C201" s="4">
        <v>0.25</v>
      </c>
      <c r="D201" s="1">
        <v>1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4">
        <v>0</v>
      </c>
      <c r="K201" s="4">
        <v>0</v>
      </c>
      <c r="L201" s="4">
        <v>0</v>
      </c>
      <c r="M201" s="1">
        <v>1</v>
      </c>
    </row>
    <row r="202" spans="1:13" ht="20" customHeight="1" x14ac:dyDescent="0.15">
      <c r="A202" s="7" t="s">
        <v>223</v>
      </c>
      <c r="B202" s="1" t="s">
        <v>74</v>
      </c>
      <c r="C202" s="4">
        <f>5.6875/16.7101449272</f>
        <v>0.34036209887935504</v>
      </c>
      <c r="D202" s="1">
        <v>1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4">
        <v>0</v>
      </c>
      <c r="K202" s="4">
        <v>0</v>
      </c>
      <c r="L202" s="4">
        <v>0</v>
      </c>
      <c r="M202" s="1">
        <v>1</v>
      </c>
    </row>
    <row r="203" spans="1:13" ht="20" customHeight="1" x14ac:dyDescent="0.15">
      <c r="A203" s="7" t="s">
        <v>223</v>
      </c>
      <c r="B203" s="1" t="s">
        <v>97</v>
      </c>
      <c r="C203" s="4">
        <f>5.6875/16.7101449272</f>
        <v>0.34036209887935504</v>
      </c>
      <c r="D203" s="1">
        <v>1</v>
      </c>
      <c r="E203" s="1">
        <v>10</v>
      </c>
      <c r="F203" s="1">
        <v>0</v>
      </c>
      <c r="G203" s="1">
        <v>0</v>
      </c>
      <c r="H203" s="1">
        <v>1</v>
      </c>
      <c r="I203" s="1">
        <v>0</v>
      </c>
      <c r="J203" s="4">
        <v>0.5</v>
      </c>
      <c r="K203" s="4">
        <v>2.4509803921568627E-2</v>
      </c>
      <c r="L203" s="4">
        <v>1</v>
      </c>
      <c r="M203" s="1">
        <v>0</v>
      </c>
    </row>
    <row r="204" spans="1:13" ht="20" customHeight="1" x14ac:dyDescent="0.15">
      <c r="A204" s="7" t="s">
        <v>224</v>
      </c>
      <c r="B204" s="1" t="s">
        <v>78</v>
      </c>
      <c r="C204" s="4">
        <v>0.25</v>
      </c>
      <c r="D204" s="1">
        <v>0</v>
      </c>
      <c r="E204" s="1">
        <v>5</v>
      </c>
      <c r="F204" s="1">
        <v>0</v>
      </c>
      <c r="G204" s="1">
        <v>0</v>
      </c>
      <c r="H204" s="1">
        <v>0</v>
      </c>
      <c r="I204" s="1">
        <v>0</v>
      </c>
      <c r="J204" s="4">
        <v>0.5</v>
      </c>
      <c r="K204" s="4">
        <v>1.2406947890818859E-2</v>
      </c>
      <c r="L204" s="4">
        <v>0.5</v>
      </c>
      <c r="M204" s="1">
        <v>2</v>
      </c>
    </row>
    <row r="205" spans="1:13" ht="20" customHeight="1" x14ac:dyDescent="0.15">
      <c r="A205" s="7" t="s">
        <v>225</v>
      </c>
      <c r="B205" s="1" t="s">
        <v>84</v>
      </c>
      <c r="C205" s="4">
        <f>3.728813559/8.71641791</f>
        <v>0.4277919665510852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4">
        <v>0</v>
      </c>
      <c r="K205" s="4">
        <v>0</v>
      </c>
      <c r="L205" s="4">
        <v>0</v>
      </c>
      <c r="M205" s="1">
        <v>1</v>
      </c>
    </row>
    <row r="206" spans="1:13" ht="20" customHeight="1" x14ac:dyDescent="0.15">
      <c r="A206" s="7" t="s">
        <v>226</v>
      </c>
      <c r="B206" s="1" t="s">
        <v>84</v>
      </c>
      <c r="C206" s="4">
        <f>2.7966101695/10.41666666</f>
        <v>0.26847457644382372</v>
      </c>
      <c r="D206" s="1">
        <v>0</v>
      </c>
      <c r="E206" s="1">
        <v>0</v>
      </c>
      <c r="F206" s="1">
        <v>0</v>
      </c>
      <c r="G206" s="1">
        <v>0</v>
      </c>
      <c r="H206" s="1">
        <v>2</v>
      </c>
      <c r="I206" s="1">
        <v>0</v>
      </c>
      <c r="J206" s="4">
        <v>0</v>
      </c>
      <c r="K206" s="4">
        <v>0</v>
      </c>
      <c r="L206" s="4">
        <v>0</v>
      </c>
      <c r="M206" s="1">
        <v>1</v>
      </c>
    </row>
    <row r="207" spans="1:13" ht="20" customHeight="1" x14ac:dyDescent="0.15">
      <c r="A207" s="7" t="s">
        <v>227</v>
      </c>
      <c r="B207" s="1" t="s">
        <v>84</v>
      </c>
      <c r="C207" s="4">
        <f>2.7966101695/10.583333333</f>
        <v>0.2642466301972991</v>
      </c>
      <c r="D207" s="1">
        <v>0</v>
      </c>
      <c r="E207" s="1">
        <v>0</v>
      </c>
      <c r="F207" s="1">
        <v>0</v>
      </c>
      <c r="G207" s="1">
        <v>0</v>
      </c>
      <c r="H207" s="1">
        <v>3</v>
      </c>
      <c r="I207" s="1">
        <v>0</v>
      </c>
      <c r="J207" s="4">
        <v>0</v>
      </c>
      <c r="K207" s="4">
        <v>0</v>
      </c>
      <c r="L207" s="4">
        <v>0</v>
      </c>
      <c r="M207" s="1">
        <v>1</v>
      </c>
    </row>
    <row r="208" spans="1:13" ht="20" customHeight="1" x14ac:dyDescent="0.15">
      <c r="A208" s="7" t="s">
        <v>228</v>
      </c>
      <c r="B208" s="1" t="s">
        <v>74</v>
      </c>
      <c r="C208" s="4">
        <v>0.1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4">
        <v>0</v>
      </c>
      <c r="K208" s="4">
        <v>0</v>
      </c>
      <c r="L208" s="4">
        <v>0</v>
      </c>
      <c r="M208" s="1">
        <v>1</v>
      </c>
    </row>
    <row r="209" spans="1:13" ht="20" customHeight="1" x14ac:dyDescent="0.15">
      <c r="A209" s="7" t="s">
        <v>225</v>
      </c>
      <c r="B209" s="1" t="s">
        <v>74</v>
      </c>
      <c r="C209" s="4">
        <f>3.661016949/8.71641791</f>
        <v>0.42001393081438426</v>
      </c>
      <c r="D209" s="1">
        <v>1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4">
        <v>0</v>
      </c>
      <c r="K209" s="4">
        <v>0</v>
      </c>
      <c r="L209" s="4">
        <v>0</v>
      </c>
      <c r="M209" s="1">
        <v>1</v>
      </c>
    </row>
    <row r="210" spans="1:13" ht="20" customHeight="1" x14ac:dyDescent="0.15">
      <c r="A210" s="7" t="s">
        <v>226</v>
      </c>
      <c r="B210" s="1" t="s">
        <v>74</v>
      </c>
      <c r="C210" s="4">
        <f>4.228813559/10.41666666</f>
        <v>0.40596610192381827</v>
      </c>
      <c r="D210" s="1">
        <v>1</v>
      </c>
      <c r="E210" s="1">
        <v>0</v>
      </c>
      <c r="F210" s="1">
        <v>0</v>
      </c>
      <c r="G210" s="1">
        <v>0</v>
      </c>
      <c r="H210" s="1">
        <v>2</v>
      </c>
      <c r="I210" s="1">
        <v>0</v>
      </c>
      <c r="J210" s="4">
        <v>0</v>
      </c>
      <c r="K210" s="4">
        <v>0</v>
      </c>
      <c r="L210" s="4">
        <v>0</v>
      </c>
      <c r="M210" s="1">
        <v>1</v>
      </c>
    </row>
    <row r="211" spans="1:13" ht="20" customHeight="1" x14ac:dyDescent="0.15">
      <c r="A211" s="7" t="s">
        <v>227</v>
      </c>
      <c r="B211" s="1" t="s">
        <v>74</v>
      </c>
      <c r="C211" s="4">
        <f>4.65625/10.583333333</f>
        <v>0.43996062993511686</v>
      </c>
      <c r="D211" s="1">
        <v>1</v>
      </c>
      <c r="E211" s="1">
        <v>0</v>
      </c>
      <c r="F211" s="1">
        <v>0</v>
      </c>
      <c r="G211" s="1">
        <v>0</v>
      </c>
      <c r="H211" s="1">
        <v>3</v>
      </c>
      <c r="I211" s="1">
        <v>0</v>
      </c>
      <c r="J211" s="4">
        <v>0</v>
      </c>
      <c r="K211" s="4">
        <v>0</v>
      </c>
      <c r="L211" s="4">
        <v>0</v>
      </c>
      <c r="M211" s="1">
        <v>1</v>
      </c>
    </row>
    <row r="212" spans="1:13" ht="20" customHeight="1" x14ac:dyDescent="0.15">
      <c r="A212" s="7" t="s">
        <v>229</v>
      </c>
      <c r="B212" s="1" t="s">
        <v>209</v>
      </c>
      <c r="C212" s="4">
        <v>0.4</v>
      </c>
      <c r="D212" s="1">
        <v>0</v>
      </c>
      <c r="E212" s="1">
        <v>5</v>
      </c>
      <c r="F212" s="1">
        <v>0</v>
      </c>
      <c r="G212" s="1">
        <v>0</v>
      </c>
      <c r="H212" s="1">
        <v>0</v>
      </c>
      <c r="I212" s="1">
        <v>0</v>
      </c>
      <c r="J212" s="4">
        <v>0.5</v>
      </c>
      <c r="K212" s="4">
        <v>1.2562814070351759E-2</v>
      </c>
      <c r="L212" s="4">
        <v>0.5</v>
      </c>
      <c r="M212" s="1">
        <v>3</v>
      </c>
    </row>
    <row r="213" spans="1:13" ht="20" customHeight="1" x14ac:dyDescent="0.15">
      <c r="A213" s="7" t="s">
        <v>230</v>
      </c>
      <c r="B213" s="1" t="s">
        <v>209</v>
      </c>
      <c r="C213" s="4">
        <v>0.25</v>
      </c>
      <c r="D213" s="1">
        <v>0</v>
      </c>
      <c r="E213" s="1">
        <v>5</v>
      </c>
      <c r="F213" s="1">
        <v>0</v>
      </c>
      <c r="G213" s="1">
        <v>0</v>
      </c>
      <c r="H213" s="1">
        <v>0</v>
      </c>
      <c r="I213" s="1">
        <v>0</v>
      </c>
      <c r="J213" s="4">
        <v>0.5</v>
      </c>
      <c r="K213" s="4">
        <v>1.2106537530266344E-2</v>
      </c>
      <c r="L213" s="4">
        <v>0.5</v>
      </c>
      <c r="M213" s="1">
        <v>3</v>
      </c>
    </row>
    <row r="214" spans="1:13" ht="20" customHeight="1" x14ac:dyDescent="0.15">
      <c r="A214" s="7" t="s">
        <v>231</v>
      </c>
      <c r="B214" s="1" t="s">
        <v>232</v>
      </c>
      <c r="C214" s="4">
        <v>0.15</v>
      </c>
      <c r="D214" s="1">
        <v>1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4">
        <v>0</v>
      </c>
      <c r="K214" s="4">
        <v>0</v>
      </c>
      <c r="L214" s="4">
        <v>0</v>
      </c>
      <c r="M214" s="1">
        <v>1</v>
      </c>
    </row>
    <row r="215" spans="1:13" ht="20" customHeight="1" x14ac:dyDescent="0.15">
      <c r="A215" s="7" t="s">
        <v>233</v>
      </c>
      <c r="B215" s="1" t="s">
        <v>74</v>
      </c>
      <c r="C215" s="4">
        <f>4.578125/8.686567164</f>
        <v>0.52703500860193198</v>
      </c>
      <c r="D215" s="1">
        <v>1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4">
        <v>0</v>
      </c>
      <c r="K215" s="4">
        <v>0</v>
      </c>
      <c r="L215" s="4">
        <v>0</v>
      </c>
      <c r="M215" s="1">
        <v>1</v>
      </c>
    </row>
    <row r="216" spans="1:13" ht="20" customHeight="1" x14ac:dyDescent="0.15">
      <c r="A216" s="7" t="s">
        <v>234</v>
      </c>
      <c r="B216" s="1" t="s">
        <v>74</v>
      </c>
      <c r="C216" s="4">
        <f>4.625/10.8333333</f>
        <v>0.4269230782366864</v>
      </c>
      <c r="D216" s="1">
        <v>1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4">
        <v>0</v>
      </c>
      <c r="K216" s="4">
        <v>0</v>
      </c>
      <c r="L216" s="4">
        <v>0</v>
      </c>
      <c r="M216" s="1">
        <v>1</v>
      </c>
    </row>
    <row r="217" spans="1:13" ht="20" customHeight="1" x14ac:dyDescent="0.15">
      <c r="A217" s="7" t="s">
        <v>234</v>
      </c>
      <c r="B217" s="1" t="s">
        <v>97</v>
      </c>
      <c r="C217" s="4">
        <f>4.625/10.8333333</f>
        <v>0.4269230782366864</v>
      </c>
      <c r="D217" s="1">
        <v>1</v>
      </c>
      <c r="E217" s="1">
        <v>10</v>
      </c>
      <c r="F217" s="1">
        <v>0</v>
      </c>
      <c r="G217" s="1">
        <v>0</v>
      </c>
      <c r="H217" s="1">
        <v>1</v>
      </c>
      <c r="I217" s="1">
        <v>0</v>
      </c>
      <c r="J217" s="4">
        <v>0.5</v>
      </c>
      <c r="K217" s="4">
        <v>2.3923444976076555E-2</v>
      </c>
      <c r="L217" s="4">
        <v>1</v>
      </c>
      <c r="M217" s="1">
        <v>0</v>
      </c>
    </row>
    <row r="218" spans="1:13" ht="20" customHeight="1" x14ac:dyDescent="0.15">
      <c r="A218" s="7" t="s">
        <v>235</v>
      </c>
      <c r="B218" s="1" t="s">
        <v>91</v>
      </c>
      <c r="C218" s="4">
        <v>0.15</v>
      </c>
      <c r="D218" s="1">
        <v>0</v>
      </c>
      <c r="E218" s="1">
        <v>5</v>
      </c>
      <c r="F218" s="1">
        <v>0</v>
      </c>
      <c r="G218" s="1">
        <v>0</v>
      </c>
      <c r="H218" s="1">
        <v>0</v>
      </c>
      <c r="I218" s="1">
        <v>0</v>
      </c>
      <c r="J218" s="4">
        <v>0.5</v>
      </c>
      <c r="K218" s="4">
        <v>1.2106537530266344E-2</v>
      </c>
      <c r="L218" s="4">
        <v>0.5</v>
      </c>
      <c r="M218" s="1">
        <v>0</v>
      </c>
    </row>
    <row r="219" spans="1:13" ht="20" customHeight="1" x14ac:dyDescent="0.15">
      <c r="A219" s="7" t="s">
        <v>236</v>
      </c>
      <c r="B219" s="1" t="s">
        <v>78</v>
      </c>
      <c r="C219" s="4">
        <v>0.45</v>
      </c>
      <c r="D219" s="1">
        <v>0</v>
      </c>
      <c r="E219" s="1">
        <v>5</v>
      </c>
      <c r="F219" s="1">
        <v>0</v>
      </c>
      <c r="G219" s="1">
        <v>0</v>
      </c>
      <c r="H219" s="1">
        <v>0</v>
      </c>
      <c r="I219" s="1">
        <v>0</v>
      </c>
      <c r="J219" s="4">
        <v>0.5</v>
      </c>
      <c r="K219" s="4">
        <v>1.2106537530266344E-2</v>
      </c>
      <c r="L219" s="4">
        <v>0.5</v>
      </c>
      <c r="M219" s="1">
        <v>2</v>
      </c>
    </row>
    <row r="220" spans="1:13" ht="20" customHeight="1" x14ac:dyDescent="0.15">
      <c r="A220" s="7" t="s">
        <v>237</v>
      </c>
      <c r="B220" s="1" t="s">
        <v>76</v>
      </c>
      <c r="C220" s="4">
        <f>4.515625/8.52238806</f>
        <v>0.52985442204799105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4">
        <v>0</v>
      </c>
      <c r="K220" s="4">
        <v>0</v>
      </c>
      <c r="L220" s="4">
        <v>0</v>
      </c>
      <c r="M220" s="1">
        <v>3</v>
      </c>
    </row>
    <row r="221" spans="1:13" ht="20" customHeight="1" x14ac:dyDescent="0.15">
      <c r="A221" s="7" t="s">
        <v>238</v>
      </c>
      <c r="B221" s="1" t="s">
        <v>81</v>
      </c>
      <c r="C221" s="4">
        <f>4.59375/8.597014925</f>
        <v>0.53434244793985863</v>
      </c>
      <c r="D221" s="1">
        <v>0</v>
      </c>
      <c r="E221" s="1">
        <v>0</v>
      </c>
      <c r="F221" s="1">
        <v>0</v>
      </c>
      <c r="G221" s="1">
        <v>0</v>
      </c>
      <c r="H221" s="1">
        <v>2</v>
      </c>
      <c r="I221" s="1">
        <v>0</v>
      </c>
      <c r="J221" s="4">
        <v>0</v>
      </c>
      <c r="K221" s="4">
        <v>0</v>
      </c>
      <c r="L221" s="4">
        <v>0</v>
      </c>
      <c r="M221" s="1">
        <v>3</v>
      </c>
    </row>
    <row r="222" spans="1:13" ht="20" customHeight="1" x14ac:dyDescent="0.15">
      <c r="A222" s="7" t="s">
        <v>239</v>
      </c>
      <c r="B222" s="1" t="s">
        <v>91</v>
      </c>
      <c r="C222" s="4">
        <v>0</v>
      </c>
      <c r="D222" s="1">
        <v>0</v>
      </c>
      <c r="E222" s="1">
        <v>5</v>
      </c>
      <c r="F222" s="1">
        <v>0</v>
      </c>
      <c r="G222" s="1">
        <v>0</v>
      </c>
      <c r="H222" s="1">
        <v>0</v>
      </c>
      <c r="I222" s="1">
        <v>0</v>
      </c>
      <c r="J222" s="4">
        <v>0.5</v>
      </c>
      <c r="K222" s="4">
        <v>1.1415525114155251E-2</v>
      </c>
      <c r="L222" s="4">
        <v>0.5</v>
      </c>
      <c r="M222" s="1">
        <v>0</v>
      </c>
    </row>
    <row r="223" spans="1:13" ht="20" customHeight="1" x14ac:dyDescent="0.15">
      <c r="A223" s="7" t="s">
        <v>240</v>
      </c>
      <c r="B223" s="1" t="s">
        <v>97</v>
      </c>
      <c r="C223" s="4">
        <v>0.05</v>
      </c>
      <c r="D223" s="1">
        <v>1</v>
      </c>
      <c r="E223" s="1">
        <v>15</v>
      </c>
      <c r="F223" s="1">
        <v>0</v>
      </c>
      <c r="G223" s="1">
        <v>0</v>
      </c>
      <c r="H223" s="1">
        <v>0</v>
      </c>
      <c r="I223" s="1">
        <v>0</v>
      </c>
      <c r="J223" s="4">
        <v>0.75</v>
      </c>
      <c r="K223" s="4">
        <v>3.5046728971962614E-2</v>
      </c>
      <c r="L223" s="4">
        <v>1.5</v>
      </c>
      <c r="M223" s="1">
        <v>0</v>
      </c>
    </row>
    <row r="224" spans="1:13" ht="20" customHeight="1" x14ac:dyDescent="0.15">
      <c r="A224" s="7" t="s">
        <v>1</v>
      </c>
      <c r="B224" s="1" t="s">
        <v>91</v>
      </c>
      <c r="C224" s="4">
        <v>0.1</v>
      </c>
      <c r="D224" s="1">
        <v>0</v>
      </c>
      <c r="E224" s="1">
        <v>5</v>
      </c>
      <c r="F224" s="1">
        <v>0</v>
      </c>
      <c r="G224" s="1">
        <v>0</v>
      </c>
      <c r="H224" s="1">
        <v>0</v>
      </c>
      <c r="I224" s="1">
        <v>0</v>
      </c>
      <c r="J224" s="4">
        <v>0.5</v>
      </c>
      <c r="K224" s="4">
        <v>1.1820330969267139E-2</v>
      </c>
      <c r="L224" s="4">
        <v>0.5</v>
      </c>
      <c r="M224" s="1">
        <v>0</v>
      </c>
    </row>
    <row r="225" spans="1:13" ht="20" customHeight="1" x14ac:dyDescent="0.15">
      <c r="A225" s="7" t="s">
        <v>241</v>
      </c>
      <c r="B225" s="1" t="s">
        <v>97</v>
      </c>
      <c r="C225" s="4">
        <v>0.15</v>
      </c>
      <c r="D225" s="1">
        <v>1</v>
      </c>
      <c r="E225" s="1">
        <v>23</v>
      </c>
      <c r="F225" s="1">
        <v>0</v>
      </c>
      <c r="G225" s="1">
        <v>0</v>
      </c>
      <c r="H225" s="1">
        <v>0</v>
      </c>
      <c r="I225" s="1">
        <v>0</v>
      </c>
      <c r="J225" s="4">
        <v>1.1499999999999999</v>
      </c>
      <c r="K225" s="4">
        <v>5.569007263922518E-2</v>
      </c>
      <c r="L225" s="4">
        <v>2.2999999999999998</v>
      </c>
      <c r="M225" s="1">
        <v>0</v>
      </c>
    </row>
    <row r="226" spans="1:13" ht="20" customHeight="1" x14ac:dyDescent="0.15">
      <c r="A226" s="7" t="s">
        <v>242</v>
      </c>
      <c r="B226" s="1" t="s">
        <v>87</v>
      </c>
      <c r="C226" s="4">
        <v>0.3</v>
      </c>
      <c r="D226" s="1">
        <v>0</v>
      </c>
      <c r="E226" s="1">
        <v>5</v>
      </c>
      <c r="F226" s="1">
        <v>0</v>
      </c>
      <c r="G226" s="1">
        <v>0</v>
      </c>
      <c r="H226" s="1">
        <v>0</v>
      </c>
      <c r="I226" s="1">
        <v>0</v>
      </c>
      <c r="J226" s="4">
        <v>0.5</v>
      </c>
      <c r="K226" s="4">
        <v>1.2254901960784314E-2</v>
      </c>
      <c r="L226" s="4">
        <v>0.5</v>
      </c>
      <c r="M226" s="1">
        <v>3</v>
      </c>
    </row>
    <row r="227" spans="1:13" ht="20" customHeight="1" x14ac:dyDescent="0.15">
      <c r="A227" s="7" t="s">
        <v>243</v>
      </c>
      <c r="B227" s="1" t="s">
        <v>89</v>
      </c>
      <c r="C227" s="4">
        <v>0.5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4">
        <v>0</v>
      </c>
      <c r="K227" s="4">
        <v>0</v>
      </c>
      <c r="L227" s="4">
        <v>0</v>
      </c>
      <c r="M227" s="1">
        <v>3</v>
      </c>
    </row>
    <row r="228" spans="1:13" ht="20" customHeight="1" x14ac:dyDescent="0.15">
      <c r="A228" s="7" t="s">
        <v>244</v>
      </c>
      <c r="B228" s="1" t="s">
        <v>245</v>
      </c>
      <c r="C228" s="4">
        <f>4.8125/8.791044776</f>
        <v>0.54743208829266465</v>
      </c>
      <c r="D228" s="1">
        <v>1</v>
      </c>
      <c r="E228" s="1">
        <v>0</v>
      </c>
      <c r="F228" s="1">
        <v>0</v>
      </c>
      <c r="G228" s="1">
        <v>0</v>
      </c>
      <c r="H228" s="1">
        <v>1</v>
      </c>
      <c r="I228" s="1">
        <v>1</v>
      </c>
      <c r="J228" s="4">
        <v>0</v>
      </c>
      <c r="K228" s="4">
        <v>0</v>
      </c>
      <c r="L228" s="4">
        <v>0</v>
      </c>
      <c r="M228" s="1">
        <v>3</v>
      </c>
    </row>
    <row r="229" spans="1:13" ht="20" customHeight="1" x14ac:dyDescent="0.15">
      <c r="A229" s="7" t="s">
        <v>246</v>
      </c>
      <c r="B229" s="1" t="s">
        <v>74</v>
      </c>
      <c r="C229" s="4">
        <f>6.93939393939/8.940298507</f>
        <v>0.77619264434589652</v>
      </c>
      <c r="D229" s="1">
        <v>1</v>
      </c>
      <c r="E229" s="1">
        <v>0</v>
      </c>
      <c r="F229" s="1">
        <v>0</v>
      </c>
      <c r="G229" s="1">
        <v>0</v>
      </c>
      <c r="H229" s="1">
        <v>2</v>
      </c>
      <c r="I229" s="1">
        <v>1</v>
      </c>
      <c r="J229" s="4">
        <v>0</v>
      </c>
      <c r="K229" s="4">
        <v>0</v>
      </c>
      <c r="L229" s="4">
        <v>0</v>
      </c>
      <c r="M229" s="1">
        <v>1</v>
      </c>
    </row>
    <row r="230" spans="1:13" ht="20" customHeight="1" x14ac:dyDescent="0.15">
      <c r="A230" s="7" t="s">
        <v>247</v>
      </c>
      <c r="B230" s="1" t="s">
        <v>248</v>
      </c>
      <c r="C230" s="4">
        <f>6.93939393939/8.940298507</f>
        <v>0.77619264434589652</v>
      </c>
      <c r="D230" s="1">
        <v>1</v>
      </c>
      <c r="E230" s="1">
        <v>0</v>
      </c>
      <c r="F230" s="1">
        <v>0</v>
      </c>
      <c r="G230" s="1">
        <v>0</v>
      </c>
      <c r="H230" s="1">
        <v>3</v>
      </c>
      <c r="I230" s="1">
        <v>1</v>
      </c>
      <c r="J230" s="4">
        <v>0</v>
      </c>
      <c r="K230" s="4">
        <v>0</v>
      </c>
      <c r="L230" s="4">
        <v>0</v>
      </c>
      <c r="M230" s="1">
        <v>3</v>
      </c>
    </row>
    <row r="231" spans="1:13" ht="20" customHeight="1" x14ac:dyDescent="0.15">
      <c r="A231" s="7" t="s">
        <v>249</v>
      </c>
      <c r="B231" s="1" t="s">
        <v>78</v>
      </c>
      <c r="C231" s="4">
        <v>0.15</v>
      </c>
      <c r="D231" s="1">
        <v>0</v>
      </c>
      <c r="E231" s="1">
        <v>5</v>
      </c>
      <c r="F231" s="1">
        <v>0</v>
      </c>
      <c r="G231" s="1">
        <v>0</v>
      </c>
      <c r="H231" s="1">
        <v>0</v>
      </c>
      <c r="I231" s="1">
        <v>0</v>
      </c>
      <c r="J231" s="4">
        <v>0.5</v>
      </c>
      <c r="K231" s="4">
        <v>1.0683760683760684E-2</v>
      </c>
      <c r="L231" s="4">
        <v>0.5</v>
      </c>
      <c r="M231" s="1">
        <v>2</v>
      </c>
    </row>
    <row r="232" spans="1:13" ht="20" customHeight="1" x14ac:dyDescent="0.15">
      <c r="A232" s="7" t="s">
        <v>250</v>
      </c>
      <c r="B232" s="1" t="s">
        <v>84</v>
      </c>
      <c r="C232" s="4">
        <f>4.627118644/10.5</f>
        <v>0.44067796609523813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0</v>
      </c>
      <c r="J232" s="4">
        <v>0</v>
      </c>
      <c r="K232" s="4">
        <v>0</v>
      </c>
      <c r="L232" s="4">
        <v>0</v>
      </c>
      <c r="M232" s="1">
        <v>1</v>
      </c>
    </row>
    <row r="233" spans="1:13" ht="20" customHeight="1" x14ac:dyDescent="0.15">
      <c r="A233" s="7" t="s">
        <v>251</v>
      </c>
      <c r="B233" s="1" t="s">
        <v>84</v>
      </c>
      <c r="C233" s="4">
        <f>4.127118644/10.5</f>
        <v>0.39305891847619051</v>
      </c>
      <c r="D233" s="1">
        <v>0</v>
      </c>
      <c r="E233" s="1">
        <v>0</v>
      </c>
      <c r="F233" s="1">
        <v>0</v>
      </c>
      <c r="G233" s="1">
        <v>0</v>
      </c>
      <c r="H233" s="1">
        <v>2</v>
      </c>
      <c r="I233" s="1">
        <v>0</v>
      </c>
      <c r="J233" s="4">
        <v>0</v>
      </c>
      <c r="K233" s="4">
        <v>0</v>
      </c>
      <c r="L233" s="4">
        <v>0</v>
      </c>
      <c r="M233" s="1">
        <v>1</v>
      </c>
    </row>
    <row r="234" spans="1:13" ht="20" customHeight="1" x14ac:dyDescent="0.15">
      <c r="A234" s="7" t="s">
        <v>252</v>
      </c>
      <c r="B234" s="1" t="s">
        <v>91</v>
      </c>
      <c r="C234" s="4">
        <f>2.7627118644/10.5</f>
        <v>0.26311541565714286</v>
      </c>
      <c r="D234" s="1">
        <v>0</v>
      </c>
      <c r="E234" s="1">
        <v>10</v>
      </c>
      <c r="F234" s="1">
        <v>0</v>
      </c>
      <c r="G234" s="1">
        <v>0</v>
      </c>
      <c r="H234" s="1">
        <v>3</v>
      </c>
      <c r="I234" s="1">
        <v>0</v>
      </c>
      <c r="J234" s="4">
        <v>0.5</v>
      </c>
      <c r="K234" s="4">
        <v>2.159827213822894E-2</v>
      </c>
      <c r="L234" s="4">
        <v>1</v>
      </c>
      <c r="M234" s="1">
        <v>0</v>
      </c>
    </row>
    <row r="235" spans="1:13" ht="20" customHeight="1" x14ac:dyDescent="0.15">
      <c r="A235" s="7" t="s">
        <v>253</v>
      </c>
      <c r="B235" s="1" t="s">
        <v>112</v>
      </c>
      <c r="C235" s="4">
        <v>0.8</v>
      </c>
      <c r="D235" s="1">
        <v>1</v>
      </c>
      <c r="E235" s="1">
        <v>15</v>
      </c>
      <c r="F235" s="1">
        <v>0</v>
      </c>
      <c r="G235" s="1">
        <v>0</v>
      </c>
      <c r="H235" s="1">
        <v>0</v>
      </c>
      <c r="I235" s="1">
        <v>0</v>
      </c>
      <c r="J235" s="4">
        <v>0.75</v>
      </c>
      <c r="K235" s="4">
        <v>3.3112582781456956E-2</v>
      </c>
      <c r="L235" s="4">
        <v>1.5</v>
      </c>
      <c r="M235" s="1">
        <v>2</v>
      </c>
    </row>
    <row r="236" spans="1:13" ht="20" customHeight="1" x14ac:dyDescent="0.15">
      <c r="A236" s="7" t="s">
        <v>254</v>
      </c>
      <c r="B236" s="1" t="s">
        <v>74</v>
      </c>
      <c r="C236" s="4">
        <f>5.78125/8.6567164179</f>
        <v>0.66783405172494392</v>
      </c>
      <c r="D236" s="1">
        <v>1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4">
        <v>0</v>
      </c>
      <c r="K236" s="4">
        <v>0</v>
      </c>
      <c r="L236" s="4">
        <v>0</v>
      </c>
      <c r="M236" s="1">
        <v>1</v>
      </c>
    </row>
    <row r="237" spans="1:13" ht="20" customHeight="1" x14ac:dyDescent="0.15">
      <c r="A237" s="7" t="s">
        <v>254</v>
      </c>
      <c r="B237" s="1" t="s">
        <v>96</v>
      </c>
      <c r="C237" s="4">
        <f>5.78125/8.6567164179</f>
        <v>0.66783405172494392</v>
      </c>
      <c r="D237" s="1">
        <v>1</v>
      </c>
      <c r="E237" s="1">
        <v>30</v>
      </c>
      <c r="F237" s="1">
        <v>0</v>
      </c>
      <c r="G237" s="1">
        <v>0</v>
      </c>
      <c r="H237" s="1">
        <v>1</v>
      </c>
      <c r="I237" s="1">
        <v>0</v>
      </c>
      <c r="J237" s="4">
        <v>0.6</v>
      </c>
      <c r="K237" s="4">
        <v>6.8493150684931503E-2</v>
      </c>
      <c r="L237" s="4">
        <v>3</v>
      </c>
      <c r="M237" s="1">
        <v>2</v>
      </c>
    </row>
    <row r="238" spans="1:13" ht="20" customHeight="1" x14ac:dyDescent="0.15">
      <c r="A238" s="7" t="s">
        <v>255</v>
      </c>
      <c r="B238" s="1" t="s">
        <v>74</v>
      </c>
      <c r="C238" s="4">
        <f>4.78125/8.6567164179</f>
        <v>0.55231681034549418</v>
      </c>
      <c r="D238" s="1">
        <v>1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4">
        <v>0</v>
      </c>
      <c r="K238" s="4">
        <v>0</v>
      </c>
      <c r="L238" s="4">
        <v>0</v>
      </c>
      <c r="M238" s="1">
        <v>1</v>
      </c>
    </row>
    <row r="239" spans="1:13" ht="20" customHeight="1" x14ac:dyDescent="0.15">
      <c r="A239" s="7" t="s">
        <v>256</v>
      </c>
      <c r="B239" s="1" t="s">
        <v>257</v>
      </c>
      <c r="C239" s="4">
        <f>4.78125/10.33333</f>
        <v>0.46270176216185877</v>
      </c>
      <c r="D239" s="1">
        <v>1</v>
      </c>
      <c r="E239" s="1">
        <v>0</v>
      </c>
      <c r="F239" s="1">
        <v>0</v>
      </c>
      <c r="G239" s="1">
        <v>0</v>
      </c>
      <c r="H239" s="1">
        <v>3</v>
      </c>
      <c r="I239" s="1">
        <v>0</v>
      </c>
      <c r="J239" s="4">
        <v>0</v>
      </c>
      <c r="K239" s="4">
        <v>0</v>
      </c>
      <c r="L239" s="4">
        <v>0</v>
      </c>
      <c r="M239" s="1">
        <v>3</v>
      </c>
    </row>
    <row r="240" spans="1:13" ht="20" customHeight="1" x14ac:dyDescent="0.15">
      <c r="A240" s="7" t="s">
        <v>258</v>
      </c>
      <c r="B240" s="1" t="s">
        <v>78</v>
      </c>
      <c r="C240" s="4">
        <v>0.25</v>
      </c>
      <c r="D240" s="1">
        <v>0</v>
      </c>
      <c r="E240" s="1">
        <v>5</v>
      </c>
      <c r="F240" s="1">
        <v>0</v>
      </c>
      <c r="G240" s="1">
        <v>0</v>
      </c>
      <c r="H240" s="1">
        <v>0</v>
      </c>
      <c r="I240" s="1">
        <v>0</v>
      </c>
      <c r="J240" s="4">
        <v>0.5</v>
      </c>
      <c r="K240" s="4">
        <v>9.7465886939571145E-3</v>
      </c>
      <c r="L240" s="4">
        <v>0.5</v>
      </c>
      <c r="M240" s="1">
        <v>2</v>
      </c>
    </row>
    <row r="241" spans="1:13" ht="20" customHeight="1" x14ac:dyDescent="0.15">
      <c r="A241" s="7" t="s">
        <v>258</v>
      </c>
      <c r="B241" s="1" t="s">
        <v>78</v>
      </c>
      <c r="C241" s="4">
        <v>0.25</v>
      </c>
      <c r="D241" s="1">
        <v>0</v>
      </c>
      <c r="E241" s="1">
        <v>23</v>
      </c>
      <c r="F241" s="1">
        <v>0</v>
      </c>
      <c r="G241" s="1">
        <v>0</v>
      </c>
      <c r="H241" s="1">
        <v>0</v>
      </c>
      <c r="I241" s="1">
        <v>0</v>
      </c>
      <c r="J241" s="4">
        <v>1.1499999999999999</v>
      </c>
      <c r="K241" s="4">
        <v>4.5275590551181105E-2</v>
      </c>
      <c r="L241" s="4">
        <v>2.2999999999999998</v>
      </c>
      <c r="M241" s="1">
        <v>2</v>
      </c>
    </row>
    <row r="242" spans="1:13" ht="20" customHeight="1" x14ac:dyDescent="0.15">
      <c r="A242" s="7" t="s">
        <v>259</v>
      </c>
      <c r="B242" s="1" t="s">
        <v>91</v>
      </c>
      <c r="C242" s="4">
        <f>6.746875/16.30434783</f>
        <v>0.41380833323401933</v>
      </c>
      <c r="D242" s="1">
        <v>0</v>
      </c>
      <c r="E242" s="1">
        <v>33</v>
      </c>
      <c r="F242" s="1">
        <v>0</v>
      </c>
      <c r="G242" s="1">
        <v>0</v>
      </c>
      <c r="H242" s="1">
        <v>1</v>
      </c>
      <c r="I242" s="1">
        <v>0</v>
      </c>
      <c r="J242" s="4">
        <v>0.5</v>
      </c>
      <c r="K242" s="4">
        <v>6.8041237113402056E-2</v>
      </c>
      <c r="L242" s="4">
        <v>3.3</v>
      </c>
      <c r="M242" s="1">
        <v>0</v>
      </c>
    </row>
    <row r="243" spans="1:13" ht="20" customHeight="1" x14ac:dyDescent="0.15">
      <c r="A243" s="7" t="s">
        <v>260</v>
      </c>
      <c r="B243" s="1" t="s">
        <v>78</v>
      </c>
      <c r="C243" s="4">
        <v>0.8</v>
      </c>
      <c r="D243" s="1">
        <v>0</v>
      </c>
      <c r="E243" s="1">
        <v>5</v>
      </c>
      <c r="F243" s="1">
        <v>0</v>
      </c>
      <c r="G243" s="1">
        <v>0</v>
      </c>
      <c r="H243" s="1">
        <v>0</v>
      </c>
      <c r="I243" s="1">
        <v>0</v>
      </c>
      <c r="J243" s="4">
        <v>0.5</v>
      </c>
      <c r="K243" s="4">
        <v>1.0309278350515464E-2</v>
      </c>
      <c r="L243" s="4">
        <v>0.5</v>
      </c>
      <c r="M243" s="1">
        <v>2</v>
      </c>
    </row>
    <row r="244" spans="1:13" ht="20" customHeight="1" x14ac:dyDescent="0.15">
      <c r="A244" s="7" t="s">
        <v>261</v>
      </c>
      <c r="B244" s="1" t="s">
        <v>125</v>
      </c>
      <c r="C244" s="4">
        <v>0.35</v>
      </c>
      <c r="D244" s="1">
        <v>0</v>
      </c>
      <c r="E244" s="1">
        <v>10</v>
      </c>
      <c r="F244" s="1">
        <v>0</v>
      </c>
      <c r="G244" s="1">
        <v>0</v>
      </c>
      <c r="H244" s="1">
        <v>1</v>
      </c>
      <c r="I244" s="1">
        <v>0</v>
      </c>
      <c r="J244" s="4">
        <v>0.5</v>
      </c>
      <c r="K244" s="4">
        <v>2.0833333333333332E-2</v>
      </c>
      <c r="L244" s="4">
        <v>1</v>
      </c>
      <c r="M244" s="1">
        <v>2</v>
      </c>
    </row>
    <row r="245" spans="1:13" ht="20" customHeight="1" x14ac:dyDescent="0.15">
      <c r="A245" s="7" t="s">
        <v>262</v>
      </c>
      <c r="B245" s="1" t="s">
        <v>81</v>
      </c>
      <c r="C245" s="4">
        <f>4.796875/8.731343284</f>
        <v>0.54938568373438845</v>
      </c>
      <c r="D245" s="1">
        <v>0</v>
      </c>
      <c r="E245" s="1">
        <v>0</v>
      </c>
      <c r="F245" s="1">
        <v>0</v>
      </c>
      <c r="G245" s="1">
        <v>0</v>
      </c>
      <c r="H245" s="1">
        <v>2</v>
      </c>
      <c r="I245" s="1">
        <v>0</v>
      </c>
      <c r="J245" s="4">
        <v>0</v>
      </c>
      <c r="K245" s="4">
        <v>0</v>
      </c>
      <c r="L245" s="4">
        <v>0</v>
      </c>
      <c r="M245" s="1">
        <v>3</v>
      </c>
    </row>
    <row r="246" spans="1:13" ht="20" customHeight="1" x14ac:dyDescent="0.15">
      <c r="A246" s="7" t="s">
        <v>263</v>
      </c>
      <c r="B246" s="1" t="s">
        <v>97</v>
      </c>
      <c r="C246" s="4">
        <v>0.15</v>
      </c>
      <c r="D246" s="1">
        <v>1</v>
      </c>
      <c r="E246" s="1">
        <v>18</v>
      </c>
      <c r="F246" s="1">
        <v>0</v>
      </c>
      <c r="G246" s="1">
        <v>0</v>
      </c>
      <c r="H246" s="1">
        <v>0</v>
      </c>
      <c r="I246" s="1">
        <v>0</v>
      </c>
      <c r="J246" s="4">
        <v>0.9</v>
      </c>
      <c r="K246" s="4">
        <v>3.5999999999999997E-2</v>
      </c>
      <c r="L246" s="4">
        <v>1.8</v>
      </c>
      <c r="M246" s="1">
        <v>0</v>
      </c>
    </row>
    <row r="247" spans="1:13" ht="20" customHeight="1" x14ac:dyDescent="0.15">
      <c r="A247" s="7" t="s">
        <v>264</v>
      </c>
      <c r="B247" s="1" t="s">
        <v>91</v>
      </c>
      <c r="C247" s="4">
        <v>0.15</v>
      </c>
      <c r="D247" s="1">
        <v>0</v>
      </c>
      <c r="E247" s="1">
        <v>5</v>
      </c>
      <c r="F247" s="1">
        <v>0</v>
      </c>
      <c r="G247" s="1">
        <v>0</v>
      </c>
      <c r="H247" s="1">
        <v>0</v>
      </c>
      <c r="I247" s="1">
        <v>0</v>
      </c>
      <c r="J247" s="4">
        <v>0.5</v>
      </c>
      <c r="K247" s="4">
        <v>1.0101010101010102E-2</v>
      </c>
      <c r="L247" s="4">
        <v>0.5</v>
      </c>
      <c r="M247" s="1">
        <v>0</v>
      </c>
    </row>
    <row r="248" spans="1:13" ht="20" customHeight="1" x14ac:dyDescent="0.15">
      <c r="A248" s="7" t="s">
        <v>265</v>
      </c>
      <c r="B248" s="1" t="s">
        <v>97</v>
      </c>
      <c r="C248" s="4">
        <v>0.05</v>
      </c>
      <c r="D248" s="1">
        <v>1</v>
      </c>
      <c r="E248" s="1">
        <v>24</v>
      </c>
      <c r="F248" s="1">
        <v>0</v>
      </c>
      <c r="G248" s="1">
        <v>0</v>
      </c>
      <c r="H248" s="1">
        <v>0</v>
      </c>
      <c r="I248" s="1">
        <v>0</v>
      </c>
      <c r="J248" s="4">
        <v>1.2</v>
      </c>
      <c r="K248" s="4">
        <v>4.9484536082474224E-2</v>
      </c>
      <c r="L248" s="4">
        <v>2.4</v>
      </c>
      <c r="M248" s="1">
        <v>0</v>
      </c>
    </row>
    <row r="249" spans="1:13" ht="20" customHeight="1" x14ac:dyDescent="0.15">
      <c r="A249" s="7" t="s">
        <v>266</v>
      </c>
      <c r="B249" s="1" t="s">
        <v>87</v>
      </c>
      <c r="C249" s="4">
        <v>0.45</v>
      </c>
      <c r="D249" s="1">
        <v>0</v>
      </c>
      <c r="E249" s="1">
        <v>5</v>
      </c>
      <c r="F249" s="1">
        <v>0</v>
      </c>
      <c r="G249" s="1">
        <v>0</v>
      </c>
      <c r="H249" s="1">
        <v>0</v>
      </c>
      <c r="I249" s="1">
        <v>0</v>
      </c>
      <c r="J249" s="4">
        <v>0.5</v>
      </c>
      <c r="K249" s="4">
        <v>1.0416666666666666E-2</v>
      </c>
      <c r="L249" s="4">
        <v>0.5</v>
      </c>
      <c r="M249" s="1">
        <v>3</v>
      </c>
    </row>
    <row r="250" spans="1:13" ht="20" customHeight="1" x14ac:dyDescent="0.15">
      <c r="A250" s="7" t="s">
        <v>267</v>
      </c>
      <c r="B250" s="1" t="s">
        <v>74</v>
      </c>
      <c r="C250" s="4">
        <v>0.45</v>
      </c>
      <c r="D250" s="1">
        <v>1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4">
        <v>0</v>
      </c>
      <c r="K250" s="4">
        <v>0</v>
      </c>
      <c r="L250" s="4">
        <v>0</v>
      </c>
      <c r="M250" s="1">
        <v>1</v>
      </c>
    </row>
    <row r="251" spans="1:13" ht="20" customHeight="1" x14ac:dyDescent="0.15">
      <c r="A251" s="7" t="s">
        <v>268</v>
      </c>
      <c r="B251" s="1" t="s">
        <v>74</v>
      </c>
      <c r="C251" s="4">
        <f>3.593220339/8.447761194</f>
        <v>0.42534587051917083</v>
      </c>
      <c r="D251" s="1">
        <v>1</v>
      </c>
      <c r="E251" s="1">
        <v>0</v>
      </c>
      <c r="F251" s="1">
        <v>0</v>
      </c>
      <c r="G251" s="1">
        <v>0</v>
      </c>
      <c r="H251" s="1">
        <v>1</v>
      </c>
      <c r="I251" s="1">
        <v>0</v>
      </c>
      <c r="J251" s="4">
        <v>0</v>
      </c>
      <c r="K251" s="4">
        <v>0</v>
      </c>
      <c r="L251" s="4">
        <v>0</v>
      </c>
      <c r="M251" s="1">
        <v>1</v>
      </c>
    </row>
    <row r="252" spans="1:13" ht="20" customHeight="1" x14ac:dyDescent="0.15">
      <c r="A252" s="7" t="s">
        <v>269</v>
      </c>
      <c r="B252" s="1" t="s">
        <v>74</v>
      </c>
      <c r="C252" s="4">
        <f>2.610169492/10.333333</f>
        <v>0.25259705576119534</v>
      </c>
      <c r="D252" s="1">
        <v>1</v>
      </c>
      <c r="E252" s="1">
        <v>0</v>
      </c>
      <c r="F252" s="1">
        <v>0</v>
      </c>
      <c r="G252" s="1">
        <v>0</v>
      </c>
      <c r="H252" s="1">
        <v>2</v>
      </c>
      <c r="I252" s="1">
        <v>0</v>
      </c>
      <c r="J252" s="4">
        <v>0</v>
      </c>
      <c r="K252" s="4">
        <v>0</v>
      </c>
      <c r="L252" s="4">
        <v>0</v>
      </c>
      <c r="M252" s="1">
        <v>1</v>
      </c>
    </row>
    <row r="253" spans="1:13" ht="20" customHeight="1" x14ac:dyDescent="0.15">
      <c r="A253" s="7" t="s">
        <v>270</v>
      </c>
      <c r="B253" s="1" t="s">
        <v>207</v>
      </c>
      <c r="C253" s="4">
        <f>4.578125/16.347826087</f>
        <v>0.28004488031840413</v>
      </c>
      <c r="D253" s="1">
        <v>1</v>
      </c>
      <c r="E253" s="1">
        <v>0</v>
      </c>
      <c r="F253" s="1">
        <v>0</v>
      </c>
      <c r="G253" s="1">
        <v>0</v>
      </c>
      <c r="H253" s="1">
        <v>3</v>
      </c>
      <c r="I253" s="1">
        <v>0</v>
      </c>
      <c r="J253" s="4">
        <v>0</v>
      </c>
      <c r="K253" s="4">
        <v>0</v>
      </c>
      <c r="L253" s="4">
        <v>0</v>
      </c>
      <c r="M253" s="1">
        <v>3</v>
      </c>
    </row>
    <row r="254" spans="1:13" ht="20" customHeight="1" x14ac:dyDescent="0.15">
      <c r="A254" s="7" t="s">
        <v>0</v>
      </c>
      <c r="B254" s="1" t="s">
        <v>209</v>
      </c>
      <c r="C254" s="4">
        <v>0.45</v>
      </c>
      <c r="D254" s="1">
        <v>0</v>
      </c>
      <c r="E254" s="1">
        <v>5</v>
      </c>
      <c r="F254" s="1">
        <v>0</v>
      </c>
      <c r="G254" s="1">
        <v>0</v>
      </c>
      <c r="H254" s="1">
        <v>0</v>
      </c>
      <c r="I254" s="1">
        <v>0</v>
      </c>
      <c r="J254" s="4">
        <v>0.5</v>
      </c>
      <c r="K254" s="4">
        <v>0.01</v>
      </c>
      <c r="L254" s="4">
        <v>0.5</v>
      </c>
      <c r="M254" s="1">
        <v>3</v>
      </c>
    </row>
    <row r="255" spans="1:13" ht="20" customHeight="1" x14ac:dyDescent="0.15">
      <c r="A255" s="7" t="s">
        <v>271</v>
      </c>
      <c r="B255" s="1" t="s">
        <v>209</v>
      </c>
      <c r="C255" s="4">
        <v>0.35</v>
      </c>
      <c r="D255" s="1">
        <v>0</v>
      </c>
      <c r="E255" s="1">
        <v>5</v>
      </c>
      <c r="F255" s="1">
        <v>0</v>
      </c>
      <c r="G255" s="1">
        <v>0</v>
      </c>
      <c r="H255" s="1">
        <v>0</v>
      </c>
      <c r="I255" s="1">
        <v>0</v>
      </c>
      <c r="J255" s="4">
        <v>0.5</v>
      </c>
      <c r="K255" s="4">
        <v>9.7087378640776691E-3</v>
      </c>
      <c r="L255" s="4">
        <v>0.5</v>
      </c>
      <c r="M255" s="1">
        <v>3</v>
      </c>
    </row>
    <row r="256" spans="1:13" ht="20" customHeight="1" x14ac:dyDescent="0.15">
      <c r="A256" s="7" t="s">
        <v>272</v>
      </c>
      <c r="B256" s="1" t="s">
        <v>97</v>
      </c>
      <c r="C256" s="4">
        <v>0.25</v>
      </c>
      <c r="D256" s="1">
        <v>1</v>
      </c>
      <c r="E256" s="1">
        <v>15</v>
      </c>
      <c r="F256" s="1">
        <v>0</v>
      </c>
      <c r="G256" s="1">
        <v>0</v>
      </c>
      <c r="H256" s="1">
        <v>0</v>
      </c>
      <c r="I256" s="1">
        <v>0</v>
      </c>
      <c r="J256" s="4">
        <v>0.75</v>
      </c>
      <c r="K256" s="4">
        <v>2.8846153846153848E-2</v>
      </c>
      <c r="L256" s="4">
        <v>1.5</v>
      </c>
      <c r="M256" s="1">
        <v>0</v>
      </c>
    </row>
    <row r="257" spans="1:13" ht="20" customHeight="1" x14ac:dyDescent="0.15">
      <c r="A257" s="7" t="s">
        <v>273</v>
      </c>
      <c r="B257" s="1" t="s">
        <v>78</v>
      </c>
      <c r="C257" s="4">
        <v>1</v>
      </c>
      <c r="D257" s="1">
        <v>0</v>
      </c>
      <c r="E257" s="1">
        <v>5</v>
      </c>
      <c r="F257" s="1">
        <v>0</v>
      </c>
      <c r="G257" s="1">
        <v>0</v>
      </c>
      <c r="H257" s="1">
        <v>0</v>
      </c>
      <c r="I257" s="1">
        <v>0</v>
      </c>
      <c r="J257" s="4">
        <v>0.5</v>
      </c>
      <c r="K257" s="4">
        <v>9.7087378640776691E-3</v>
      </c>
      <c r="L257" s="4">
        <v>0.5</v>
      </c>
      <c r="M257" s="1">
        <v>2</v>
      </c>
    </row>
    <row r="258" spans="1:13" ht="20" customHeight="1" x14ac:dyDescent="0.15">
      <c r="A258" s="7" t="s">
        <v>274</v>
      </c>
      <c r="B258" s="1" t="s">
        <v>125</v>
      </c>
      <c r="C258" s="4">
        <f>5.828125/10.75</f>
        <v>0.54215116279069764</v>
      </c>
      <c r="D258" s="1">
        <v>0</v>
      </c>
      <c r="E258" s="1">
        <v>10</v>
      </c>
      <c r="F258" s="1">
        <v>0</v>
      </c>
      <c r="G258" s="1">
        <v>0</v>
      </c>
      <c r="H258" s="1">
        <v>1</v>
      </c>
      <c r="I258" s="1">
        <v>0</v>
      </c>
      <c r="J258" s="4">
        <v>0.5</v>
      </c>
      <c r="K258" s="4">
        <v>1.9607843137254902E-2</v>
      </c>
      <c r="L258" s="4">
        <v>1</v>
      </c>
      <c r="M258" s="1">
        <v>2</v>
      </c>
    </row>
    <row r="259" spans="1:13" ht="20" customHeight="1" x14ac:dyDescent="0.15">
      <c r="A259" s="7" t="s">
        <v>275</v>
      </c>
      <c r="B259" s="1" t="s">
        <v>81</v>
      </c>
      <c r="C259" s="4">
        <f>6.375/10.8333333</f>
        <v>0.58846154027218933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0</v>
      </c>
      <c r="J259" s="4">
        <v>0</v>
      </c>
      <c r="K259" s="4">
        <v>0</v>
      </c>
      <c r="L259" s="4">
        <v>0</v>
      </c>
      <c r="M259" s="1">
        <v>3</v>
      </c>
    </row>
    <row r="260" spans="1:13" ht="20" customHeight="1" x14ac:dyDescent="0.15">
      <c r="A260" s="7" t="s">
        <v>276</v>
      </c>
      <c r="B260" s="1" t="s">
        <v>91</v>
      </c>
      <c r="C260" s="4">
        <f>4.890625/10.8333333</f>
        <v>0.45144230908136096</v>
      </c>
      <c r="D260" s="1">
        <v>0</v>
      </c>
      <c r="E260" s="1">
        <v>80</v>
      </c>
      <c r="F260" s="1">
        <v>0</v>
      </c>
      <c r="G260" s="1">
        <v>0</v>
      </c>
      <c r="H260" s="1">
        <v>3</v>
      </c>
      <c r="I260" s="1">
        <v>0</v>
      </c>
      <c r="J260" s="4">
        <v>1</v>
      </c>
      <c r="K260" s="4">
        <v>0.16666666666666666</v>
      </c>
      <c r="L260" s="4">
        <v>8</v>
      </c>
      <c r="M260" s="1">
        <v>0</v>
      </c>
    </row>
    <row r="261" spans="1:13" ht="20" customHeight="1" x14ac:dyDescent="0.15">
      <c r="A261" s="7" t="s">
        <v>277</v>
      </c>
      <c r="B261" s="1" t="s">
        <v>78</v>
      </c>
      <c r="C261" s="4">
        <v>0.35</v>
      </c>
      <c r="D261" s="1">
        <v>0</v>
      </c>
      <c r="E261" s="1">
        <v>5</v>
      </c>
      <c r="F261" s="1">
        <v>0</v>
      </c>
      <c r="G261" s="1">
        <v>0</v>
      </c>
      <c r="H261" s="1">
        <v>0</v>
      </c>
      <c r="I261" s="1">
        <v>0</v>
      </c>
      <c r="J261" s="4">
        <v>0.5</v>
      </c>
      <c r="K261" s="4">
        <v>1.0416666666666666E-2</v>
      </c>
      <c r="L261" s="4">
        <v>0.5</v>
      </c>
      <c r="M261" s="1">
        <v>2</v>
      </c>
    </row>
    <row r="262" spans="1:13" ht="20" customHeight="1" x14ac:dyDescent="0.15">
      <c r="A262" s="7" t="s">
        <v>278</v>
      </c>
      <c r="B262" s="1" t="s">
        <v>125</v>
      </c>
      <c r="C262" s="4">
        <f>3.6610169492/8.6567164179</f>
        <v>0.42291057861499315</v>
      </c>
      <c r="D262" s="1">
        <v>0</v>
      </c>
      <c r="E262" s="1">
        <v>10</v>
      </c>
      <c r="F262" s="1">
        <v>0</v>
      </c>
      <c r="G262" s="1">
        <v>0</v>
      </c>
      <c r="H262" s="1">
        <v>1</v>
      </c>
      <c r="I262" s="1">
        <v>0</v>
      </c>
      <c r="J262" s="4">
        <v>0.5</v>
      </c>
      <c r="K262" s="4">
        <v>2.1052631578947368E-2</v>
      </c>
      <c r="L262" s="4">
        <v>1</v>
      </c>
      <c r="M262" s="1">
        <v>2</v>
      </c>
    </row>
    <row r="263" spans="1:13" ht="20" customHeight="1" x14ac:dyDescent="0.15">
      <c r="A263" s="7" t="s">
        <v>279</v>
      </c>
      <c r="B263" s="1" t="s">
        <v>91</v>
      </c>
      <c r="C263" s="4">
        <f>2.7118644068/10.3333333</f>
        <v>0.26243849182722095</v>
      </c>
      <c r="D263" s="1">
        <v>0</v>
      </c>
      <c r="E263" s="1">
        <v>30</v>
      </c>
      <c r="F263" s="1">
        <v>0</v>
      </c>
      <c r="G263" s="1">
        <v>0</v>
      </c>
      <c r="H263" s="1">
        <v>2</v>
      </c>
      <c r="I263" s="1">
        <v>0</v>
      </c>
      <c r="J263" s="4">
        <v>0.75</v>
      </c>
      <c r="K263" s="4">
        <v>6.4516129032258063E-2</v>
      </c>
      <c r="L263" s="4">
        <v>3</v>
      </c>
      <c r="M263" s="1">
        <v>0</v>
      </c>
    </row>
    <row r="264" spans="1:13" ht="20" customHeight="1" x14ac:dyDescent="0.15">
      <c r="A264" s="7" t="s">
        <v>179</v>
      </c>
      <c r="B264" s="1" t="s">
        <v>74</v>
      </c>
      <c r="C264" s="4">
        <v>0.05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4">
        <v>0</v>
      </c>
      <c r="K264" s="4">
        <v>0</v>
      </c>
      <c r="L264" s="4">
        <v>0</v>
      </c>
      <c r="M264" s="1">
        <v>1</v>
      </c>
    </row>
    <row r="265" spans="1:13" ht="20" customHeight="1" x14ac:dyDescent="0.15">
      <c r="A265" s="7" t="s">
        <v>280</v>
      </c>
      <c r="B265" s="1" t="s">
        <v>74</v>
      </c>
      <c r="C265" s="4">
        <f>4.372881356/8.4029850746</f>
        <v>0.5203961826872765</v>
      </c>
      <c r="D265" s="1">
        <v>1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4">
        <v>0</v>
      </c>
      <c r="K265" s="4">
        <v>0</v>
      </c>
      <c r="L265" s="4">
        <v>0</v>
      </c>
      <c r="M265" s="1">
        <v>1</v>
      </c>
    </row>
    <row r="266" spans="1:13" ht="20" customHeight="1" x14ac:dyDescent="0.15">
      <c r="A266" s="7" t="s">
        <v>280</v>
      </c>
      <c r="B266" s="1" t="s">
        <v>77</v>
      </c>
      <c r="C266" s="4">
        <f>4.372881356/8.4029850746</f>
        <v>0.5203961826872765</v>
      </c>
      <c r="D266" s="1">
        <v>1</v>
      </c>
      <c r="E266" s="1">
        <v>10</v>
      </c>
      <c r="F266" s="1">
        <v>0</v>
      </c>
      <c r="G266" s="1">
        <v>0</v>
      </c>
      <c r="H266" s="1">
        <v>1</v>
      </c>
      <c r="I266" s="1">
        <v>0</v>
      </c>
      <c r="J266" s="4">
        <v>0.5</v>
      </c>
      <c r="K266" s="4">
        <v>2.197802197802198E-2</v>
      </c>
      <c r="L266" s="4">
        <v>1</v>
      </c>
      <c r="M266" s="1">
        <v>2</v>
      </c>
    </row>
    <row r="267" spans="1:13" ht="20" customHeight="1" x14ac:dyDescent="0.15">
      <c r="A267" s="7" t="s">
        <v>281</v>
      </c>
      <c r="B267" s="1" t="s">
        <v>74</v>
      </c>
      <c r="C267" s="4">
        <f>2.525423729/8.537313433</f>
        <v>0.29581012209745822</v>
      </c>
      <c r="D267" s="1">
        <v>1</v>
      </c>
      <c r="E267" s="1">
        <v>0</v>
      </c>
      <c r="F267" s="1">
        <v>0</v>
      </c>
      <c r="G267" s="1">
        <v>0</v>
      </c>
      <c r="H267" s="1">
        <v>2</v>
      </c>
      <c r="I267" s="1">
        <v>0</v>
      </c>
      <c r="J267" s="4">
        <v>0</v>
      </c>
      <c r="K267" s="4">
        <v>0</v>
      </c>
      <c r="L267" s="4">
        <v>0</v>
      </c>
      <c r="M267" s="1">
        <v>1</v>
      </c>
    </row>
    <row r="268" spans="1:13" ht="20" customHeight="1" x14ac:dyDescent="0.15">
      <c r="A268" s="7" t="s">
        <v>282</v>
      </c>
      <c r="B268" s="1" t="s">
        <v>283</v>
      </c>
      <c r="C268" s="4">
        <f>10.41666666/10.5</f>
        <v>0.99206349142857153</v>
      </c>
      <c r="D268" s="1">
        <v>1</v>
      </c>
      <c r="E268" s="1">
        <v>0</v>
      </c>
      <c r="F268" s="1">
        <v>0</v>
      </c>
      <c r="G268" s="1">
        <v>0</v>
      </c>
      <c r="H268" s="1">
        <v>3</v>
      </c>
      <c r="I268" s="1">
        <v>0</v>
      </c>
      <c r="J268" s="4">
        <v>0</v>
      </c>
      <c r="K268" s="4">
        <v>0</v>
      </c>
      <c r="L268" s="4">
        <v>0</v>
      </c>
      <c r="M268" s="1">
        <v>3</v>
      </c>
    </row>
    <row r="269" spans="1:13" ht="20" customHeight="1" x14ac:dyDescent="0.15">
      <c r="A269" s="7" t="s">
        <v>284</v>
      </c>
      <c r="B269" s="1" t="s">
        <v>91</v>
      </c>
      <c r="C269" s="4">
        <v>0</v>
      </c>
      <c r="D269" s="1">
        <v>0</v>
      </c>
      <c r="E269" s="1">
        <v>5</v>
      </c>
      <c r="F269" s="1">
        <v>0</v>
      </c>
      <c r="G269" s="1">
        <v>0</v>
      </c>
      <c r="H269" s="1">
        <v>0</v>
      </c>
      <c r="I269" s="1">
        <v>0</v>
      </c>
      <c r="J269" s="4">
        <v>0.5</v>
      </c>
      <c r="K269" s="4">
        <v>0.01</v>
      </c>
      <c r="L269" s="4">
        <v>0.5</v>
      </c>
      <c r="M269" s="1">
        <v>0</v>
      </c>
    </row>
    <row r="270" spans="1:13" ht="20" customHeight="1" x14ac:dyDescent="0.15">
      <c r="A270" s="7" t="s">
        <v>285</v>
      </c>
      <c r="B270" s="1" t="s">
        <v>209</v>
      </c>
      <c r="C270" s="4">
        <v>0.6</v>
      </c>
      <c r="D270" s="1">
        <v>0</v>
      </c>
      <c r="E270" s="1">
        <v>5</v>
      </c>
      <c r="F270" s="1">
        <v>0</v>
      </c>
      <c r="G270" s="1">
        <v>0</v>
      </c>
      <c r="H270" s="1">
        <v>0</v>
      </c>
      <c r="I270" s="1">
        <v>0</v>
      </c>
      <c r="J270" s="4">
        <v>0.5</v>
      </c>
      <c r="K270" s="4">
        <v>0.01</v>
      </c>
      <c r="L270" s="4">
        <v>0.5</v>
      </c>
      <c r="M270" s="1">
        <v>3</v>
      </c>
    </row>
    <row r="271" spans="1:13" ht="20" customHeight="1" x14ac:dyDescent="0.15">
      <c r="A271" s="7" t="s">
        <v>286</v>
      </c>
      <c r="B271" s="1" t="s">
        <v>209</v>
      </c>
      <c r="C271" s="4">
        <v>0.35</v>
      </c>
      <c r="D271" s="1">
        <v>0</v>
      </c>
      <c r="E271" s="1">
        <v>5</v>
      </c>
      <c r="F271" s="1">
        <v>0</v>
      </c>
      <c r="G271" s="1">
        <v>0</v>
      </c>
      <c r="H271" s="1">
        <v>0</v>
      </c>
      <c r="I271" s="1">
        <v>0</v>
      </c>
      <c r="J271" s="4">
        <v>0.5</v>
      </c>
      <c r="K271" s="4">
        <v>9.6153846153846159E-3</v>
      </c>
      <c r="L271" s="4">
        <v>0.5</v>
      </c>
      <c r="M271" s="1">
        <v>3</v>
      </c>
    </row>
  </sheetData>
  <pageMargins left="1" right="1" top="1" bottom="1" header="0.25" footer="0.25"/>
  <pageSetup scale="10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poker_now_log_s_u3gDG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2020-12-19T19:28:28Z</dcterms:modified>
</cp:coreProperties>
</file>