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ek\Desktop\Modelica\Physiomodel\Physiomodel\Resources\Data\"/>
    </mc:Choice>
  </mc:AlternateContent>
  <bookViews>
    <workbookView xWindow="0" yWindow="0" windowWidth="23040" windowHeight="10848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L17" i="1"/>
  <c r="L18" i="1" l="1"/>
  <c r="M18" i="1" s="1"/>
  <c r="K10" i="1" l="1"/>
  <c r="K2" i="1"/>
  <c r="M2" i="1" s="1"/>
  <c r="K9" i="1"/>
  <c r="K8" i="1"/>
  <c r="K7" i="1"/>
  <c r="K6" i="1"/>
  <c r="M6" i="1" s="1"/>
  <c r="K5" i="1"/>
  <c r="K4" i="1"/>
  <c r="M4" i="1" s="1"/>
  <c r="K11" i="1"/>
  <c r="K3" i="1"/>
  <c r="Y11" i="1"/>
  <c r="Y10" i="1"/>
  <c r="Y9" i="1"/>
  <c r="Y8" i="1"/>
  <c r="Y7" i="1"/>
  <c r="Y6" i="1"/>
  <c r="Y5" i="1"/>
  <c r="Y4" i="1"/>
  <c r="Y3" i="1"/>
  <c r="Y2" i="1"/>
  <c r="B25" i="1"/>
  <c r="L4" i="1" l="1"/>
  <c r="L9" i="1"/>
  <c r="M9" i="1"/>
  <c r="L5" i="1"/>
  <c r="M5" i="1"/>
  <c r="L2" i="1"/>
  <c r="L7" i="1"/>
  <c r="M7" i="1"/>
  <c r="L6" i="1"/>
  <c r="L8" i="1"/>
  <c r="M8" i="1"/>
  <c r="L3" i="1"/>
  <c r="M3" i="1"/>
  <c r="M11" i="1"/>
  <c r="L11" i="1"/>
  <c r="L10" i="1"/>
  <c r="M10" i="1"/>
  <c r="B18" i="1"/>
  <c r="D11" i="1"/>
  <c r="F11" i="1" s="1"/>
  <c r="D10" i="1"/>
  <c r="F10" i="1" s="1"/>
  <c r="D9" i="1"/>
  <c r="D8" i="1"/>
  <c r="D7" i="1"/>
  <c r="F7" i="1" s="1"/>
  <c r="D6" i="1"/>
  <c r="F6" i="1" s="1"/>
  <c r="D5" i="1"/>
  <c r="F5" i="1" s="1"/>
  <c r="D4" i="1"/>
  <c r="F4" i="1" s="1"/>
  <c r="D3" i="1"/>
  <c r="F3" i="1" s="1"/>
  <c r="D2" i="1"/>
  <c r="B17" i="1"/>
  <c r="B20" i="1" s="1"/>
  <c r="E8" i="1" l="1"/>
  <c r="O8" i="1" s="1"/>
  <c r="Z8" i="1" s="1"/>
  <c r="AB8" i="1" s="1"/>
  <c r="AC8" i="1" s="1"/>
  <c r="E9" i="1"/>
  <c r="E2" i="1"/>
  <c r="E11" i="1"/>
  <c r="E5" i="1"/>
  <c r="E6" i="1"/>
  <c r="E10" i="1"/>
  <c r="F9" i="1"/>
  <c r="F2" i="1"/>
  <c r="F8" i="1"/>
  <c r="E4" i="1"/>
  <c r="E3" i="1"/>
  <c r="E7" i="1"/>
  <c r="AA8" i="1" l="1"/>
  <c r="G8" i="1"/>
  <c r="N8" i="1" s="1"/>
  <c r="O5" i="1"/>
  <c r="Z5" i="1" s="1"/>
  <c r="G5" i="1"/>
  <c r="O11" i="1"/>
  <c r="Z11" i="1" s="1"/>
  <c r="G11" i="1"/>
  <c r="O2" i="1"/>
  <c r="Z2" i="1" s="1"/>
  <c r="G2" i="1"/>
  <c r="O9" i="1"/>
  <c r="Z9" i="1" s="1"/>
  <c r="G9" i="1"/>
  <c r="O6" i="1"/>
  <c r="Z6" i="1" s="1"/>
  <c r="G6" i="1"/>
  <c r="O3" i="1"/>
  <c r="Z3" i="1" s="1"/>
  <c r="G3" i="1"/>
  <c r="O10" i="1"/>
  <c r="Z10" i="1" s="1"/>
  <c r="G10" i="1"/>
  <c r="O7" i="1"/>
  <c r="Z7" i="1" s="1"/>
  <c r="G7" i="1"/>
  <c r="O4" i="1"/>
  <c r="Z4" i="1" s="1"/>
  <c r="G4" i="1"/>
  <c r="AA10" i="1" l="1"/>
  <c r="AB10" i="1"/>
  <c r="AC10" i="1" s="1"/>
  <c r="AA9" i="1"/>
  <c r="AB9" i="1"/>
  <c r="AC9" i="1" s="1"/>
  <c r="AA11" i="1"/>
  <c r="AB11" i="1"/>
  <c r="AC11" i="1" s="1"/>
  <c r="AB7" i="1"/>
  <c r="AC7" i="1" s="1"/>
  <c r="AA7" i="1"/>
  <c r="AA6" i="1"/>
  <c r="AB6" i="1"/>
  <c r="AC6" i="1" s="1"/>
  <c r="AA5" i="1"/>
  <c r="AB5" i="1"/>
  <c r="AC5" i="1" s="1"/>
  <c r="AA4" i="1"/>
  <c r="AB4" i="1"/>
  <c r="AC4" i="1" s="1"/>
  <c r="AA3" i="1"/>
  <c r="AB3" i="1"/>
  <c r="AC3" i="1" s="1"/>
  <c r="AA2" i="1"/>
  <c r="AB2" i="1"/>
  <c r="AC2" i="1" s="1"/>
  <c r="H8" i="1"/>
  <c r="J8" i="1" s="1"/>
  <c r="U8" i="1" s="1"/>
  <c r="V8" i="1" s="1"/>
  <c r="W8" i="1" s="1"/>
  <c r="X8" i="1" s="1"/>
  <c r="N9" i="1"/>
  <c r="H9" i="1"/>
  <c r="J9" i="1" s="1"/>
  <c r="U9" i="1" s="1"/>
  <c r="V9" i="1" s="1"/>
  <c r="W9" i="1" s="1"/>
  <c r="X9" i="1" s="1"/>
  <c r="N3" i="1"/>
  <c r="H3" i="1"/>
  <c r="J3" i="1" s="1"/>
  <c r="U3" i="1" s="1"/>
  <c r="V3" i="1" s="1"/>
  <c r="W3" i="1" s="1"/>
  <c r="X3" i="1" s="1"/>
  <c r="N2" i="1"/>
  <c r="H2" i="1"/>
  <c r="J2" i="1" s="1"/>
  <c r="U2" i="1" s="1"/>
  <c r="V2" i="1" s="1"/>
  <c r="W2" i="1" s="1"/>
  <c r="X2" i="1" s="1"/>
  <c r="N5" i="1"/>
  <c r="H5" i="1"/>
  <c r="J5" i="1" s="1"/>
  <c r="U5" i="1" s="1"/>
  <c r="V5" i="1" s="1"/>
  <c r="W5" i="1" s="1"/>
  <c r="X5" i="1" s="1"/>
  <c r="N4" i="1"/>
  <c r="H4" i="1"/>
  <c r="J4" i="1" s="1"/>
  <c r="U4" i="1" s="1"/>
  <c r="V4" i="1" s="1"/>
  <c r="W4" i="1" s="1"/>
  <c r="X4" i="1" s="1"/>
  <c r="N10" i="1"/>
  <c r="H10" i="1"/>
  <c r="J10" i="1" s="1"/>
  <c r="U10" i="1" s="1"/>
  <c r="V10" i="1" s="1"/>
  <c r="W10" i="1" s="1"/>
  <c r="X10" i="1" s="1"/>
  <c r="N6" i="1"/>
  <c r="H6" i="1"/>
  <c r="J6" i="1" s="1"/>
  <c r="U6" i="1" s="1"/>
  <c r="V6" i="1" s="1"/>
  <c r="W6" i="1" s="1"/>
  <c r="X6" i="1" s="1"/>
  <c r="N11" i="1"/>
  <c r="H11" i="1"/>
  <c r="J11" i="1" s="1"/>
  <c r="U11" i="1" s="1"/>
  <c r="V11" i="1" s="1"/>
  <c r="W11" i="1" s="1"/>
  <c r="X11" i="1" s="1"/>
  <c r="N7" i="1"/>
  <c r="H7" i="1"/>
  <c r="J7" i="1" s="1"/>
  <c r="U7" i="1" s="1"/>
  <c r="V7" i="1" s="1"/>
  <c r="W7" i="1" s="1"/>
  <c r="X7" i="1" s="1"/>
  <c r="P8" i="1" l="1"/>
  <c r="Q8" i="1" s="1"/>
  <c r="R8" i="1" s="1"/>
  <c r="S8" i="1" s="1"/>
  <c r="T8" i="1" s="1"/>
  <c r="P10" i="1"/>
  <c r="Q10" i="1" s="1"/>
  <c r="R10" i="1" s="1"/>
  <c r="S10" i="1" s="1"/>
  <c r="T10" i="1" s="1"/>
  <c r="P7" i="1"/>
  <c r="Q7" i="1" s="1"/>
  <c r="R7" i="1" s="1"/>
  <c r="S7" i="1" s="1"/>
  <c r="T7" i="1" s="1"/>
  <c r="P2" i="1"/>
  <c r="Q2" i="1" s="1"/>
  <c r="R2" i="1" s="1"/>
  <c r="S2" i="1" s="1"/>
  <c r="T2" i="1" s="1"/>
  <c r="P11" i="1"/>
  <c r="Q11" i="1" s="1"/>
  <c r="R11" i="1" s="1"/>
  <c r="S11" i="1" s="1"/>
  <c r="T11" i="1" s="1"/>
  <c r="P4" i="1"/>
  <c r="Q4" i="1" s="1"/>
  <c r="R4" i="1" s="1"/>
  <c r="S4" i="1" s="1"/>
  <c r="T4" i="1" s="1"/>
  <c r="P3" i="1"/>
  <c r="Q3" i="1" s="1"/>
  <c r="R3" i="1" s="1"/>
  <c r="S3" i="1" s="1"/>
  <c r="T3" i="1" s="1"/>
  <c r="P6" i="1"/>
  <c r="Q6" i="1" s="1"/>
  <c r="R6" i="1" s="1"/>
  <c r="S6" i="1" s="1"/>
  <c r="T6" i="1" s="1"/>
  <c r="P5" i="1"/>
  <c r="Q5" i="1" s="1"/>
  <c r="R5" i="1" s="1"/>
  <c r="S5" i="1" s="1"/>
  <c r="T5" i="1" s="1"/>
  <c r="P9" i="1"/>
  <c r="Q9" i="1" s="1"/>
  <c r="R9" i="1" s="1"/>
  <c r="S9" i="1" s="1"/>
  <c r="T9" i="1" s="1"/>
</calcChain>
</file>

<file path=xl/sharedStrings.xml><?xml version="1.0" encoding="utf-8"?>
<sst xmlns="http://schemas.openxmlformats.org/spreadsheetml/2006/main" count="60" uniqueCount="59">
  <si>
    <t>sleeping</t>
  </si>
  <si>
    <t>awake lying still</t>
  </si>
  <si>
    <t>sitting at rest</t>
  </si>
  <si>
    <t>standing relaxed</t>
  </si>
  <si>
    <t>dressing und undressing</t>
  </si>
  <si>
    <t>typewriting rapidly</t>
  </si>
  <si>
    <t>swinmming</t>
  </si>
  <si>
    <t>walking upstairs rapidly</t>
  </si>
  <si>
    <t>energy liberated per liter of oxygen</t>
  </si>
  <si>
    <t>cal/L</t>
  </si>
  <si>
    <t>mmol to liter STP</t>
  </si>
  <si>
    <t>mmol/L</t>
  </si>
  <si>
    <t>L/mol</t>
  </si>
  <si>
    <t>energy liberated per mol of oxygen</t>
  </si>
  <si>
    <t>cal/mol</t>
  </si>
  <si>
    <t>cal/min</t>
  </si>
  <si>
    <t>O2 mmol/min</t>
  </si>
  <si>
    <t>O2 ml/min</t>
  </si>
  <si>
    <t>hemoglobin concentration</t>
  </si>
  <si>
    <t>respiration quotient</t>
  </si>
  <si>
    <t>CO2 mmol/min</t>
  </si>
  <si>
    <t>CO2 ml(37°)/min</t>
  </si>
  <si>
    <t>mmol to liter 37°C</t>
  </si>
  <si>
    <t>regulated alveolar pCO2 [mmHg]</t>
  </si>
  <si>
    <t>dtCO2 [mmol/l]</t>
  </si>
  <si>
    <t>dtO2 [mmol/l]</t>
  </si>
  <si>
    <t>arterial tCO2 [mmol/l]</t>
  </si>
  <si>
    <t>venous tCO2 [mmol/l]</t>
  </si>
  <si>
    <t>arterial tO2 [mmol/l]</t>
  </si>
  <si>
    <t>venous tO2 [mmol/l]</t>
  </si>
  <si>
    <t>air oxygen concentration</t>
  </si>
  <si>
    <t>mmol/l</t>
  </si>
  <si>
    <t>alveolar tO2 [mmol/l]</t>
  </si>
  <si>
    <t>alveolar tCO2 [mmol/l]</t>
  </si>
  <si>
    <t>pKa of Henderson-Hasselbalch</t>
  </si>
  <si>
    <t>free dissolved CO2 in perfused alveolus  [mmol/l]</t>
  </si>
  <si>
    <t>perfused lung blood flow [L/min]</t>
  </si>
  <si>
    <t>carbon dioxide Henry's solubility</t>
  </si>
  <si>
    <t>tCO2 in perfused blood [mmol/l]</t>
  </si>
  <si>
    <t>alveolar pO2</t>
  </si>
  <si>
    <t>PV=nRT</t>
  </si>
  <si>
    <t>P=cRT</t>
  </si>
  <si>
    <t>inspired O2 [mmol/min]</t>
  </si>
  <si>
    <t>expired O2 [mmol/min]</t>
  </si>
  <si>
    <t>oxygen saturation at 100-120 mmHg of O2</t>
  </si>
  <si>
    <t>shunt blood flow</t>
  </si>
  <si>
    <t>tO2 in perfused blood [mmol/l]</t>
  </si>
  <si>
    <t>lung perfusion shunt</t>
  </si>
  <si>
    <t>venous O2 saturation</t>
  </si>
  <si>
    <t>arterial O2 saturation</t>
  </si>
  <si>
    <t>alveolar ventilation of perfused alveoli L/min</t>
  </si>
  <si>
    <t>Guyton,13th, 864:</t>
  </si>
  <si>
    <t>cardiac output</t>
  </si>
  <si>
    <t>cardiac output slope</t>
  </si>
  <si>
    <t>cardiac output start</t>
  </si>
  <si>
    <t>energy per 70kg man [cals/h]</t>
  </si>
  <si>
    <t>walking slowly (4.2 km/h)</t>
  </si>
  <si>
    <t>running (8.5 km/h)</t>
  </si>
  <si>
    <t>energy per  $C$12 kg man [cals/h]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</si>
</sst>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N12" sqref="N12"/>
    </sheetView>
  </sheetViews>
  <sheetFormatPr defaultRowHeight="14.4" x14ac:dyDescent="0.3"/>
  <cols>
    <col min="1" max="1" width="34.5546875" style="1" customWidth="1"/>
    <col min="2" max="2" width="9.6640625" customWidth="1"/>
    <col min="3" max="3" width="7.77734375" style="1" customWidth="1"/>
    <col min="4" max="4" width="8.88671875" style="1"/>
    <col min="5" max="5" width="10.88671875" style="1" customWidth="1"/>
    <col min="6" max="6" width="8.88671875" style="1"/>
    <col min="7" max="8" width="13.109375" style="1" customWidth="1"/>
    <col min="9" max="9" width="8.88671875" style="1"/>
    <col min="10" max="11" width="12.44140625" style="1" customWidth="1"/>
    <col min="12" max="16384" width="8.88671875" style="1"/>
  </cols>
  <sheetData>
    <row r="1" spans="1:29" x14ac:dyDescent="0.3">
      <c r="A1" s="1" t="s">
        <v>51</v>
      </c>
      <c r="B1" s="1" t="s">
        <v>55</v>
      </c>
      <c r="C1" t="s">
        <v>58</v>
      </c>
      <c r="D1" s="1" t="s">
        <v>15</v>
      </c>
      <c r="E1" s="1" t="s">
        <v>16</v>
      </c>
      <c r="F1" s="1" t="s">
        <v>17</v>
      </c>
      <c r="G1" s="1" t="s">
        <v>20</v>
      </c>
      <c r="H1" s="1" t="s">
        <v>21</v>
      </c>
      <c r="I1" s="1" t="s">
        <v>23</v>
      </c>
      <c r="J1" s="1" t="s">
        <v>50</v>
      </c>
      <c r="K1" s="1" t="s">
        <v>52</v>
      </c>
      <c r="L1" s="1" t="s">
        <v>36</v>
      </c>
      <c r="M1" s="1" t="s">
        <v>45</v>
      </c>
      <c r="N1" s="1" t="s">
        <v>24</v>
      </c>
      <c r="O1" s="1" t="s">
        <v>25</v>
      </c>
      <c r="P1" s="1" t="s">
        <v>33</v>
      </c>
      <c r="Q1" s="1" t="s">
        <v>35</v>
      </c>
      <c r="R1" s="1" t="s">
        <v>38</v>
      </c>
      <c r="S1" s="1" t="s">
        <v>26</v>
      </c>
      <c r="T1" s="1" t="s">
        <v>27</v>
      </c>
      <c r="U1" s="1" t="s">
        <v>42</v>
      </c>
      <c r="V1" s="1" t="s">
        <v>43</v>
      </c>
      <c r="W1" s="1" t="s">
        <v>32</v>
      </c>
      <c r="X1" s="1" t="s">
        <v>39</v>
      </c>
      <c r="Y1" s="1" t="s">
        <v>46</v>
      </c>
      <c r="Z1" s="1" t="s">
        <v>28</v>
      </c>
      <c r="AA1" s="1" t="s">
        <v>49</v>
      </c>
      <c r="AB1" s="1" t="s">
        <v>29</v>
      </c>
      <c r="AC1" s="1" t="s">
        <v>48</v>
      </c>
    </row>
    <row r="2" spans="1:29" x14ac:dyDescent="0.3">
      <c r="A2" s="1" t="s">
        <v>0</v>
      </c>
      <c r="B2" s="1">
        <v>65</v>
      </c>
      <c r="C2" s="2">
        <f>B2*($C$12/70)</f>
        <v>65</v>
      </c>
      <c r="D2" s="2">
        <f>C2/60</f>
        <v>1.0833333333333333</v>
      </c>
      <c r="E2" s="2">
        <f>1000*D2/$B$20</f>
        <v>10.023253949162054</v>
      </c>
      <c r="F2" s="2">
        <f>1000*D2/$B$19</f>
        <v>0.2245250431778929</v>
      </c>
      <c r="G2" s="2">
        <f>$B$15*E2</f>
        <v>8.0186031593296434</v>
      </c>
      <c r="H2" s="2">
        <f>G2*$B$18</f>
        <v>0.20396414178797595</v>
      </c>
      <c r="I2" s="1">
        <v>40</v>
      </c>
      <c r="J2" s="2">
        <f t="shared" ref="J2:J11" si="0">H2/(I2/760)</f>
        <v>3.8753186939715434</v>
      </c>
      <c r="K2" s="3">
        <f>$M$18+$L$17*C2</f>
        <v>5.4</v>
      </c>
      <c r="L2" s="2">
        <f>(1-$N$14)*K2</f>
        <v>5.2919999999999998</v>
      </c>
      <c r="M2" s="2">
        <f>K2*$N$14</f>
        <v>0.10800000000000001</v>
      </c>
      <c r="N2" s="2">
        <f t="shared" ref="N2:N11" si="1">G2/L2</f>
        <v>1.5152311336601745</v>
      </c>
      <c r="O2" s="2">
        <f t="shared" ref="O2:O11" si="2">E2/L2</f>
        <v>1.8940389170752181</v>
      </c>
      <c r="P2" s="2">
        <f>G2/J2</f>
        <v>2.0691467702523161</v>
      </c>
      <c r="Q2" s="2">
        <f>$B$22*P2</f>
        <v>1.2497646492323988</v>
      </c>
      <c r="R2" s="2">
        <f>Q2*10^(7.4-$B$23)+Q2</f>
        <v>26.185847721169505</v>
      </c>
      <c r="S2" s="2">
        <f>R2+N2*M2/L2</f>
        <v>26.216770805529919</v>
      </c>
      <c r="T2" s="2">
        <f>S2+N2</f>
        <v>27.732001939190091</v>
      </c>
      <c r="U2" s="2">
        <f>$B$25*J2</f>
        <v>33.282584724076635</v>
      </c>
      <c r="V2" s="2">
        <f>U2-E2</f>
        <v>23.259330774914581</v>
      </c>
      <c r="W2" s="2">
        <f>V2/J2</f>
        <v>6.0019143228392702</v>
      </c>
      <c r="X2" s="2">
        <f>(W2*8.314*310)*(760/101325)</f>
        <v>116.02684563758389</v>
      </c>
      <c r="Y2" s="3">
        <f>$AB$15*$B$27</f>
        <v>8.1479999999999997</v>
      </c>
      <c r="Z2" s="2">
        <f>Y2-O2*M2/L2</f>
        <v>8.1093461445494857</v>
      </c>
      <c r="AA2" s="3">
        <f>Z2/$B$27</f>
        <v>0.96539835054160539</v>
      </c>
      <c r="AB2" s="2">
        <f>Z2-O2</f>
        <v>6.215307227474268</v>
      </c>
      <c r="AC2" s="3">
        <f>AB2/$B$27</f>
        <v>0.73991752708026992</v>
      </c>
    </row>
    <row r="3" spans="1:29" x14ac:dyDescent="0.3">
      <c r="A3" s="1" t="s">
        <v>1</v>
      </c>
      <c r="B3" s="1">
        <v>77</v>
      </c>
      <c r="C3" s="2">
        <f t="shared" ref="C3:C11" si="3">B3*($C$12/70)</f>
        <v>77</v>
      </c>
      <c r="D3" s="2">
        <f t="shared" ref="D3:D11" si="4">C3/60</f>
        <v>1.2833333333333334</v>
      </c>
      <c r="E3" s="2">
        <f>1000*D3/$B$20</f>
        <v>11.873700832084282</v>
      </c>
      <c r="F3" s="2">
        <f>1000*D3/$B$19</f>
        <v>0.26597582037996548</v>
      </c>
      <c r="G3" s="2">
        <f>$B$15*E3</f>
        <v>9.4989606656674255</v>
      </c>
      <c r="H3" s="2">
        <f>G3*$B$18</f>
        <v>0.24161906027191002</v>
      </c>
      <c r="I3" s="1">
        <v>40</v>
      </c>
      <c r="J3" s="2">
        <f t="shared" si="0"/>
        <v>4.5907621451662903</v>
      </c>
      <c r="K3" s="3">
        <f t="shared" ref="K3:K11" si="5">$M$18+$L$17*C3</f>
        <v>5.6052173913043486</v>
      </c>
      <c r="L3" s="2">
        <f t="shared" ref="L3:L11" si="6">(1-$N$14)*K3</f>
        <v>5.4931130434782611</v>
      </c>
      <c r="M3" s="2">
        <f t="shared" ref="M3:M11" si="7">K3*$N$14</f>
        <v>0.11210434782608697</v>
      </c>
      <c r="N3" s="2">
        <f t="shared" si="1"/>
        <v>1.7292490779786767</v>
      </c>
      <c r="O3" s="2">
        <f t="shared" si="2"/>
        <v>2.1615613474733459</v>
      </c>
      <c r="P3" s="2">
        <f t="shared" ref="P3:P11" si="8">G3/J3</f>
        <v>2.0691467702523165</v>
      </c>
      <c r="Q3" s="2">
        <f>$B$22*P3</f>
        <v>1.249764649232399</v>
      </c>
      <c r="R3" s="2">
        <f>Q3*10^(7.4-$B$23)+Q3</f>
        <v>26.185847721169509</v>
      </c>
      <c r="S3" s="2">
        <f t="shared" ref="S3:S11" si="9">R3+N3*M3/L3</f>
        <v>26.221138518679279</v>
      </c>
      <c r="T3" s="2">
        <f t="shared" ref="T3:T11" si="10">S3+N3</f>
        <v>27.950387596657954</v>
      </c>
      <c r="U3" s="2">
        <f>$B$25*J3</f>
        <v>39.427061903906171</v>
      </c>
      <c r="V3" s="2">
        <f t="shared" ref="V3:V11" si="11">U3-E3</f>
        <v>27.55336107182189</v>
      </c>
      <c r="W3" s="2">
        <f t="shared" ref="W3:W11" si="12">V3/J3</f>
        <v>6.0019143228392702</v>
      </c>
      <c r="X3" s="2">
        <f t="shared" ref="X3:X11" si="13">(W3*8.314*310)*(760/101325)</f>
        <v>116.02684563758389</v>
      </c>
      <c r="Y3" s="3">
        <f>$AB$15*$B$27</f>
        <v>8.1479999999999997</v>
      </c>
      <c r="Z3" s="2">
        <f t="shared" ref="Z3:Z11" si="14">Y3-O3*M3/L3</f>
        <v>8.103886503112788</v>
      </c>
      <c r="AA3" s="3">
        <f>Z3/$B$27</f>
        <v>0.96474839322771277</v>
      </c>
      <c r="AB3" s="2">
        <f t="shared" ref="AB3:AB11" si="15">Z3-O3</f>
        <v>5.9423251556394421</v>
      </c>
      <c r="AC3" s="3">
        <f>AB3/$B$27</f>
        <v>0.70741966138564782</v>
      </c>
    </row>
    <row r="4" spans="1:29" x14ac:dyDescent="0.3">
      <c r="A4" s="1" t="s">
        <v>2</v>
      </c>
      <c r="B4" s="1">
        <v>100</v>
      </c>
      <c r="C4" s="2">
        <f t="shared" si="3"/>
        <v>100</v>
      </c>
      <c r="D4" s="2">
        <f t="shared" si="4"/>
        <v>1.6666666666666667</v>
      </c>
      <c r="E4" s="2">
        <f>1000*D4/$B$20</f>
        <v>15.420390691018547</v>
      </c>
      <c r="F4" s="2">
        <f>1000*D4/$B$19</f>
        <v>0.34542314335060453</v>
      </c>
      <c r="G4" s="2">
        <f>$B$15*E4</f>
        <v>12.336312552814839</v>
      </c>
      <c r="H4" s="2">
        <f>G4*$B$18</f>
        <v>0.31379098736611694</v>
      </c>
      <c r="I4" s="1">
        <v>40</v>
      </c>
      <c r="J4" s="2">
        <f t="shared" si="0"/>
        <v>5.9620287599562225</v>
      </c>
      <c r="K4" s="3">
        <f t="shared" si="5"/>
        <v>5.9985507246376812</v>
      </c>
      <c r="L4" s="2">
        <f t="shared" si="6"/>
        <v>5.8785797101449271</v>
      </c>
      <c r="M4" s="2">
        <f t="shared" si="7"/>
        <v>0.11997101449275363</v>
      </c>
      <c r="N4" s="2">
        <f t="shared" si="1"/>
        <v>2.0985192276164111</v>
      </c>
      <c r="O4" s="2">
        <f t="shared" si="2"/>
        <v>2.6231490345205137</v>
      </c>
      <c r="P4" s="2">
        <f t="shared" si="8"/>
        <v>2.0691467702523161</v>
      </c>
      <c r="Q4" s="2">
        <f>$B$22*P4</f>
        <v>1.2497646492323988</v>
      </c>
      <c r="R4" s="2">
        <f>Q4*10^(7.4-$B$23)+Q4</f>
        <v>26.185847721169505</v>
      </c>
      <c r="S4" s="2">
        <f t="shared" si="9"/>
        <v>26.228674644182085</v>
      </c>
      <c r="T4" s="2">
        <f t="shared" si="10"/>
        <v>28.327193871798496</v>
      </c>
      <c r="U4" s="2">
        <f>$B$25*J4</f>
        <v>51.203976498579458</v>
      </c>
      <c r="V4" s="2">
        <f t="shared" si="11"/>
        <v>35.783585807560911</v>
      </c>
      <c r="W4" s="2">
        <f t="shared" si="12"/>
        <v>6.0019143228392711</v>
      </c>
      <c r="X4" s="2">
        <f t="shared" si="13"/>
        <v>116.02684563758392</v>
      </c>
      <c r="Y4" s="3">
        <f>$AB$15*$B$27</f>
        <v>8.1479999999999997</v>
      </c>
      <c r="Z4" s="2">
        <f t="shared" si="14"/>
        <v>8.0944663462342756</v>
      </c>
      <c r="AA4" s="3">
        <f>Z4/$B$27</f>
        <v>0.96362694598027088</v>
      </c>
      <c r="AB4" s="2">
        <f t="shared" si="15"/>
        <v>5.4713173117137615</v>
      </c>
      <c r="AC4" s="3">
        <f>AB4/$B$27</f>
        <v>0.65134729901354305</v>
      </c>
    </row>
    <row r="5" spans="1:29" x14ac:dyDescent="0.3">
      <c r="A5" s="1" t="s">
        <v>3</v>
      </c>
      <c r="B5" s="1">
        <v>105</v>
      </c>
      <c r="C5" s="2">
        <f t="shared" si="3"/>
        <v>105</v>
      </c>
      <c r="D5" s="2">
        <f t="shared" si="4"/>
        <v>1.75</v>
      </c>
      <c r="E5" s="2">
        <f>1000*D5/$B$20</f>
        <v>16.191410225569474</v>
      </c>
      <c r="F5" s="2">
        <f>1000*D5/$B$19</f>
        <v>0.36269430051813473</v>
      </c>
      <c r="G5" s="2">
        <f>$B$15*E5</f>
        <v>12.953128180455579</v>
      </c>
      <c r="H5" s="2">
        <f>G5*$B$18</f>
        <v>0.32948053673442274</v>
      </c>
      <c r="I5" s="1">
        <v>40</v>
      </c>
      <c r="J5" s="2">
        <f t="shared" si="0"/>
        <v>6.260130197954032</v>
      </c>
      <c r="K5" s="3">
        <f t="shared" si="5"/>
        <v>6.0840579710144933</v>
      </c>
      <c r="L5" s="2">
        <f t="shared" si="6"/>
        <v>5.9623768115942033</v>
      </c>
      <c r="M5" s="2">
        <f t="shared" si="7"/>
        <v>0.12168115942028987</v>
      </c>
      <c r="N5" s="2">
        <f t="shared" si="1"/>
        <v>2.1724772837683517</v>
      </c>
      <c r="O5" s="2">
        <f t="shared" si="2"/>
        <v>2.7155966047104392</v>
      </c>
      <c r="P5" s="2">
        <f t="shared" si="8"/>
        <v>2.0691467702523165</v>
      </c>
      <c r="Q5" s="2">
        <f>$B$22*P5</f>
        <v>1.249764649232399</v>
      </c>
      <c r="R5" s="2">
        <f>Q5*10^(7.4-$B$23)+Q5</f>
        <v>26.185847721169509</v>
      </c>
      <c r="S5" s="2">
        <f t="shared" si="9"/>
        <v>26.230183992266824</v>
      </c>
      <c r="T5" s="2">
        <f t="shared" si="10"/>
        <v>28.402661276035175</v>
      </c>
      <c r="U5" s="2">
        <f>$B$25*J5</f>
        <v>53.764175323508411</v>
      </c>
      <c r="V5" s="2">
        <f t="shared" si="11"/>
        <v>37.572765097938941</v>
      </c>
      <c r="W5" s="2">
        <f t="shared" si="12"/>
        <v>6.0019143228392702</v>
      </c>
      <c r="X5" s="2">
        <f t="shared" si="13"/>
        <v>116.02684563758389</v>
      </c>
      <c r="Y5" s="3">
        <f>$AB$15*$B$27</f>
        <v>8.1479999999999997</v>
      </c>
      <c r="Z5" s="2">
        <f t="shared" si="14"/>
        <v>8.092579661128358</v>
      </c>
      <c r="AA5" s="3">
        <f>Z5/$B$27</f>
        <v>0.96340234061051877</v>
      </c>
      <c r="AB5" s="2">
        <f t="shared" si="15"/>
        <v>5.3769830564179184</v>
      </c>
      <c r="AC5" s="3">
        <f>AB5/$B$27</f>
        <v>0.6401170305259426</v>
      </c>
    </row>
    <row r="6" spans="1:29" x14ac:dyDescent="0.3">
      <c r="A6" s="1" t="s">
        <v>4</v>
      </c>
      <c r="B6" s="1">
        <v>118</v>
      </c>
      <c r="C6" s="2">
        <f t="shared" si="3"/>
        <v>118</v>
      </c>
      <c r="D6" s="2">
        <f t="shared" si="4"/>
        <v>1.9666666666666666</v>
      </c>
      <c r="E6" s="2">
        <f>1000*D6/$B$20</f>
        <v>18.196061015401884</v>
      </c>
      <c r="F6" s="2">
        <f>1000*D6/$B$19</f>
        <v>0.40759930915371329</v>
      </c>
      <c r="G6" s="2">
        <f>$B$15*E6</f>
        <v>14.556848812321508</v>
      </c>
      <c r="H6" s="2">
        <f>G6*$B$18</f>
        <v>0.37027336509201797</v>
      </c>
      <c r="I6" s="1">
        <v>40</v>
      </c>
      <c r="J6" s="2">
        <f t="shared" si="0"/>
        <v>7.0351939367483416</v>
      </c>
      <c r="K6" s="3">
        <f t="shared" si="5"/>
        <v>6.3063768115942036</v>
      </c>
      <c r="L6" s="2">
        <f t="shared" si="6"/>
        <v>6.1802492753623195</v>
      </c>
      <c r="M6" s="2">
        <f t="shared" si="7"/>
        <v>0.12612753623188408</v>
      </c>
      <c r="N6" s="2">
        <f t="shared" si="1"/>
        <v>2.355382147828998</v>
      </c>
      <c r="O6" s="2">
        <f t="shared" si="2"/>
        <v>2.9442276847862474</v>
      </c>
      <c r="P6" s="2">
        <f t="shared" si="8"/>
        <v>2.0691467702523161</v>
      </c>
      <c r="Q6" s="2">
        <f>$B$22*P6</f>
        <v>1.2497646492323988</v>
      </c>
      <c r="R6" s="2">
        <f>Q6*10^(7.4-$B$23)+Q6</f>
        <v>26.185847721169505</v>
      </c>
      <c r="S6" s="2">
        <f t="shared" si="9"/>
        <v>26.233916744594588</v>
      </c>
      <c r="T6" s="2">
        <f t="shared" si="10"/>
        <v>28.589298892423585</v>
      </c>
      <c r="U6" s="2">
        <f>$B$25*J6</f>
        <v>60.420692268323748</v>
      </c>
      <c r="V6" s="2">
        <f t="shared" si="11"/>
        <v>42.224631252921867</v>
      </c>
      <c r="W6" s="2">
        <f t="shared" si="12"/>
        <v>6.0019143228392711</v>
      </c>
      <c r="X6" s="2">
        <f t="shared" si="13"/>
        <v>116.02684563758392</v>
      </c>
      <c r="Y6" s="3">
        <f>$AB$15*$B$27</f>
        <v>8.1479999999999997</v>
      </c>
      <c r="Z6" s="2">
        <f t="shared" si="14"/>
        <v>8.0879137207186478</v>
      </c>
      <c r="AA6" s="3">
        <f>Z6/$B$27</f>
        <v>0.96284687151412474</v>
      </c>
      <c r="AB6" s="2">
        <f t="shared" si="15"/>
        <v>5.1436860359324008</v>
      </c>
      <c r="AC6" s="3">
        <f>AB6/$B$27</f>
        <v>0.61234357570623821</v>
      </c>
    </row>
    <row r="7" spans="1:29" x14ac:dyDescent="0.3">
      <c r="A7" s="1" t="s">
        <v>5</v>
      </c>
      <c r="B7" s="1">
        <v>140</v>
      </c>
      <c r="C7" s="2">
        <f t="shared" si="3"/>
        <v>140</v>
      </c>
      <c r="D7" s="2">
        <f t="shared" si="4"/>
        <v>2.3333333333333335</v>
      </c>
      <c r="E7" s="2">
        <f>1000*D7/$B$20</f>
        <v>21.588546967425966</v>
      </c>
      <c r="F7" s="2">
        <f>1000*D7/$B$19</f>
        <v>0.4835924006908463</v>
      </c>
      <c r="G7" s="2">
        <f>$B$15*E7</f>
        <v>17.270837573940774</v>
      </c>
      <c r="H7" s="2">
        <f>G7*$B$18</f>
        <v>0.43930738231256372</v>
      </c>
      <c r="I7" s="1">
        <v>41</v>
      </c>
      <c r="J7" s="2">
        <f t="shared" si="0"/>
        <v>8.1432587940865471</v>
      </c>
      <c r="K7" s="3">
        <f t="shared" si="5"/>
        <v>6.6826086956521742</v>
      </c>
      <c r="L7" s="2">
        <f t="shared" si="6"/>
        <v>6.5489565217391306</v>
      </c>
      <c r="M7" s="2">
        <f t="shared" si="7"/>
        <v>0.13365217391304349</v>
      </c>
      <c r="N7" s="2">
        <f t="shared" si="1"/>
        <v>2.6371892249720355</v>
      </c>
      <c r="O7" s="2">
        <f t="shared" si="2"/>
        <v>3.2964865312150438</v>
      </c>
      <c r="P7" s="2">
        <f t="shared" si="8"/>
        <v>2.120875439508624</v>
      </c>
      <c r="Q7" s="2">
        <f>$B$22*P7</f>
        <v>1.281008765463209</v>
      </c>
      <c r="R7" s="2">
        <f>Q7*10^(7.4-$B$23)+Q7</f>
        <v>26.840493914198746</v>
      </c>
      <c r="S7" s="2">
        <f t="shared" si="9"/>
        <v>26.894314102463483</v>
      </c>
      <c r="T7" s="2">
        <f t="shared" si="10"/>
        <v>29.531503327435519</v>
      </c>
      <c r="U7" s="2">
        <f>$B$25*J7</f>
        <v>69.937138632206072</v>
      </c>
      <c r="V7" s="2">
        <f t="shared" si="11"/>
        <v>48.348591664780102</v>
      </c>
      <c r="W7" s="2">
        <f t="shared" si="12"/>
        <v>5.9372534862688839</v>
      </c>
      <c r="X7" s="2">
        <f t="shared" si="13"/>
        <v>114.77684563758388</v>
      </c>
      <c r="Y7" s="3">
        <f>$AB$15*$B$27</f>
        <v>8.1479999999999997</v>
      </c>
      <c r="Z7" s="2">
        <f t="shared" si="14"/>
        <v>8.0807247646690801</v>
      </c>
      <c r="AA7" s="3">
        <f>Z7/$B$27</f>
        <v>0.96199104341298569</v>
      </c>
      <c r="AB7" s="2">
        <f t="shared" si="15"/>
        <v>4.7842382334540368</v>
      </c>
      <c r="AC7" s="3">
        <f>AB7/$B$27</f>
        <v>0.56955217064929009</v>
      </c>
    </row>
    <row r="8" spans="1:29" x14ac:dyDescent="0.3">
      <c r="A8" s="1" t="s">
        <v>56</v>
      </c>
      <c r="B8" s="1">
        <v>200</v>
      </c>
      <c r="C8" s="2">
        <f t="shared" si="3"/>
        <v>200</v>
      </c>
      <c r="D8" s="2">
        <f t="shared" si="4"/>
        <v>3.3333333333333335</v>
      </c>
      <c r="E8" s="2">
        <f>1000*D8/$B$20</f>
        <v>30.840781382037093</v>
      </c>
      <c r="F8" s="2">
        <f>1000*D8/$B$19</f>
        <v>0.69084628670120907</v>
      </c>
      <c r="G8" s="2">
        <f>$B$15*E8</f>
        <v>24.672625105629677</v>
      </c>
      <c r="H8" s="2">
        <f>G8*$B$18</f>
        <v>0.62758197473223387</v>
      </c>
      <c r="I8" s="1">
        <v>42</v>
      </c>
      <c r="J8" s="2">
        <f t="shared" si="0"/>
        <v>11.35624525705947</v>
      </c>
      <c r="K8" s="3">
        <f t="shared" si="5"/>
        <v>7.7086956521739136</v>
      </c>
      <c r="L8" s="2">
        <f t="shared" si="6"/>
        <v>7.5545217391304353</v>
      </c>
      <c r="M8" s="2">
        <f t="shared" si="7"/>
        <v>0.15417391304347827</v>
      </c>
      <c r="N8" s="2">
        <f t="shared" si="1"/>
        <v>3.265941373605687</v>
      </c>
      <c r="O8" s="2">
        <f t="shared" si="2"/>
        <v>4.0824267170071087</v>
      </c>
      <c r="P8" s="2">
        <f t="shared" si="8"/>
        <v>2.1726041087649319</v>
      </c>
      <c r="Q8" s="2">
        <f>$B$22*P8</f>
        <v>1.3122528816940189</v>
      </c>
      <c r="R8" s="2">
        <f>Q8*10^(7.4-$B$23)+Q8</f>
        <v>27.495140107227982</v>
      </c>
      <c r="S8" s="2">
        <f t="shared" si="9"/>
        <v>27.561791971995444</v>
      </c>
      <c r="T8" s="2">
        <f t="shared" si="10"/>
        <v>30.827733345601132</v>
      </c>
      <c r="U8" s="2">
        <f>$B$25*J8</f>
        <v>97.531383806817999</v>
      </c>
      <c r="V8" s="2">
        <f t="shared" si="11"/>
        <v>66.690602424780906</v>
      </c>
      <c r="W8" s="2">
        <f t="shared" si="12"/>
        <v>5.8725926496985004</v>
      </c>
      <c r="X8" s="2">
        <f t="shared" si="13"/>
        <v>113.5268456375839</v>
      </c>
      <c r="Y8" s="3">
        <f>$AB$15*$B$27</f>
        <v>8.1479999999999997</v>
      </c>
      <c r="Z8" s="2">
        <f t="shared" si="14"/>
        <v>8.0646851690406702</v>
      </c>
      <c r="AA8" s="3">
        <f>Z8/$B$27</f>
        <v>0.96008156774293685</v>
      </c>
      <c r="AB8" s="2">
        <f t="shared" si="15"/>
        <v>3.9822584520335615</v>
      </c>
      <c r="AC8" s="3">
        <f>AB8/$B$27</f>
        <v>0.47407838714685252</v>
      </c>
    </row>
    <row r="9" spans="1:29" x14ac:dyDescent="0.3">
      <c r="A9" s="1" t="s">
        <v>6</v>
      </c>
      <c r="B9" s="1">
        <v>500</v>
      </c>
      <c r="C9" s="2">
        <f t="shared" si="3"/>
        <v>500</v>
      </c>
      <c r="D9" s="2">
        <f t="shared" si="4"/>
        <v>8.3333333333333339</v>
      </c>
      <c r="E9" s="2">
        <f>1000*D9/$B$20</f>
        <v>77.10195345509274</v>
      </c>
      <c r="F9" s="2">
        <f>1000*D9/$B$19</f>
        <v>1.7271157167530227</v>
      </c>
      <c r="G9" s="2">
        <f>$B$15*E9</f>
        <v>61.681562764074194</v>
      </c>
      <c r="H9" s="2">
        <f>G9*$B$18</f>
        <v>1.5689549368305846</v>
      </c>
      <c r="I9" s="1">
        <v>43</v>
      </c>
      <c r="J9" s="2">
        <f t="shared" si="0"/>
        <v>27.730366325377773</v>
      </c>
      <c r="K9" s="3">
        <f t="shared" si="5"/>
        <v>12.839130434782607</v>
      </c>
      <c r="L9" s="2">
        <f t="shared" si="6"/>
        <v>12.582347826086956</v>
      </c>
      <c r="M9" s="2">
        <f t="shared" si="7"/>
        <v>0.25678260869565217</v>
      </c>
      <c r="N9" s="2">
        <f t="shared" si="1"/>
        <v>4.9022299825625497</v>
      </c>
      <c r="O9" s="2">
        <f t="shared" si="2"/>
        <v>6.1277874782031869</v>
      </c>
      <c r="P9" s="2">
        <f t="shared" si="8"/>
        <v>2.2243327780212403</v>
      </c>
      <c r="Q9" s="2">
        <f>$B$22*P9</f>
        <v>1.343496997924829</v>
      </c>
      <c r="R9" s="2">
        <f>Q9*10^(7.4-$B$23)+Q9</f>
        <v>28.149786300257219</v>
      </c>
      <c r="S9" s="2">
        <f t="shared" si="9"/>
        <v>28.249831810105434</v>
      </c>
      <c r="T9" s="2">
        <f t="shared" si="10"/>
        <v>33.152061792667986</v>
      </c>
      <c r="U9" s="2">
        <f>$B$25*J9</f>
        <v>238.15803022595091</v>
      </c>
      <c r="V9" s="2">
        <f t="shared" si="11"/>
        <v>161.05607677085817</v>
      </c>
      <c r="W9" s="2">
        <f t="shared" si="12"/>
        <v>5.8079318131281159</v>
      </c>
      <c r="X9" s="2">
        <f t="shared" si="13"/>
        <v>112.27684563758389</v>
      </c>
      <c r="Y9" s="3">
        <f>$AB$15*$B$27</f>
        <v>8.1479999999999997</v>
      </c>
      <c r="Z9" s="2">
        <f t="shared" si="14"/>
        <v>8.022943112689731</v>
      </c>
      <c r="AA9" s="3">
        <f>Z9/$B$27</f>
        <v>0.95511227532020604</v>
      </c>
      <c r="AB9" s="2">
        <f t="shared" si="15"/>
        <v>1.8951556344865441</v>
      </c>
      <c r="AC9" s="3">
        <f>AB9/$B$27</f>
        <v>0.22561376601030286</v>
      </c>
    </row>
    <row r="10" spans="1:29" x14ac:dyDescent="0.3">
      <c r="A10" s="1" t="s">
        <v>57</v>
      </c>
      <c r="B10" s="1">
        <v>570</v>
      </c>
      <c r="C10" s="2">
        <f t="shared" si="3"/>
        <v>570</v>
      </c>
      <c r="D10" s="2">
        <f t="shared" si="4"/>
        <v>9.5</v>
      </c>
      <c r="E10" s="2">
        <f>1000*D10/$B$20</f>
        <v>87.896226938805711</v>
      </c>
      <c r="F10" s="2">
        <f>1000*D10/$B$19</f>
        <v>1.9689119170984455</v>
      </c>
      <c r="G10" s="2">
        <f>$B$15*E10</f>
        <v>70.316981551044577</v>
      </c>
      <c r="H10" s="2">
        <f>G10*$B$18</f>
        <v>1.7886086279868665</v>
      </c>
      <c r="I10" s="1">
        <v>43</v>
      </c>
      <c r="J10" s="2">
        <f t="shared" si="0"/>
        <v>31.612617610930663</v>
      </c>
      <c r="K10" s="3">
        <f t="shared" si="5"/>
        <v>14.036231884057969</v>
      </c>
      <c r="L10" s="2">
        <f t="shared" si="6"/>
        <v>13.755507246376808</v>
      </c>
      <c r="M10" s="2">
        <f t="shared" si="7"/>
        <v>0.28072463768115941</v>
      </c>
      <c r="N10" s="2">
        <f t="shared" si="1"/>
        <v>5.111914834661297</v>
      </c>
      <c r="O10" s="2">
        <f t="shared" si="2"/>
        <v>6.3898935433266209</v>
      </c>
      <c r="P10" s="2">
        <f t="shared" si="8"/>
        <v>2.2243327780212399</v>
      </c>
      <c r="Q10" s="2">
        <f>$B$22*P10</f>
        <v>1.3434969979248288</v>
      </c>
      <c r="R10" s="2">
        <f>Q10*10^(7.4-$B$23)+Q10</f>
        <v>28.149786300257215</v>
      </c>
      <c r="S10" s="2">
        <f t="shared" si="9"/>
        <v>28.254111092801324</v>
      </c>
      <c r="T10" s="2">
        <f t="shared" si="10"/>
        <v>33.366025927462623</v>
      </c>
      <c r="U10" s="2">
        <f>$B$25*J10</f>
        <v>271.50015445758402</v>
      </c>
      <c r="V10" s="2">
        <f t="shared" si="11"/>
        <v>183.60392751877831</v>
      </c>
      <c r="W10" s="2">
        <f t="shared" si="12"/>
        <v>5.807931813128115</v>
      </c>
      <c r="X10" s="2">
        <f t="shared" si="13"/>
        <v>112.27684563758388</v>
      </c>
      <c r="Y10" s="3">
        <f>$AB$15*$B$27</f>
        <v>8.1479999999999997</v>
      </c>
      <c r="Z10" s="2">
        <f t="shared" si="14"/>
        <v>8.0175940093198648</v>
      </c>
      <c r="AA10" s="3">
        <f>Z10/$B$27</f>
        <v>0.95447547729998383</v>
      </c>
      <c r="AB10" s="2">
        <f t="shared" si="15"/>
        <v>1.6277004659932439</v>
      </c>
      <c r="AC10" s="3">
        <f>AB10/$B$27</f>
        <v>0.19377386499919569</v>
      </c>
    </row>
    <row r="11" spans="1:29" x14ac:dyDescent="0.3">
      <c r="A11" s="1" t="s">
        <v>7</v>
      </c>
      <c r="B11" s="1">
        <v>1100</v>
      </c>
      <c r="C11" s="2">
        <f t="shared" si="3"/>
        <v>1100</v>
      </c>
      <c r="D11" s="2">
        <f t="shared" si="4"/>
        <v>18.333333333333332</v>
      </c>
      <c r="E11" s="2">
        <f>1000*D11/$B$20</f>
        <v>169.62429760120401</v>
      </c>
      <c r="F11" s="2">
        <f>1000*D11/$B$19</f>
        <v>3.799654576856649</v>
      </c>
      <c r="G11" s="2">
        <f>$B$15*E11</f>
        <v>135.6994380809632</v>
      </c>
      <c r="H11" s="2">
        <f>G11*$B$18</f>
        <v>3.4517008610272857</v>
      </c>
      <c r="I11" s="1">
        <v>45</v>
      </c>
      <c r="J11" s="2">
        <f t="shared" si="0"/>
        <v>58.295392319571938</v>
      </c>
      <c r="K11" s="3">
        <f t="shared" si="5"/>
        <v>23.1</v>
      </c>
      <c r="L11" s="2">
        <f t="shared" si="6"/>
        <v>22.638000000000002</v>
      </c>
      <c r="M11" s="2">
        <f t="shared" si="7"/>
        <v>0.46200000000000002</v>
      </c>
      <c r="N11" s="2">
        <f t="shared" si="1"/>
        <v>5.9943209683259653</v>
      </c>
      <c r="O11" s="2">
        <f t="shared" si="2"/>
        <v>7.4929012104074566</v>
      </c>
      <c r="P11" s="2">
        <f t="shared" si="8"/>
        <v>2.3277901165338557</v>
      </c>
      <c r="Q11" s="2">
        <f>$B$22*P11</f>
        <v>1.4059852303864488</v>
      </c>
      <c r="R11" s="2">
        <f>Q11*10^(7.4-$B$23)+Q11</f>
        <v>29.459078686315696</v>
      </c>
      <c r="S11" s="2">
        <f t="shared" si="9"/>
        <v>29.58141176730194</v>
      </c>
      <c r="T11" s="2">
        <f t="shared" si="10"/>
        <v>35.575732735627909</v>
      </c>
      <c r="U11" s="2">
        <f>$B$25*J11</f>
        <v>500.66110354166563</v>
      </c>
      <c r="V11" s="2">
        <f t="shared" si="11"/>
        <v>331.03680594046159</v>
      </c>
      <c r="W11" s="2">
        <f t="shared" si="12"/>
        <v>5.6786101399873452</v>
      </c>
      <c r="X11" s="2">
        <f t="shared" si="13"/>
        <v>109.77684563758389</v>
      </c>
      <c r="Y11" s="3">
        <f>$AB$15*$B$27</f>
        <v>8.1479999999999997</v>
      </c>
      <c r="Z11" s="2">
        <f t="shared" si="14"/>
        <v>7.9950836487671948</v>
      </c>
      <c r="AA11" s="3">
        <f>Z11/$B$27</f>
        <v>0.95179567247228503</v>
      </c>
      <c r="AB11" s="2">
        <f t="shared" si="15"/>
        <v>0.50218243835973819</v>
      </c>
      <c r="AC11" s="3">
        <f>AB11/$B$27</f>
        <v>5.9783623614254544E-2</v>
      </c>
    </row>
    <row r="12" spans="1:29" x14ac:dyDescent="0.3">
      <c r="C12" s="1">
        <v>70</v>
      </c>
    </row>
    <row r="14" spans="1:29" x14ac:dyDescent="0.3">
      <c r="L14" s="1" t="s">
        <v>47</v>
      </c>
      <c r="N14" s="1">
        <v>0.02</v>
      </c>
    </row>
    <row r="15" spans="1:29" x14ac:dyDescent="0.3">
      <c r="A15" s="1" t="s">
        <v>19</v>
      </c>
      <c r="B15" s="1">
        <v>0.8</v>
      </c>
      <c r="V15" s="1" t="s">
        <v>44</v>
      </c>
      <c r="AB15" s="1">
        <v>0.97</v>
      </c>
    </row>
    <row r="16" spans="1:29" x14ac:dyDescent="0.3">
      <c r="B16" s="1"/>
    </row>
    <row r="17" spans="1:17" x14ac:dyDescent="0.3">
      <c r="A17" s="1" t="s">
        <v>10</v>
      </c>
      <c r="B17" s="4">
        <f>8.314*273/101325</f>
        <v>2.2400414507772023E-2</v>
      </c>
      <c r="C17" s="1" t="s">
        <v>12</v>
      </c>
      <c r="K17" s="1" t="s">
        <v>53</v>
      </c>
      <c r="L17" s="1">
        <f>(23-5.3)/(1100-65)</f>
        <v>1.7101449275362317E-2</v>
      </c>
      <c r="Q17" s="1" t="s">
        <v>40</v>
      </c>
    </row>
    <row r="18" spans="1:17" x14ac:dyDescent="0.3">
      <c r="A18" s="1" t="s">
        <v>22</v>
      </c>
      <c r="B18" s="4">
        <f>8.314*310/101325</f>
        <v>2.5436368122378487E-2</v>
      </c>
      <c r="C18" s="1" t="s">
        <v>12</v>
      </c>
      <c r="K18" s="1" t="s">
        <v>54</v>
      </c>
      <c r="L18" s="1">
        <f>L17*C2</f>
        <v>1.1115942028985506</v>
      </c>
      <c r="M18" s="1">
        <f>5.4-L18</f>
        <v>4.2884057971014498</v>
      </c>
      <c r="Q18" s="1" t="s">
        <v>41</v>
      </c>
    </row>
    <row r="19" spans="1:17" x14ac:dyDescent="0.3">
      <c r="A19" s="1" t="s">
        <v>8</v>
      </c>
      <c r="B19" s="1">
        <v>4825</v>
      </c>
      <c r="C19" s="1" t="s">
        <v>9</v>
      </c>
    </row>
    <row r="20" spans="1:17" x14ac:dyDescent="0.3">
      <c r="A20" s="1" t="s">
        <v>13</v>
      </c>
      <c r="B20" s="1">
        <f>B19*B17</f>
        <v>108.08200000000001</v>
      </c>
      <c r="C20" s="1" t="s">
        <v>14</v>
      </c>
    </row>
    <row r="21" spans="1:17" x14ac:dyDescent="0.3">
      <c r="B21" s="1"/>
    </row>
    <row r="22" spans="1:17" x14ac:dyDescent="0.3">
      <c r="A22" s="1" t="s">
        <v>37</v>
      </c>
      <c r="B22" s="1">
        <v>0.60399999999999998</v>
      </c>
    </row>
    <row r="23" spans="1:17" x14ac:dyDescent="0.3">
      <c r="A23" s="1" t="s">
        <v>34</v>
      </c>
      <c r="B23" s="1">
        <v>6.1</v>
      </c>
    </row>
    <row r="24" spans="1:17" x14ac:dyDescent="0.3">
      <c r="B24" s="1"/>
    </row>
    <row r="25" spans="1:17" x14ac:dyDescent="0.3">
      <c r="A25" s="1" t="s">
        <v>30</v>
      </c>
      <c r="B25" s="1">
        <f>0.21*101325/(8.314*298)</f>
        <v>8.5883477856546655</v>
      </c>
      <c r="C25" s="1" t="s">
        <v>31</v>
      </c>
    </row>
    <row r="26" spans="1:17" x14ac:dyDescent="0.3">
      <c r="B26" s="1"/>
    </row>
    <row r="27" spans="1:17" x14ac:dyDescent="0.3">
      <c r="A27" s="1" t="s">
        <v>18</v>
      </c>
      <c r="B27" s="1">
        <v>8.4</v>
      </c>
      <c r="C27" s="1" t="s">
        <v>11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2014-11-06T14:35:58Z</dcterms:created>
  <dcterms:modified xsi:type="dcterms:W3CDTF">2014-11-08T17:52:12Z</dcterms:modified>
</cp:coreProperties>
</file>