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Courses/SCMA_669_Forecasting_Methods/.Final_Project_My_Forecast/"/>
    </mc:Choice>
  </mc:AlternateContent>
  <xr:revisionPtr revIDLastSave="9665" documentId="8_{C3B5F197-7B92-4F9F-BCC0-62E67B234D5A}" xr6:coauthVersionLast="47" xr6:coauthVersionMax="47" xr10:uidLastSave="{F4CCB629-0F59-43CD-8400-8FAF985E192C}"/>
  <bookViews>
    <workbookView xWindow="-110" yWindow="-110" windowWidth="19420" windowHeight="11620" tabRatio="923" firstSheet="18" activeTab="18" xr2:uid="{2A5BA667-B031-4940-AA7F-E4C999F4DB20}"/>
  </bookViews>
  <sheets>
    <sheet name="Data_F_Look" sheetId="1" r:id="rId1"/>
    <sheet name="Seasonality" sheetId="2" r:id="rId2"/>
    <sheet name="Unaided" sheetId="3" r:id="rId3"/>
    <sheet name="Naïve_FC" sheetId="4" r:id="rId4"/>
    <sheet name="Centered MA" sheetId="6" r:id="rId5"/>
    <sheet name="Moving Averages" sheetId="5" r:id="rId6"/>
    <sheet name="3m CMA Naïve w Seasonals_FC" sheetId="22" r:id="rId7"/>
    <sheet name="6m CMA Naïve w Seasonals_FC" sheetId="15" r:id="rId8"/>
    <sheet name="12m CMA Naïve w Seasonals_FC" sheetId="7" r:id="rId9"/>
    <sheet name="Linear F-C" sheetId="9" r:id="rId10"/>
    <sheet name="Simple Exp_Smoothing" sheetId="16" r:id="rId11"/>
    <sheet name="Holt’s linear_Exp Smooth" sheetId="11" r:id="rId12"/>
    <sheet name="R_Software_Model" sheetId="23" r:id="rId13"/>
    <sheet name="Damped Trend ES" sheetId="12" r:id="rId14"/>
    <sheet name="Regr wo seas adj" sheetId="17" r:id="rId15"/>
    <sheet name="Regr LN" sheetId="18" r:id="rId16"/>
    <sheet name="My_Forecast" sheetId="13" r:id="rId17"/>
    <sheet name="Comp Naive" sheetId="19" r:id="rId18"/>
    <sheet name="Model Comp Takeoff Pts" sheetId="21" r:id="rId19"/>
  </sheets>
  <definedNames>
    <definedName name="solver_adj" localSheetId="13" hidden="1">'Damped Trend ES'!$F$4:$F$5</definedName>
    <definedName name="solver_adj" localSheetId="11" hidden="1">'Holt’s linear_Exp Smooth'!$F$4:$G$4</definedName>
    <definedName name="solver_adj" localSheetId="15" hidden="1">'Regr LN'!$H$5:$I$5</definedName>
    <definedName name="solver_adj" localSheetId="10" hidden="1">'Simple Exp_Smoothing'!$G$3</definedName>
    <definedName name="solver_cvg" localSheetId="13" hidden="1">0.0001</definedName>
    <definedName name="solver_cvg" localSheetId="11" hidden="1">0.0001</definedName>
    <definedName name="solver_cvg" localSheetId="15" hidden="1">0.0001</definedName>
    <definedName name="solver_cvg" localSheetId="10" hidden="1">0.0001</definedName>
    <definedName name="solver_drv" localSheetId="13" hidden="1">1</definedName>
    <definedName name="solver_drv" localSheetId="11" hidden="1">1</definedName>
    <definedName name="solver_drv" localSheetId="15" hidden="1">1</definedName>
    <definedName name="solver_drv" localSheetId="10" hidden="1">1</definedName>
    <definedName name="solver_eng" localSheetId="13" hidden="1">1</definedName>
    <definedName name="solver_eng" localSheetId="11" hidden="1">1</definedName>
    <definedName name="solver_eng" localSheetId="15" hidden="1">1</definedName>
    <definedName name="solver_eng" localSheetId="10" hidden="1">1</definedName>
    <definedName name="solver_est" localSheetId="13" hidden="1">1</definedName>
    <definedName name="solver_est" localSheetId="11" hidden="1">1</definedName>
    <definedName name="solver_est" localSheetId="15" hidden="1">1</definedName>
    <definedName name="solver_est" localSheetId="10" hidden="1">1</definedName>
    <definedName name="solver_itr" localSheetId="13" hidden="1">2147483647</definedName>
    <definedName name="solver_itr" localSheetId="11" hidden="1">2147483647</definedName>
    <definedName name="solver_itr" localSheetId="15" hidden="1">2147483647</definedName>
    <definedName name="solver_itr" localSheetId="10" hidden="1">2147483647</definedName>
    <definedName name="solver_lhs1" localSheetId="13" hidden="1">'Damped Trend ES'!$F$4</definedName>
    <definedName name="solver_lhs1" localSheetId="11" hidden="1">'Holt’s linear_Exp Smooth'!$F$4</definedName>
    <definedName name="solver_lhs1" localSheetId="15" hidden="1">'Regr LN'!$H$5</definedName>
    <definedName name="solver_lhs1" localSheetId="10" hidden="1">'Simple Exp_Smoothing'!$G$3</definedName>
    <definedName name="solver_lhs2" localSheetId="13" hidden="1">'Damped Trend ES'!$F$4</definedName>
    <definedName name="solver_lhs2" localSheetId="11" hidden="1">'Holt’s linear_Exp Smooth'!$F$4</definedName>
    <definedName name="solver_lhs2" localSheetId="15" hidden="1">'Regr LN'!$H$5</definedName>
    <definedName name="solver_lhs2" localSheetId="10" hidden="1">'Simple Exp_Smoothing'!$G$3</definedName>
    <definedName name="solver_lhs3" localSheetId="13" hidden="1">'Damped Trend ES'!$F$5</definedName>
    <definedName name="solver_lhs3" localSheetId="11" hidden="1">'Holt’s linear_Exp Smooth'!$G$4</definedName>
    <definedName name="solver_lhs3" localSheetId="15" hidden="1">'Regr LN'!$I$5</definedName>
    <definedName name="solver_lhs4" localSheetId="13" hidden="1">'Damped Trend ES'!$F$5</definedName>
    <definedName name="solver_lhs4" localSheetId="11" hidden="1">'Holt’s linear_Exp Smooth'!$G$4</definedName>
    <definedName name="solver_lhs4" localSheetId="15" hidden="1">'Regr LN'!$I$5</definedName>
    <definedName name="solver_lhs5" localSheetId="13" hidden="1">'Damped Trend ES'!$F$5</definedName>
    <definedName name="solver_mip" localSheetId="13" hidden="1">2147483647</definedName>
    <definedName name="solver_mip" localSheetId="11" hidden="1">2147483647</definedName>
    <definedName name="solver_mip" localSheetId="15" hidden="1">2147483647</definedName>
    <definedName name="solver_mip" localSheetId="10" hidden="1">2147483647</definedName>
    <definedName name="solver_mni" localSheetId="13" hidden="1">30</definedName>
    <definedName name="solver_mni" localSheetId="11" hidden="1">30</definedName>
    <definedName name="solver_mni" localSheetId="15" hidden="1">30</definedName>
    <definedName name="solver_mni" localSheetId="10" hidden="1">30</definedName>
    <definedName name="solver_mrt" localSheetId="13" hidden="1">0.075</definedName>
    <definedName name="solver_mrt" localSheetId="11" hidden="1">0.075</definedName>
    <definedName name="solver_mrt" localSheetId="15" hidden="1">0.075</definedName>
    <definedName name="solver_mrt" localSheetId="10" hidden="1">0.075</definedName>
    <definedName name="solver_msl" localSheetId="13" hidden="1">2</definedName>
    <definedName name="solver_msl" localSheetId="11" hidden="1">2</definedName>
    <definedName name="solver_msl" localSheetId="15" hidden="1">2</definedName>
    <definedName name="solver_msl" localSheetId="10" hidden="1">2</definedName>
    <definedName name="solver_neg" localSheetId="13" hidden="1">2</definedName>
    <definedName name="solver_neg" localSheetId="11" hidden="1">2</definedName>
    <definedName name="solver_neg" localSheetId="15" hidden="1">2</definedName>
    <definedName name="solver_neg" localSheetId="10" hidden="1">2</definedName>
    <definedName name="solver_nod" localSheetId="13" hidden="1">2147483647</definedName>
    <definedName name="solver_nod" localSheetId="11" hidden="1">2147483647</definedName>
    <definedName name="solver_nod" localSheetId="15" hidden="1">2147483647</definedName>
    <definedName name="solver_nod" localSheetId="10" hidden="1">2147483647</definedName>
    <definedName name="solver_num" localSheetId="13" hidden="1">4</definedName>
    <definedName name="solver_num" localSheetId="11" hidden="1">4</definedName>
    <definedName name="solver_num" localSheetId="15" hidden="1">4</definedName>
    <definedName name="solver_num" localSheetId="10" hidden="1">2</definedName>
    <definedName name="solver_nwt" localSheetId="13" hidden="1">1</definedName>
    <definedName name="solver_nwt" localSheetId="11" hidden="1">1</definedName>
    <definedName name="solver_nwt" localSheetId="15" hidden="1">1</definedName>
    <definedName name="solver_nwt" localSheetId="10" hidden="1">1</definedName>
    <definedName name="solver_opt" localSheetId="13" hidden="1">'Damped Trend ES'!$I$59</definedName>
    <definedName name="solver_opt" localSheetId="11" hidden="1">'Holt’s linear_Exp Smooth'!$M$56</definedName>
    <definedName name="solver_opt" localSheetId="15" hidden="1">'Regr LN'!$N$56</definedName>
    <definedName name="solver_opt" localSheetId="10" hidden="1">'Simple Exp_Smoothing'!$P$58</definedName>
    <definedName name="solver_pre" localSheetId="13" hidden="1">0.000001</definedName>
    <definedName name="solver_pre" localSheetId="11" hidden="1">0.000001</definedName>
    <definedName name="solver_pre" localSheetId="15" hidden="1">0.000001</definedName>
    <definedName name="solver_pre" localSheetId="10" hidden="1">0.000001</definedName>
    <definedName name="solver_rbv" localSheetId="13" hidden="1">1</definedName>
    <definedName name="solver_rbv" localSheetId="11" hidden="1">1</definedName>
    <definedName name="solver_rbv" localSheetId="15" hidden="1">1</definedName>
    <definedName name="solver_rbv" localSheetId="10" hidden="1">1</definedName>
    <definedName name="solver_rel1" localSheetId="13" hidden="1">1</definedName>
    <definedName name="solver_rel1" localSheetId="11" hidden="1">1</definedName>
    <definedName name="solver_rel1" localSheetId="15" hidden="1">1</definedName>
    <definedName name="solver_rel1" localSheetId="10" hidden="1">1</definedName>
    <definedName name="solver_rel2" localSheetId="13" hidden="1">3</definedName>
    <definedName name="solver_rel2" localSheetId="11" hidden="1">3</definedName>
    <definedName name="solver_rel2" localSheetId="15" hidden="1">3</definedName>
    <definedName name="solver_rel2" localSheetId="10" hidden="1">3</definedName>
    <definedName name="solver_rel3" localSheetId="13" hidden="1">1</definedName>
    <definedName name="solver_rel3" localSheetId="11" hidden="1">1</definedName>
    <definedName name="solver_rel3" localSheetId="15" hidden="1">1</definedName>
    <definedName name="solver_rel4" localSheetId="13" hidden="1">3</definedName>
    <definedName name="solver_rel4" localSheetId="11" hidden="1">3</definedName>
    <definedName name="solver_rel4" localSheetId="15" hidden="1">3</definedName>
    <definedName name="solver_rel5" localSheetId="13" hidden="1">3</definedName>
    <definedName name="solver_rhs1" localSheetId="13" hidden="1">1</definedName>
    <definedName name="solver_rhs1" localSheetId="11" hidden="1">1</definedName>
    <definedName name="solver_rhs1" localSheetId="15" hidden="1">1</definedName>
    <definedName name="solver_rhs1" localSheetId="10" hidden="1">1</definedName>
    <definedName name="solver_rhs2" localSheetId="13" hidden="1">0</definedName>
    <definedName name="solver_rhs2" localSheetId="11" hidden="1">0</definedName>
    <definedName name="solver_rhs2" localSheetId="15" hidden="1">0</definedName>
    <definedName name="solver_rhs2" localSheetId="10" hidden="1">0</definedName>
    <definedName name="solver_rhs3" localSheetId="13" hidden="1">1</definedName>
    <definedName name="solver_rhs3" localSheetId="11" hidden="1">1</definedName>
    <definedName name="solver_rhs3" localSheetId="15" hidden="1">1</definedName>
    <definedName name="solver_rhs4" localSheetId="13" hidden="1">0</definedName>
    <definedName name="solver_rhs4" localSheetId="11" hidden="1">0</definedName>
    <definedName name="solver_rhs4" localSheetId="15" hidden="1">0</definedName>
    <definedName name="solver_rhs5" localSheetId="13" hidden="1">0</definedName>
    <definedName name="solver_rlx" localSheetId="13" hidden="1">2</definedName>
    <definedName name="solver_rlx" localSheetId="11" hidden="1">2</definedName>
    <definedName name="solver_rlx" localSheetId="15" hidden="1">2</definedName>
    <definedName name="solver_rlx" localSheetId="10" hidden="1">2</definedName>
    <definedName name="solver_rsd" localSheetId="13" hidden="1">0</definedName>
    <definedName name="solver_rsd" localSheetId="11" hidden="1">0</definedName>
    <definedName name="solver_rsd" localSheetId="15" hidden="1">0</definedName>
    <definedName name="solver_rsd" localSheetId="10" hidden="1">0</definedName>
    <definedName name="solver_scl" localSheetId="13" hidden="1">1</definedName>
    <definedName name="solver_scl" localSheetId="11" hidden="1">1</definedName>
    <definedName name="solver_scl" localSheetId="15" hidden="1">1</definedName>
    <definedName name="solver_scl" localSheetId="10" hidden="1">1</definedName>
    <definedName name="solver_sho" localSheetId="13" hidden="1">2</definedName>
    <definedName name="solver_sho" localSheetId="11" hidden="1">2</definedName>
    <definedName name="solver_sho" localSheetId="15" hidden="1">2</definedName>
    <definedName name="solver_sho" localSheetId="10" hidden="1">2</definedName>
    <definedName name="solver_ssz" localSheetId="13" hidden="1">100</definedName>
    <definedName name="solver_ssz" localSheetId="11" hidden="1">100</definedName>
    <definedName name="solver_ssz" localSheetId="15" hidden="1">100</definedName>
    <definedName name="solver_ssz" localSheetId="10" hidden="1">100</definedName>
    <definedName name="solver_tim" localSheetId="13" hidden="1">2147483647</definedName>
    <definedName name="solver_tim" localSheetId="11" hidden="1">2147483647</definedName>
    <definedName name="solver_tim" localSheetId="15" hidden="1">2147483647</definedName>
    <definedName name="solver_tim" localSheetId="10" hidden="1">2147483647</definedName>
    <definedName name="solver_tol" localSheetId="13" hidden="1">0.01</definedName>
    <definedName name="solver_tol" localSheetId="11" hidden="1">0.01</definedName>
    <definedName name="solver_tol" localSheetId="15" hidden="1">0.01</definedName>
    <definedName name="solver_tol" localSheetId="10" hidden="1">0.01</definedName>
    <definedName name="solver_typ" localSheetId="13" hidden="1">2</definedName>
    <definedName name="solver_typ" localSheetId="11" hidden="1">2</definedName>
    <definedName name="solver_typ" localSheetId="15" hidden="1">2</definedName>
    <definedName name="solver_typ" localSheetId="10" hidden="1">2</definedName>
    <definedName name="solver_val" localSheetId="13" hidden="1">0</definedName>
    <definedName name="solver_val" localSheetId="11" hidden="1">0</definedName>
    <definedName name="solver_val" localSheetId="15" hidden="1">0</definedName>
    <definedName name="solver_val" localSheetId="10" hidden="1">0</definedName>
    <definedName name="solver_ver" localSheetId="13" hidden="1">3</definedName>
    <definedName name="solver_ver" localSheetId="11" hidden="1">3</definedName>
    <definedName name="solver_ver" localSheetId="15" hidden="1">3</definedName>
    <definedName name="solver_ver" localSheetId="10" hidden="1">3</definedName>
  </definedNames>
  <calcPr calcId="191028"/>
  <pivotCaches>
    <pivotCache cacheId="8913" r:id="rId20"/>
    <pivotCache cacheId="8914" r:id="rId21"/>
    <pivotCache cacheId="8915" r:id="rId22"/>
    <pivotCache cacheId="8916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6" l="1"/>
  <c r="J8" i="16"/>
  <c r="AG49" i="13"/>
  <c r="S49" i="13"/>
  <c r="T49" i="13"/>
  <c r="D48" i="16"/>
  <c r="J9" i="16"/>
  <c r="F10" i="16"/>
  <c r="F8" i="16"/>
  <c r="M8" i="16"/>
  <c r="I9" i="16"/>
  <c r="G9" i="16"/>
  <c r="G8" i="16"/>
  <c r="F11" i="16" l="1"/>
  <c r="M9" i="16"/>
  <c r="N9" i="16" s="1"/>
  <c r="O9" i="16" s="1"/>
  <c r="P9" i="16" l="1"/>
  <c r="G5" i="1" l="1"/>
  <c r="F4" i="1"/>
  <c r="F10" i="1"/>
  <c r="E5" i="1"/>
  <c r="G11" i="12"/>
  <c r="G29" i="11"/>
  <c r="F29" i="11"/>
  <c r="F11" i="12"/>
  <c r="G49" i="11"/>
  <c r="G52" i="11"/>
  <c r="H55" i="11"/>
  <c r="H54" i="11"/>
  <c r="I54" i="11"/>
  <c r="G10" i="12"/>
  <c r="F12" i="12"/>
  <c r="F10" i="12"/>
  <c r="H11" i="12" s="1"/>
  <c r="M56" i="11"/>
  <c r="H56" i="11"/>
  <c r="F7" i="11"/>
  <c r="I49" i="7"/>
  <c r="H49" i="7"/>
  <c r="G2" i="7"/>
  <c r="E8" i="7"/>
  <c r="D4" i="22"/>
  <c r="E4" i="22" s="1"/>
  <c r="A21" i="23" l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U57" i="13"/>
  <c r="AI57" i="13" s="1"/>
  <c r="U49" i="13"/>
  <c r="AI49" i="13" s="1"/>
  <c r="U50" i="13"/>
  <c r="AI50" i="13" s="1"/>
  <c r="U51" i="13"/>
  <c r="AI51" i="13" s="1"/>
  <c r="U52" i="13"/>
  <c r="AI52" i="13" s="1"/>
  <c r="U53" i="13"/>
  <c r="AI53" i="13" s="1"/>
  <c r="U54" i="13"/>
  <c r="AI54" i="13" s="1"/>
  <c r="U55" i="13"/>
  <c r="AI55" i="13" s="1"/>
  <c r="U56" i="13"/>
  <c r="AI56" i="13" s="1"/>
  <c r="U58" i="13"/>
  <c r="AI58" i="13" s="1"/>
  <c r="U59" i="13"/>
  <c r="AI59" i="13" s="1"/>
  <c r="U60" i="13"/>
  <c r="AI60" i="13" s="1"/>
  <c r="AI64" i="13" l="1"/>
  <c r="U62" i="13"/>
  <c r="AI65" i="13"/>
  <c r="AI62" i="13"/>
  <c r="N8" i="5"/>
  <c r="M8" i="5"/>
  <c r="L8" i="5"/>
  <c r="K8" i="5"/>
  <c r="P49" i="5"/>
  <c r="D21" i="11"/>
  <c r="D7" i="11"/>
  <c r="H8" i="11"/>
  <c r="G7" i="11"/>
  <c r="E7" i="11"/>
  <c r="I13" i="21"/>
  <c r="V188" i="19"/>
  <c r="W188" i="19" s="1"/>
  <c r="V187" i="19"/>
  <c r="W187" i="19" s="1"/>
  <c r="O26" i="21" s="1"/>
  <c r="L54" i="18"/>
  <c r="I53" i="17"/>
  <c r="I54" i="17"/>
  <c r="I55" i="17"/>
  <c r="I56" i="17"/>
  <c r="I57" i="17"/>
  <c r="I58" i="17"/>
  <c r="I59" i="17"/>
  <c r="I60" i="17"/>
  <c r="I61" i="17"/>
  <c r="I62" i="17"/>
  <c r="I63" i="17"/>
  <c r="I52" i="17"/>
  <c r="F63" i="17"/>
  <c r="F52" i="17"/>
  <c r="F53" i="17"/>
  <c r="F54" i="17"/>
  <c r="F55" i="17"/>
  <c r="F56" i="17"/>
  <c r="F57" i="17"/>
  <c r="F58" i="17"/>
  <c r="F59" i="17"/>
  <c r="F60" i="17"/>
  <c r="F61" i="17"/>
  <c r="F62" i="17"/>
  <c r="D52" i="17"/>
  <c r="K16" i="17"/>
  <c r="K15" i="17"/>
  <c r="K11" i="17"/>
  <c r="K10" i="17"/>
  <c r="AD132" i="19"/>
  <c r="AE132" i="19" s="1"/>
  <c r="G45" i="19"/>
  <c r="F45" i="19"/>
  <c r="F10" i="21"/>
  <c r="I25" i="21"/>
  <c r="AA11" i="21"/>
  <c r="U11" i="21"/>
  <c r="AD45" i="19"/>
  <c r="AE45" i="19" s="1"/>
  <c r="V45" i="19"/>
  <c r="W45" i="19" s="1"/>
  <c r="N45" i="19"/>
  <c r="O45" i="19" s="1"/>
  <c r="K11" i="21" s="1"/>
  <c r="L10" i="21"/>
  <c r="AD44" i="19"/>
  <c r="AE44" i="19" s="1"/>
  <c r="V44" i="19"/>
  <c r="W44" i="19" s="1"/>
  <c r="J12" i="21" s="1"/>
  <c r="N44" i="19"/>
  <c r="O44" i="19" s="1"/>
  <c r="F44" i="19"/>
  <c r="G44" i="19" s="1"/>
  <c r="AD43" i="19"/>
  <c r="AE43" i="19" s="1"/>
  <c r="V43" i="19"/>
  <c r="W43" i="19" s="1"/>
  <c r="O43" i="19"/>
  <c r="N43" i="19"/>
  <c r="F43" i="19"/>
  <c r="G43" i="19" s="1"/>
  <c r="V42" i="19"/>
  <c r="W42" i="19" s="1"/>
  <c r="N42" i="19"/>
  <c r="O42" i="19" s="1"/>
  <c r="F42" i="19"/>
  <c r="G42" i="19" s="1"/>
  <c r="K10" i="21" s="1"/>
  <c r="V41" i="19"/>
  <c r="W41" i="19" s="1"/>
  <c r="N41" i="19"/>
  <c r="O41" i="19" s="1"/>
  <c r="J11" i="21" s="1"/>
  <c r="F41" i="19"/>
  <c r="G41" i="19" s="1"/>
  <c r="V40" i="19"/>
  <c r="W40" i="19" s="1"/>
  <c r="I12" i="21" s="1"/>
  <c r="N40" i="19"/>
  <c r="O40" i="19" s="1"/>
  <c r="F40" i="19"/>
  <c r="G40" i="19" s="1"/>
  <c r="N39" i="19"/>
  <c r="O39" i="19" s="1"/>
  <c r="F39" i="19"/>
  <c r="G39" i="19" s="1"/>
  <c r="N38" i="19"/>
  <c r="O38" i="19" s="1"/>
  <c r="F38" i="19"/>
  <c r="G38" i="19" s="1"/>
  <c r="J10" i="21" s="1"/>
  <c r="O37" i="19"/>
  <c r="I11" i="21" s="1"/>
  <c r="N37" i="19"/>
  <c r="F37" i="19"/>
  <c r="G37" i="19" s="1"/>
  <c r="F36" i="19"/>
  <c r="G36" i="19" s="1"/>
  <c r="F35" i="19"/>
  <c r="F34" i="19"/>
  <c r="G34" i="19" s="1"/>
  <c r="I10" i="21" s="1"/>
  <c r="J30" i="19"/>
  <c r="J57" i="19"/>
  <c r="AD192" i="19"/>
  <c r="AE192" i="19" s="1"/>
  <c r="V192" i="19"/>
  <c r="W192" i="19" s="1"/>
  <c r="N192" i="19"/>
  <c r="O192" i="19" s="1"/>
  <c r="Q25" i="21" s="1"/>
  <c r="F192" i="19"/>
  <c r="G192" i="19" s="1"/>
  <c r="R24" i="21" s="1"/>
  <c r="R28" i="21" s="1"/>
  <c r="F40" i="21" s="1"/>
  <c r="AD191" i="19"/>
  <c r="AE191" i="19" s="1"/>
  <c r="V191" i="19"/>
  <c r="W191" i="19" s="1"/>
  <c r="P26" i="21" s="1"/>
  <c r="N191" i="19"/>
  <c r="O191" i="19" s="1"/>
  <c r="F191" i="19"/>
  <c r="G191" i="19" s="1"/>
  <c r="AD190" i="19"/>
  <c r="AE190" i="19" s="1"/>
  <c r="O27" i="21" s="1"/>
  <c r="V190" i="19"/>
  <c r="W190" i="19" s="1"/>
  <c r="N190" i="19"/>
  <c r="O190" i="19" s="1"/>
  <c r="F190" i="19"/>
  <c r="G190" i="19" s="1"/>
  <c r="V189" i="19"/>
  <c r="W189" i="19" s="1"/>
  <c r="N189" i="19"/>
  <c r="O189" i="19" s="1"/>
  <c r="F189" i="19"/>
  <c r="G189" i="19" s="1"/>
  <c r="Q24" i="21" s="1"/>
  <c r="N188" i="19"/>
  <c r="O188" i="19" s="1"/>
  <c r="P25" i="21" s="1"/>
  <c r="F188" i="19"/>
  <c r="G188" i="19" s="1"/>
  <c r="N187" i="19"/>
  <c r="O187" i="19" s="1"/>
  <c r="F187" i="19"/>
  <c r="G187" i="19" s="1"/>
  <c r="N186" i="19"/>
  <c r="O186" i="19" s="1"/>
  <c r="F186" i="19"/>
  <c r="G186" i="19" s="1"/>
  <c r="N185" i="19"/>
  <c r="O185" i="19" s="1"/>
  <c r="F185" i="19"/>
  <c r="G185" i="19" s="1"/>
  <c r="P24" i="21" s="1"/>
  <c r="N184" i="19"/>
  <c r="O184" i="19" s="1"/>
  <c r="O25" i="21" s="1"/>
  <c r="F184" i="19"/>
  <c r="G184" i="19" s="1"/>
  <c r="F183" i="19"/>
  <c r="G183" i="19" s="1"/>
  <c r="F182" i="19"/>
  <c r="F181" i="19"/>
  <c r="G181" i="19" s="1"/>
  <c r="O24" i="21" s="1"/>
  <c r="J177" i="19"/>
  <c r="AD162" i="19"/>
  <c r="AE162" i="19" s="1"/>
  <c r="V162" i="19"/>
  <c r="W162" i="19" s="1"/>
  <c r="N162" i="19"/>
  <c r="O162" i="19" s="1"/>
  <c r="K25" i="21" s="1"/>
  <c r="F162" i="19"/>
  <c r="G162" i="19" s="1"/>
  <c r="L24" i="21" s="1"/>
  <c r="L28" i="21" s="1"/>
  <c r="F39" i="21" s="1"/>
  <c r="AD161" i="19"/>
  <c r="AE161" i="19" s="1"/>
  <c r="V161" i="19"/>
  <c r="W161" i="19" s="1"/>
  <c r="J26" i="21" s="1"/>
  <c r="N161" i="19"/>
  <c r="O161" i="19" s="1"/>
  <c r="F161" i="19"/>
  <c r="G161" i="19" s="1"/>
  <c r="AD160" i="19"/>
  <c r="AE160" i="19" s="1"/>
  <c r="I27" i="21" s="1"/>
  <c r="V160" i="19"/>
  <c r="W160" i="19" s="1"/>
  <c r="N160" i="19"/>
  <c r="O160" i="19" s="1"/>
  <c r="F160" i="19"/>
  <c r="G160" i="19" s="1"/>
  <c r="V159" i="19"/>
  <c r="W159" i="19" s="1"/>
  <c r="N159" i="19"/>
  <c r="O159" i="19" s="1"/>
  <c r="F159" i="19"/>
  <c r="G159" i="19" s="1"/>
  <c r="K24" i="21" s="1"/>
  <c r="V158" i="19"/>
  <c r="W158" i="19" s="1"/>
  <c r="N158" i="19"/>
  <c r="O158" i="19" s="1"/>
  <c r="J25" i="21" s="1"/>
  <c r="F158" i="19"/>
  <c r="G158" i="19" s="1"/>
  <c r="W157" i="19"/>
  <c r="I26" i="21" s="1"/>
  <c r="V157" i="19"/>
  <c r="N157" i="19"/>
  <c r="O157" i="19" s="1"/>
  <c r="F157" i="19"/>
  <c r="G157" i="19" s="1"/>
  <c r="N156" i="19"/>
  <c r="O156" i="19" s="1"/>
  <c r="F156" i="19"/>
  <c r="G156" i="19" s="1"/>
  <c r="N155" i="19"/>
  <c r="O155" i="19" s="1"/>
  <c r="F155" i="19"/>
  <c r="G155" i="19" s="1"/>
  <c r="J24" i="21" s="1"/>
  <c r="N154" i="19"/>
  <c r="O154" i="19" s="1"/>
  <c r="F154" i="19"/>
  <c r="G154" i="19" s="1"/>
  <c r="F153" i="19"/>
  <c r="G153" i="19" s="1"/>
  <c r="F152" i="19"/>
  <c r="G152" i="19" s="1"/>
  <c r="F151" i="19"/>
  <c r="G151" i="19" s="1"/>
  <c r="I24" i="21" s="1"/>
  <c r="J147" i="19"/>
  <c r="V132" i="19"/>
  <c r="W132" i="19" s="1"/>
  <c r="N132" i="19"/>
  <c r="O132" i="19" s="1"/>
  <c r="AC11" i="21" s="1"/>
  <c r="F132" i="19"/>
  <c r="G132" i="19" s="1"/>
  <c r="AD10" i="21" s="1"/>
  <c r="AD14" i="21" s="1"/>
  <c r="F38" i="21" s="1"/>
  <c r="AD131" i="19"/>
  <c r="AE131" i="19" s="1"/>
  <c r="V131" i="19"/>
  <c r="W131" i="19" s="1"/>
  <c r="AB12" i="21" s="1"/>
  <c r="N131" i="19"/>
  <c r="O131" i="19" s="1"/>
  <c r="F131" i="19"/>
  <c r="G131" i="19" s="1"/>
  <c r="AD130" i="19"/>
  <c r="AE130" i="19" s="1"/>
  <c r="AA13" i="21" s="1"/>
  <c r="V130" i="19"/>
  <c r="W130" i="19" s="1"/>
  <c r="N130" i="19"/>
  <c r="O130" i="19" s="1"/>
  <c r="F130" i="19"/>
  <c r="G130" i="19" s="1"/>
  <c r="V129" i="19"/>
  <c r="W129" i="19" s="1"/>
  <c r="N129" i="19"/>
  <c r="O129" i="19" s="1"/>
  <c r="F129" i="19"/>
  <c r="G129" i="19" s="1"/>
  <c r="AC10" i="21" s="1"/>
  <c r="V128" i="19"/>
  <c r="W128" i="19" s="1"/>
  <c r="N128" i="19"/>
  <c r="O128" i="19" s="1"/>
  <c r="AB11" i="21" s="1"/>
  <c r="F128" i="19"/>
  <c r="G128" i="19" s="1"/>
  <c r="V127" i="19"/>
  <c r="W127" i="19" s="1"/>
  <c r="AA12" i="21" s="1"/>
  <c r="N127" i="19"/>
  <c r="O127" i="19" s="1"/>
  <c r="F127" i="19"/>
  <c r="G127" i="19" s="1"/>
  <c r="N126" i="19"/>
  <c r="O126" i="19" s="1"/>
  <c r="F126" i="19"/>
  <c r="G126" i="19" s="1"/>
  <c r="N125" i="19"/>
  <c r="O125" i="19" s="1"/>
  <c r="F125" i="19"/>
  <c r="G125" i="19" s="1"/>
  <c r="AB10" i="21" s="1"/>
  <c r="N124" i="19"/>
  <c r="O124" i="19" s="1"/>
  <c r="F124" i="19"/>
  <c r="G124" i="19" s="1"/>
  <c r="F123" i="19"/>
  <c r="G123" i="19" s="1"/>
  <c r="F122" i="19"/>
  <c r="G122" i="19" s="1"/>
  <c r="F121" i="19"/>
  <c r="G121" i="19" s="1"/>
  <c r="AA10" i="21" s="1"/>
  <c r="J117" i="19"/>
  <c r="AD103" i="19"/>
  <c r="AE103" i="19" s="1"/>
  <c r="V103" i="19"/>
  <c r="W103" i="19" s="1"/>
  <c r="N103" i="19"/>
  <c r="O103" i="19" s="1"/>
  <c r="W11" i="21" s="1"/>
  <c r="F103" i="19"/>
  <c r="G103" i="19" s="1"/>
  <c r="X10" i="21" s="1"/>
  <c r="X14" i="21" s="1"/>
  <c r="F37" i="21" s="1"/>
  <c r="AD102" i="19"/>
  <c r="AE102" i="19" s="1"/>
  <c r="V102" i="19"/>
  <c r="W102" i="19" s="1"/>
  <c r="V12" i="21" s="1"/>
  <c r="N102" i="19"/>
  <c r="O102" i="19" s="1"/>
  <c r="F102" i="19"/>
  <c r="G102" i="19" s="1"/>
  <c r="AD101" i="19"/>
  <c r="AE101" i="19" s="1"/>
  <c r="U13" i="21" s="1"/>
  <c r="V101" i="19"/>
  <c r="W101" i="19" s="1"/>
  <c r="O101" i="19"/>
  <c r="N101" i="19"/>
  <c r="F101" i="19"/>
  <c r="G101" i="19" s="1"/>
  <c r="V100" i="19"/>
  <c r="W100" i="19" s="1"/>
  <c r="N100" i="19"/>
  <c r="O100" i="19" s="1"/>
  <c r="F100" i="19"/>
  <c r="G100" i="19" s="1"/>
  <c r="W10" i="21" s="1"/>
  <c r="V99" i="19"/>
  <c r="W99" i="19" s="1"/>
  <c r="N99" i="19"/>
  <c r="O99" i="19" s="1"/>
  <c r="V11" i="21" s="1"/>
  <c r="F99" i="19"/>
  <c r="G99" i="19" s="1"/>
  <c r="V98" i="19"/>
  <c r="W98" i="19" s="1"/>
  <c r="U12" i="21" s="1"/>
  <c r="N98" i="19"/>
  <c r="O98" i="19" s="1"/>
  <c r="F98" i="19"/>
  <c r="G98" i="19" s="1"/>
  <c r="N97" i="19"/>
  <c r="O97" i="19" s="1"/>
  <c r="F97" i="19"/>
  <c r="G97" i="19" s="1"/>
  <c r="N96" i="19"/>
  <c r="O96" i="19" s="1"/>
  <c r="F96" i="19"/>
  <c r="G96" i="19" s="1"/>
  <c r="V10" i="21" s="1"/>
  <c r="N95" i="19"/>
  <c r="O95" i="19" s="1"/>
  <c r="F95" i="19"/>
  <c r="G95" i="19" s="1"/>
  <c r="F94" i="19"/>
  <c r="G94" i="19" s="1"/>
  <c r="F93" i="19"/>
  <c r="G93" i="19" s="1"/>
  <c r="F92" i="19"/>
  <c r="J88" i="19"/>
  <c r="E47" i="22"/>
  <c r="D47" i="22"/>
  <c r="E46" i="22"/>
  <c r="AA9" i="22" s="1"/>
  <c r="D46" i="22"/>
  <c r="D45" i="22"/>
  <c r="E45" i="22" s="1"/>
  <c r="AA8" i="22" s="1"/>
  <c r="D44" i="22"/>
  <c r="E44" i="22" s="1"/>
  <c r="AA7" i="22" s="1"/>
  <c r="D43" i="22"/>
  <c r="E43" i="22" s="1"/>
  <c r="AA6" i="22" s="1"/>
  <c r="D42" i="22"/>
  <c r="E42" i="22" s="1"/>
  <c r="AA5" i="22" s="1"/>
  <c r="E41" i="22"/>
  <c r="D41" i="22"/>
  <c r="E40" i="22"/>
  <c r="AA3" i="22" s="1"/>
  <c r="D40" i="22"/>
  <c r="E39" i="22"/>
  <c r="D39" i="22"/>
  <c r="E38" i="22"/>
  <c r="Z13" i="22" s="1"/>
  <c r="D38" i="22"/>
  <c r="D37" i="22"/>
  <c r="E37" i="22" s="1"/>
  <c r="Z12" i="22" s="1"/>
  <c r="D36" i="22"/>
  <c r="E36" i="22" s="1"/>
  <c r="Z11" i="22" s="1"/>
  <c r="D35" i="22"/>
  <c r="E35" i="22" s="1"/>
  <c r="Z10" i="22" s="1"/>
  <c r="D34" i="22"/>
  <c r="E34" i="22" s="1"/>
  <c r="Z9" i="22" s="1"/>
  <c r="E33" i="22"/>
  <c r="D33" i="22"/>
  <c r="E32" i="22"/>
  <c r="Z7" i="22" s="1"/>
  <c r="D32" i="22"/>
  <c r="E31" i="22"/>
  <c r="D31" i="22"/>
  <c r="E30" i="22"/>
  <c r="D30" i="22"/>
  <c r="D29" i="22"/>
  <c r="E29" i="22" s="1"/>
  <c r="Z4" i="22" s="1"/>
  <c r="D28" i="22"/>
  <c r="E28" i="22" s="1"/>
  <c r="Z3" i="22" s="1"/>
  <c r="D27" i="22"/>
  <c r="E27" i="22" s="1"/>
  <c r="Y14" i="22" s="1"/>
  <c r="D26" i="22"/>
  <c r="E26" i="22" s="1"/>
  <c r="Y13" i="22" s="1"/>
  <c r="E25" i="22"/>
  <c r="D25" i="22"/>
  <c r="E24" i="22"/>
  <c r="Y11" i="22" s="1"/>
  <c r="D24" i="22"/>
  <c r="E23" i="22"/>
  <c r="Y10" i="22" s="1"/>
  <c r="D23" i="22"/>
  <c r="E22" i="22"/>
  <c r="Y9" i="22" s="1"/>
  <c r="D22" i="22"/>
  <c r="D21" i="22"/>
  <c r="E21" i="22" s="1"/>
  <c r="Y8" i="22" s="1"/>
  <c r="D20" i="22"/>
  <c r="E20" i="22" s="1"/>
  <c r="Y7" i="22" s="1"/>
  <c r="D19" i="22"/>
  <c r="E19" i="22" s="1"/>
  <c r="Y6" i="22" s="1"/>
  <c r="D18" i="22"/>
  <c r="E18" i="22" s="1"/>
  <c r="Y5" i="22" s="1"/>
  <c r="D17" i="22"/>
  <c r="E17" i="22" s="1"/>
  <c r="Y4" i="22" s="1"/>
  <c r="D16" i="22"/>
  <c r="E16" i="22" s="1"/>
  <c r="Y3" i="22" s="1"/>
  <c r="W15" i="22"/>
  <c r="E15" i="22"/>
  <c r="X14" i="22" s="1"/>
  <c r="AC14" i="22" s="1"/>
  <c r="D15" i="22"/>
  <c r="Z14" i="22"/>
  <c r="D14" i="22"/>
  <c r="E14" i="22" s="1"/>
  <c r="X13" i="22" s="1"/>
  <c r="D13" i="22"/>
  <c r="E13" i="22" s="1"/>
  <c r="X12" i="22" s="1"/>
  <c r="AC12" i="22" s="1"/>
  <c r="Y12" i="22"/>
  <c r="E12" i="22"/>
  <c r="D12" i="22"/>
  <c r="X11" i="22"/>
  <c r="AC11" i="22" s="1"/>
  <c r="E11" i="22"/>
  <c r="D11" i="22"/>
  <c r="AA10" i="22"/>
  <c r="X10" i="22"/>
  <c r="E10" i="22"/>
  <c r="X9" i="22" s="1"/>
  <c r="D10" i="22"/>
  <c r="E9" i="22"/>
  <c r="D9" i="22"/>
  <c r="Z8" i="22"/>
  <c r="X8" i="22"/>
  <c r="D8" i="22"/>
  <c r="E8" i="22" s="1"/>
  <c r="X7" i="22" s="1"/>
  <c r="D7" i="22"/>
  <c r="E7" i="22" s="1"/>
  <c r="X6" i="22" s="1"/>
  <c r="Z6" i="22"/>
  <c r="D6" i="22"/>
  <c r="E6" i="22" s="1"/>
  <c r="X5" i="22" s="1"/>
  <c r="Z5" i="22"/>
  <c r="D5" i="22"/>
  <c r="E5" i="22" s="1"/>
  <c r="X4" i="22" s="1"/>
  <c r="AC4" i="22" s="1"/>
  <c r="AA4" i="22"/>
  <c r="X3" i="22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E44" i="15"/>
  <c r="D44" i="15"/>
  <c r="E4" i="15"/>
  <c r="D4" i="15"/>
  <c r="P51" i="5"/>
  <c r="O49" i="5"/>
  <c r="H8" i="6"/>
  <c r="E3" i="6"/>
  <c r="D3" i="6"/>
  <c r="G4" i="6"/>
  <c r="D50" i="4"/>
  <c r="M12" i="19"/>
  <c r="F61" i="19"/>
  <c r="G61" i="19" s="1"/>
  <c r="K50" i="9"/>
  <c r="K49" i="9"/>
  <c r="J50" i="9"/>
  <c r="J49" i="9"/>
  <c r="G48" i="9"/>
  <c r="G32" i="9"/>
  <c r="F41" i="9"/>
  <c r="G5" i="5"/>
  <c r="E5" i="5"/>
  <c r="F5" i="5" s="1"/>
  <c r="H5" i="5"/>
  <c r="Q50" i="13"/>
  <c r="Q51" i="13"/>
  <c r="Q52" i="13"/>
  <c r="Q53" i="13"/>
  <c r="Q54" i="13"/>
  <c r="Q55" i="13"/>
  <c r="Q56" i="13"/>
  <c r="Q57" i="13"/>
  <c r="Q58" i="13"/>
  <c r="Q59" i="13"/>
  <c r="Q60" i="13"/>
  <c r="Q49" i="13"/>
  <c r="K8" i="18"/>
  <c r="J8" i="18"/>
  <c r="I7" i="18"/>
  <c r="H8" i="18"/>
  <c r="I8" i="18" s="1"/>
  <c r="H7" i="18"/>
  <c r="G8" i="18"/>
  <c r="G7" i="18"/>
  <c r="G9" i="7"/>
  <c r="G3" i="7"/>
  <c r="F2" i="7"/>
  <c r="F32" i="7"/>
  <c r="F17" i="7"/>
  <c r="F18" i="7"/>
  <c r="F19" i="7"/>
  <c r="F20" i="7"/>
  <c r="F21" i="7"/>
  <c r="F22" i="7"/>
  <c r="F23" i="7"/>
  <c r="F35" i="7" s="1"/>
  <c r="F47" i="7" s="1"/>
  <c r="F59" i="7" s="1"/>
  <c r="F24" i="7"/>
  <c r="F36" i="7" s="1"/>
  <c r="F48" i="7" s="1"/>
  <c r="F60" i="7" s="1"/>
  <c r="F25" i="7"/>
  <c r="F26" i="7"/>
  <c r="F27" i="7"/>
  <c r="F28" i="7"/>
  <c r="F29" i="7"/>
  <c r="F30" i="7"/>
  <c r="F31" i="7"/>
  <c r="F43" i="7" s="1"/>
  <c r="F55" i="7" s="1"/>
  <c r="F44" i="7"/>
  <c r="F56" i="7" s="1"/>
  <c r="F33" i="7"/>
  <c r="F34" i="7"/>
  <c r="F37" i="7"/>
  <c r="F38" i="7"/>
  <c r="F39" i="7"/>
  <c r="F51" i="7" s="1"/>
  <c r="F40" i="7"/>
  <c r="F52" i="7" s="1"/>
  <c r="F41" i="7"/>
  <c r="F42" i="7"/>
  <c r="F45" i="7"/>
  <c r="F46" i="7"/>
  <c r="F49" i="7"/>
  <c r="F50" i="7"/>
  <c r="F53" i="7"/>
  <c r="F54" i="7"/>
  <c r="F57" i="7"/>
  <c r="F58" i="7"/>
  <c r="F16" i="7"/>
  <c r="F15" i="7"/>
  <c r="F6" i="7"/>
  <c r="F7" i="7"/>
  <c r="F8" i="7"/>
  <c r="F9" i="7"/>
  <c r="F10" i="7"/>
  <c r="F11" i="7"/>
  <c r="F12" i="7"/>
  <c r="F13" i="7"/>
  <c r="F14" i="7"/>
  <c r="F5" i="7"/>
  <c r="F4" i="7"/>
  <c r="F3" i="7"/>
  <c r="AD13" i="7"/>
  <c r="AC3" i="7"/>
  <c r="D20" i="7"/>
  <c r="D26" i="7"/>
  <c r="F50" i="19"/>
  <c r="F108" i="19"/>
  <c r="F107" i="19"/>
  <c r="F166" i="19"/>
  <c r="F167" i="19"/>
  <c r="F76" i="19"/>
  <c r="F197" i="19"/>
  <c r="F136" i="19"/>
  <c r="F49" i="19"/>
  <c r="F77" i="19"/>
  <c r="F137" i="19"/>
  <c r="F196" i="19"/>
  <c r="Q28" i="21" l="1"/>
  <c r="E40" i="21" s="1"/>
  <c r="O28" i="21"/>
  <c r="C40" i="21" s="1"/>
  <c r="P28" i="21"/>
  <c r="I28" i="21"/>
  <c r="C39" i="21" s="1"/>
  <c r="AB14" i="21"/>
  <c r="D38" i="21" s="1"/>
  <c r="AC14" i="21"/>
  <c r="E38" i="21" s="1"/>
  <c r="AA14" i="21"/>
  <c r="C38" i="21" s="1"/>
  <c r="K28" i="21"/>
  <c r="E39" i="21" s="1"/>
  <c r="J28" i="21"/>
  <c r="D39" i="21" s="1"/>
  <c r="O10" i="21"/>
  <c r="F105" i="19"/>
  <c r="G92" i="19"/>
  <c r="F194" i="19"/>
  <c r="F47" i="19"/>
  <c r="G35" i="19"/>
  <c r="G49" i="19" s="1"/>
  <c r="W14" i="21"/>
  <c r="E37" i="21" s="1"/>
  <c r="G182" i="19"/>
  <c r="G197" i="19" s="1"/>
  <c r="G167" i="19"/>
  <c r="G166" i="19"/>
  <c r="G164" i="19"/>
  <c r="F164" i="19"/>
  <c r="G137" i="19"/>
  <c r="G136" i="19"/>
  <c r="G134" i="19"/>
  <c r="F134" i="19"/>
  <c r="V14" i="21"/>
  <c r="D37" i="21" s="1"/>
  <c r="AC5" i="22"/>
  <c r="Y15" i="22"/>
  <c r="Z15" i="22"/>
  <c r="AC9" i="22"/>
  <c r="AC6" i="22"/>
  <c r="AC10" i="22"/>
  <c r="AC13" i="22"/>
  <c r="AA15" i="22"/>
  <c r="X15" i="22"/>
  <c r="AC3" i="22"/>
  <c r="AC7" i="22"/>
  <c r="AC8" i="22"/>
  <c r="H9" i="18"/>
  <c r="E50" i="4"/>
  <c r="D40" i="21" l="1"/>
  <c r="G108" i="19"/>
  <c r="U10" i="21"/>
  <c r="U14" i="21" s="1"/>
  <c r="C37" i="21" s="1"/>
  <c r="G47" i="19"/>
  <c r="G107" i="19"/>
  <c r="G105" i="19"/>
  <c r="G50" i="19"/>
  <c r="G194" i="19"/>
  <c r="G196" i="19"/>
  <c r="AC15" i="22"/>
  <c r="AC18" i="22" s="1"/>
  <c r="AD8" i="22" s="1"/>
  <c r="F9" i="22" s="1"/>
  <c r="N64" i="19"/>
  <c r="O64" i="19" s="1"/>
  <c r="O11" i="21" s="1"/>
  <c r="AD7" i="22" l="1"/>
  <c r="F8" i="22" s="1"/>
  <c r="F20" i="22"/>
  <c r="G8" i="22"/>
  <c r="AD4" i="22"/>
  <c r="F5" i="22" s="1"/>
  <c r="AD12" i="22"/>
  <c r="F13" i="22" s="1"/>
  <c r="AD11" i="22"/>
  <c r="F12" i="22" s="1"/>
  <c r="AD14" i="22"/>
  <c r="AD6" i="22"/>
  <c r="F7" i="22" s="1"/>
  <c r="G9" i="22"/>
  <c r="F21" i="22"/>
  <c r="AD3" i="22"/>
  <c r="AD13" i="22"/>
  <c r="AD9" i="22"/>
  <c r="F10" i="22" s="1"/>
  <c r="AD10" i="22"/>
  <c r="F11" i="22" s="1"/>
  <c r="AD5" i="22"/>
  <c r="F6" i="22" s="1"/>
  <c r="F62" i="19"/>
  <c r="V68" i="19"/>
  <c r="W68" i="19" s="1"/>
  <c r="AD71" i="19"/>
  <c r="AE71" i="19" s="1"/>
  <c r="AD72" i="19"/>
  <c r="AE72" i="19" s="1"/>
  <c r="AD70" i="19"/>
  <c r="AE70" i="19" s="1"/>
  <c r="O13" i="21" s="1"/>
  <c r="V67" i="19"/>
  <c r="W67" i="19" s="1"/>
  <c r="O12" i="21" s="1"/>
  <c r="O14" i="21" l="1"/>
  <c r="C36" i="21" s="1"/>
  <c r="L14" i="21"/>
  <c r="F35" i="21" s="1"/>
  <c r="F33" i="22"/>
  <c r="G21" i="22"/>
  <c r="G20" i="22"/>
  <c r="F32" i="22"/>
  <c r="F19" i="22"/>
  <c r="G7" i="22"/>
  <c r="G12" i="22"/>
  <c r="F24" i="22"/>
  <c r="G6" i="22"/>
  <c r="F18" i="22"/>
  <c r="F15" i="22"/>
  <c r="F3" i="22"/>
  <c r="G3" i="22" s="1"/>
  <c r="G11" i="22"/>
  <c r="F23" i="22"/>
  <c r="F22" i="22"/>
  <c r="G10" i="22"/>
  <c r="F25" i="22"/>
  <c r="G13" i="22"/>
  <c r="F2" i="22"/>
  <c r="G2" i="22" s="1"/>
  <c r="F14" i="22"/>
  <c r="F17" i="22"/>
  <c r="G5" i="22"/>
  <c r="F4" i="22"/>
  <c r="AD15" i="22"/>
  <c r="G62" i="19"/>
  <c r="V69" i="19"/>
  <c r="W69" i="19" s="1"/>
  <c r="N65" i="19"/>
  <c r="O65" i="19" s="1"/>
  <c r="F63" i="19"/>
  <c r="F30" i="22" l="1"/>
  <c r="G18" i="22"/>
  <c r="F36" i="22"/>
  <c r="G24" i="22"/>
  <c r="F16" i="22"/>
  <c r="G4" i="22"/>
  <c r="G22" i="22"/>
  <c r="F34" i="22"/>
  <c r="G15" i="22"/>
  <c r="F27" i="22"/>
  <c r="G17" i="22"/>
  <c r="F29" i="22"/>
  <c r="F31" i="22"/>
  <c r="G19" i="22"/>
  <c r="F35" i="22"/>
  <c r="G23" i="22"/>
  <c r="F26" i="22"/>
  <c r="G14" i="22"/>
  <c r="F44" i="22"/>
  <c r="G32" i="22"/>
  <c r="G25" i="22"/>
  <c r="F37" i="22"/>
  <c r="G33" i="22"/>
  <c r="F45" i="22"/>
  <c r="G63" i="19"/>
  <c r="N66" i="19"/>
  <c r="O66" i="19" s="1"/>
  <c r="F64" i="19"/>
  <c r="V70" i="19"/>
  <c r="W70" i="19" s="1"/>
  <c r="F38" i="22" l="1"/>
  <c r="G26" i="22"/>
  <c r="G30" i="22"/>
  <c r="F42" i="22"/>
  <c r="G45" i="22"/>
  <c r="F57" i="22"/>
  <c r="F46" i="22"/>
  <c r="G34" i="22"/>
  <c r="F47" i="22"/>
  <c r="G35" i="22"/>
  <c r="G37" i="22"/>
  <c r="F49" i="22"/>
  <c r="G31" i="22"/>
  <c r="F43" i="22"/>
  <c r="F28" i="22"/>
  <c r="G16" i="22"/>
  <c r="F41" i="22"/>
  <c r="G29" i="22"/>
  <c r="F56" i="22"/>
  <c r="G44" i="22"/>
  <c r="F48" i="22"/>
  <c r="G36" i="22"/>
  <c r="F39" i="22"/>
  <c r="G27" i="22"/>
  <c r="G64" i="19"/>
  <c r="V72" i="19"/>
  <c r="W72" i="19" s="1"/>
  <c r="V71" i="19"/>
  <c r="W71" i="19" s="1"/>
  <c r="P12" i="21" s="1"/>
  <c r="F65" i="19"/>
  <c r="G65" i="19" s="1"/>
  <c r="P10" i="21" s="1"/>
  <c r="N67" i="19"/>
  <c r="O67" i="19" s="1"/>
  <c r="K14" i="21" l="1"/>
  <c r="E35" i="21" s="1"/>
  <c r="G39" i="22"/>
  <c r="F51" i="22"/>
  <c r="G28" i="22"/>
  <c r="F40" i="22"/>
  <c r="G46" i="22"/>
  <c r="F58" i="22"/>
  <c r="F55" i="22"/>
  <c r="G43" i="22"/>
  <c r="G48" i="22"/>
  <c r="F60" i="22"/>
  <c r="F54" i="22"/>
  <c r="G42" i="22"/>
  <c r="G41" i="22"/>
  <c r="F53" i="22"/>
  <c r="G47" i="22"/>
  <c r="F59" i="22"/>
  <c r="F50" i="22"/>
  <c r="G38" i="22"/>
  <c r="N68" i="19"/>
  <c r="O68" i="19" s="1"/>
  <c r="P11" i="21" s="1"/>
  <c r="P14" i="21" s="1"/>
  <c r="D36" i="21" s="1"/>
  <c r="F66" i="19"/>
  <c r="H49" i="22" l="1"/>
  <c r="I49" i="22" s="1"/>
  <c r="F52" i="22"/>
  <c r="G40" i="22"/>
  <c r="G66" i="19"/>
  <c r="F67" i="19"/>
  <c r="G67" i="19" s="1"/>
  <c r="N69" i="19"/>
  <c r="O69" i="19" s="1"/>
  <c r="H50" i="22" l="1"/>
  <c r="F68" i="19"/>
  <c r="G68" i="19" s="1"/>
  <c r="N70" i="19"/>
  <c r="O70" i="19" s="1"/>
  <c r="H51" i="22" l="1"/>
  <c r="I50" i="22"/>
  <c r="N71" i="19"/>
  <c r="O71" i="19" s="1"/>
  <c r="N72" i="19"/>
  <c r="O72" i="19" s="1"/>
  <c r="Q11" i="21" s="1"/>
  <c r="F69" i="19"/>
  <c r="G69" i="19" s="1"/>
  <c r="Q10" i="21" s="1"/>
  <c r="Q14" i="21" s="1"/>
  <c r="E36" i="21" s="1"/>
  <c r="H52" i="22" l="1"/>
  <c r="I51" i="22"/>
  <c r="J14" i="21"/>
  <c r="D35" i="21" s="1"/>
  <c r="F70" i="19"/>
  <c r="G70" i="19" s="1"/>
  <c r="H53" i="22" l="1"/>
  <c r="I52" i="22"/>
  <c r="F71" i="19"/>
  <c r="G71" i="19" s="1"/>
  <c r="F72" i="19"/>
  <c r="F74" i="19" s="1"/>
  <c r="H54" i="22" l="1"/>
  <c r="I53" i="22"/>
  <c r="G72" i="19"/>
  <c r="R10" i="21" s="1"/>
  <c r="R14" i="21" s="1"/>
  <c r="F36" i="21" s="1"/>
  <c r="H55" i="22" l="1"/>
  <c r="I54" i="22"/>
  <c r="I14" i="21"/>
  <c r="G74" i="19"/>
  <c r="G77" i="19"/>
  <c r="G76" i="19"/>
  <c r="E9" i="19"/>
  <c r="F9" i="19" s="1"/>
  <c r="G9" i="19" s="1"/>
  <c r="J5" i="19"/>
  <c r="N12" i="19"/>
  <c r="AC18" i="19"/>
  <c r="AD18" i="19" s="1"/>
  <c r="AE18" i="19" s="1"/>
  <c r="U15" i="19"/>
  <c r="U16" i="19" s="1"/>
  <c r="U17" i="19" s="1"/>
  <c r="H56" i="22" l="1"/>
  <c r="I55" i="22"/>
  <c r="C35" i="21"/>
  <c r="C10" i="21"/>
  <c r="C13" i="21"/>
  <c r="M13" i="19"/>
  <c r="M14" i="19" s="1"/>
  <c r="M15" i="19" s="1"/>
  <c r="E10" i="19"/>
  <c r="AC19" i="19"/>
  <c r="AD19" i="19" s="1"/>
  <c r="AE19" i="19" s="1"/>
  <c r="V15" i="19"/>
  <c r="W15" i="19" s="1"/>
  <c r="O12" i="19"/>
  <c r="V17" i="19"/>
  <c r="W17" i="19" s="1"/>
  <c r="U18" i="19"/>
  <c r="N13" i="19"/>
  <c r="O13" i="19" s="1"/>
  <c r="V16" i="19"/>
  <c r="W16" i="19" s="1"/>
  <c r="H57" i="22" l="1"/>
  <c r="I56" i="22"/>
  <c r="N14" i="19"/>
  <c r="O14" i="19" s="1"/>
  <c r="C12" i="21"/>
  <c r="C11" i="21"/>
  <c r="C14" i="21" s="1"/>
  <c r="AC20" i="19"/>
  <c r="AD20" i="19" s="1"/>
  <c r="AE20" i="19" s="1"/>
  <c r="F10" i="19"/>
  <c r="G10" i="19" s="1"/>
  <c r="E11" i="19"/>
  <c r="U19" i="19"/>
  <c r="V18" i="19"/>
  <c r="W18" i="19" s="1"/>
  <c r="M16" i="19"/>
  <c r="N15" i="19"/>
  <c r="O15" i="19" s="1"/>
  <c r="H58" i="22" l="1"/>
  <c r="I57" i="22"/>
  <c r="C34" i="21"/>
  <c r="C23" i="21"/>
  <c r="C25" i="21"/>
  <c r="C24" i="21"/>
  <c r="F11" i="19"/>
  <c r="G11" i="19" s="1"/>
  <c r="E12" i="19"/>
  <c r="N16" i="19"/>
  <c r="O16" i="19" s="1"/>
  <c r="M17" i="19"/>
  <c r="V19" i="19"/>
  <c r="W19" i="19" s="1"/>
  <c r="U20" i="19"/>
  <c r="V20" i="19" s="1"/>
  <c r="W20" i="19" s="1"/>
  <c r="H59" i="22" l="1"/>
  <c r="I58" i="22"/>
  <c r="D12" i="21"/>
  <c r="D11" i="21"/>
  <c r="F12" i="19"/>
  <c r="G12" i="19" s="1"/>
  <c r="E13" i="19"/>
  <c r="M18" i="19"/>
  <c r="N17" i="19"/>
  <c r="O17" i="19" s="1"/>
  <c r="H60" i="22" l="1"/>
  <c r="I60" i="22" s="1"/>
  <c r="I59" i="22"/>
  <c r="F13" i="19"/>
  <c r="G13" i="19" s="1"/>
  <c r="E14" i="19"/>
  <c r="N18" i="19"/>
  <c r="O18" i="19" s="1"/>
  <c r="M19" i="19"/>
  <c r="D10" i="21" l="1"/>
  <c r="E15" i="19"/>
  <c r="F14" i="19"/>
  <c r="G14" i="19" s="1"/>
  <c r="N19" i="19"/>
  <c r="O19" i="19" s="1"/>
  <c r="M20" i="19"/>
  <c r="N20" i="19" s="1"/>
  <c r="D14" i="21" l="1"/>
  <c r="O20" i="19"/>
  <c r="E16" i="19"/>
  <c r="F15" i="19"/>
  <c r="G15" i="19" s="1"/>
  <c r="AB50" i="13"/>
  <c r="AP50" i="13" s="1"/>
  <c r="S50" i="13"/>
  <c r="T50" i="13"/>
  <c r="AH50" i="13" s="1"/>
  <c r="V50" i="13"/>
  <c r="AJ50" i="13" s="1"/>
  <c r="W50" i="13"/>
  <c r="AK50" i="13" s="1"/>
  <c r="X50" i="13"/>
  <c r="AL50" i="13" s="1"/>
  <c r="Y50" i="13"/>
  <c r="AM50" i="13" s="1"/>
  <c r="Z50" i="13"/>
  <c r="AN50" i="13" s="1"/>
  <c r="AA50" i="13"/>
  <c r="AO50" i="13" s="1"/>
  <c r="AC50" i="13"/>
  <c r="AQ50" i="13" s="1"/>
  <c r="S51" i="13"/>
  <c r="AG51" i="13" s="1"/>
  <c r="T51" i="13"/>
  <c r="AH51" i="13" s="1"/>
  <c r="V51" i="13"/>
  <c r="AJ51" i="13" s="1"/>
  <c r="W51" i="13"/>
  <c r="AK51" i="13" s="1"/>
  <c r="X51" i="13"/>
  <c r="AL51" i="13" s="1"/>
  <c r="Y51" i="13"/>
  <c r="AM51" i="13" s="1"/>
  <c r="Z51" i="13"/>
  <c r="AN51" i="13" s="1"/>
  <c r="AA51" i="13"/>
  <c r="AO51" i="13" s="1"/>
  <c r="AB51" i="13"/>
  <c r="AP51" i="13" s="1"/>
  <c r="AC51" i="13"/>
  <c r="AQ51" i="13" s="1"/>
  <c r="S52" i="13"/>
  <c r="AG52" i="13" s="1"/>
  <c r="T52" i="13"/>
  <c r="AH52" i="13" s="1"/>
  <c r="V52" i="13"/>
  <c r="AJ52" i="13" s="1"/>
  <c r="W52" i="13"/>
  <c r="AK52" i="13" s="1"/>
  <c r="X52" i="13"/>
  <c r="AL52" i="13" s="1"/>
  <c r="Y52" i="13"/>
  <c r="AM52" i="13" s="1"/>
  <c r="Z52" i="13"/>
  <c r="AN52" i="13" s="1"/>
  <c r="AA52" i="13"/>
  <c r="AO52" i="13" s="1"/>
  <c r="AB52" i="13"/>
  <c r="AP52" i="13" s="1"/>
  <c r="AC52" i="13"/>
  <c r="AQ52" i="13" s="1"/>
  <c r="S53" i="13"/>
  <c r="AG53" i="13" s="1"/>
  <c r="T53" i="13"/>
  <c r="AH53" i="13" s="1"/>
  <c r="V53" i="13"/>
  <c r="AJ53" i="13" s="1"/>
  <c r="W53" i="13"/>
  <c r="AK53" i="13" s="1"/>
  <c r="X53" i="13"/>
  <c r="AL53" i="13" s="1"/>
  <c r="Y53" i="13"/>
  <c r="AM53" i="13" s="1"/>
  <c r="Z53" i="13"/>
  <c r="AN53" i="13" s="1"/>
  <c r="AA53" i="13"/>
  <c r="AO53" i="13" s="1"/>
  <c r="AB53" i="13"/>
  <c r="AP53" i="13" s="1"/>
  <c r="AC53" i="13"/>
  <c r="AQ53" i="13" s="1"/>
  <c r="S54" i="13"/>
  <c r="AG54" i="13" s="1"/>
  <c r="T54" i="13"/>
  <c r="AH54" i="13" s="1"/>
  <c r="V54" i="13"/>
  <c r="AJ54" i="13" s="1"/>
  <c r="W54" i="13"/>
  <c r="AK54" i="13" s="1"/>
  <c r="X54" i="13"/>
  <c r="AL54" i="13" s="1"/>
  <c r="Y54" i="13"/>
  <c r="AM54" i="13" s="1"/>
  <c r="Z54" i="13"/>
  <c r="AN54" i="13" s="1"/>
  <c r="AA54" i="13"/>
  <c r="AO54" i="13" s="1"/>
  <c r="AB54" i="13"/>
  <c r="AP54" i="13" s="1"/>
  <c r="AC54" i="13"/>
  <c r="AQ54" i="13" s="1"/>
  <c r="S55" i="13"/>
  <c r="AG55" i="13" s="1"/>
  <c r="T55" i="13"/>
  <c r="AH55" i="13" s="1"/>
  <c r="V55" i="13"/>
  <c r="AJ55" i="13" s="1"/>
  <c r="W55" i="13"/>
  <c r="AK55" i="13" s="1"/>
  <c r="X55" i="13"/>
  <c r="AL55" i="13" s="1"/>
  <c r="Y55" i="13"/>
  <c r="AM55" i="13" s="1"/>
  <c r="Z55" i="13"/>
  <c r="AN55" i="13" s="1"/>
  <c r="AA55" i="13"/>
  <c r="AO55" i="13" s="1"/>
  <c r="AB55" i="13"/>
  <c r="AP55" i="13" s="1"/>
  <c r="AC55" i="13"/>
  <c r="AQ55" i="13" s="1"/>
  <c r="S56" i="13"/>
  <c r="AG56" i="13" s="1"/>
  <c r="T56" i="13"/>
  <c r="AH56" i="13" s="1"/>
  <c r="V56" i="13"/>
  <c r="AJ56" i="13" s="1"/>
  <c r="W56" i="13"/>
  <c r="AK56" i="13" s="1"/>
  <c r="X56" i="13"/>
  <c r="AL56" i="13" s="1"/>
  <c r="Y56" i="13"/>
  <c r="AM56" i="13" s="1"/>
  <c r="Z56" i="13"/>
  <c r="AN56" i="13" s="1"/>
  <c r="AA56" i="13"/>
  <c r="AO56" i="13" s="1"/>
  <c r="AB56" i="13"/>
  <c r="AP56" i="13" s="1"/>
  <c r="AC56" i="13"/>
  <c r="AQ56" i="13" s="1"/>
  <c r="S57" i="13"/>
  <c r="AG57" i="13" s="1"/>
  <c r="T57" i="13"/>
  <c r="AH57" i="13" s="1"/>
  <c r="V57" i="13"/>
  <c r="AJ57" i="13" s="1"/>
  <c r="W57" i="13"/>
  <c r="AK57" i="13" s="1"/>
  <c r="X57" i="13"/>
  <c r="AL57" i="13" s="1"/>
  <c r="Y57" i="13"/>
  <c r="AM57" i="13" s="1"/>
  <c r="Z57" i="13"/>
  <c r="AN57" i="13" s="1"/>
  <c r="AA57" i="13"/>
  <c r="AO57" i="13" s="1"/>
  <c r="AB57" i="13"/>
  <c r="AP57" i="13" s="1"/>
  <c r="AC57" i="13"/>
  <c r="AQ57" i="13" s="1"/>
  <c r="S58" i="13"/>
  <c r="AG58" i="13" s="1"/>
  <c r="T58" i="13"/>
  <c r="AH58" i="13" s="1"/>
  <c r="V58" i="13"/>
  <c r="AJ58" i="13" s="1"/>
  <c r="W58" i="13"/>
  <c r="AK58" i="13" s="1"/>
  <c r="X58" i="13"/>
  <c r="AL58" i="13" s="1"/>
  <c r="Y58" i="13"/>
  <c r="AM58" i="13" s="1"/>
  <c r="Z58" i="13"/>
  <c r="AN58" i="13" s="1"/>
  <c r="AA58" i="13"/>
  <c r="AO58" i="13" s="1"/>
  <c r="AB58" i="13"/>
  <c r="AP58" i="13" s="1"/>
  <c r="AC58" i="13"/>
  <c r="AQ58" i="13" s="1"/>
  <c r="S59" i="13"/>
  <c r="AG59" i="13" s="1"/>
  <c r="T59" i="13"/>
  <c r="AH59" i="13" s="1"/>
  <c r="V59" i="13"/>
  <c r="AJ59" i="13" s="1"/>
  <c r="W59" i="13"/>
  <c r="AK59" i="13" s="1"/>
  <c r="X59" i="13"/>
  <c r="AL59" i="13" s="1"/>
  <c r="Y59" i="13"/>
  <c r="AM59" i="13" s="1"/>
  <c r="Z59" i="13"/>
  <c r="AN59" i="13" s="1"/>
  <c r="AA59" i="13"/>
  <c r="AO59" i="13" s="1"/>
  <c r="AB59" i="13"/>
  <c r="AP59" i="13" s="1"/>
  <c r="AC59" i="13"/>
  <c r="AQ59" i="13" s="1"/>
  <c r="S60" i="13"/>
  <c r="T60" i="13"/>
  <c r="AH60" i="13" s="1"/>
  <c r="V60" i="13"/>
  <c r="AJ60" i="13" s="1"/>
  <c r="W60" i="13"/>
  <c r="AK60" i="13" s="1"/>
  <c r="X60" i="13"/>
  <c r="AL60" i="13" s="1"/>
  <c r="Y60" i="13"/>
  <c r="AM60" i="13" s="1"/>
  <c r="Z60" i="13"/>
  <c r="AN60" i="13" s="1"/>
  <c r="AA60" i="13"/>
  <c r="AO60" i="13" s="1"/>
  <c r="AB60" i="13"/>
  <c r="AP60" i="13" s="1"/>
  <c r="AC60" i="13"/>
  <c r="AQ60" i="13" s="1"/>
  <c r="AH49" i="13"/>
  <c r="V49" i="13"/>
  <c r="W49" i="13"/>
  <c r="AK49" i="13" s="1"/>
  <c r="X49" i="13"/>
  <c r="AL49" i="13" s="1"/>
  <c r="Y49" i="13"/>
  <c r="Z49" i="13"/>
  <c r="AN49" i="13" s="1"/>
  <c r="AA49" i="13"/>
  <c r="AB49" i="13"/>
  <c r="AP49" i="13" s="1"/>
  <c r="AC49" i="13"/>
  <c r="AQ49" i="13" s="1"/>
  <c r="D34" i="21" l="1"/>
  <c r="D28" i="21"/>
  <c r="D25" i="21"/>
  <c r="D24" i="21"/>
  <c r="D23" i="21"/>
  <c r="E11" i="21"/>
  <c r="D26" i="21"/>
  <c r="D27" i="21"/>
  <c r="F16" i="19"/>
  <c r="G16" i="19" s="1"/>
  <c r="E17" i="19"/>
  <c r="Y62" i="13"/>
  <c r="AA62" i="13"/>
  <c r="AD60" i="13"/>
  <c r="AR60" i="13" s="1"/>
  <c r="V62" i="13"/>
  <c r="AG60" i="13"/>
  <c r="AM49" i="13"/>
  <c r="AM64" i="13" s="1"/>
  <c r="AD55" i="13"/>
  <c r="AR55" i="13" s="1"/>
  <c r="AD56" i="13"/>
  <c r="AR56" i="13" s="1"/>
  <c r="AD54" i="13"/>
  <c r="AR54" i="13" s="1"/>
  <c r="AK64" i="13"/>
  <c r="W62" i="13"/>
  <c r="AD52" i="13"/>
  <c r="AR52" i="13" s="1"/>
  <c r="X62" i="13"/>
  <c r="AD49" i="13"/>
  <c r="AC62" i="13"/>
  <c r="AD59" i="13"/>
  <c r="AR59" i="13" s="1"/>
  <c r="AD51" i="13"/>
  <c r="AR51" i="13" s="1"/>
  <c r="S62" i="13"/>
  <c r="AD53" i="13"/>
  <c r="AR53" i="13" s="1"/>
  <c r="T62" i="13"/>
  <c r="AD58" i="13"/>
  <c r="AR58" i="13" s="1"/>
  <c r="AD50" i="13"/>
  <c r="AR50" i="13" s="1"/>
  <c r="AD57" i="13"/>
  <c r="AR57" i="13" s="1"/>
  <c r="AQ64" i="13"/>
  <c r="AQ62" i="13"/>
  <c r="AQ65" i="13"/>
  <c r="AH64" i="13"/>
  <c r="AH62" i="13"/>
  <c r="AH65" i="13"/>
  <c r="AP62" i="13"/>
  <c r="AP65" i="13"/>
  <c r="AP64" i="13"/>
  <c r="AN65" i="13"/>
  <c r="AN64" i="13"/>
  <c r="AN62" i="13"/>
  <c r="AL62" i="13"/>
  <c r="Z62" i="13"/>
  <c r="AJ49" i="13"/>
  <c r="AK62" i="13"/>
  <c r="AB62" i="13"/>
  <c r="AL65" i="13"/>
  <c r="AG50" i="13"/>
  <c r="AL64" i="13"/>
  <c r="AK65" i="13"/>
  <c r="AO49" i="13"/>
  <c r="AG64" i="13" l="1"/>
  <c r="AG62" i="13"/>
  <c r="E18" i="19"/>
  <c r="F17" i="19"/>
  <c r="G17" i="19" s="1"/>
  <c r="AM62" i="13"/>
  <c r="AM65" i="13"/>
  <c r="AR49" i="13"/>
  <c r="AR64" i="13" s="1"/>
  <c r="AD62" i="13"/>
  <c r="AG65" i="13"/>
  <c r="AO62" i="13"/>
  <c r="AO64" i="13"/>
  <c r="AO65" i="13"/>
  <c r="AJ64" i="13"/>
  <c r="AJ62" i="13"/>
  <c r="AJ65" i="13"/>
  <c r="E10" i="21" l="1"/>
  <c r="E14" i="21" s="1"/>
  <c r="AR62" i="13"/>
  <c r="AS62" i="13" s="1"/>
  <c r="AR65" i="13"/>
  <c r="E19" i="19"/>
  <c r="F18" i="19"/>
  <c r="G18" i="19" s="1"/>
  <c r="E28" i="21" l="1"/>
  <c r="E34" i="21"/>
  <c r="E26" i="21"/>
  <c r="E25" i="21"/>
  <c r="E23" i="21"/>
  <c r="E24" i="21"/>
  <c r="E27" i="21"/>
  <c r="F19" i="19"/>
  <c r="E20" i="19"/>
  <c r="F20" i="19" s="1"/>
  <c r="G20" i="19" s="1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E32" i="18"/>
  <c r="F32" i="18" s="1"/>
  <c r="E31" i="18"/>
  <c r="F31" i="18" s="1"/>
  <c r="E30" i="18"/>
  <c r="E42" i="18" s="1"/>
  <c r="E29" i="18"/>
  <c r="F29" i="18" s="1"/>
  <c r="E28" i="18"/>
  <c r="F28" i="18" s="1"/>
  <c r="E27" i="18"/>
  <c r="E39" i="18" s="1"/>
  <c r="F27" i="18"/>
  <c r="E26" i="18"/>
  <c r="F26" i="18" s="1"/>
  <c r="E25" i="18"/>
  <c r="E37" i="18" s="1"/>
  <c r="E24" i="18"/>
  <c r="F24" i="18" s="1"/>
  <c r="E23" i="18"/>
  <c r="F23" i="18" s="1"/>
  <c r="E22" i="18"/>
  <c r="E34" i="18" s="1"/>
  <c r="E21" i="18"/>
  <c r="E33" i="18" s="1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E8" i="18"/>
  <c r="F8" i="18" s="1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E7" i="18"/>
  <c r="F7" i="18"/>
  <c r="H30" i="17"/>
  <c r="H42" i="17" s="1"/>
  <c r="H29" i="17"/>
  <c r="E29" i="17" s="1"/>
  <c r="H28" i="17"/>
  <c r="H40" i="17" s="1"/>
  <c r="H52" i="17" s="1"/>
  <c r="H27" i="17"/>
  <c r="H39" i="17" s="1"/>
  <c r="H51" i="17" s="1"/>
  <c r="E51" i="17" s="1"/>
  <c r="H26" i="17"/>
  <c r="E26" i="17" s="1"/>
  <c r="H25" i="17"/>
  <c r="H37" i="17" s="1"/>
  <c r="H24" i="17"/>
  <c r="H36" i="17" s="1"/>
  <c r="H23" i="17"/>
  <c r="H35" i="17" s="1"/>
  <c r="H22" i="17"/>
  <c r="H34" i="17" s="1"/>
  <c r="H21" i="17"/>
  <c r="E21" i="17" s="1"/>
  <c r="H20" i="17"/>
  <c r="H32" i="17" s="1"/>
  <c r="H19" i="17"/>
  <c r="H31" i="17" s="1"/>
  <c r="H43" i="17" s="1"/>
  <c r="E18" i="17"/>
  <c r="E17" i="17"/>
  <c r="E16" i="17"/>
  <c r="E15" i="17"/>
  <c r="E14" i="17"/>
  <c r="E13" i="17"/>
  <c r="E12" i="17"/>
  <c r="E11" i="17"/>
  <c r="E10" i="17"/>
  <c r="E9" i="17"/>
  <c r="E8" i="17"/>
  <c r="E7" i="17"/>
  <c r="H6" i="17"/>
  <c r="E6" i="17" s="1"/>
  <c r="A6" i="17"/>
  <c r="H5" i="17"/>
  <c r="D10" i="12"/>
  <c r="E10" i="12" s="1"/>
  <c r="D33" i="16"/>
  <c r="D45" i="16" s="1"/>
  <c r="D32" i="16"/>
  <c r="E32" i="16" s="1"/>
  <c r="D31" i="16"/>
  <c r="D43" i="16" s="1"/>
  <c r="D30" i="16"/>
  <c r="E30" i="16" s="1"/>
  <c r="D29" i="16"/>
  <c r="D41" i="16" s="1"/>
  <c r="D28" i="16"/>
  <c r="E28" i="16" s="1"/>
  <c r="D27" i="16"/>
  <c r="D39" i="16" s="1"/>
  <c r="D26" i="16"/>
  <c r="E26" i="16" s="1"/>
  <c r="D25" i="16"/>
  <c r="D37" i="16" s="1"/>
  <c r="D24" i="16"/>
  <c r="E24" i="16" s="1"/>
  <c r="D23" i="16"/>
  <c r="D35" i="16" s="1"/>
  <c r="D22" i="16"/>
  <c r="E22" i="16" s="1"/>
  <c r="E21" i="16"/>
  <c r="E20" i="16"/>
  <c r="E19" i="16"/>
  <c r="E18" i="16"/>
  <c r="E17" i="16"/>
  <c r="E16" i="16"/>
  <c r="E15" i="16"/>
  <c r="E14" i="16"/>
  <c r="E13" i="16"/>
  <c r="E12" i="16"/>
  <c r="E11" i="16"/>
  <c r="E10" i="16"/>
  <c r="D9" i="16"/>
  <c r="E9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D8" i="16"/>
  <c r="E8" i="16" s="1"/>
  <c r="AA90" i="5"/>
  <c r="AA91" i="5" s="1"/>
  <c r="Y70" i="5"/>
  <c r="Y71" i="5" s="1"/>
  <c r="K49" i="5"/>
  <c r="K48" i="5"/>
  <c r="L48" i="5" s="1"/>
  <c r="K9" i="5"/>
  <c r="L9" i="5" s="1"/>
  <c r="E6" i="5"/>
  <c r="F6" i="5" s="1"/>
  <c r="E7" i="5"/>
  <c r="F7" i="5" s="1"/>
  <c r="E8" i="5"/>
  <c r="F8" i="5" s="1"/>
  <c r="E9" i="5"/>
  <c r="F9" i="5" s="1"/>
  <c r="AA7" i="15"/>
  <c r="D43" i="15"/>
  <c r="E43" i="15" s="1"/>
  <c r="AA6" i="15" s="1"/>
  <c r="D42" i="15"/>
  <c r="E42" i="15" s="1"/>
  <c r="AA5" i="15" s="1"/>
  <c r="D41" i="15"/>
  <c r="E41" i="15" s="1"/>
  <c r="AA4" i="15" s="1"/>
  <c r="D40" i="15"/>
  <c r="E40" i="15" s="1"/>
  <c r="AA3" i="15" s="1"/>
  <c r="D39" i="15"/>
  <c r="E39" i="15" s="1"/>
  <c r="Z14" i="15" s="1"/>
  <c r="D38" i="15"/>
  <c r="E38" i="15" s="1"/>
  <c r="Z13" i="15" s="1"/>
  <c r="D37" i="15"/>
  <c r="E37" i="15" s="1"/>
  <c r="Z12" i="15" s="1"/>
  <c r="D36" i="15"/>
  <c r="E36" i="15" s="1"/>
  <c r="Z11" i="15" s="1"/>
  <c r="D35" i="15"/>
  <c r="E35" i="15" s="1"/>
  <c r="Z10" i="15" s="1"/>
  <c r="D34" i="15"/>
  <c r="E34" i="15" s="1"/>
  <c r="Z9" i="15" s="1"/>
  <c r="D33" i="15"/>
  <c r="E33" i="15" s="1"/>
  <c r="Z8" i="15" s="1"/>
  <c r="D32" i="15"/>
  <c r="E32" i="15" s="1"/>
  <c r="Z7" i="15" s="1"/>
  <c r="D31" i="15"/>
  <c r="E31" i="15" s="1"/>
  <c r="Z6" i="15" s="1"/>
  <c r="D30" i="15"/>
  <c r="E30" i="15" s="1"/>
  <c r="Z5" i="15" s="1"/>
  <c r="D29" i="15"/>
  <c r="E29" i="15" s="1"/>
  <c r="Z4" i="15" s="1"/>
  <c r="D28" i="15"/>
  <c r="E28" i="15" s="1"/>
  <c r="Z3" i="15" s="1"/>
  <c r="D27" i="15"/>
  <c r="E27" i="15" s="1"/>
  <c r="Y14" i="15" s="1"/>
  <c r="D26" i="15"/>
  <c r="E26" i="15" s="1"/>
  <c r="Y13" i="15" s="1"/>
  <c r="D25" i="15"/>
  <c r="E25" i="15" s="1"/>
  <c r="Y12" i="15" s="1"/>
  <c r="D24" i="15"/>
  <c r="E24" i="15" s="1"/>
  <c r="Y11" i="15" s="1"/>
  <c r="D23" i="15"/>
  <c r="E23" i="15" s="1"/>
  <c r="Y10" i="15" s="1"/>
  <c r="D22" i="15"/>
  <c r="E22" i="15" s="1"/>
  <c r="Y9" i="15" s="1"/>
  <c r="D21" i="15"/>
  <c r="E21" i="15" s="1"/>
  <c r="Y8" i="15" s="1"/>
  <c r="D20" i="15"/>
  <c r="E20" i="15" s="1"/>
  <c r="Y7" i="15" s="1"/>
  <c r="D19" i="15"/>
  <c r="E19" i="15" s="1"/>
  <c r="Y6" i="15" s="1"/>
  <c r="D18" i="15"/>
  <c r="E18" i="15" s="1"/>
  <c r="Y5" i="15" s="1"/>
  <c r="D17" i="15"/>
  <c r="E17" i="15" s="1"/>
  <c r="Y4" i="15" s="1"/>
  <c r="D16" i="15"/>
  <c r="E16" i="15" s="1"/>
  <c r="Y3" i="15" s="1"/>
  <c r="W15" i="15"/>
  <c r="D15" i="15"/>
  <c r="E15" i="15" s="1"/>
  <c r="X14" i="15" s="1"/>
  <c r="D14" i="15"/>
  <c r="E14" i="15" s="1"/>
  <c r="X13" i="15" s="1"/>
  <c r="D13" i="15"/>
  <c r="E13" i="15" s="1"/>
  <c r="X12" i="15" s="1"/>
  <c r="D12" i="15"/>
  <c r="E12" i="15" s="1"/>
  <c r="X11" i="15" s="1"/>
  <c r="D11" i="15"/>
  <c r="E11" i="15" s="1"/>
  <c r="X10" i="15" s="1"/>
  <c r="D10" i="15"/>
  <c r="E10" i="15" s="1"/>
  <c r="X9" i="15" s="1"/>
  <c r="D9" i="15"/>
  <c r="E9" i="15" s="1"/>
  <c r="X8" i="15" s="1"/>
  <c r="D8" i="15"/>
  <c r="E8" i="15" s="1"/>
  <c r="X7" i="15" s="1"/>
  <c r="D7" i="15"/>
  <c r="E7" i="15" s="1"/>
  <c r="X6" i="15" s="1"/>
  <c r="D6" i="15"/>
  <c r="E6" i="15" s="1"/>
  <c r="X5" i="15" s="1"/>
  <c r="D5" i="15"/>
  <c r="E5" i="15" s="1"/>
  <c r="X4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D8" i="7"/>
  <c r="G9" i="9"/>
  <c r="G10" i="9"/>
  <c r="G11" i="9"/>
  <c r="G12" i="9"/>
  <c r="G13" i="9"/>
  <c r="G14" i="9"/>
  <c r="G15" i="9"/>
  <c r="F2" i="9"/>
  <c r="G2" i="9" s="1"/>
  <c r="E11" i="5"/>
  <c r="F11" i="5" s="1"/>
  <c r="E10" i="5"/>
  <c r="F10" i="5" s="1"/>
  <c r="E17" i="5"/>
  <c r="F17" i="5" s="1"/>
  <c r="Z64" i="5"/>
  <c r="Z56" i="5"/>
  <c r="Z60" i="5"/>
  <c r="Z66" i="5"/>
  <c r="Z65" i="5"/>
  <c r="Z63" i="5"/>
  <c r="Z62" i="5"/>
  <c r="Z61" i="5"/>
  <c r="Z67" i="5"/>
  <c r="Z59" i="5"/>
  <c r="Z58" i="5"/>
  <c r="Z57" i="5"/>
  <c r="F14" i="21" l="1"/>
  <c r="G19" i="19"/>
  <c r="G22" i="19" s="1"/>
  <c r="F22" i="19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E5" i="17"/>
  <c r="F25" i="18"/>
  <c r="E40" i="18"/>
  <c r="F40" i="18" s="1"/>
  <c r="E45" i="18"/>
  <c r="F33" i="18"/>
  <c r="F39" i="18"/>
  <c r="E51" i="18"/>
  <c r="F34" i="18"/>
  <c r="E46" i="18"/>
  <c r="F42" i="18"/>
  <c r="E54" i="18"/>
  <c r="F37" i="18"/>
  <c r="E49" i="18"/>
  <c r="F22" i="18"/>
  <c r="F30" i="18"/>
  <c r="E35" i="18"/>
  <c r="E43" i="18"/>
  <c r="E38" i="18"/>
  <c r="E41" i="18"/>
  <c r="E36" i="18"/>
  <c r="E44" i="18"/>
  <c r="E52" i="18"/>
  <c r="E28" i="17"/>
  <c r="E24" i="17"/>
  <c r="E19" i="17"/>
  <c r="H33" i="17"/>
  <c r="H45" i="17" s="1"/>
  <c r="E45" i="17" s="1"/>
  <c r="E20" i="17"/>
  <c r="H38" i="17"/>
  <c r="H50" i="17" s="1"/>
  <c r="H62" i="17" s="1"/>
  <c r="E27" i="17"/>
  <c r="H41" i="17"/>
  <c r="H53" i="17" s="1"/>
  <c r="E36" i="17"/>
  <c r="H48" i="17"/>
  <c r="E35" i="17"/>
  <c r="H47" i="17"/>
  <c r="H54" i="17"/>
  <c r="E42" i="17"/>
  <c r="E37" i="17"/>
  <c r="H49" i="17"/>
  <c r="H55" i="17"/>
  <c r="E43" i="17"/>
  <c r="E32" i="17"/>
  <c r="H44" i="17"/>
  <c r="H63" i="17"/>
  <c r="H46" i="17"/>
  <c r="E34" i="17"/>
  <c r="E40" i="17"/>
  <c r="E22" i="17"/>
  <c r="E30" i="17"/>
  <c r="E25" i="17"/>
  <c r="E23" i="17"/>
  <c r="E31" i="17"/>
  <c r="E39" i="17"/>
  <c r="AC11" i="15"/>
  <c r="E31" i="16"/>
  <c r="AC9" i="15"/>
  <c r="AA15" i="15"/>
  <c r="E29" i="16"/>
  <c r="AB79" i="5"/>
  <c r="M19" i="5" s="1"/>
  <c r="N19" i="5" s="1"/>
  <c r="AB87" i="5"/>
  <c r="M15" i="5" s="1"/>
  <c r="AB80" i="5"/>
  <c r="AB76" i="5"/>
  <c r="AB81" i="5"/>
  <c r="M9" i="5" s="1"/>
  <c r="N9" i="5" s="1"/>
  <c r="AB85" i="5"/>
  <c r="M13" i="5" s="1"/>
  <c r="N13" i="5" s="1"/>
  <c r="AB78" i="5"/>
  <c r="M18" i="5" s="1"/>
  <c r="AB82" i="5"/>
  <c r="M10" i="5" s="1"/>
  <c r="AB83" i="5"/>
  <c r="M11" i="5" s="1"/>
  <c r="AB86" i="5"/>
  <c r="M14" i="5" s="1"/>
  <c r="AB84" i="5"/>
  <c r="M12" i="5" s="1"/>
  <c r="N12" i="5" s="1"/>
  <c r="AB77" i="5"/>
  <c r="M17" i="5" s="1"/>
  <c r="Y15" i="15"/>
  <c r="E25" i="16"/>
  <c r="AC4" i="15"/>
  <c r="AC8" i="15"/>
  <c r="AC12" i="15"/>
  <c r="X3" i="15"/>
  <c r="E27" i="16"/>
  <c r="AC6" i="15"/>
  <c r="E33" i="16"/>
  <c r="E23" i="16"/>
  <c r="F12" i="16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D49" i="16"/>
  <c r="E37" i="16"/>
  <c r="D55" i="16"/>
  <c r="E43" i="16"/>
  <c r="D47" i="16"/>
  <c r="E35" i="16"/>
  <c r="D51" i="16"/>
  <c r="E39" i="16"/>
  <c r="D57" i="16"/>
  <c r="E45" i="16"/>
  <c r="D53" i="16"/>
  <c r="E41" i="16"/>
  <c r="D34" i="16"/>
  <c r="D36" i="16"/>
  <c r="D38" i="16"/>
  <c r="D40" i="16"/>
  <c r="D42" i="16"/>
  <c r="D44" i="16"/>
  <c r="G6" i="5"/>
  <c r="G7" i="5"/>
  <c r="G8" i="5"/>
  <c r="G9" i="5"/>
  <c r="G10" i="5"/>
  <c r="G11" i="5"/>
  <c r="G12" i="5"/>
  <c r="G13" i="5"/>
  <c r="G14" i="5"/>
  <c r="G15" i="5"/>
  <c r="G16" i="5"/>
  <c r="M25" i="5"/>
  <c r="N25" i="5" s="1"/>
  <c r="M24" i="5"/>
  <c r="N24" i="5" s="1"/>
  <c r="Z70" i="5"/>
  <c r="AC5" i="15"/>
  <c r="AC13" i="15"/>
  <c r="AC7" i="15"/>
  <c r="AC10" i="15"/>
  <c r="AC14" i="15"/>
  <c r="Z15" i="15"/>
  <c r="E32" i="5"/>
  <c r="F32" i="5" s="1"/>
  <c r="S10" i="5"/>
  <c r="K10" i="5"/>
  <c r="L10" i="5" s="1"/>
  <c r="D4" i="5"/>
  <c r="D3" i="5"/>
  <c r="G8" i="7"/>
  <c r="K50" i="5"/>
  <c r="E49" i="5"/>
  <c r="E50" i="5" s="1"/>
  <c r="D49" i="5"/>
  <c r="G46" i="6"/>
  <c r="F46" i="6"/>
  <c r="G4" i="7"/>
  <c r="D23" i="7"/>
  <c r="D36" i="3"/>
  <c r="F34" i="21" l="1"/>
  <c r="F28" i="21"/>
  <c r="F27" i="21"/>
  <c r="F26" i="21"/>
  <c r="F23" i="21"/>
  <c r="G23" i="21" s="1"/>
  <c r="F24" i="21"/>
  <c r="G24" i="21" s="1"/>
  <c r="F25" i="21"/>
  <c r="G25" i="21" s="1"/>
  <c r="C27" i="21"/>
  <c r="G27" i="21" s="1"/>
  <c r="G24" i="19"/>
  <c r="C28" i="21"/>
  <c r="G28" i="21" s="1"/>
  <c r="C26" i="21"/>
  <c r="G26" i="21" s="1"/>
  <c r="M8" i="18"/>
  <c r="N8" i="18" s="1"/>
  <c r="E50" i="17"/>
  <c r="E33" i="17"/>
  <c r="E38" i="17"/>
  <c r="H57" i="17"/>
  <c r="I9" i="18"/>
  <c r="H10" i="18" s="1"/>
  <c r="I10" i="18" s="1"/>
  <c r="H11" i="18" s="1"/>
  <c r="J9" i="18"/>
  <c r="K9" i="18" s="1"/>
  <c r="E50" i="18"/>
  <c r="F38" i="18"/>
  <c r="F43" i="18"/>
  <c r="E55" i="18"/>
  <c r="E58" i="18"/>
  <c r="F46" i="18"/>
  <c r="E47" i="18"/>
  <c r="F35" i="18"/>
  <c r="E63" i="18"/>
  <c r="F51" i="18"/>
  <c r="E53" i="18"/>
  <c r="F41" i="18"/>
  <c r="E64" i="18"/>
  <c r="F52" i="18"/>
  <c r="E56" i="18"/>
  <c r="F44" i="18"/>
  <c r="E61" i="18"/>
  <c r="F49" i="18"/>
  <c r="E48" i="18"/>
  <c r="F36" i="18"/>
  <c r="E57" i="18"/>
  <c r="F45" i="18"/>
  <c r="E41" i="17"/>
  <c r="H58" i="17"/>
  <c r="E46" i="17"/>
  <c r="E48" i="17"/>
  <c r="H60" i="17"/>
  <c r="H61" i="17"/>
  <c r="E49" i="17"/>
  <c r="E44" i="17"/>
  <c r="H56" i="17"/>
  <c r="H59" i="17"/>
  <c r="E47" i="17"/>
  <c r="M31" i="5"/>
  <c r="N31" i="5" s="1"/>
  <c r="M21" i="5"/>
  <c r="M33" i="5" s="1"/>
  <c r="N33" i="5" s="1"/>
  <c r="AC3" i="15"/>
  <c r="AC15" i="15" s="1"/>
  <c r="X15" i="15"/>
  <c r="M30" i="5"/>
  <c r="N18" i="5"/>
  <c r="N10" i="5"/>
  <c r="M22" i="5"/>
  <c r="N17" i="5"/>
  <c r="M29" i="5"/>
  <c r="M16" i="5"/>
  <c r="AB90" i="5"/>
  <c r="M20" i="5"/>
  <c r="M26" i="5"/>
  <c r="N14" i="5"/>
  <c r="M27" i="5"/>
  <c r="N15" i="5"/>
  <c r="M23" i="5"/>
  <c r="N11" i="5"/>
  <c r="H8" i="16"/>
  <c r="H9" i="16" s="1"/>
  <c r="D65" i="16"/>
  <c r="E53" i="16"/>
  <c r="E38" i="16"/>
  <c r="D50" i="16"/>
  <c r="D61" i="16"/>
  <c r="E49" i="16"/>
  <c r="E40" i="16"/>
  <c r="D52" i="16"/>
  <c r="E36" i="16"/>
  <c r="D63" i="16"/>
  <c r="E51" i="16"/>
  <c r="E34" i="16"/>
  <c r="D46" i="16"/>
  <c r="E47" i="16"/>
  <c r="D59" i="16"/>
  <c r="D56" i="16"/>
  <c r="E44" i="16"/>
  <c r="E42" i="16"/>
  <c r="D54" i="16"/>
  <c r="G18" i="5"/>
  <c r="H6" i="5"/>
  <c r="G24" i="5"/>
  <c r="H12" i="5"/>
  <c r="H11" i="5"/>
  <c r="G23" i="5"/>
  <c r="G25" i="5"/>
  <c r="H13" i="5"/>
  <c r="G21" i="5"/>
  <c r="H9" i="5"/>
  <c r="G17" i="5"/>
  <c r="T10" i="5"/>
  <c r="G22" i="5"/>
  <c r="H10" i="5"/>
  <c r="H16" i="5"/>
  <c r="G28" i="5"/>
  <c r="G20" i="5"/>
  <c r="G32" i="5" s="1"/>
  <c r="H8" i="5"/>
  <c r="G26" i="5"/>
  <c r="H14" i="5"/>
  <c r="M37" i="5"/>
  <c r="N37" i="5" s="1"/>
  <c r="G27" i="5"/>
  <c r="H15" i="5"/>
  <c r="G19" i="5"/>
  <c r="H7" i="5"/>
  <c r="M36" i="5"/>
  <c r="N36" i="5" s="1"/>
  <c r="M43" i="5"/>
  <c r="N43" i="5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N21" i="5" l="1"/>
  <c r="D54" i="17"/>
  <c r="D61" i="17"/>
  <c r="D63" i="17"/>
  <c r="D60" i="17"/>
  <c r="D55" i="17"/>
  <c r="D58" i="17"/>
  <c r="D62" i="17"/>
  <c r="D57" i="17"/>
  <c r="D56" i="17"/>
  <c r="D53" i="17"/>
  <c r="D59" i="17"/>
  <c r="J10" i="18"/>
  <c r="K10" i="18" s="1"/>
  <c r="J11" i="18"/>
  <c r="K11" i="18" s="1"/>
  <c r="M9" i="18"/>
  <c r="N9" i="18" s="1"/>
  <c r="I11" i="18"/>
  <c r="H12" i="18" s="1"/>
  <c r="F47" i="18"/>
  <c r="E59" i="18"/>
  <c r="F48" i="18"/>
  <c r="E60" i="18"/>
  <c r="E65" i="18"/>
  <c r="F53" i="18"/>
  <c r="F50" i="18"/>
  <c r="E62" i="18"/>
  <c r="M45" i="5"/>
  <c r="N45" i="5" s="1"/>
  <c r="M38" i="5"/>
  <c r="N26" i="5"/>
  <c r="N20" i="5"/>
  <c r="M32" i="5"/>
  <c r="N22" i="5"/>
  <c r="M34" i="5"/>
  <c r="N23" i="5"/>
  <c r="M35" i="5"/>
  <c r="J10" i="16"/>
  <c r="J11" i="16" s="1"/>
  <c r="M28" i="5"/>
  <c r="N16" i="5"/>
  <c r="AC18" i="15"/>
  <c r="AD3" i="15" s="1"/>
  <c r="N27" i="5"/>
  <c r="M39" i="5"/>
  <c r="N29" i="5"/>
  <c r="M41" i="5"/>
  <c r="N30" i="5"/>
  <c r="M42" i="5"/>
  <c r="D60" i="16"/>
  <c r="E48" i="16"/>
  <c r="D66" i="16"/>
  <c r="E54" i="16"/>
  <c r="E52" i="16"/>
  <c r="D64" i="16"/>
  <c r="F35" i="16"/>
  <c r="D58" i="16"/>
  <c r="E46" i="16"/>
  <c r="E50" i="16"/>
  <c r="D62" i="16"/>
  <c r="I10" i="16"/>
  <c r="G10" i="16"/>
  <c r="G11" i="16" s="1"/>
  <c r="G40" i="5"/>
  <c r="H28" i="5"/>
  <c r="G33" i="5"/>
  <c r="H21" i="5"/>
  <c r="G30" i="5"/>
  <c r="H18" i="5"/>
  <c r="G39" i="5"/>
  <c r="H27" i="5"/>
  <c r="G37" i="5"/>
  <c r="H25" i="5"/>
  <c r="G35" i="5"/>
  <c r="H23" i="5"/>
  <c r="G38" i="5"/>
  <c r="H26" i="5"/>
  <c r="G29" i="5"/>
  <c r="H17" i="5"/>
  <c r="M49" i="5"/>
  <c r="G36" i="5"/>
  <c r="H24" i="5"/>
  <c r="G34" i="5"/>
  <c r="H22" i="5"/>
  <c r="G31" i="5"/>
  <c r="H19" i="5"/>
  <c r="H20" i="5"/>
  <c r="M55" i="5"/>
  <c r="M48" i="5"/>
  <c r="N48" i="5" s="1"/>
  <c r="M10" i="16" l="1"/>
  <c r="P10" i="16" s="1"/>
  <c r="M57" i="5"/>
  <c r="AD9" i="15"/>
  <c r="F10" i="15" s="1"/>
  <c r="AD5" i="15"/>
  <c r="F6" i="15" s="1"/>
  <c r="AD6" i="15"/>
  <c r="F7" i="15" s="1"/>
  <c r="AD4" i="15"/>
  <c r="F5" i="15" s="1"/>
  <c r="G5" i="15" s="1"/>
  <c r="AD11" i="15"/>
  <c r="F12" i="15" s="1"/>
  <c r="AD7" i="15"/>
  <c r="F8" i="15" s="1"/>
  <c r="G8" i="15" s="1"/>
  <c r="AD12" i="15"/>
  <c r="F13" i="15" s="1"/>
  <c r="G13" i="15" s="1"/>
  <c r="AD8" i="15"/>
  <c r="F9" i="15" s="1"/>
  <c r="F21" i="15" s="1"/>
  <c r="AD13" i="15"/>
  <c r="F2" i="15" s="1"/>
  <c r="G2" i="15" s="1"/>
  <c r="AD10" i="15"/>
  <c r="F11" i="15" s="1"/>
  <c r="M10" i="18"/>
  <c r="N10" i="18" s="1"/>
  <c r="J12" i="18"/>
  <c r="K12" i="18" s="1"/>
  <c r="M11" i="18"/>
  <c r="N11" i="18" s="1"/>
  <c r="I12" i="18"/>
  <c r="H13" i="18" s="1"/>
  <c r="N39" i="5"/>
  <c r="M51" i="5"/>
  <c r="AD14" i="15"/>
  <c r="N32" i="5"/>
  <c r="M44" i="5"/>
  <c r="N34" i="5"/>
  <c r="M46" i="5"/>
  <c r="N42" i="5"/>
  <c r="M54" i="5"/>
  <c r="N28" i="5"/>
  <c r="M40" i="5"/>
  <c r="N35" i="5"/>
  <c r="M47" i="5"/>
  <c r="N41" i="5"/>
  <c r="M53" i="5"/>
  <c r="N38" i="5"/>
  <c r="M50" i="5"/>
  <c r="F36" i="16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I11" i="16"/>
  <c r="M11" i="16"/>
  <c r="J12" i="16"/>
  <c r="G49" i="5"/>
  <c r="H37" i="5"/>
  <c r="G43" i="5"/>
  <c r="H31" i="5"/>
  <c r="G41" i="5"/>
  <c r="H29" i="5"/>
  <c r="G51" i="5"/>
  <c r="H39" i="5"/>
  <c r="G50" i="5"/>
  <c r="H38" i="5"/>
  <c r="G42" i="5"/>
  <c r="H30" i="5"/>
  <c r="G46" i="5"/>
  <c r="H34" i="5"/>
  <c r="G44" i="5"/>
  <c r="H32" i="5"/>
  <c r="G48" i="5"/>
  <c r="H36" i="5"/>
  <c r="G47" i="5"/>
  <c r="H35" i="5"/>
  <c r="G45" i="5"/>
  <c r="H33" i="5"/>
  <c r="G52" i="5"/>
  <c r="H40" i="5"/>
  <c r="M60" i="5"/>
  <c r="F18" i="15"/>
  <c r="G6" i="15"/>
  <c r="F17" i="15"/>
  <c r="F22" i="15"/>
  <c r="G10" i="15"/>
  <c r="F24" i="15"/>
  <c r="G12" i="15"/>
  <c r="F14" i="15"/>
  <c r="F19" i="15"/>
  <c r="G7" i="15"/>
  <c r="F4" i="15"/>
  <c r="G4" i="15" s="1"/>
  <c r="G11" i="15"/>
  <c r="F23" i="15"/>
  <c r="W15" i="7"/>
  <c r="N10" i="16" l="1"/>
  <c r="O10" i="16" s="1"/>
  <c r="F20" i="15"/>
  <c r="F25" i="15"/>
  <c r="G9" i="15"/>
  <c r="AD15" i="15"/>
  <c r="J13" i="18"/>
  <c r="K13" i="18" s="1"/>
  <c r="M12" i="18"/>
  <c r="N12" i="18" s="1"/>
  <c r="I13" i="18"/>
  <c r="H14" i="18" s="1"/>
  <c r="N46" i="5"/>
  <c r="M58" i="5"/>
  <c r="N47" i="5"/>
  <c r="M59" i="5"/>
  <c r="N44" i="5"/>
  <c r="M56" i="5"/>
  <c r="N40" i="5"/>
  <c r="M52" i="5"/>
  <c r="F3" i="15"/>
  <c r="G3" i="15" s="1"/>
  <c r="F15" i="15"/>
  <c r="H10" i="16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G12" i="16"/>
  <c r="I12" i="16"/>
  <c r="M12" i="16"/>
  <c r="J13" i="16"/>
  <c r="P11" i="16"/>
  <c r="N11" i="16"/>
  <c r="O11" i="16" s="1"/>
  <c r="G60" i="5"/>
  <c r="H48" i="5"/>
  <c r="I49" i="5" s="1"/>
  <c r="G56" i="5"/>
  <c r="H44" i="5"/>
  <c r="G57" i="5"/>
  <c r="H45" i="5"/>
  <c r="G53" i="5"/>
  <c r="H41" i="5"/>
  <c r="G58" i="5"/>
  <c r="H46" i="5"/>
  <c r="G59" i="5"/>
  <c r="H47" i="5"/>
  <c r="G54" i="5"/>
  <c r="H42" i="5"/>
  <c r="G55" i="5"/>
  <c r="H43" i="5"/>
  <c r="O50" i="5"/>
  <c r="P50" i="5" s="1"/>
  <c r="F33" i="15"/>
  <c r="G21" i="15"/>
  <c r="F37" i="15"/>
  <c r="G25" i="15"/>
  <c r="F26" i="15"/>
  <c r="G14" i="15"/>
  <c r="F16" i="15"/>
  <c r="F32" i="15"/>
  <c r="G20" i="15"/>
  <c r="F29" i="15"/>
  <c r="G17" i="15"/>
  <c r="G24" i="15"/>
  <c r="F36" i="15"/>
  <c r="F35" i="15"/>
  <c r="G23" i="15"/>
  <c r="G19" i="15"/>
  <c r="F31" i="15"/>
  <c r="G22" i="15"/>
  <c r="F34" i="15"/>
  <c r="F30" i="15"/>
  <c r="G18" i="15"/>
  <c r="D35" i="12"/>
  <c r="D47" i="12" s="1"/>
  <c r="D34" i="12"/>
  <c r="E34" i="12" s="1"/>
  <c r="D33" i="12"/>
  <c r="E33" i="12" s="1"/>
  <c r="E32" i="12"/>
  <c r="D32" i="12"/>
  <c r="D44" i="12" s="1"/>
  <c r="D31" i="12"/>
  <c r="D43" i="12" s="1"/>
  <c r="D30" i="12"/>
  <c r="E30" i="12" s="1"/>
  <c r="D29" i="12"/>
  <c r="E29" i="12" s="1"/>
  <c r="D28" i="12"/>
  <c r="D40" i="12" s="1"/>
  <c r="D27" i="12"/>
  <c r="D39" i="12" s="1"/>
  <c r="D26" i="12"/>
  <c r="E26" i="12" s="1"/>
  <c r="D25" i="12"/>
  <c r="E25" i="12" s="1"/>
  <c r="D24" i="12"/>
  <c r="D36" i="12" s="1"/>
  <c r="E23" i="12"/>
  <c r="E22" i="12"/>
  <c r="E21" i="12"/>
  <c r="E20" i="12"/>
  <c r="E19" i="12"/>
  <c r="E18" i="12"/>
  <c r="E17" i="12"/>
  <c r="E16" i="12"/>
  <c r="E15" i="12"/>
  <c r="E14" i="12"/>
  <c r="E13" i="12"/>
  <c r="E12" i="12"/>
  <c r="D11" i="12"/>
  <c r="E11" i="12" s="1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D32" i="11"/>
  <c r="D44" i="11" s="1"/>
  <c r="D31" i="11"/>
  <c r="E31" i="11" s="1"/>
  <c r="D30" i="11"/>
  <c r="D42" i="11" s="1"/>
  <c r="D29" i="11"/>
  <c r="E29" i="11" s="1"/>
  <c r="D28" i="11"/>
  <c r="D40" i="11" s="1"/>
  <c r="D52" i="11" s="1"/>
  <c r="D27" i="11"/>
  <c r="D39" i="11" s="1"/>
  <c r="D26" i="11"/>
  <c r="D38" i="11" s="1"/>
  <c r="D50" i="11" s="1"/>
  <c r="D25" i="11"/>
  <c r="D37" i="11" s="1"/>
  <c r="D49" i="11" s="1"/>
  <c r="D24" i="11"/>
  <c r="D36" i="11" s="1"/>
  <c r="D23" i="11"/>
  <c r="E23" i="11" s="1"/>
  <c r="D22" i="11"/>
  <c r="D34" i="11" s="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D8" i="11"/>
  <c r="E8" i="11" s="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N56" i="11"/>
  <c r="J14" i="18" l="1"/>
  <c r="K14" i="18" s="1"/>
  <c r="M13" i="18"/>
  <c r="N13" i="18" s="1"/>
  <c r="I14" i="18"/>
  <c r="H15" i="18" s="1"/>
  <c r="E28" i="11"/>
  <c r="E28" i="12"/>
  <c r="F8" i="11"/>
  <c r="G8" i="11" s="1"/>
  <c r="F27" i="15"/>
  <c r="G15" i="15"/>
  <c r="E24" i="12"/>
  <c r="P12" i="16"/>
  <c r="N12" i="16"/>
  <c r="O12" i="16" s="1"/>
  <c r="I13" i="16"/>
  <c r="G13" i="16"/>
  <c r="M13" i="16"/>
  <c r="J14" i="16"/>
  <c r="I50" i="5"/>
  <c r="J49" i="5"/>
  <c r="O51" i="5"/>
  <c r="F48" i="15"/>
  <c r="G36" i="15"/>
  <c r="G30" i="15"/>
  <c r="F42" i="15"/>
  <c r="G32" i="15"/>
  <c r="F44" i="15"/>
  <c r="G34" i="15"/>
  <c r="F46" i="15"/>
  <c r="F41" i="15"/>
  <c r="G29" i="15"/>
  <c r="F38" i="15"/>
  <c r="G26" i="15"/>
  <c r="F49" i="15"/>
  <c r="G37" i="15"/>
  <c r="F43" i="15"/>
  <c r="G31" i="15"/>
  <c r="G35" i="15"/>
  <c r="F47" i="15"/>
  <c r="G16" i="15"/>
  <c r="F28" i="15"/>
  <c r="F45" i="15"/>
  <c r="G33" i="15"/>
  <c r="D48" i="12"/>
  <c r="E36" i="12"/>
  <c r="E43" i="12"/>
  <c r="D55" i="12"/>
  <c r="D56" i="12"/>
  <c r="E44" i="12"/>
  <c r="E39" i="12"/>
  <c r="D51" i="12"/>
  <c r="D52" i="12"/>
  <c r="E40" i="12"/>
  <c r="D59" i="12"/>
  <c r="E47" i="12"/>
  <c r="E27" i="12"/>
  <c r="E31" i="12"/>
  <c r="E35" i="12"/>
  <c r="D38" i="12"/>
  <c r="D42" i="12"/>
  <c r="D46" i="12"/>
  <c r="D37" i="12"/>
  <c r="D41" i="12"/>
  <c r="D45" i="12"/>
  <c r="E25" i="11"/>
  <c r="E26" i="11"/>
  <c r="D35" i="11"/>
  <c r="D47" i="11" s="1"/>
  <c r="E47" i="11" s="1"/>
  <c r="D43" i="11"/>
  <c r="E43" i="11" s="1"/>
  <c r="D54" i="11"/>
  <c r="E42" i="11"/>
  <c r="D56" i="11"/>
  <c r="E44" i="11"/>
  <c r="E36" i="11"/>
  <c r="D48" i="11"/>
  <c r="E39" i="11"/>
  <c r="D51" i="11"/>
  <c r="E49" i="11"/>
  <c r="D61" i="11"/>
  <c r="D46" i="11"/>
  <c r="E34" i="11"/>
  <c r="E50" i="11"/>
  <c r="D62" i="11"/>
  <c r="D64" i="11"/>
  <c r="E52" i="11"/>
  <c r="E37" i="11"/>
  <c r="E22" i="11"/>
  <c r="E30" i="11"/>
  <c r="D33" i="11"/>
  <c r="E38" i="11"/>
  <c r="D41" i="11"/>
  <c r="E24" i="11"/>
  <c r="E32" i="11"/>
  <c r="E40" i="11"/>
  <c r="E27" i="11"/>
  <c r="J15" i="18" l="1"/>
  <c r="K15" i="18" s="1"/>
  <c r="M14" i="18"/>
  <c r="N14" i="18" s="1"/>
  <c r="I15" i="18"/>
  <c r="H16" i="18" s="1"/>
  <c r="G27" i="15"/>
  <c r="F39" i="15"/>
  <c r="D59" i="11"/>
  <c r="I11" i="12"/>
  <c r="H9" i="11"/>
  <c r="K9" i="11" s="1"/>
  <c r="M9" i="11" s="1"/>
  <c r="M14" i="16"/>
  <c r="J15" i="16"/>
  <c r="N13" i="16"/>
  <c r="P13" i="16"/>
  <c r="I14" i="16"/>
  <c r="G14" i="16"/>
  <c r="J50" i="5"/>
  <c r="I51" i="5"/>
  <c r="O52" i="5"/>
  <c r="F40" i="15"/>
  <c r="G28" i="15"/>
  <c r="F54" i="15"/>
  <c r="G42" i="15"/>
  <c r="G43" i="15"/>
  <c r="F55" i="15"/>
  <c r="F56" i="15"/>
  <c r="G44" i="15"/>
  <c r="G45" i="15"/>
  <c r="F57" i="15"/>
  <c r="F50" i="15"/>
  <c r="G38" i="15"/>
  <c r="G47" i="15"/>
  <c r="F59" i="15"/>
  <c r="G48" i="15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F60" i="15"/>
  <c r="G41" i="15"/>
  <c r="F53" i="15"/>
  <c r="F58" i="15"/>
  <c r="G46" i="15"/>
  <c r="H12" i="12"/>
  <c r="E46" i="12"/>
  <c r="D58" i="12"/>
  <c r="D67" i="12"/>
  <c r="E55" i="12"/>
  <c r="E38" i="12"/>
  <c r="D50" i="12"/>
  <c r="E52" i="12"/>
  <c r="D64" i="12"/>
  <c r="E37" i="12"/>
  <c r="D49" i="12"/>
  <c r="E42" i="12"/>
  <c r="D54" i="12"/>
  <c r="D63" i="12"/>
  <c r="E51" i="12"/>
  <c r="E56" i="12"/>
  <c r="D68" i="12"/>
  <c r="E45" i="12"/>
  <c r="D57" i="12"/>
  <c r="D60" i="12"/>
  <c r="E48" i="12"/>
  <c r="E41" i="12"/>
  <c r="D53" i="12"/>
  <c r="E35" i="11"/>
  <c r="D55" i="11"/>
  <c r="E33" i="11"/>
  <c r="D45" i="11"/>
  <c r="D60" i="11"/>
  <c r="E48" i="11"/>
  <c r="D53" i="11"/>
  <c r="E41" i="11"/>
  <c r="D58" i="11"/>
  <c r="E46" i="11"/>
  <c r="E51" i="11"/>
  <c r="D63" i="11"/>
  <c r="I49" i="15" l="1"/>
  <c r="J16" i="18"/>
  <c r="K16" i="18" s="1"/>
  <c r="M15" i="18"/>
  <c r="N15" i="18" s="1"/>
  <c r="I16" i="18"/>
  <c r="H17" i="18" s="1"/>
  <c r="G39" i="15"/>
  <c r="F51" i="15"/>
  <c r="I51" i="15" s="1"/>
  <c r="G12" i="12"/>
  <c r="I12" i="12"/>
  <c r="L9" i="11"/>
  <c r="O13" i="16"/>
  <c r="M15" i="16"/>
  <c r="J16" i="16"/>
  <c r="P14" i="16"/>
  <c r="N14" i="16"/>
  <c r="O14" i="16" s="1"/>
  <c r="I15" i="16"/>
  <c r="G15" i="16"/>
  <c r="I52" i="5"/>
  <c r="J51" i="5"/>
  <c r="P52" i="5"/>
  <c r="O53" i="5"/>
  <c r="I60" i="15"/>
  <c r="I50" i="15"/>
  <c r="I54" i="15"/>
  <c r="I57" i="15"/>
  <c r="G40" i="15"/>
  <c r="F52" i="15"/>
  <c r="I52" i="15" s="1"/>
  <c r="I56" i="15"/>
  <c r="I59" i="15"/>
  <c r="I55" i="15"/>
  <c r="I58" i="15"/>
  <c r="I53" i="15"/>
  <c r="E53" i="12"/>
  <c r="D65" i="12"/>
  <c r="E49" i="12"/>
  <c r="D61" i="12"/>
  <c r="D66" i="12"/>
  <c r="E54" i="12"/>
  <c r="D62" i="12"/>
  <c r="E50" i="12"/>
  <c r="E53" i="11"/>
  <c r="D65" i="11"/>
  <c r="E45" i="11"/>
  <c r="D57" i="11"/>
  <c r="G48" i="7"/>
  <c r="J17" i="18" l="1"/>
  <c r="K17" i="18" s="1"/>
  <c r="M16" i="18"/>
  <c r="N16" i="18" s="1"/>
  <c r="I17" i="18"/>
  <c r="H18" i="18" s="1"/>
  <c r="G42" i="7"/>
  <c r="H13" i="12"/>
  <c r="I16" i="16"/>
  <c r="G16" i="16"/>
  <c r="M16" i="16"/>
  <c r="J17" i="16"/>
  <c r="P15" i="16"/>
  <c r="N15" i="16"/>
  <c r="I53" i="5"/>
  <c r="J52" i="5"/>
  <c r="O54" i="5"/>
  <c r="P53" i="5"/>
  <c r="F9" i="11"/>
  <c r="D4" i="6"/>
  <c r="D5" i="6"/>
  <c r="D6" i="6"/>
  <c r="D7" i="6"/>
  <c r="D8" i="6"/>
  <c r="D5" i="5"/>
  <c r="D6" i="5"/>
  <c r="D7" i="5"/>
  <c r="D8" i="5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F27" i="9"/>
  <c r="D27" i="9"/>
  <c r="E27" i="9" s="1"/>
  <c r="F26" i="9"/>
  <c r="D26" i="9"/>
  <c r="E26" i="9" s="1"/>
  <c r="F25" i="9"/>
  <c r="D25" i="9"/>
  <c r="E25" i="9" s="1"/>
  <c r="F24" i="9"/>
  <c r="D24" i="9"/>
  <c r="E24" i="9" s="1"/>
  <c r="F23" i="9"/>
  <c r="D23" i="9"/>
  <c r="E23" i="9" s="1"/>
  <c r="F22" i="9"/>
  <c r="D22" i="9"/>
  <c r="E22" i="9" s="1"/>
  <c r="F21" i="9"/>
  <c r="G21" i="9" s="1"/>
  <c r="D21" i="9"/>
  <c r="E21" i="9" s="1"/>
  <c r="F20" i="9"/>
  <c r="D20" i="9"/>
  <c r="E20" i="9" s="1"/>
  <c r="F19" i="9"/>
  <c r="D19" i="9"/>
  <c r="E19" i="9" s="1"/>
  <c r="F18" i="9"/>
  <c r="D18" i="9"/>
  <c r="E18" i="9" s="1"/>
  <c r="F17" i="9"/>
  <c r="D17" i="9"/>
  <c r="E17" i="9" s="1"/>
  <c r="F16" i="9"/>
  <c r="D16" i="9"/>
  <c r="E16" i="9" s="1"/>
  <c r="H15" i="9"/>
  <c r="D15" i="9"/>
  <c r="E15" i="9" s="1"/>
  <c r="D14" i="9"/>
  <c r="E14" i="9" s="1"/>
  <c r="D13" i="9"/>
  <c r="E13" i="9" s="1"/>
  <c r="D12" i="9"/>
  <c r="E12" i="9" s="1"/>
  <c r="D11" i="9"/>
  <c r="E11" i="9" s="1"/>
  <c r="H10" i="9"/>
  <c r="D10" i="9"/>
  <c r="E10" i="9" s="1"/>
  <c r="D9" i="9"/>
  <c r="E9" i="9" s="1"/>
  <c r="D8" i="9"/>
  <c r="E8" i="9" s="1"/>
  <c r="G8" i="9" s="1"/>
  <c r="G7" i="9"/>
  <c r="G6" i="9"/>
  <c r="G5" i="9"/>
  <c r="G4" i="9"/>
  <c r="F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X7" i="7"/>
  <c r="D9" i="7"/>
  <c r="E9" i="7" s="1"/>
  <c r="X8" i="7" s="1"/>
  <c r="D10" i="7"/>
  <c r="E10" i="7" s="1"/>
  <c r="X9" i="7" s="1"/>
  <c r="D11" i="7"/>
  <c r="E11" i="7" s="1"/>
  <c r="X10" i="7" s="1"/>
  <c r="D12" i="7"/>
  <c r="E12" i="7" s="1"/>
  <c r="X11" i="7" s="1"/>
  <c r="D13" i="7"/>
  <c r="E13" i="7" s="1"/>
  <c r="X12" i="7" s="1"/>
  <c r="D14" i="7"/>
  <c r="E14" i="7" s="1"/>
  <c r="X13" i="7" s="1"/>
  <c r="D15" i="7"/>
  <c r="E15" i="7" s="1"/>
  <c r="X14" i="7" s="1"/>
  <c r="D16" i="7"/>
  <c r="E16" i="7" s="1"/>
  <c r="Y3" i="7" s="1"/>
  <c r="D17" i="7"/>
  <c r="E17" i="7" s="1"/>
  <c r="Y4" i="7" s="1"/>
  <c r="D18" i="7"/>
  <c r="E18" i="7" s="1"/>
  <c r="Y5" i="7" s="1"/>
  <c r="D19" i="7"/>
  <c r="E19" i="7" s="1"/>
  <c r="Y6" i="7" s="1"/>
  <c r="E20" i="7"/>
  <c r="Y7" i="7" s="1"/>
  <c r="D21" i="7"/>
  <c r="E21" i="7" s="1"/>
  <c r="Y8" i="7" s="1"/>
  <c r="D22" i="7"/>
  <c r="E22" i="7" s="1"/>
  <c r="Y9" i="7" s="1"/>
  <c r="E23" i="7"/>
  <c r="Y10" i="7" s="1"/>
  <c r="D24" i="7"/>
  <c r="E24" i="7" s="1"/>
  <c r="Y11" i="7" s="1"/>
  <c r="D25" i="7"/>
  <c r="E25" i="7" s="1"/>
  <c r="Y12" i="7" s="1"/>
  <c r="E26" i="7"/>
  <c r="Y13" i="7" s="1"/>
  <c r="D27" i="7"/>
  <c r="D28" i="7"/>
  <c r="E28" i="7" s="1"/>
  <c r="Z3" i="7" s="1"/>
  <c r="D29" i="7"/>
  <c r="E29" i="7" s="1"/>
  <c r="Z4" i="7" s="1"/>
  <c r="D30" i="7"/>
  <c r="E30" i="7" s="1"/>
  <c r="Z5" i="7" s="1"/>
  <c r="D31" i="7"/>
  <c r="E31" i="7" s="1"/>
  <c r="Z6" i="7" s="1"/>
  <c r="D32" i="7"/>
  <c r="E32" i="7" s="1"/>
  <c r="Z7" i="7" s="1"/>
  <c r="D33" i="7"/>
  <c r="E33" i="7" s="1"/>
  <c r="Z8" i="7" s="1"/>
  <c r="D34" i="7"/>
  <c r="E34" i="7" s="1"/>
  <c r="Z9" i="7" s="1"/>
  <c r="D35" i="7"/>
  <c r="E35" i="7" s="1"/>
  <c r="Z10" i="7" s="1"/>
  <c r="D36" i="7"/>
  <c r="E36" i="7" s="1"/>
  <c r="Z11" i="7" s="1"/>
  <c r="D37" i="7"/>
  <c r="E37" i="7" s="1"/>
  <c r="Z12" i="7" s="1"/>
  <c r="D38" i="7"/>
  <c r="E38" i="7" s="1"/>
  <c r="Z13" i="7" s="1"/>
  <c r="D39" i="7"/>
  <c r="E39" i="7" s="1"/>
  <c r="Z14" i="7" s="1"/>
  <c r="D40" i="7"/>
  <c r="E40" i="7" s="1"/>
  <c r="AA3" i="7" s="1"/>
  <c r="D41" i="7"/>
  <c r="E41" i="7" s="1"/>
  <c r="AA4" i="7" s="1"/>
  <c r="D4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U48" i="5"/>
  <c r="V50" i="5"/>
  <c r="J18" i="18" l="1"/>
  <c r="K18" i="18" s="1"/>
  <c r="M17" i="18"/>
  <c r="N17" i="18" s="1"/>
  <c r="I18" i="18"/>
  <c r="H19" i="18" s="1"/>
  <c r="E27" i="7"/>
  <c r="Y14" i="7" s="1"/>
  <c r="AC10" i="7"/>
  <c r="F37" i="9"/>
  <c r="G37" i="9" s="1"/>
  <c r="G25" i="9"/>
  <c r="E42" i="7"/>
  <c r="AA5" i="7" s="1"/>
  <c r="H7" i="9"/>
  <c r="F30" i="9"/>
  <c r="G18" i="9"/>
  <c r="H8" i="9"/>
  <c r="F34" i="9"/>
  <c r="G34" i="9" s="1"/>
  <c r="G22" i="9"/>
  <c r="F38" i="9"/>
  <c r="G26" i="9"/>
  <c r="X15" i="7"/>
  <c r="F31" i="9"/>
  <c r="G31" i="9" s="1"/>
  <c r="G19" i="9"/>
  <c r="F35" i="9"/>
  <c r="G35" i="9" s="1"/>
  <c r="G23" i="9"/>
  <c r="F39" i="9"/>
  <c r="G39" i="9" s="1"/>
  <c r="G27" i="9"/>
  <c r="F28" i="9"/>
  <c r="G16" i="9"/>
  <c r="H16" i="9" s="1"/>
  <c r="G20" i="9"/>
  <c r="F32" i="9"/>
  <c r="F36" i="9"/>
  <c r="G24" i="9"/>
  <c r="Z15" i="7"/>
  <c r="H6" i="9"/>
  <c r="F29" i="9"/>
  <c r="G29" i="9" s="1"/>
  <c r="G17" i="9"/>
  <c r="F13" i="12"/>
  <c r="I13" i="12"/>
  <c r="G9" i="11"/>
  <c r="H10" i="11" s="1"/>
  <c r="O15" i="16"/>
  <c r="M17" i="16"/>
  <c r="J18" i="16"/>
  <c r="P16" i="16"/>
  <c r="N16" i="16"/>
  <c r="O16" i="16" s="1"/>
  <c r="G17" i="16"/>
  <c r="I17" i="16"/>
  <c r="J53" i="5"/>
  <c r="I54" i="5"/>
  <c r="O55" i="5"/>
  <c r="P54" i="5"/>
  <c r="H14" i="9"/>
  <c r="H11" i="9"/>
  <c r="H12" i="9"/>
  <c r="H9" i="9"/>
  <c r="H4" i="9"/>
  <c r="H13" i="9"/>
  <c r="H3" i="9"/>
  <c r="H5" i="9"/>
  <c r="F51" i="9"/>
  <c r="F33" i="9"/>
  <c r="H27" i="9"/>
  <c r="AC4" i="7"/>
  <c r="AC8" i="7"/>
  <c r="AC6" i="7"/>
  <c r="AC7" i="7"/>
  <c r="AC13" i="7"/>
  <c r="AC12" i="7"/>
  <c r="AC11" i="7"/>
  <c r="AC9" i="7"/>
  <c r="F47" i="9"/>
  <c r="G47" i="9" s="1"/>
  <c r="F49" i="9"/>
  <c r="G41" i="9"/>
  <c r="F46" i="9"/>
  <c r="G46" i="9" s="1"/>
  <c r="H22" i="9"/>
  <c r="H25" i="9"/>
  <c r="J19" i="18" l="1"/>
  <c r="K19" i="18" s="1"/>
  <c r="M18" i="18"/>
  <c r="N18" i="18" s="1"/>
  <c r="I19" i="18"/>
  <c r="H20" i="18" s="1"/>
  <c r="F43" i="9"/>
  <c r="F44" i="9"/>
  <c r="G44" i="9" s="1"/>
  <c r="AA15" i="7"/>
  <c r="AC5" i="7"/>
  <c r="Y15" i="7"/>
  <c r="AC14" i="7"/>
  <c r="F48" i="9"/>
  <c r="G36" i="9"/>
  <c r="H37" i="9" s="1"/>
  <c r="F50" i="9"/>
  <c r="G38" i="9"/>
  <c r="H38" i="9" s="1"/>
  <c r="F45" i="9"/>
  <c r="G33" i="9"/>
  <c r="H33" i="9" s="1"/>
  <c r="F55" i="9"/>
  <c r="G43" i="9"/>
  <c r="F40" i="9"/>
  <c r="G28" i="9"/>
  <c r="H28" i="9" s="1"/>
  <c r="F42" i="9"/>
  <c r="G30" i="9"/>
  <c r="H30" i="9" s="1"/>
  <c r="G13" i="12"/>
  <c r="H14" i="12" s="1"/>
  <c r="F10" i="11"/>
  <c r="K10" i="11"/>
  <c r="L10" i="11" s="1"/>
  <c r="I18" i="16"/>
  <c r="G18" i="16"/>
  <c r="M18" i="16"/>
  <c r="J19" i="16"/>
  <c r="P17" i="16"/>
  <c r="N17" i="16"/>
  <c r="O17" i="16" s="1"/>
  <c r="I55" i="5"/>
  <c r="J54" i="5"/>
  <c r="P55" i="5"/>
  <c r="O56" i="5"/>
  <c r="H18" i="9"/>
  <c r="H17" i="9"/>
  <c r="H24" i="9"/>
  <c r="H35" i="9"/>
  <c r="H31" i="9"/>
  <c r="H23" i="9"/>
  <c r="H19" i="9"/>
  <c r="H32" i="9"/>
  <c r="H26" i="9"/>
  <c r="H20" i="9"/>
  <c r="H21" i="9"/>
  <c r="F53" i="9"/>
  <c r="F59" i="9"/>
  <c r="F58" i="9"/>
  <c r="F56" i="9"/>
  <c r="J20" i="18" l="1"/>
  <c r="K20" i="18" s="1"/>
  <c r="M19" i="18"/>
  <c r="N19" i="18" s="1"/>
  <c r="I20" i="18"/>
  <c r="H21" i="18" s="1"/>
  <c r="AC15" i="7"/>
  <c r="AC18" i="7" s="1"/>
  <c r="AD3" i="7" s="1"/>
  <c r="H36" i="9"/>
  <c r="H39" i="9"/>
  <c r="H29" i="9"/>
  <c r="F57" i="9"/>
  <c r="G45" i="9"/>
  <c r="H45" i="9" s="1"/>
  <c r="G42" i="9"/>
  <c r="H43" i="9" s="1"/>
  <c r="F54" i="9"/>
  <c r="G40" i="9"/>
  <c r="F52" i="9"/>
  <c r="H48" i="9"/>
  <c r="I49" i="9" s="1"/>
  <c r="F60" i="9"/>
  <c r="F14" i="12"/>
  <c r="I14" i="12"/>
  <c r="M10" i="11"/>
  <c r="G10" i="11"/>
  <c r="H11" i="11" s="1"/>
  <c r="I19" i="16"/>
  <c r="G19" i="16"/>
  <c r="M19" i="16"/>
  <c r="J20" i="16"/>
  <c r="N18" i="16"/>
  <c r="O18" i="16" s="1"/>
  <c r="P18" i="16"/>
  <c r="I56" i="5"/>
  <c r="J55" i="5"/>
  <c r="O57" i="5"/>
  <c r="P56" i="5"/>
  <c r="H34" i="9"/>
  <c r="H46" i="9"/>
  <c r="H44" i="9"/>
  <c r="H47" i="9"/>
  <c r="AD7" i="7"/>
  <c r="AD8" i="7"/>
  <c r="AD14" i="7"/>
  <c r="G12" i="7"/>
  <c r="G13" i="7"/>
  <c r="G7" i="7"/>
  <c r="G6" i="7"/>
  <c r="G11" i="7"/>
  <c r="G5" i="7"/>
  <c r="G10" i="7"/>
  <c r="AD5" i="7" l="1"/>
  <c r="AD4" i="7"/>
  <c r="AD10" i="7"/>
  <c r="AD9" i="7"/>
  <c r="AD11" i="7"/>
  <c r="AD6" i="7"/>
  <c r="AD12" i="7"/>
  <c r="M20" i="18"/>
  <c r="N20" i="18" s="1"/>
  <c r="J21" i="18"/>
  <c r="K21" i="18" s="1"/>
  <c r="I21" i="18"/>
  <c r="H22" i="18" s="1"/>
  <c r="H42" i="9"/>
  <c r="H41" i="9"/>
  <c r="H40" i="9"/>
  <c r="G14" i="12"/>
  <c r="H15" i="12" s="1"/>
  <c r="K11" i="11"/>
  <c r="F11" i="11"/>
  <c r="G11" i="11" s="1"/>
  <c r="M20" i="16"/>
  <c r="J21" i="16"/>
  <c r="P19" i="16"/>
  <c r="N19" i="16"/>
  <c r="O19" i="16" s="1"/>
  <c r="G20" i="16"/>
  <c r="I20" i="16"/>
  <c r="I57" i="5"/>
  <c r="J56" i="5"/>
  <c r="P57" i="5"/>
  <c r="O58" i="5"/>
  <c r="I50" i="9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G14" i="7"/>
  <c r="G15" i="7"/>
  <c r="G16" i="7"/>
  <c r="G19" i="7"/>
  <c r="G21" i="7"/>
  <c r="G20" i="7"/>
  <c r="G25" i="7"/>
  <c r="G22" i="7"/>
  <c r="G17" i="7"/>
  <c r="G23" i="7"/>
  <c r="G18" i="7"/>
  <c r="G24" i="7"/>
  <c r="G5" i="6"/>
  <c r="G6" i="6"/>
  <c r="G7" i="6"/>
  <c r="G8" i="6"/>
  <c r="K8" i="6" s="1"/>
  <c r="G9" i="6"/>
  <c r="K9" i="6" s="1"/>
  <c r="G10" i="6"/>
  <c r="K10" i="6" s="1"/>
  <c r="G11" i="6"/>
  <c r="K11" i="6" s="1"/>
  <c r="G12" i="6"/>
  <c r="K12" i="6" s="1"/>
  <c r="G13" i="6"/>
  <c r="K13" i="6" s="1"/>
  <c r="G14" i="6"/>
  <c r="K14" i="6" s="1"/>
  <c r="G15" i="6"/>
  <c r="K15" i="6" s="1"/>
  <c r="G16" i="6"/>
  <c r="K16" i="6" s="1"/>
  <c r="G17" i="6"/>
  <c r="K17" i="6" s="1"/>
  <c r="G18" i="6"/>
  <c r="K18" i="6" s="1"/>
  <c r="G19" i="6"/>
  <c r="K19" i="6" s="1"/>
  <c r="G20" i="6"/>
  <c r="K20" i="6" s="1"/>
  <c r="G21" i="6"/>
  <c r="K21" i="6" s="1"/>
  <c r="G22" i="6"/>
  <c r="K22" i="6" s="1"/>
  <c r="G23" i="6"/>
  <c r="K23" i="6" s="1"/>
  <c r="G24" i="6"/>
  <c r="K24" i="6" s="1"/>
  <c r="G25" i="6"/>
  <c r="K25" i="6" s="1"/>
  <c r="G26" i="6"/>
  <c r="K26" i="6" s="1"/>
  <c r="G27" i="6"/>
  <c r="K27" i="6" s="1"/>
  <c r="G28" i="6"/>
  <c r="K28" i="6" s="1"/>
  <c r="G29" i="6"/>
  <c r="K29" i="6" s="1"/>
  <c r="G30" i="6"/>
  <c r="K30" i="6" s="1"/>
  <c r="G31" i="6"/>
  <c r="K31" i="6" s="1"/>
  <c r="G32" i="6"/>
  <c r="K32" i="6" s="1"/>
  <c r="G33" i="6"/>
  <c r="K33" i="6" s="1"/>
  <c r="G34" i="6"/>
  <c r="K34" i="6" s="1"/>
  <c r="G35" i="6"/>
  <c r="K35" i="6" s="1"/>
  <c r="G36" i="6"/>
  <c r="K36" i="6" s="1"/>
  <c r="G37" i="6"/>
  <c r="K37" i="6" s="1"/>
  <c r="G38" i="6"/>
  <c r="K38" i="6" s="1"/>
  <c r="G39" i="6"/>
  <c r="K39" i="6" s="1"/>
  <c r="G40" i="6"/>
  <c r="K40" i="6" s="1"/>
  <c r="G41" i="6"/>
  <c r="K41" i="6" s="1"/>
  <c r="G42" i="6"/>
  <c r="K42" i="6" s="1"/>
  <c r="G43" i="6"/>
  <c r="K43" i="6" s="1"/>
  <c r="G44" i="6"/>
  <c r="K44" i="6" s="1"/>
  <c r="G45" i="6"/>
  <c r="K45" i="6" s="1"/>
  <c r="K46" i="6"/>
  <c r="F5" i="6"/>
  <c r="F6" i="6"/>
  <c r="F7" i="6"/>
  <c r="F8" i="6"/>
  <c r="J8" i="6" s="1"/>
  <c r="F9" i="6"/>
  <c r="J9" i="6" s="1"/>
  <c r="F10" i="6"/>
  <c r="J10" i="6" s="1"/>
  <c r="F11" i="6"/>
  <c r="J11" i="6" s="1"/>
  <c r="F12" i="6"/>
  <c r="J12" i="6" s="1"/>
  <c r="F13" i="6"/>
  <c r="J13" i="6" s="1"/>
  <c r="F14" i="6"/>
  <c r="J14" i="6" s="1"/>
  <c r="F15" i="6"/>
  <c r="J15" i="6" s="1"/>
  <c r="F16" i="6"/>
  <c r="J16" i="6" s="1"/>
  <c r="F17" i="6"/>
  <c r="J17" i="6" s="1"/>
  <c r="F18" i="6"/>
  <c r="J18" i="6" s="1"/>
  <c r="F19" i="6"/>
  <c r="J19" i="6" s="1"/>
  <c r="F20" i="6"/>
  <c r="J20" i="6" s="1"/>
  <c r="F21" i="6"/>
  <c r="J21" i="6" s="1"/>
  <c r="F22" i="6"/>
  <c r="J22" i="6" s="1"/>
  <c r="F23" i="6"/>
  <c r="J23" i="6" s="1"/>
  <c r="F24" i="6"/>
  <c r="J24" i="6" s="1"/>
  <c r="F25" i="6"/>
  <c r="J25" i="6" s="1"/>
  <c r="F26" i="6"/>
  <c r="J26" i="6" s="1"/>
  <c r="F27" i="6"/>
  <c r="J27" i="6" s="1"/>
  <c r="F28" i="6"/>
  <c r="J28" i="6" s="1"/>
  <c r="F29" i="6"/>
  <c r="J29" i="6" s="1"/>
  <c r="F30" i="6"/>
  <c r="J30" i="6" s="1"/>
  <c r="F31" i="6"/>
  <c r="J31" i="6" s="1"/>
  <c r="F32" i="6"/>
  <c r="J32" i="6" s="1"/>
  <c r="F33" i="6"/>
  <c r="J33" i="6" s="1"/>
  <c r="F34" i="6"/>
  <c r="J34" i="6" s="1"/>
  <c r="F35" i="6"/>
  <c r="J35" i="6" s="1"/>
  <c r="F36" i="6"/>
  <c r="J36" i="6" s="1"/>
  <c r="F37" i="6"/>
  <c r="J37" i="6" s="1"/>
  <c r="F38" i="6"/>
  <c r="J38" i="6" s="1"/>
  <c r="F39" i="6"/>
  <c r="J39" i="6" s="1"/>
  <c r="F40" i="6"/>
  <c r="J40" i="6" s="1"/>
  <c r="F41" i="6"/>
  <c r="J41" i="6" s="1"/>
  <c r="F42" i="6"/>
  <c r="J42" i="6" s="1"/>
  <c r="F43" i="6"/>
  <c r="J43" i="6" s="1"/>
  <c r="F44" i="6"/>
  <c r="J44" i="6" s="1"/>
  <c r="F45" i="6"/>
  <c r="J45" i="6" s="1"/>
  <c r="J46" i="6"/>
  <c r="F4" i="6"/>
  <c r="E4" i="6"/>
  <c r="E5" i="6"/>
  <c r="E6" i="6"/>
  <c r="E7" i="6"/>
  <c r="E8" i="6"/>
  <c r="I8" i="6" s="1"/>
  <c r="E9" i="6"/>
  <c r="I9" i="6" s="1"/>
  <c r="E10" i="6"/>
  <c r="I10" i="6" s="1"/>
  <c r="E11" i="6"/>
  <c r="I11" i="6" s="1"/>
  <c r="E12" i="6"/>
  <c r="I12" i="6" s="1"/>
  <c r="E13" i="6"/>
  <c r="I13" i="6" s="1"/>
  <c r="E14" i="6"/>
  <c r="I14" i="6" s="1"/>
  <c r="E15" i="6"/>
  <c r="I15" i="6" s="1"/>
  <c r="E16" i="6"/>
  <c r="I16" i="6" s="1"/>
  <c r="E17" i="6"/>
  <c r="I17" i="6" s="1"/>
  <c r="E18" i="6"/>
  <c r="I18" i="6" s="1"/>
  <c r="E19" i="6"/>
  <c r="I19" i="6" s="1"/>
  <c r="E20" i="6"/>
  <c r="I20" i="6" s="1"/>
  <c r="E21" i="6"/>
  <c r="I21" i="6" s="1"/>
  <c r="E22" i="6"/>
  <c r="I22" i="6" s="1"/>
  <c r="E23" i="6"/>
  <c r="I23" i="6" s="1"/>
  <c r="E24" i="6"/>
  <c r="I24" i="6" s="1"/>
  <c r="E25" i="6"/>
  <c r="I25" i="6" s="1"/>
  <c r="E26" i="6"/>
  <c r="I26" i="6" s="1"/>
  <c r="E27" i="6"/>
  <c r="I27" i="6" s="1"/>
  <c r="E28" i="6"/>
  <c r="I28" i="6" s="1"/>
  <c r="E29" i="6"/>
  <c r="I29" i="6" s="1"/>
  <c r="E30" i="6"/>
  <c r="I30" i="6" s="1"/>
  <c r="E31" i="6"/>
  <c r="I31" i="6" s="1"/>
  <c r="E32" i="6"/>
  <c r="I32" i="6" s="1"/>
  <c r="E33" i="6"/>
  <c r="I33" i="6" s="1"/>
  <c r="E34" i="6"/>
  <c r="I34" i="6" s="1"/>
  <c r="E35" i="6"/>
  <c r="I35" i="6" s="1"/>
  <c r="E36" i="6"/>
  <c r="I36" i="6" s="1"/>
  <c r="E37" i="6"/>
  <c r="I37" i="6" s="1"/>
  <c r="E38" i="6"/>
  <c r="I38" i="6" s="1"/>
  <c r="E39" i="6"/>
  <c r="I39" i="6" s="1"/>
  <c r="E40" i="6"/>
  <c r="I40" i="6" s="1"/>
  <c r="E41" i="6"/>
  <c r="I41" i="6" s="1"/>
  <c r="E42" i="6"/>
  <c r="I42" i="6" s="1"/>
  <c r="E43" i="6"/>
  <c r="I43" i="6" s="1"/>
  <c r="E44" i="6"/>
  <c r="I44" i="6" s="1"/>
  <c r="E45" i="6"/>
  <c r="I45" i="6" s="1"/>
  <c r="E46" i="6"/>
  <c r="I46" i="6" s="1"/>
  <c r="E47" i="6"/>
  <c r="I47" i="6" s="1"/>
  <c r="D49" i="6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48" i="6"/>
  <c r="H48" i="6" s="1"/>
  <c r="D47" i="6"/>
  <c r="H47" i="6" s="1"/>
  <c r="D46" i="6"/>
  <c r="H46" i="6" s="1"/>
  <c r="D45" i="6"/>
  <c r="H45" i="6" s="1"/>
  <c r="D44" i="6"/>
  <c r="H44" i="6" s="1"/>
  <c r="D43" i="6"/>
  <c r="H43" i="6" s="1"/>
  <c r="D42" i="6"/>
  <c r="H42" i="6" s="1"/>
  <c r="D41" i="6"/>
  <c r="H41" i="6" s="1"/>
  <c r="D40" i="6"/>
  <c r="H40" i="6" s="1"/>
  <c r="D39" i="6"/>
  <c r="H39" i="6" s="1"/>
  <c r="D38" i="6"/>
  <c r="H38" i="6" s="1"/>
  <c r="D37" i="6"/>
  <c r="H37" i="6" s="1"/>
  <c r="D36" i="6"/>
  <c r="H36" i="6" s="1"/>
  <c r="D35" i="6"/>
  <c r="H35" i="6" s="1"/>
  <c r="D34" i="6"/>
  <c r="H34" i="6" s="1"/>
  <c r="D33" i="6"/>
  <c r="H33" i="6" s="1"/>
  <c r="D32" i="6"/>
  <c r="H32" i="6" s="1"/>
  <c r="D31" i="6"/>
  <c r="H31" i="6" s="1"/>
  <c r="D30" i="6"/>
  <c r="H30" i="6" s="1"/>
  <c r="D29" i="6"/>
  <c r="H29" i="6" s="1"/>
  <c r="D28" i="6"/>
  <c r="H28" i="6" s="1"/>
  <c r="D27" i="6"/>
  <c r="H27" i="6" s="1"/>
  <c r="D26" i="6"/>
  <c r="H26" i="6" s="1"/>
  <c r="D25" i="6"/>
  <c r="H25" i="6" s="1"/>
  <c r="D24" i="6"/>
  <c r="H24" i="6" s="1"/>
  <c r="D23" i="6"/>
  <c r="H23" i="6" s="1"/>
  <c r="D22" i="6"/>
  <c r="H22" i="6" s="1"/>
  <c r="D21" i="6"/>
  <c r="H21" i="6" s="1"/>
  <c r="D20" i="6"/>
  <c r="H20" i="6" s="1"/>
  <c r="D19" i="6"/>
  <c r="H19" i="6" s="1"/>
  <c r="D18" i="6"/>
  <c r="H18" i="6" s="1"/>
  <c r="D17" i="6"/>
  <c r="H17" i="6" s="1"/>
  <c r="D16" i="6"/>
  <c r="H16" i="6" s="1"/>
  <c r="D15" i="6"/>
  <c r="H15" i="6" s="1"/>
  <c r="D14" i="6"/>
  <c r="H14" i="6" s="1"/>
  <c r="D13" i="6"/>
  <c r="H13" i="6" s="1"/>
  <c r="D12" i="6"/>
  <c r="H12" i="6" s="1"/>
  <c r="D11" i="6"/>
  <c r="H11" i="6" s="1"/>
  <c r="D10" i="6"/>
  <c r="H10" i="6" s="1"/>
  <c r="D9" i="6"/>
  <c r="H9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S11" i="5"/>
  <c r="S17" i="5"/>
  <c r="S32" i="5"/>
  <c r="T48" i="5"/>
  <c r="T9" i="5"/>
  <c r="S9" i="5"/>
  <c r="D9" i="5"/>
  <c r="R9" i="5" s="1"/>
  <c r="D10" i="5"/>
  <c r="R10" i="5" s="1"/>
  <c r="D11" i="5"/>
  <c r="R11" i="5" s="1"/>
  <c r="K11" i="5"/>
  <c r="L11" i="5" s="1"/>
  <c r="D12" i="5"/>
  <c r="R12" i="5" s="1"/>
  <c r="E12" i="5"/>
  <c r="F12" i="5" s="1"/>
  <c r="K12" i="5"/>
  <c r="D13" i="5"/>
  <c r="R13" i="5" s="1"/>
  <c r="E13" i="5"/>
  <c r="F13" i="5" s="1"/>
  <c r="K13" i="5"/>
  <c r="D14" i="5"/>
  <c r="R14" i="5" s="1"/>
  <c r="E14" i="5"/>
  <c r="F14" i="5" s="1"/>
  <c r="K14" i="5"/>
  <c r="D15" i="5"/>
  <c r="R15" i="5" s="1"/>
  <c r="E15" i="5"/>
  <c r="F15" i="5" s="1"/>
  <c r="K15" i="5"/>
  <c r="D16" i="5"/>
  <c r="R16" i="5" s="1"/>
  <c r="E16" i="5"/>
  <c r="F16" i="5" s="1"/>
  <c r="K16" i="5"/>
  <c r="D17" i="5"/>
  <c r="R17" i="5" s="1"/>
  <c r="K17" i="5"/>
  <c r="L17" i="5" s="1"/>
  <c r="D18" i="5"/>
  <c r="R18" i="5" s="1"/>
  <c r="E18" i="5"/>
  <c r="F18" i="5" s="1"/>
  <c r="K18" i="5"/>
  <c r="D19" i="5"/>
  <c r="R19" i="5" s="1"/>
  <c r="E19" i="5"/>
  <c r="F19" i="5" s="1"/>
  <c r="K19" i="5"/>
  <c r="L19" i="5" s="1"/>
  <c r="D20" i="5"/>
  <c r="R20" i="5" s="1"/>
  <c r="E20" i="5"/>
  <c r="F20" i="5" s="1"/>
  <c r="K20" i="5"/>
  <c r="D21" i="5"/>
  <c r="R21" i="5" s="1"/>
  <c r="E21" i="5"/>
  <c r="F21" i="5" s="1"/>
  <c r="K21" i="5"/>
  <c r="D22" i="5"/>
  <c r="R22" i="5" s="1"/>
  <c r="E22" i="5"/>
  <c r="F22" i="5" s="1"/>
  <c r="K22" i="5"/>
  <c r="D23" i="5"/>
  <c r="R23" i="5" s="1"/>
  <c r="E23" i="5"/>
  <c r="F23" i="5" s="1"/>
  <c r="K23" i="5"/>
  <c r="D24" i="5"/>
  <c r="R24" i="5" s="1"/>
  <c r="E24" i="5"/>
  <c r="F24" i="5" s="1"/>
  <c r="K24" i="5"/>
  <c r="D25" i="5"/>
  <c r="R25" i="5" s="1"/>
  <c r="E25" i="5"/>
  <c r="F25" i="5" s="1"/>
  <c r="K25" i="5"/>
  <c r="L25" i="5" s="1"/>
  <c r="D26" i="5"/>
  <c r="R26" i="5" s="1"/>
  <c r="E26" i="5"/>
  <c r="F26" i="5" s="1"/>
  <c r="K26" i="5"/>
  <c r="D27" i="5"/>
  <c r="R27" i="5" s="1"/>
  <c r="E27" i="5"/>
  <c r="F27" i="5" s="1"/>
  <c r="K27" i="5"/>
  <c r="L27" i="5" s="1"/>
  <c r="D28" i="5"/>
  <c r="R28" i="5" s="1"/>
  <c r="E28" i="5"/>
  <c r="F28" i="5" s="1"/>
  <c r="K28" i="5"/>
  <c r="D29" i="5"/>
  <c r="R29" i="5" s="1"/>
  <c r="E29" i="5"/>
  <c r="F29" i="5" s="1"/>
  <c r="K29" i="5"/>
  <c r="D30" i="5"/>
  <c r="R30" i="5" s="1"/>
  <c r="E30" i="5"/>
  <c r="F30" i="5" s="1"/>
  <c r="K30" i="5"/>
  <c r="D31" i="5"/>
  <c r="R31" i="5" s="1"/>
  <c r="E31" i="5"/>
  <c r="F31" i="5" s="1"/>
  <c r="K31" i="5"/>
  <c r="D32" i="5"/>
  <c r="R32" i="5" s="1"/>
  <c r="K32" i="5"/>
  <c r="D33" i="5"/>
  <c r="R33" i="5" s="1"/>
  <c r="E33" i="5"/>
  <c r="F33" i="5" s="1"/>
  <c r="K33" i="5"/>
  <c r="L33" i="5" s="1"/>
  <c r="D34" i="5"/>
  <c r="R34" i="5" s="1"/>
  <c r="E34" i="5"/>
  <c r="F34" i="5" s="1"/>
  <c r="K34" i="5"/>
  <c r="L34" i="5" s="1"/>
  <c r="D35" i="5"/>
  <c r="R35" i="5" s="1"/>
  <c r="E35" i="5"/>
  <c r="F35" i="5" s="1"/>
  <c r="K35" i="5"/>
  <c r="L35" i="5" s="1"/>
  <c r="D36" i="5"/>
  <c r="R36" i="5" s="1"/>
  <c r="E36" i="5"/>
  <c r="F36" i="5" s="1"/>
  <c r="K36" i="5"/>
  <c r="D37" i="5"/>
  <c r="R37" i="5" s="1"/>
  <c r="E37" i="5"/>
  <c r="F37" i="5" s="1"/>
  <c r="K37" i="5"/>
  <c r="D38" i="5"/>
  <c r="R38" i="5" s="1"/>
  <c r="E38" i="5"/>
  <c r="F38" i="5" s="1"/>
  <c r="K38" i="5"/>
  <c r="D39" i="5"/>
  <c r="R39" i="5" s="1"/>
  <c r="E39" i="5"/>
  <c r="F39" i="5" s="1"/>
  <c r="K39" i="5"/>
  <c r="D40" i="5"/>
  <c r="R40" i="5" s="1"/>
  <c r="E40" i="5"/>
  <c r="F40" i="5" s="1"/>
  <c r="K40" i="5"/>
  <c r="L40" i="5" s="1"/>
  <c r="D41" i="5"/>
  <c r="R41" i="5" s="1"/>
  <c r="E41" i="5"/>
  <c r="F41" i="5" s="1"/>
  <c r="K41" i="5"/>
  <c r="L41" i="5" s="1"/>
  <c r="D42" i="5"/>
  <c r="R42" i="5" s="1"/>
  <c r="E42" i="5"/>
  <c r="F42" i="5" s="1"/>
  <c r="K42" i="5"/>
  <c r="L42" i="5" s="1"/>
  <c r="D43" i="5"/>
  <c r="R43" i="5" s="1"/>
  <c r="E43" i="5"/>
  <c r="F43" i="5" s="1"/>
  <c r="K43" i="5"/>
  <c r="L43" i="5" s="1"/>
  <c r="D44" i="5"/>
  <c r="R44" i="5" s="1"/>
  <c r="E44" i="5"/>
  <c r="F44" i="5" s="1"/>
  <c r="K44" i="5"/>
  <c r="D45" i="5"/>
  <c r="R45" i="5" s="1"/>
  <c r="E45" i="5"/>
  <c r="F45" i="5" s="1"/>
  <c r="K45" i="5"/>
  <c r="D46" i="5"/>
  <c r="R46" i="5" s="1"/>
  <c r="E46" i="5"/>
  <c r="F46" i="5" s="1"/>
  <c r="K46" i="5"/>
  <c r="L46" i="5" s="1"/>
  <c r="D47" i="5"/>
  <c r="R47" i="5" s="1"/>
  <c r="E47" i="5"/>
  <c r="F47" i="5" s="1"/>
  <c r="K47" i="5"/>
  <c r="L47" i="5" s="1"/>
  <c r="D48" i="5"/>
  <c r="R48" i="5" s="1"/>
  <c r="E48" i="5"/>
  <c r="F48" i="5" s="1"/>
  <c r="K51" i="5"/>
  <c r="K52" i="5" s="1"/>
  <c r="K53" i="5" s="1"/>
  <c r="K54" i="5" s="1"/>
  <c r="K55" i="5" s="1"/>
  <c r="K56" i="5" s="1"/>
  <c r="K57" i="5" s="1"/>
  <c r="K58" i="5" s="1"/>
  <c r="K59" i="5" s="1"/>
  <c r="K60" i="5" s="1"/>
  <c r="E51" i="5"/>
  <c r="E52" i="5" s="1"/>
  <c r="E53" i="5" s="1"/>
  <c r="E54" i="5" s="1"/>
  <c r="E55" i="5" s="1"/>
  <c r="E56" i="5" s="1"/>
  <c r="E57" i="5" s="1"/>
  <c r="E58" i="5" s="1"/>
  <c r="E59" i="5" s="1"/>
  <c r="E60" i="5" s="1"/>
  <c r="D50" i="5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D51" i="4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F49" i="4"/>
  <c r="G50" i="4" s="1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F3" i="4"/>
  <c r="F1" i="4"/>
  <c r="AD15" i="7" l="1"/>
  <c r="J22" i="18"/>
  <c r="K22" i="18" s="1"/>
  <c r="M21" i="18"/>
  <c r="N21" i="18" s="1"/>
  <c r="I22" i="18"/>
  <c r="H23" i="18" s="1"/>
  <c r="H50" i="6"/>
  <c r="G51" i="4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S28" i="5"/>
  <c r="J50" i="6"/>
  <c r="R50" i="5"/>
  <c r="S14" i="5"/>
  <c r="S35" i="5"/>
  <c r="S25" i="5"/>
  <c r="S21" i="5"/>
  <c r="I50" i="6"/>
  <c r="K50" i="6"/>
  <c r="F15" i="12"/>
  <c r="I15" i="12"/>
  <c r="H12" i="11"/>
  <c r="L11" i="11"/>
  <c r="M11" i="11"/>
  <c r="I21" i="16"/>
  <c r="G21" i="16"/>
  <c r="M21" i="16"/>
  <c r="J22" i="16"/>
  <c r="P20" i="16"/>
  <c r="N20" i="16"/>
  <c r="O20" i="16" s="1"/>
  <c r="T38" i="5"/>
  <c r="L38" i="5"/>
  <c r="T24" i="5"/>
  <c r="L24" i="5"/>
  <c r="T13" i="5"/>
  <c r="L13" i="5"/>
  <c r="T47" i="5"/>
  <c r="S44" i="5"/>
  <c r="T41" i="5"/>
  <c r="S38" i="5"/>
  <c r="T17" i="5"/>
  <c r="T32" i="5"/>
  <c r="L32" i="5"/>
  <c r="T29" i="5"/>
  <c r="L29" i="5"/>
  <c r="T21" i="5"/>
  <c r="L21" i="5"/>
  <c r="S47" i="5"/>
  <c r="S41" i="5"/>
  <c r="T34" i="5"/>
  <c r="S31" i="5"/>
  <c r="T27" i="5"/>
  <c r="S24" i="5"/>
  <c r="S20" i="5"/>
  <c r="S13" i="5"/>
  <c r="T45" i="5"/>
  <c r="L45" i="5"/>
  <c r="T37" i="5"/>
  <c r="L37" i="5"/>
  <c r="T26" i="5"/>
  <c r="L26" i="5"/>
  <c r="T18" i="5"/>
  <c r="L18" i="5"/>
  <c r="T15" i="5"/>
  <c r="L15" i="5"/>
  <c r="T43" i="5"/>
  <c r="S37" i="5"/>
  <c r="S34" i="5"/>
  <c r="S27" i="5"/>
  <c r="T31" i="5"/>
  <c r="L31" i="5"/>
  <c r="T23" i="5"/>
  <c r="L23" i="5"/>
  <c r="T12" i="5"/>
  <c r="L12" i="5"/>
  <c r="T46" i="5"/>
  <c r="S43" i="5"/>
  <c r="T40" i="5"/>
  <c r="S30" i="5"/>
  <c r="S23" i="5"/>
  <c r="T19" i="5"/>
  <c r="S16" i="5"/>
  <c r="S12" i="5"/>
  <c r="T16" i="5"/>
  <c r="L16" i="5"/>
  <c r="T39" i="5"/>
  <c r="L39" i="5"/>
  <c r="T28" i="5"/>
  <c r="L28" i="5"/>
  <c r="T20" i="5"/>
  <c r="L20" i="5"/>
  <c r="S46" i="5"/>
  <c r="S40" i="5"/>
  <c r="S36" i="5"/>
  <c r="T33" i="5"/>
  <c r="S26" i="5"/>
  <c r="S19" i="5"/>
  <c r="T44" i="5"/>
  <c r="L44" i="5"/>
  <c r="T36" i="5"/>
  <c r="L36" i="5"/>
  <c r="T14" i="5"/>
  <c r="L14" i="5"/>
  <c r="T42" i="5"/>
  <c r="S33" i="5"/>
  <c r="S29" i="5"/>
  <c r="S22" i="5"/>
  <c r="S15" i="5"/>
  <c r="T11" i="5"/>
  <c r="T30" i="5"/>
  <c r="L30" i="5"/>
  <c r="T22" i="5"/>
  <c r="L22" i="5"/>
  <c r="S48" i="5"/>
  <c r="S45" i="5"/>
  <c r="S42" i="5"/>
  <c r="S39" i="5"/>
  <c r="T35" i="5"/>
  <c r="T25" i="5"/>
  <c r="S18" i="5"/>
  <c r="I58" i="5"/>
  <c r="J57" i="5"/>
  <c r="O59" i="5"/>
  <c r="P58" i="5"/>
  <c r="G36" i="7"/>
  <c r="G34" i="7"/>
  <c r="G31" i="7"/>
  <c r="G28" i="7"/>
  <c r="G30" i="7"/>
  <c r="G35" i="7"/>
  <c r="G32" i="7"/>
  <c r="G27" i="7"/>
  <c r="G37" i="7"/>
  <c r="G29" i="7"/>
  <c r="G33" i="7"/>
  <c r="G26" i="7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E3" i="3"/>
  <c r="E1" i="3"/>
  <c r="D1" i="3"/>
  <c r="F1" i="3"/>
  <c r="E51" i="4" l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J23" i="18"/>
  <c r="K23" i="18" s="1"/>
  <c r="M22" i="18"/>
  <c r="N22" i="18" s="1"/>
  <c r="I23" i="18"/>
  <c r="H24" i="18" s="1"/>
  <c r="S50" i="5"/>
  <c r="T50" i="5"/>
  <c r="F49" i="3"/>
  <c r="G15" i="12"/>
  <c r="H16" i="12" s="1"/>
  <c r="K12" i="11"/>
  <c r="F12" i="11"/>
  <c r="I22" i="16"/>
  <c r="G22" i="16"/>
  <c r="N21" i="16"/>
  <c r="O21" i="16" s="1"/>
  <c r="P21" i="16"/>
  <c r="M22" i="16"/>
  <c r="J23" i="16"/>
  <c r="I59" i="5"/>
  <c r="J58" i="5"/>
  <c r="O60" i="5"/>
  <c r="P60" i="5" s="1"/>
  <c r="P59" i="5"/>
  <c r="J51" i="9"/>
  <c r="K51" i="9" s="1"/>
  <c r="G40" i="7"/>
  <c r="G45" i="7"/>
  <c r="G44" i="7"/>
  <c r="G43" i="7"/>
  <c r="G38" i="7"/>
  <c r="G41" i="7"/>
  <c r="G47" i="7"/>
  <c r="G46" i="7"/>
  <c r="G39" i="7"/>
  <c r="H50" i="7"/>
  <c r="H51" i="7" s="1"/>
  <c r="H52" i="7" s="1"/>
  <c r="I52" i="7" s="1"/>
  <c r="F9" i="3"/>
  <c r="F8" i="3"/>
  <c r="F13" i="3"/>
  <c r="F12" i="3"/>
  <c r="F16" i="3"/>
  <c r="F17" i="3"/>
  <c r="F21" i="3"/>
  <c r="F20" i="3"/>
  <c r="F24" i="3"/>
  <c r="F25" i="3"/>
  <c r="F29" i="3"/>
  <c r="F28" i="3"/>
  <c r="F33" i="3"/>
  <c r="F32" i="3"/>
  <c r="F37" i="3"/>
  <c r="F36" i="3"/>
  <c r="F41" i="3"/>
  <c r="F40" i="3"/>
  <c r="F44" i="3"/>
  <c r="F45" i="3"/>
  <c r="F6" i="3"/>
  <c r="F7" i="3"/>
  <c r="F10" i="3"/>
  <c r="F11" i="3"/>
  <c r="F15" i="3"/>
  <c r="F14" i="3"/>
  <c r="F19" i="3"/>
  <c r="F18" i="3"/>
  <c r="F23" i="3"/>
  <c r="F22" i="3"/>
  <c r="F27" i="3"/>
  <c r="F26" i="3"/>
  <c r="F31" i="3"/>
  <c r="F30" i="3"/>
  <c r="F35" i="3"/>
  <c r="F34" i="3"/>
  <c r="F39" i="3"/>
  <c r="F38" i="3"/>
  <c r="F43" i="3"/>
  <c r="F42" i="3"/>
  <c r="F47" i="3"/>
  <c r="F46" i="3"/>
  <c r="F5" i="3"/>
  <c r="F4" i="3"/>
  <c r="F48" i="3"/>
  <c r="C53" i="2"/>
  <c r="C52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F5" i="1"/>
  <c r="F6" i="1"/>
  <c r="F7" i="1"/>
  <c r="F8" i="1"/>
  <c r="F9" i="1"/>
  <c r="G11" i="1"/>
  <c r="F11" i="1"/>
  <c r="F12" i="1"/>
  <c r="F13" i="1"/>
  <c r="F14" i="1"/>
  <c r="F15" i="1"/>
  <c r="F16" i="1"/>
  <c r="F17" i="1"/>
  <c r="F18" i="1"/>
  <c r="G19" i="1" s="1"/>
  <c r="F19" i="1"/>
  <c r="F20" i="1"/>
  <c r="F21" i="1"/>
  <c r="F22" i="1"/>
  <c r="F23" i="1"/>
  <c r="F24" i="1"/>
  <c r="F25" i="1"/>
  <c r="F26" i="1"/>
  <c r="G27" i="1" s="1"/>
  <c r="F27" i="1"/>
  <c r="F28" i="1"/>
  <c r="F29" i="1"/>
  <c r="F30" i="1"/>
  <c r="F31" i="1"/>
  <c r="F32" i="1"/>
  <c r="F33" i="1"/>
  <c r="F34" i="1"/>
  <c r="F35" i="1"/>
  <c r="F36" i="1"/>
  <c r="F37" i="1"/>
  <c r="G38" i="1" s="1"/>
  <c r="F38" i="1"/>
  <c r="F39" i="1"/>
  <c r="F40" i="1"/>
  <c r="F41" i="1"/>
  <c r="F42" i="1"/>
  <c r="G43" i="1" s="1"/>
  <c r="F43" i="1"/>
  <c r="F44" i="1"/>
  <c r="F45" i="1"/>
  <c r="F46" i="1"/>
  <c r="F47" i="1"/>
  <c r="F48" i="1"/>
  <c r="F49" i="1"/>
  <c r="F50" i="1"/>
  <c r="C53" i="1"/>
  <c r="C5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3" i="1"/>
  <c r="A52" i="1"/>
  <c r="E2" i="1"/>
  <c r="F2" i="1"/>
  <c r="G2" i="1"/>
  <c r="G37" i="1" l="1"/>
  <c r="J24" i="18"/>
  <c r="K24" i="18" s="1"/>
  <c r="M23" i="18"/>
  <c r="N23" i="18" s="1"/>
  <c r="I24" i="18"/>
  <c r="J25" i="18" s="1"/>
  <c r="K25" i="18" s="1"/>
  <c r="G6" i="1"/>
  <c r="G46" i="1"/>
  <c r="G29" i="1"/>
  <c r="G21" i="1"/>
  <c r="G44" i="1"/>
  <c r="G28" i="1"/>
  <c r="G20" i="1"/>
  <c r="G45" i="1"/>
  <c r="G12" i="1"/>
  <c r="G50" i="1"/>
  <c r="G42" i="1"/>
  <c r="G34" i="1"/>
  <c r="G26" i="1"/>
  <c r="G18" i="1"/>
  <c r="G10" i="1"/>
  <c r="G48" i="1"/>
  <c r="G40" i="1"/>
  <c r="G32" i="1"/>
  <c r="G24" i="1"/>
  <c r="G16" i="1"/>
  <c r="G8" i="1"/>
  <c r="G49" i="1"/>
  <c r="G41" i="1"/>
  <c r="G33" i="1"/>
  <c r="G25" i="1"/>
  <c r="G17" i="1"/>
  <c r="G9" i="1"/>
  <c r="G47" i="1"/>
  <c r="G39" i="1"/>
  <c r="G31" i="1"/>
  <c r="G23" i="1"/>
  <c r="G15" i="1"/>
  <c r="G7" i="1"/>
  <c r="G13" i="1"/>
  <c r="F16" i="12"/>
  <c r="I16" i="12"/>
  <c r="G12" i="11"/>
  <c r="H13" i="11" s="1"/>
  <c r="L12" i="11"/>
  <c r="M12" i="11"/>
  <c r="I23" i="16"/>
  <c r="G23" i="16"/>
  <c r="M23" i="16"/>
  <c r="J24" i="16"/>
  <c r="P22" i="16"/>
  <c r="N22" i="16"/>
  <c r="O22" i="16" s="1"/>
  <c r="J59" i="5"/>
  <c r="I60" i="5"/>
  <c r="J60" i="5" s="1"/>
  <c r="J52" i="9"/>
  <c r="K52" i="9" s="1"/>
  <c r="H53" i="7"/>
  <c r="I53" i="7" s="1"/>
  <c r="I51" i="7"/>
  <c r="I50" i="7"/>
  <c r="E53" i="1"/>
  <c r="E52" i="1"/>
  <c r="F53" i="1"/>
  <c r="F52" i="1"/>
  <c r="G35" i="1"/>
  <c r="G30" i="1"/>
  <c r="G22" i="1"/>
  <c r="G14" i="1"/>
  <c r="G36" i="1"/>
  <c r="H25" i="18" l="1"/>
  <c r="I25" i="18" s="1"/>
  <c r="H26" i="18" s="1"/>
  <c r="M24" i="18"/>
  <c r="N24" i="18" s="1"/>
  <c r="G16" i="12"/>
  <c r="H17" i="12" s="1"/>
  <c r="F13" i="11"/>
  <c r="K13" i="11"/>
  <c r="M24" i="16"/>
  <c r="J25" i="16"/>
  <c r="N23" i="16"/>
  <c r="O23" i="16" s="1"/>
  <c r="P23" i="16"/>
  <c r="I24" i="16"/>
  <c r="G24" i="16"/>
  <c r="J53" i="9"/>
  <c r="K53" i="9" s="1"/>
  <c r="H54" i="7"/>
  <c r="H55" i="7" s="1"/>
  <c r="G53" i="1"/>
  <c r="G52" i="1"/>
  <c r="M25" i="18" l="1"/>
  <c r="N25" i="18" s="1"/>
  <c r="J26" i="18"/>
  <c r="K26" i="18" s="1"/>
  <c r="I26" i="18"/>
  <c r="H27" i="18" s="1"/>
  <c r="F17" i="12"/>
  <c r="I17" i="12"/>
  <c r="L13" i="11"/>
  <c r="M13" i="11"/>
  <c r="G13" i="11"/>
  <c r="H14" i="11" s="1"/>
  <c r="I25" i="16"/>
  <c r="G25" i="16"/>
  <c r="M25" i="16"/>
  <c r="J26" i="16"/>
  <c r="P24" i="16"/>
  <c r="N24" i="16"/>
  <c r="O24" i="16" s="1"/>
  <c r="J54" i="9"/>
  <c r="I54" i="7"/>
  <c r="H56" i="7"/>
  <c r="I55" i="7"/>
  <c r="J27" i="18" l="1"/>
  <c r="K27" i="18" s="1"/>
  <c r="M26" i="18"/>
  <c r="N26" i="18" s="1"/>
  <c r="I27" i="18"/>
  <c r="H28" i="18" s="1"/>
  <c r="J55" i="9"/>
  <c r="K54" i="9"/>
  <c r="G17" i="12"/>
  <c r="H18" i="12" s="1"/>
  <c r="F14" i="11"/>
  <c r="K14" i="11"/>
  <c r="N25" i="16"/>
  <c r="O25" i="16" s="1"/>
  <c r="P25" i="16"/>
  <c r="M26" i="16"/>
  <c r="J27" i="16"/>
  <c r="I26" i="16"/>
  <c r="G26" i="16"/>
  <c r="K55" i="9"/>
  <c r="H57" i="7"/>
  <c r="I56" i="7"/>
  <c r="J28" i="18" l="1"/>
  <c r="K28" i="18" s="1"/>
  <c r="M27" i="18"/>
  <c r="N27" i="18" s="1"/>
  <c r="I28" i="18"/>
  <c r="H29" i="18" s="1"/>
  <c r="F18" i="12"/>
  <c r="I18" i="12"/>
  <c r="L14" i="11"/>
  <c r="M14" i="11"/>
  <c r="G14" i="11"/>
  <c r="H15" i="11" s="1"/>
  <c r="I27" i="16"/>
  <c r="G27" i="16"/>
  <c r="P26" i="16"/>
  <c r="N26" i="16"/>
  <c r="O26" i="16" s="1"/>
  <c r="M27" i="16"/>
  <c r="J28" i="16"/>
  <c r="J56" i="9"/>
  <c r="K56" i="9" s="1"/>
  <c r="H58" i="7"/>
  <c r="I57" i="7"/>
  <c r="J29" i="18" l="1"/>
  <c r="K29" i="18" s="1"/>
  <c r="M28" i="18"/>
  <c r="N28" i="18" s="1"/>
  <c r="I29" i="18"/>
  <c r="H30" i="18" s="1"/>
  <c r="G18" i="12"/>
  <c r="H19" i="12" s="1"/>
  <c r="K15" i="11"/>
  <c r="F15" i="11"/>
  <c r="G15" i="11" s="1"/>
  <c r="M28" i="16"/>
  <c r="J29" i="16"/>
  <c r="N27" i="16"/>
  <c r="O27" i="16" s="1"/>
  <c r="P27" i="16"/>
  <c r="I28" i="16"/>
  <c r="G28" i="16"/>
  <c r="J57" i="9"/>
  <c r="K57" i="9" s="1"/>
  <c r="H59" i="7"/>
  <c r="I58" i="7"/>
  <c r="J30" i="18" l="1"/>
  <c r="K30" i="18" s="1"/>
  <c r="M29" i="18"/>
  <c r="N29" i="18" s="1"/>
  <c r="I30" i="18"/>
  <c r="H31" i="18" s="1"/>
  <c r="F19" i="12"/>
  <c r="I19" i="12"/>
  <c r="H16" i="11"/>
  <c r="M15" i="11"/>
  <c r="L15" i="11"/>
  <c r="I29" i="16"/>
  <c r="G29" i="16"/>
  <c r="M29" i="16"/>
  <c r="J30" i="16"/>
  <c r="P28" i="16"/>
  <c r="N28" i="16"/>
  <c r="O28" i="16" s="1"/>
  <c r="J58" i="9"/>
  <c r="K58" i="9" s="1"/>
  <c r="H60" i="7"/>
  <c r="I60" i="7" s="1"/>
  <c r="I59" i="7"/>
  <c r="J31" i="18" l="1"/>
  <c r="K31" i="18" s="1"/>
  <c r="M30" i="18"/>
  <c r="N30" i="18" s="1"/>
  <c r="I31" i="18"/>
  <c r="H32" i="18" s="1"/>
  <c r="G19" i="12"/>
  <c r="H20" i="12" s="1"/>
  <c r="K16" i="11"/>
  <c r="F16" i="11"/>
  <c r="N29" i="16"/>
  <c r="O29" i="16" s="1"/>
  <c r="P29" i="16"/>
  <c r="M30" i="16"/>
  <c r="J31" i="16"/>
  <c r="I30" i="16"/>
  <c r="G30" i="16"/>
  <c r="J59" i="9"/>
  <c r="K59" i="9" s="1"/>
  <c r="J32" i="18" l="1"/>
  <c r="K32" i="18" s="1"/>
  <c r="M31" i="18"/>
  <c r="N31" i="18" s="1"/>
  <c r="I32" i="18"/>
  <c r="H33" i="18" s="1"/>
  <c r="F20" i="12"/>
  <c r="I20" i="12"/>
  <c r="G16" i="11"/>
  <c r="H17" i="11" s="1"/>
  <c r="L16" i="11"/>
  <c r="M16" i="11"/>
  <c r="I31" i="16"/>
  <c r="G31" i="16"/>
  <c r="P30" i="16"/>
  <c r="N30" i="16"/>
  <c r="O30" i="16" s="1"/>
  <c r="M31" i="16"/>
  <c r="J32" i="16"/>
  <c r="J60" i="9"/>
  <c r="K60" i="9" s="1"/>
  <c r="J33" i="18" l="1"/>
  <c r="K33" i="18" s="1"/>
  <c r="M32" i="18"/>
  <c r="N32" i="18" s="1"/>
  <c r="I33" i="18"/>
  <c r="H34" i="18" s="1"/>
  <c r="G20" i="12"/>
  <c r="H21" i="12" s="1"/>
  <c r="K17" i="11"/>
  <c r="F17" i="11"/>
  <c r="N31" i="16"/>
  <c r="O31" i="16" s="1"/>
  <c r="P31" i="16"/>
  <c r="M32" i="16"/>
  <c r="J33" i="16"/>
  <c r="I32" i="16"/>
  <c r="G32" i="16"/>
  <c r="J34" i="18" l="1"/>
  <c r="K34" i="18" s="1"/>
  <c r="M33" i="18"/>
  <c r="N33" i="18" s="1"/>
  <c r="I34" i="18"/>
  <c r="H35" i="18" s="1"/>
  <c r="F21" i="12"/>
  <c r="I21" i="12"/>
  <c r="G17" i="11"/>
  <c r="H18" i="11" s="1"/>
  <c r="L17" i="11"/>
  <c r="M17" i="11"/>
  <c r="I33" i="16"/>
  <c r="G33" i="16"/>
  <c r="P32" i="16"/>
  <c r="N32" i="16"/>
  <c r="O32" i="16" s="1"/>
  <c r="M33" i="16"/>
  <c r="J34" i="16"/>
  <c r="J35" i="18" l="1"/>
  <c r="K35" i="18" s="1"/>
  <c r="M34" i="18"/>
  <c r="N34" i="18" s="1"/>
  <c r="I35" i="18"/>
  <c r="H36" i="18" s="1"/>
  <c r="G21" i="12"/>
  <c r="H22" i="12" s="1"/>
  <c r="K18" i="11"/>
  <c r="F18" i="11"/>
  <c r="M34" i="16"/>
  <c r="J35" i="16"/>
  <c r="N33" i="16"/>
  <c r="O33" i="16" s="1"/>
  <c r="P33" i="16"/>
  <c r="I34" i="16"/>
  <c r="G34" i="16"/>
  <c r="J36" i="18" l="1"/>
  <c r="K36" i="18" s="1"/>
  <c r="M35" i="18"/>
  <c r="N35" i="18" s="1"/>
  <c r="I36" i="18"/>
  <c r="H37" i="18" s="1"/>
  <c r="F22" i="12"/>
  <c r="I22" i="12"/>
  <c r="G18" i="11"/>
  <c r="H19" i="11" s="1"/>
  <c r="M18" i="11"/>
  <c r="L18" i="11"/>
  <c r="M35" i="16"/>
  <c r="P35" i="16" s="1"/>
  <c r="J36" i="16"/>
  <c r="I35" i="16"/>
  <c r="G35" i="16"/>
  <c r="P34" i="16"/>
  <c r="N34" i="16"/>
  <c r="O34" i="16" s="1"/>
  <c r="J37" i="18" l="1"/>
  <c r="K37" i="18" s="1"/>
  <c r="M36" i="18"/>
  <c r="N36" i="18" s="1"/>
  <c r="I37" i="18"/>
  <c r="H38" i="18" s="1"/>
  <c r="G22" i="12"/>
  <c r="H23" i="12" s="1"/>
  <c r="F19" i="11"/>
  <c r="K19" i="11"/>
  <c r="I36" i="16"/>
  <c r="G36" i="16"/>
  <c r="M36" i="16"/>
  <c r="J37" i="16"/>
  <c r="J38" i="16" s="1"/>
  <c r="N35" i="16"/>
  <c r="O35" i="16" s="1"/>
  <c r="M37" i="18" l="1"/>
  <c r="N37" i="18" s="1"/>
  <c r="J38" i="18"/>
  <c r="K38" i="18" s="1"/>
  <c r="I38" i="18"/>
  <c r="H39" i="18" s="1"/>
  <c r="F23" i="12"/>
  <c r="I23" i="12"/>
  <c r="M19" i="11"/>
  <c r="L19" i="11"/>
  <c r="G19" i="11"/>
  <c r="H20" i="11" s="1"/>
  <c r="P36" i="16"/>
  <c r="N36" i="16"/>
  <c r="O36" i="16" s="1"/>
  <c r="M37" i="16"/>
  <c r="I37" i="16"/>
  <c r="G37" i="16"/>
  <c r="J39" i="18" l="1"/>
  <c r="K39" i="18" s="1"/>
  <c r="M38" i="18"/>
  <c r="N38" i="18" s="1"/>
  <c r="I39" i="18"/>
  <c r="H40" i="18" s="1"/>
  <c r="G23" i="12"/>
  <c r="H24" i="12" s="1"/>
  <c r="K20" i="11"/>
  <c r="F20" i="11"/>
  <c r="N37" i="16"/>
  <c r="O37" i="16" s="1"/>
  <c r="P37" i="16"/>
  <c r="I38" i="16"/>
  <c r="G38" i="16"/>
  <c r="M38" i="16"/>
  <c r="J39" i="16"/>
  <c r="J40" i="18" l="1"/>
  <c r="K40" i="18" s="1"/>
  <c r="M39" i="18"/>
  <c r="N39" i="18" s="1"/>
  <c r="I40" i="18"/>
  <c r="H41" i="18" s="1"/>
  <c r="F24" i="12"/>
  <c r="I24" i="12"/>
  <c r="G20" i="11"/>
  <c r="H21" i="11" s="1"/>
  <c r="L20" i="11"/>
  <c r="M20" i="11"/>
  <c r="M39" i="16"/>
  <c r="J40" i="16"/>
  <c r="P38" i="16"/>
  <c r="N38" i="16"/>
  <c r="O38" i="16" s="1"/>
  <c r="I39" i="16"/>
  <c r="G39" i="16"/>
  <c r="J41" i="18" l="1"/>
  <c r="K41" i="18" s="1"/>
  <c r="M40" i="18"/>
  <c r="N40" i="18" s="1"/>
  <c r="I41" i="18"/>
  <c r="H42" i="18" s="1"/>
  <c r="G24" i="12"/>
  <c r="H25" i="12" s="1"/>
  <c r="K21" i="11"/>
  <c r="F21" i="11"/>
  <c r="I40" i="16"/>
  <c r="G40" i="16"/>
  <c r="M40" i="16"/>
  <c r="J41" i="16"/>
  <c r="N39" i="16"/>
  <c r="O39" i="16" s="1"/>
  <c r="P39" i="16"/>
  <c r="J42" i="18" l="1"/>
  <c r="K42" i="18" s="1"/>
  <c r="M41" i="18"/>
  <c r="N41" i="18" s="1"/>
  <c r="I42" i="18"/>
  <c r="H43" i="18" s="1"/>
  <c r="F25" i="12"/>
  <c r="I25" i="12"/>
  <c r="G21" i="11"/>
  <c r="H22" i="11" s="1"/>
  <c r="M21" i="11"/>
  <c r="L21" i="11"/>
  <c r="P40" i="16"/>
  <c r="N40" i="16"/>
  <c r="O40" i="16" s="1"/>
  <c r="M41" i="16"/>
  <c r="J42" i="16"/>
  <c r="I41" i="16"/>
  <c r="G41" i="16"/>
  <c r="J43" i="18" l="1"/>
  <c r="K43" i="18" s="1"/>
  <c r="M42" i="18"/>
  <c r="N42" i="18" s="1"/>
  <c r="I43" i="18"/>
  <c r="H44" i="18" s="1"/>
  <c r="G25" i="12"/>
  <c r="H26" i="12" s="1"/>
  <c r="K22" i="11"/>
  <c r="F22" i="11"/>
  <c r="I42" i="16"/>
  <c r="G42" i="16"/>
  <c r="N41" i="16"/>
  <c r="O41" i="16" s="1"/>
  <c r="P41" i="16"/>
  <c r="M42" i="16"/>
  <c r="J43" i="16"/>
  <c r="M43" i="18" l="1"/>
  <c r="N43" i="18" s="1"/>
  <c r="J44" i="18"/>
  <c r="K44" i="18" s="1"/>
  <c r="I44" i="18"/>
  <c r="H45" i="18" s="1"/>
  <c r="F26" i="12"/>
  <c r="I26" i="12"/>
  <c r="G22" i="11"/>
  <c r="H23" i="11" s="1"/>
  <c r="M22" i="11"/>
  <c r="L22" i="11"/>
  <c r="M43" i="16"/>
  <c r="J44" i="16"/>
  <c r="P42" i="16"/>
  <c r="N42" i="16"/>
  <c r="O42" i="16" s="1"/>
  <c r="I43" i="16"/>
  <c r="G43" i="16"/>
  <c r="J45" i="18" l="1"/>
  <c r="K45" i="18" s="1"/>
  <c r="M44" i="18"/>
  <c r="N44" i="18" s="1"/>
  <c r="I45" i="18"/>
  <c r="H46" i="18" s="1"/>
  <c r="G26" i="12"/>
  <c r="H27" i="12" s="1"/>
  <c r="K23" i="11"/>
  <c r="F23" i="11"/>
  <c r="I44" i="16"/>
  <c r="G44" i="16"/>
  <c r="M44" i="16"/>
  <c r="J45" i="16"/>
  <c r="N43" i="16"/>
  <c r="O43" i="16" s="1"/>
  <c r="P43" i="16"/>
  <c r="M45" i="18" l="1"/>
  <c r="N45" i="18" s="1"/>
  <c r="J46" i="18"/>
  <c r="K46" i="18" s="1"/>
  <c r="I46" i="18"/>
  <c r="H47" i="18" s="1"/>
  <c r="F27" i="12"/>
  <c r="I27" i="12"/>
  <c r="G23" i="11"/>
  <c r="H24" i="11" s="1"/>
  <c r="M23" i="11"/>
  <c r="L23" i="11"/>
  <c r="P44" i="16"/>
  <c r="N44" i="16"/>
  <c r="O44" i="16" s="1"/>
  <c r="M45" i="16"/>
  <c r="J46" i="16"/>
  <c r="I45" i="16"/>
  <c r="G45" i="16"/>
  <c r="J47" i="18" l="1"/>
  <c r="K47" i="18" s="1"/>
  <c r="M46" i="18"/>
  <c r="N46" i="18" s="1"/>
  <c r="I47" i="18"/>
  <c r="H48" i="18" s="1"/>
  <c r="G27" i="12"/>
  <c r="H28" i="12" s="1"/>
  <c r="K24" i="11"/>
  <c r="F24" i="11"/>
  <c r="I46" i="16"/>
  <c r="G46" i="16"/>
  <c r="N45" i="16"/>
  <c r="O45" i="16" s="1"/>
  <c r="P45" i="16"/>
  <c r="M46" i="16"/>
  <c r="J47" i="16"/>
  <c r="J48" i="18" l="1"/>
  <c r="K48" i="18" s="1"/>
  <c r="M47" i="18"/>
  <c r="N47" i="18" s="1"/>
  <c r="I48" i="18"/>
  <c r="H49" i="18" s="1"/>
  <c r="F28" i="12"/>
  <c r="I28" i="12"/>
  <c r="G24" i="11"/>
  <c r="H25" i="11" s="1"/>
  <c r="L24" i="11"/>
  <c r="M24" i="11"/>
  <c r="M47" i="16"/>
  <c r="J48" i="16"/>
  <c r="P46" i="16"/>
  <c r="N46" i="16"/>
  <c r="O46" i="16" s="1"/>
  <c r="I47" i="16"/>
  <c r="G47" i="16"/>
  <c r="J49" i="18" l="1"/>
  <c r="K49" i="18" s="1"/>
  <c r="M48" i="18"/>
  <c r="N48" i="18" s="1"/>
  <c r="I49" i="18"/>
  <c r="H50" i="18" s="1"/>
  <c r="G28" i="12"/>
  <c r="H29" i="12" s="1"/>
  <c r="K25" i="11"/>
  <c r="F25" i="11"/>
  <c r="I48" i="16"/>
  <c r="G48" i="16"/>
  <c r="M48" i="16"/>
  <c r="J49" i="16"/>
  <c r="N47" i="16"/>
  <c r="O47" i="16" s="1"/>
  <c r="P47" i="16"/>
  <c r="J50" i="18" l="1"/>
  <c r="K50" i="18" s="1"/>
  <c r="M49" i="18"/>
  <c r="N49" i="18" s="1"/>
  <c r="I50" i="18"/>
  <c r="H51" i="18" s="1"/>
  <c r="F29" i="12"/>
  <c r="I29" i="12"/>
  <c r="G25" i="11"/>
  <c r="H26" i="11" s="1"/>
  <c r="M25" i="11"/>
  <c r="L25" i="11"/>
  <c r="P48" i="16"/>
  <c r="N48" i="16"/>
  <c r="O48" i="16" s="1"/>
  <c r="M49" i="16"/>
  <c r="J50" i="16"/>
  <c r="J51" i="16" s="1"/>
  <c r="I49" i="16"/>
  <c r="G49" i="16"/>
  <c r="M50" i="18" l="1"/>
  <c r="N50" i="18" s="1"/>
  <c r="J51" i="18"/>
  <c r="K51" i="18" s="1"/>
  <c r="I51" i="18"/>
  <c r="H52" i="18" s="1"/>
  <c r="G29" i="12"/>
  <c r="H30" i="12" s="1"/>
  <c r="K26" i="11"/>
  <c r="F26" i="11"/>
  <c r="M50" i="16"/>
  <c r="N49" i="16"/>
  <c r="O49" i="16" s="1"/>
  <c r="P49" i="16"/>
  <c r="I50" i="16"/>
  <c r="G50" i="16"/>
  <c r="J52" i="18" l="1"/>
  <c r="K52" i="18" s="1"/>
  <c r="M51" i="18"/>
  <c r="N51" i="18" s="1"/>
  <c r="I52" i="18"/>
  <c r="H53" i="18" s="1"/>
  <c r="F30" i="12"/>
  <c r="I30" i="12"/>
  <c r="G26" i="11"/>
  <c r="H27" i="11" s="1"/>
  <c r="M26" i="11"/>
  <c r="L26" i="11"/>
  <c r="I51" i="16"/>
  <c r="G51" i="16"/>
  <c r="M51" i="16"/>
  <c r="J52" i="16"/>
  <c r="J53" i="16" s="1"/>
  <c r="P50" i="16"/>
  <c r="N50" i="16"/>
  <c r="O50" i="16" s="1"/>
  <c r="J53" i="18" l="1"/>
  <c r="K53" i="18" s="1"/>
  <c r="I53" i="18"/>
  <c r="J62" i="18" s="1"/>
  <c r="K62" i="18" s="1"/>
  <c r="L62" i="18" s="1"/>
  <c r="M52" i="18"/>
  <c r="N52" i="18" s="1"/>
  <c r="G30" i="12"/>
  <c r="H31" i="12" s="1"/>
  <c r="K27" i="11"/>
  <c r="F27" i="11"/>
  <c r="G27" i="11" s="1"/>
  <c r="H28" i="11" s="1"/>
  <c r="N51" i="16"/>
  <c r="O51" i="16" s="1"/>
  <c r="P51" i="16"/>
  <c r="M52" i="16"/>
  <c r="J54" i="16"/>
  <c r="I52" i="16"/>
  <c r="G52" i="16"/>
  <c r="K55" i="16" l="1"/>
  <c r="J55" i="16"/>
  <c r="K56" i="16" s="1"/>
  <c r="L55" i="16"/>
  <c r="J54" i="18"/>
  <c r="K54" i="18" s="1"/>
  <c r="J63" i="18"/>
  <c r="K63" i="18" s="1"/>
  <c r="L63" i="18" s="1"/>
  <c r="J58" i="18"/>
  <c r="K58" i="18" s="1"/>
  <c r="L58" i="18" s="1"/>
  <c r="M53" i="18"/>
  <c r="N53" i="18" s="1"/>
  <c r="J64" i="18"/>
  <c r="K64" i="18" s="1"/>
  <c r="L64" i="18" s="1"/>
  <c r="J61" i="18"/>
  <c r="K61" i="18" s="1"/>
  <c r="L61" i="18" s="1"/>
  <c r="J65" i="18"/>
  <c r="K65" i="18" s="1"/>
  <c r="L65" i="18" s="1"/>
  <c r="J60" i="18"/>
  <c r="K60" i="18" s="1"/>
  <c r="L60" i="18" s="1"/>
  <c r="J57" i="18"/>
  <c r="K57" i="18" s="1"/>
  <c r="L57" i="18" s="1"/>
  <c r="J56" i="18"/>
  <c r="K56" i="18" s="1"/>
  <c r="L56" i="18" s="1"/>
  <c r="N56" i="18"/>
  <c r="J55" i="18"/>
  <c r="K55" i="18" s="1"/>
  <c r="L55" i="18" s="1"/>
  <c r="J59" i="18"/>
  <c r="K59" i="18" s="1"/>
  <c r="L59" i="18" s="1"/>
  <c r="F31" i="12"/>
  <c r="G31" i="12" s="1"/>
  <c r="I31" i="12"/>
  <c r="K28" i="11"/>
  <c r="F28" i="11"/>
  <c r="G28" i="11" s="1"/>
  <c r="H29" i="11" s="1"/>
  <c r="K29" i="11" s="1"/>
  <c r="L27" i="11"/>
  <c r="M27" i="11"/>
  <c r="I53" i="16"/>
  <c r="G53" i="16"/>
  <c r="P52" i="16"/>
  <c r="N52" i="16"/>
  <c r="O52" i="16" s="1"/>
  <c r="M53" i="16"/>
  <c r="L56" i="16" l="1"/>
  <c r="H30" i="11"/>
  <c r="H32" i="12"/>
  <c r="L28" i="11"/>
  <c r="M28" i="11"/>
  <c r="N53" i="16"/>
  <c r="O53" i="16" s="1"/>
  <c r="P53" i="16"/>
  <c r="M54" i="16"/>
  <c r="M58" i="16" s="1"/>
  <c r="I54" i="16"/>
  <c r="G54" i="16"/>
  <c r="M29" i="11"/>
  <c r="L29" i="11"/>
  <c r="I55" i="16" l="1"/>
  <c r="G55" i="16"/>
  <c r="K57" i="16"/>
  <c r="F32" i="12"/>
  <c r="I32" i="12"/>
  <c r="P54" i="16"/>
  <c r="P58" i="16" s="1"/>
  <c r="N54" i="16"/>
  <c r="N58" i="16" s="1"/>
  <c r="F30" i="11"/>
  <c r="K30" i="11"/>
  <c r="G32" i="12" l="1"/>
  <c r="H33" i="12" s="1"/>
  <c r="K58" i="16"/>
  <c r="L58" i="16" s="1"/>
  <c r="L57" i="16"/>
  <c r="O54" i="16"/>
  <c r="O58" i="16" s="1"/>
  <c r="M30" i="11"/>
  <c r="L30" i="11"/>
  <c r="G30" i="11"/>
  <c r="H31" i="11" s="1"/>
  <c r="F33" i="12" l="1"/>
  <c r="I33" i="12"/>
  <c r="K59" i="16"/>
  <c r="L59" i="16" s="1"/>
  <c r="F31" i="11"/>
  <c r="K31" i="11"/>
  <c r="G33" i="12" l="1"/>
  <c r="H34" i="12" s="1"/>
  <c r="K60" i="16"/>
  <c r="M31" i="11"/>
  <c r="L31" i="11"/>
  <c r="G31" i="11"/>
  <c r="H32" i="11" s="1"/>
  <c r="F34" i="12" l="1"/>
  <c r="I34" i="12"/>
  <c r="K61" i="16"/>
  <c r="L61" i="16" s="1"/>
  <c r="L60" i="16"/>
  <c r="F32" i="11"/>
  <c r="K32" i="11"/>
  <c r="G34" i="12" l="1"/>
  <c r="H35" i="12" s="1"/>
  <c r="K62" i="16"/>
  <c r="L62" i="16" s="1"/>
  <c r="M32" i="11"/>
  <c r="L32" i="11"/>
  <c r="G32" i="11"/>
  <c r="H33" i="11" s="1"/>
  <c r="F35" i="12" l="1"/>
  <c r="G35" i="12" s="1"/>
  <c r="I35" i="12"/>
  <c r="K63" i="16"/>
  <c r="L63" i="16" s="1"/>
  <c r="F33" i="11"/>
  <c r="K33" i="11"/>
  <c r="H36" i="12" l="1"/>
  <c r="K64" i="16"/>
  <c r="M33" i="11"/>
  <c r="L33" i="11"/>
  <c r="G33" i="11"/>
  <c r="H34" i="11" s="1"/>
  <c r="F36" i="12" l="1"/>
  <c r="I36" i="12"/>
  <c r="K65" i="16"/>
  <c r="L65" i="16" s="1"/>
  <c r="L64" i="16"/>
  <c r="F34" i="11"/>
  <c r="K34" i="11"/>
  <c r="G36" i="12" l="1"/>
  <c r="H37" i="12" s="1"/>
  <c r="K66" i="16"/>
  <c r="L66" i="16" s="1"/>
  <c r="M34" i="11"/>
  <c r="L34" i="11"/>
  <c r="G34" i="11"/>
  <c r="H35" i="11" s="1"/>
  <c r="F37" i="12" l="1"/>
  <c r="I37" i="12"/>
  <c r="F35" i="11"/>
  <c r="K35" i="11"/>
  <c r="G37" i="12" l="1"/>
  <c r="H38" i="12" s="1"/>
  <c r="L35" i="11"/>
  <c r="M35" i="11"/>
  <c r="G35" i="11"/>
  <c r="H36" i="11" s="1"/>
  <c r="F38" i="12" l="1"/>
  <c r="I38" i="12"/>
  <c r="F36" i="11"/>
  <c r="K36" i="11"/>
  <c r="G38" i="12" l="1"/>
  <c r="H39" i="12" s="1"/>
  <c r="M36" i="11"/>
  <c r="L36" i="11"/>
  <c r="G36" i="11"/>
  <c r="H37" i="11" s="1"/>
  <c r="F39" i="12" l="1"/>
  <c r="I39" i="12"/>
  <c r="F37" i="11"/>
  <c r="K37" i="11"/>
  <c r="G39" i="12" l="1"/>
  <c r="H40" i="12" s="1"/>
  <c r="L37" i="11"/>
  <c r="M37" i="11"/>
  <c r="G37" i="11"/>
  <c r="H38" i="11" s="1"/>
  <c r="F40" i="12" l="1"/>
  <c r="I40" i="12"/>
  <c r="F38" i="11"/>
  <c r="K38" i="11"/>
  <c r="G40" i="12" l="1"/>
  <c r="H41" i="12" s="1"/>
  <c r="M38" i="11"/>
  <c r="L38" i="11"/>
  <c r="G38" i="11"/>
  <c r="H39" i="11" s="1"/>
  <c r="F41" i="12" l="1"/>
  <c r="I41" i="12"/>
  <c r="F39" i="11"/>
  <c r="K39" i="11"/>
  <c r="G41" i="12" l="1"/>
  <c r="H42" i="12" s="1"/>
  <c r="M39" i="11"/>
  <c r="L39" i="11"/>
  <c r="G39" i="11"/>
  <c r="H40" i="11" s="1"/>
  <c r="F42" i="12" l="1"/>
  <c r="I42" i="12"/>
  <c r="F40" i="11"/>
  <c r="K40" i="11"/>
  <c r="G42" i="12" l="1"/>
  <c r="H43" i="12" s="1"/>
  <c r="L40" i="11"/>
  <c r="M40" i="11"/>
  <c r="G40" i="11"/>
  <c r="H41" i="11" s="1"/>
  <c r="F43" i="12" l="1"/>
  <c r="I43" i="12"/>
  <c r="F41" i="11"/>
  <c r="K41" i="11"/>
  <c r="G43" i="12" l="1"/>
  <c r="H44" i="12" s="1"/>
  <c r="M41" i="11"/>
  <c r="L41" i="11"/>
  <c r="G41" i="11"/>
  <c r="H42" i="11" s="1"/>
  <c r="F44" i="12" l="1"/>
  <c r="I44" i="12"/>
  <c r="F42" i="11"/>
  <c r="K42" i="11"/>
  <c r="G44" i="12" l="1"/>
  <c r="H45" i="12" s="1"/>
  <c r="L42" i="11"/>
  <c r="M42" i="11"/>
  <c r="G42" i="11"/>
  <c r="H43" i="11" s="1"/>
  <c r="F45" i="12" l="1"/>
  <c r="I45" i="12"/>
  <c r="F43" i="11"/>
  <c r="K43" i="11"/>
  <c r="G45" i="12" l="1"/>
  <c r="H46" i="12" s="1"/>
  <c r="L43" i="11"/>
  <c r="M43" i="11"/>
  <c r="G43" i="11"/>
  <c r="H44" i="11" s="1"/>
  <c r="F46" i="12" l="1"/>
  <c r="I46" i="12"/>
  <c r="F44" i="11"/>
  <c r="K44" i="11"/>
  <c r="G46" i="12" l="1"/>
  <c r="H47" i="12" s="1"/>
  <c r="L44" i="11"/>
  <c r="M44" i="11"/>
  <c r="G44" i="11"/>
  <c r="H45" i="11" s="1"/>
  <c r="F47" i="12" l="1"/>
  <c r="I47" i="12"/>
  <c r="F45" i="11"/>
  <c r="K45" i="11"/>
  <c r="G47" i="12" l="1"/>
  <c r="H48" i="12" s="1"/>
  <c r="L45" i="11"/>
  <c r="M45" i="11"/>
  <c r="G45" i="11"/>
  <c r="H46" i="11" s="1"/>
  <c r="F48" i="12" l="1"/>
  <c r="I48" i="12"/>
  <c r="F46" i="11"/>
  <c r="K46" i="11"/>
  <c r="G48" i="12" l="1"/>
  <c r="H49" i="12" s="1"/>
  <c r="I49" i="12" s="1"/>
  <c r="L46" i="11"/>
  <c r="M46" i="11"/>
  <c r="G46" i="11"/>
  <c r="H47" i="11" s="1"/>
  <c r="F49" i="12" l="1"/>
  <c r="F47" i="11"/>
  <c r="K47" i="11"/>
  <c r="G49" i="12" l="1"/>
  <c r="H50" i="12" s="1"/>
  <c r="F50" i="12" s="1"/>
  <c r="M47" i="11"/>
  <c r="L47" i="11"/>
  <c r="G47" i="11"/>
  <c r="H48" i="11" s="1"/>
  <c r="I50" i="12" l="1"/>
  <c r="F48" i="11"/>
  <c r="K48" i="11"/>
  <c r="G50" i="12" l="1"/>
  <c r="H51" i="12" s="1"/>
  <c r="L48" i="11"/>
  <c r="M48" i="11"/>
  <c r="G48" i="11"/>
  <c r="H49" i="11" s="1"/>
  <c r="K49" i="11" s="1"/>
  <c r="M49" i="11" s="1"/>
  <c r="F51" i="12" l="1"/>
  <c r="G51" i="12" s="1"/>
  <c r="I51" i="12"/>
  <c r="F49" i="11"/>
  <c r="H52" i="12" l="1"/>
  <c r="L49" i="11"/>
  <c r="H50" i="11"/>
  <c r="F50" i="11" s="1"/>
  <c r="F52" i="12" l="1"/>
  <c r="I52" i="12"/>
  <c r="K50" i="11"/>
  <c r="G52" i="12" l="1"/>
  <c r="H53" i="12" s="1"/>
  <c r="L50" i="11"/>
  <c r="M50" i="11"/>
  <c r="G50" i="11"/>
  <c r="H51" i="11" s="1"/>
  <c r="F53" i="12" l="1"/>
  <c r="I53" i="12"/>
  <c r="F51" i="11"/>
  <c r="K51" i="11"/>
  <c r="G53" i="12" l="1"/>
  <c r="H54" i="12" s="1"/>
  <c r="M51" i="11"/>
  <c r="L51" i="11"/>
  <c r="G51" i="11"/>
  <c r="H52" i="11" s="1"/>
  <c r="F54" i="12" l="1"/>
  <c r="I54" i="12"/>
  <c r="F52" i="11"/>
  <c r="K52" i="11"/>
  <c r="G54" i="12" l="1"/>
  <c r="H55" i="12" s="1"/>
  <c r="M52" i="11"/>
  <c r="L52" i="11"/>
  <c r="H53" i="11"/>
  <c r="F55" i="12" l="1"/>
  <c r="I55" i="12"/>
  <c r="F53" i="11"/>
  <c r="K53" i="11"/>
  <c r="G55" i="12" l="1"/>
  <c r="H56" i="12" s="1"/>
  <c r="L53" i="11"/>
  <c r="L56" i="11" s="1"/>
  <c r="M53" i="11"/>
  <c r="K56" i="11"/>
  <c r="G53" i="11"/>
  <c r="F56" i="12" l="1"/>
  <c r="I56" i="12"/>
  <c r="I59" i="12" s="1"/>
  <c r="G56" i="12" l="1"/>
  <c r="J57" i="12" s="1"/>
  <c r="J58" i="12" s="1"/>
  <c r="I55" i="11"/>
  <c r="H57" i="11"/>
  <c r="I56" i="11"/>
  <c r="I57" i="11" l="1"/>
  <c r="H58" i="11"/>
  <c r="H59" i="11" s="1"/>
  <c r="H57" i="12"/>
  <c r="K57" i="12" l="1"/>
  <c r="I58" i="11"/>
  <c r="J59" i="12" l="1"/>
  <c r="J60" i="12" s="1"/>
  <c r="K58" i="12"/>
  <c r="H60" i="11"/>
  <c r="H61" i="11" s="1"/>
  <c r="I61" i="11" s="1"/>
  <c r="I59" i="11"/>
  <c r="K59" i="12" l="1"/>
  <c r="I60" i="11"/>
  <c r="J61" i="12" l="1"/>
  <c r="K60" i="12"/>
  <c r="H62" i="11"/>
  <c r="J62" i="12" l="1"/>
  <c r="K61" i="12"/>
  <c r="H63" i="11"/>
  <c r="I62" i="11"/>
  <c r="J63" i="12" l="1"/>
  <c r="K62" i="12"/>
  <c r="H64" i="11"/>
  <c r="I64" i="11" s="1"/>
  <c r="I63" i="11"/>
  <c r="J64" i="12" l="1"/>
  <c r="K63" i="12"/>
  <c r="H65" i="11"/>
  <c r="J65" i="12" l="1"/>
  <c r="K64" i="12"/>
  <c r="I65" i="11"/>
  <c r="J66" i="12" l="1"/>
  <c r="K65" i="12"/>
  <c r="J67" i="12" l="1"/>
  <c r="K66" i="12"/>
  <c r="J68" i="12" l="1"/>
  <c r="K68" i="12" s="1"/>
  <c r="K6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 Miller</author>
  </authors>
  <commentList>
    <comment ref="C3" authorId="0" shapeId="0" xr:uid="{62CA089C-539E-4E37-BC64-AD9575ED2555}">
      <text>
        <r>
          <rPr>
            <b/>
            <sz val="8"/>
            <color indexed="81"/>
            <rFont val="Tahoma"/>
            <family val="2"/>
          </rPr>
          <t>At a Richmond bank (since has merged with another)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 Miller</author>
  </authors>
  <commentList>
    <comment ref="C3" authorId="0" shapeId="0" xr:uid="{57646634-7E41-4279-8ACB-390369D48E15}">
      <text>
        <r>
          <rPr>
            <b/>
            <sz val="8"/>
            <color indexed="81"/>
            <rFont val="Tahoma"/>
            <family val="2"/>
          </rPr>
          <t>At a Richmond bank (since has merged with another)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tc={FB634E78-B324-4192-A517-63CED11C8DC1}</author>
  </authors>
  <commentList>
    <comment ref="L49" authorId="0" shapeId="0" xr:uid="{FB634E78-B324-4192-A517-63CED11C8DC1}">
      <text>
        <t>[Threaded comment]
Your version of Excel allows you to read this threaded comment; however, any edits to it will get removed if the file is opened in a newer version of Excel. Learn more: https://go.microsoft.com/fwlink/?linkid=870924
Comment:
    Naïve w/Seasonals
Forecast: From "Seasonal_Adj" tab</t>
      </text>
    </comment>
  </commentList>
</comments>
</file>

<file path=xl/sharedStrings.xml><?xml version="1.0" encoding="utf-8"?>
<sst xmlns="http://schemas.openxmlformats.org/spreadsheetml/2006/main" count="1031" uniqueCount="186">
  <si>
    <t>Core Deposits</t>
  </si>
  <si>
    <t>t</t>
  </si>
  <si>
    <t>Month/Year</t>
  </si>
  <si>
    <t>Total Core Deposits        ($ millions)</t>
  </si>
  <si>
    <t>Unaided</t>
  </si>
  <si>
    <t>First
Diff</t>
  </si>
  <si>
    <t>LN</t>
  </si>
  <si>
    <t>LN Diff</t>
  </si>
  <si>
    <t>Average</t>
  </si>
  <si>
    <t>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</si>
  <si>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</si>
  <si>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</si>
  <si>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</si>
  <si>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</si>
  <si>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</si>
  <si>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</si>
  <si>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</si>
  <si>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</si>
  <si>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</si>
  <si>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</si>
  <si>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</si>
  <si>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</si>
  <si>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Naïve
Forecast</t>
  </si>
  <si>
    <t xml:space="preserve">Forecast
 Rev. </t>
  </si>
  <si>
    <t>Forecast
 Diff</t>
  </si>
  <si>
    <t>CMA(3)</t>
  </si>
  <si>
    <t>CMA(5)</t>
  </si>
  <si>
    <t>CMA(4)</t>
  </si>
  <si>
    <t>Error
Naive</t>
  </si>
  <si>
    <t>Error
3 Mo. Avg</t>
  </si>
  <si>
    <t>Error 6
 Mo. Avg</t>
  </si>
  <si>
    <t>Error 4
 Mo. Avg</t>
  </si>
  <si>
    <t xml:space="preserve">Include Weights? </t>
  </si>
  <si>
    <t>3 Mo. Avg</t>
  </si>
  <si>
    <t>Season Ratio</t>
  </si>
  <si>
    <t>Seasonal Adj Ratio</t>
  </si>
  <si>
    <t>3M  MA w/Seasonals</t>
  </si>
  <si>
    <t>3M Naïve Sea Adj
Forecast</t>
  </si>
  <si>
    <t>3M Naïve w/Seasonals
Forecast</t>
  </si>
  <si>
    <t>6 Mo. Avg</t>
  </si>
  <si>
    <t>6M  MA w/Seasonals</t>
  </si>
  <si>
    <t>6M Naïve Sea Adj
Forecast</t>
  </si>
  <si>
    <t>6M Naïve w/Seasonals
Forecast</t>
  </si>
  <si>
    <t>MAE</t>
  </si>
  <si>
    <t>Mean Absolute Error</t>
  </si>
  <si>
    <t xml:space="preserve">3 Month: </t>
  </si>
  <si>
    <t>Average of Season Ratio</t>
  </si>
  <si>
    <t>Column Labels</t>
  </si>
  <si>
    <t>Row Labels</t>
  </si>
  <si>
    <t>1988</t>
  </si>
  <si>
    <t>1989</t>
  </si>
  <si>
    <t>1990</t>
  </si>
  <si>
    <t>1991</t>
  </si>
  <si>
    <t>1992</t>
  </si>
  <si>
    <t>Grand Total</t>
  </si>
  <si>
    <t xml:space="preserve">6 month: </t>
  </si>
  <si>
    <t>Average of Season Ratio2</t>
  </si>
  <si>
    <t>1993</t>
  </si>
  <si>
    <t>CMA (3)
Adj</t>
  </si>
  <si>
    <t>Season
 Ratio</t>
  </si>
  <si>
    <t>Seasonal
Adj Series</t>
  </si>
  <si>
    <t>Seasonal Adj Series</t>
  </si>
  <si>
    <t>Naïve Sea Adj
Forecast</t>
  </si>
  <si>
    <t>3M CMA Naïve w/Seasonals
Forecast</t>
  </si>
  <si>
    <t>Averages</t>
  </si>
  <si>
    <t>Adj Sum Index</t>
  </si>
  <si>
    <t>Sum</t>
  </si>
  <si>
    <t>Ajdfac(Sum)</t>
  </si>
  <si>
    <t>Sum of Season
 Ratio</t>
  </si>
  <si>
    <t>CMA (6)
Adj</t>
  </si>
  <si>
    <t>6M CMA Naïve w/Seasonals
Forecast</t>
  </si>
  <si>
    <t>CMA (12)
Adj</t>
  </si>
  <si>
    <t>12M CMA Naïve w/Seasonals
Forecast</t>
  </si>
  <si>
    <t>Naïve F/C
Diff</t>
  </si>
  <si>
    <t>Seasonal Adj Series F/C</t>
  </si>
  <si>
    <t>Linear-Naïve w/Seasonals FC</t>
  </si>
  <si>
    <t>Naïve w/Seasonals
Forecast</t>
  </si>
  <si>
    <t>Simple Exponential Smoothing</t>
  </si>
  <si>
    <t>a =</t>
  </si>
  <si>
    <t>Seasonal
Adj factor</t>
  </si>
  <si>
    <t>F(t): F(1)=Y1</t>
  </si>
  <si>
    <t>F(1)=Ave(3)</t>
  </si>
  <si>
    <t>F(1)=Ave(24)</t>
  </si>
  <si>
    <t>F(1)=0</t>
  </si>
  <si>
    <t>Ft=Ave(6)</t>
  </si>
  <si>
    <t>Sea Adj F/C</t>
  </si>
  <si>
    <t>ES FC</t>
  </si>
  <si>
    <t>Error</t>
  </si>
  <si>
    <t>ABS(E)</t>
  </si>
  <si>
    <t>ABS %</t>
  </si>
  <si>
    <t>e^2</t>
  </si>
  <si>
    <t>ME</t>
  </si>
  <si>
    <t>MAPE</t>
  </si>
  <si>
    <t>MSE</t>
  </si>
  <si>
    <t>Judge</t>
  </si>
  <si>
    <t>Alpha</t>
  </si>
  <si>
    <t>F/C</t>
  </si>
  <si>
    <t>Min</t>
  </si>
  <si>
    <t>Holt's Linear Exponential Smoothing</t>
  </si>
  <si>
    <t>Beta</t>
  </si>
  <si>
    <t>m=1</t>
  </si>
  <si>
    <t>Seasonal</t>
  </si>
  <si>
    <t>Core Deposits        ($ mills)</t>
  </si>
  <si>
    <r>
      <t>L</t>
    </r>
    <r>
      <rPr>
        <vertAlign val="subscript"/>
        <sz val="10"/>
        <rFont val="Arial"/>
        <family val="2"/>
      </rPr>
      <t>t</t>
    </r>
  </si>
  <si>
    <r>
      <t>b</t>
    </r>
    <r>
      <rPr>
        <vertAlign val="subscript"/>
        <sz val="10"/>
        <rFont val="Arial"/>
        <family val="2"/>
      </rPr>
      <t>t</t>
    </r>
  </si>
  <si>
    <r>
      <t>F</t>
    </r>
    <r>
      <rPr>
        <vertAlign val="subscript"/>
        <sz val="10"/>
        <rFont val="Arial"/>
        <family val="2"/>
      </rPr>
      <t>t+m</t>
    </r>
  </si>
  <si>
    <t>Holt’s linear_Exp Smooth FC</t>
  </si>
  <si>
    <t>error</t>
  </si>
  <si>
    <t>error^2</t>
  </si>
  <si>
    <t xml:space="preserve">         Point Forecast    Lo 80    Hi 80    Lo 95    Hi 95</t>
  </si>
  <si>
    <t>Oct 1992       6071.535 5948.632 6194.438 5883.570 6259.499</t>
  </si>
  <si>
    <t>Nov 1992       6118.520 5945.616 6291.424 5854.086 6382.954</t>
  </si>
  <si>
    <t>Dec 1992       6165.505 5954.106 6376.904 5842.198 6488.812</t>
  </si>
  <si>
    <t>Jan 1993       6212.490 5968.592 6456.388 5839.480 6585.500</t>
  </si>
  <si>
    <t>Feb 1993       6259.476 5986.921 6532.030 5842.639 6676.312</t>
  </si>
  <si>
    <t>Mar 1993       6306.461 6007.984 6604.938 5849.979 6762.942</t>
  </si>
  <si>
    <t>Apr 1993       6353.446 6031.120 6675.772 5860.490 6846.401</t>
  </si>
  <si>
    <t>May 1993       6400.431 6055.898 6744.964 5873.513 6927.349</t>
  </si>
  <si>
    <t>Jun 1993       6447.416 6082.020 6812.813 5888.591 7006.242</t>
  </si>
  <si>
    <t>Jul 1993       6494.401 6109.266 6879.537 5905.388 7083.415</t>
  </si>
  <si>
    <t>Aug 1993       6541.386 6137.472 6945.301 5923.653 7159.120</t>
  </si>
  <si>
    <t>Sep 1993       6588.372 6166.510 7010.233 5943.190 7233.554</t>
  </si>
  <si>
    <t>Holt's method</t>
  </si>
  <si>
    <t>R Script attached</t>
  </si>
  <si>
    <t>R Holt's Model</t>
  </si>
  <si>
    <t>Dampened Trend ES</t>
  </si>
  <si>
    <t>Damped Trend Exponential Smoothing</t>
  </si>
  <si>
    <t>Forecast:</t>
  </si>
  <si>
    <t>f</t>
  </si>
  <si>
    <t>E^2</t>
  </si>
  <si>
    <t>Damped Trend ES FC</t>
  </si>
  <si>
    <t>adj</t>
  </si>
  <si>
    <t>Intercept</t>
  </si>
  <si>
    <t>Slope</t>
  </si>
  <si>
    <t>a</t>
  </si>
  <si>
    <t>b</t>
  </si>
  <si>
    <t>Adj Fac</t>
  </si>
  <si>
    <t>LN Rev</t>
  </si>
  <si>
    <t>Seasional F/C</t>
  </si>
  <si>
    <t>Unaided
Eyeball</t>
  </si>
  <si>
    <t xml:space="preserve">Naïve w/o seasonal </t>
  </si>
  <si>
    <t>R Holts</t>
  </si>
  <si>
    <t>3M MA Naïve w/Seasonals
Forecast</t>
  </si>
  <si>
    <t>Holt's Linear Exponential Smooothing</t>
  </si>
  <si>
    <t>Regression w/o seas adj</t>
  </si>
  <si>
    <t>Regression with seasonal adjustment</t>
  </si>
  <si>
    <t>Average ALL</t>
  </si>
  <si>
    <t>Month</t>
  </si>
  <si>
    <t>Max</t>
  </si>
  <si>
    <t>Complete Evaluation</t>
  </si>
  <si>
    <t>for Naïve</t>
  </si>
  <si>
    <t>Errors</t>
  </si>
  <si>
    <t>ABS(% Errors)</t>
  </si>
  <si>
    <t>Naïve</t>
  </si>
  <si>
    <t>Per</t>
  </si>
  <si>
    <t>Takeoff</t>
  </si>
  <si>
    <t>Sep. '92</t>
  </si>
  <si>
    <t>Out</t>
  </si>
  <si>
    <t>Add to</t>
  </si>
  <si>
    <t>Dec '92</t>
  </si>
  <si>
    <t>of</t>
  </si>
  <si>
    <t>Data</t>
  </si>
  <si>
    <t>Re-forecast</t>
  </si>
  <si>
    <t>Sample</t>
  </si>
  <si>
    <t>March '93</t>
  </si>
  <si>
    <t>Jun. '93</t>
  </si>
  <si>
    <t>Out of</t>
  </si>
  <si>
    <t>**For each forecast, you have to go back, add the new data points and reforecast</t>
  </si>
  <si>
    <t>`</t>
  </si>
  <si>
    <t>3M MA Naïve w/Seasonals</t>
  </si>
  <si>
    <t>Simple ES</t>
  </si>
  <si>
    <t>Regression W/o Sea Adj.</t>
  </si>
  <si>
    <t>Reg with Seasonal adj</t>
  </si>
  <si>
    <t>Comparison of Models</t>
  </si>
  <si>
    <t>Error Measurement - MAPE</t>
  </si>
  <si>
    <t>Model:</t>
  </si>
  <si>
    <t>Naive</t>
  </si>
  <si>
    <t>F/C Horizon</t>
  </si>
  <si>
    <t>F/C Takeoff Point</t>
  </si>
  <si>
    <t>1 Mo.</t>
  </si>
  <si>
    <t>5 Mo.</t>
  </si>
  <si>
    <t>9 Mo.</t>
  </si>
  <si>
    <t>12 Mo.</t>
  </si>
  <si>
    <t>Average:</t>
  </si>
  <si>
    <t>Comparison to Naïve</t>
  </si>
  <si>
    <t>Regression With Sea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</si>
</sst>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"/>
    <numFmt numFmtId="166" formatCode="0.000"/>
    <numFmt numFmtId="167" formatCode="0_);[Red]\(0\)"/>
    <numFmt numFmtId="168" formatCode="0.00_);[Red]\(0.00\)"/>
    <numFmt numFmtId="169" formatCode="&quot;$&quot;#,##0"/>
    <numFmt numFmtId="170" formatCode="#,##0.000"/>
    <numFmt numFmtId="171" formatCode="#,##0.00000"/>
    <numFmt numFmtId="172" formatCode="_(&quot;$&quot;* #,##0_);_(&quot;$&quot;* \(#,##0\);_(&quot;$&quot;* &quot;-&quot;??_);_(@_)"/>
    <numFmt numFmtId="173" formatCode="_(* #,##0.0000_);_(* \(#,##0.0000\);_(* &quot;-&quot;??_);_(@_)"/>
    <numFmt numFmtId="174" formatCode="0.00000000000"/>
    <numFmt numFmtId="175" formatCode="[$-409]mmm\-yy;@"/>
    <numFmt numFmtId="17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sz val="16"/>
      <name val="Symbol"/>
      <family val="1"/>
      <charset val="2"/>
    </font>
    <font>
      <b/>
      <sz val="14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4"/>
      <name val="Symbol"/>
      <family val="1"/>
      <charset val="2"/>
    </font>
    <font>
      <sz val="10"/>
      <name val="Arial"/>
      <family val="2"/>
    </font>
    <font>
      <sz val="14"/>
      <name val="Arial"/>
      <family val="2"/>
    </font>
    <font>
      <u/>
      <sz val="1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  <xf numFmtId="0" fontId="8" fillId="0" borderId="0"/>
  </cellStyleXfs>
  <cellXfs count="175">
    <xf numFmtId="0" fontId="0" fillId="0" borderId="0" xfId="0"/>
    <xf numFmtId="0" fontId="0" fillId="2" borderId="0" xfId="0" applyFill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1" applyNumberFormat="1" applyFont="1" applyFill="1"/>
    <xf numFmtId="164" fontId="0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/>
    <xf numFmtId="14" fontId="0" fillId="2" borderId="0" xfId="0" applyNumberForma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1" applyNumberFormat="1" applyFont="1" applyFill="1" applyBorder="1" applyAlignment="1">
      <alignment horizontal="center" wrapText="1"/>
    </xf>
    <xf numFmtId="164" fontId="0" fillId="3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5" borderId="0" xfId="0" applyFill="1"/>
    <xf numFmtId="164" fontId="0" fillId="5" borderId="0" xfId="0" applyNumberFormat="1" applyFill="1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6" fontId="0" fillId="6" borderId="0" xfId="0" applyNumberFormat="1" applyFill="1"/>
    <xf numFmtId="0" fontId="0" fillId="2" borderId="0" xfId="0" applyFill="1" applyAlignment="1">
      <alignment wrapText="1"/>
    </xf>
    <xf numFmtId="164" fontId="0" fillId="2" borderId="0" xfId="0" applyNumberFormat="1" applyFill="1"/>
    <xf numFmtId="2" fontId="5" fillId="7" borderId="0" xfId="0" applyNumberFormat="1" applyFont="1" applyFill="1" applyAlignment="1">
      <alignment horizontal="center"/>
    </xf>
    <xf numFmtId="2" fontId="0" fillId="2" borderId="0" xfId="0" applyNumberFormat="1" applyFill="1"/>
    <xf numFmtId="164" fontId="0" fillId="8" borderId="0" xfId="0" applyNumberFormat="1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164" fontId="0" fillId="9" borderId="0" xfId="0" applyNumberFormat="1" applyFill="1"/>
    <xf numFmtId="44" fontId="0" fillId="10" borderId="0" xfId="1" applyFont="1" applyFill="1"/>
    <xf numFmtId="0" fontId="0" fillId="7" borderId="0" xfId="0" applyFill="1" applyAlignment="1">
      <alignment horizontal="center" vertic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/>
    <xf numFmtId="167" fontId="7" fillId="0" borderId="0" xfId="0" applyNumberFormat="1" applyFont="1" applyAlignment="1">
      <alignment horizontal="center"/>
    </xf>
    <xf numFmtId="167" fontId="0" fillId="0" borderId="0" xfId="0" applyNumberFormat="1"/>
    <xf numFmtId="10" fontId="0" fillId="0" borderId="0" xfId="2" applyNumberFormat="1" applyFont="1"/>
    <xf numFmtId="168" fontId="0" fillId="0" borderId="0" xfId="0" applyNumberFormat="1"/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/>
    <xf numFmtId="16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170" fontId="8" fillId="0" borderId="0" xfId="0" applyNumberFormat="1" applyFont="1" applyAlignment="1">
      <alignment horizontal="center"/>
    </xf>
    <xf numFmtId="169" fontId="10" fillId="0" borderId="0" xfId="0" applyNumberFormat="1" applyFont="1" applyAlignment="1">
      <alignment horizontal="center"/>
    </xf>
    <xf numFmtId="170" fontId="0" fillId="0" borderId="0" xfId="0" applyNumberFormat="1"/>
    <xf numFmtId="171" fontId="0" fillId="0" borderId="0" xfId="0" applyNumberFormat="1"/>
    <xf numFmtId="3" fontId="1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/>
    <xf numFmtId="169" fontId="0" fillId="5" borderId="0" xfId="0" applyNumberFormat="1" applyFill="1" applyAlignment="1">
      <alignment horizontal="center"/>
    </xf>
    <xf numFmtId="169" fontId="0" fillId="11" borderId="0" xfId="0" applyNumberFormat="1" applyFill="1" applyAlignment="1">
      <alignment horizontal="center"/>
    </xf>
    <xf numFmtId="172" fontId="0" fillId="0" borderId="0" xfId="1" applyNumberFormat="1" applyFont="1" applyFill="1" applyAlignment="1">
      <alignment horizontal="center"/>
    </xf>
    <xf numFmtId="172" fontId="0" fillId="0" borderId="0" xfId="1" applyNumberFormat="1" applyFont="1"/>
    <xf numFmtId="172" fontId="0" fillId="2" borderId="0" xfId="1" applyNumberFormat="1" applyFont="1" applyFill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43" fontId="0" fillId="0" borderId="0" xfId="3" applyFont="1"/>
    <xf numFmtId="173" fontId="0" fillId="0" borderId="0" xfId="3" applyNumberFormat="1" applyFont="1"/>
    <xf numFmtId="173" fontId="0" fillId="0" borderId="0" xfId="3" applyNumberFormat="1" applyFont="1" applyAlignment="1">
      <alignment wrapText="1"/>
    </xf>
    <xf numFmtId="44" fontId="0" fillId="0" borderId="0" xfId="1" applyFont="1"/>
    <xf numFmtId="44" fontId="0" fillId="2" borderId="0" xfId="1" applyFont="1" applyFill="1"/>
    <xf numFmtId="44" fontId="0" fillId="0" borderId="0" xfId="1" applyFont="1" applyAlignment="1">
      <alignment wrapText="1"/>
    </xf>
    <xf numFmtId="43" fontId="8" fillId="0" borderId="0" xfId="3" applyFont="1" applyAlignment="1">
      <alignment horizontal="center"/>
    </xf>
    <xf numFmtId="173" fontId="8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9" fontId="5" fillId="0" borderId="0" xfId="0" applyNumberFormat="1" applyFont="1" applyAlignment="1">
      <alignment horizontal="left"/>
    </xf>
    <xf numFmtId="169" fontId="8" fillId="0" borderId="0" xfId="0" applyNumberFormat="1" applyFont="1" applyAlignment="1">
      <alignment horizontal="center" wrapText="1"/>
    </xf>
    <xf numFmtId="166" fontId="8" fillId="0" borderId="0" xfId="0" applyNumberFormat="1" applyFont="1" applyAlignment="1">
      <alignment horizontal="center"/>
    </xf>
    <xf numFmtId="169" fontId="15" fillId="11" borderId="0" xfId="0" applyNumberFormat="1" applyFont="1" applyFill="1" applyAlignment="1">
      <alignment horizontal="center"/>
    </xf>
    <xf numFmtId="170" fontId="8" fillId="11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74" fontId="0" fillId="0" borderId="0" xfId="0" applyNumberFormat="1"/>
    <xf numFmtId="44" fontId="0" fillId="0" borderId="0" xfId="0" applyNumberFormat="1"/>
    <xf numFmtId="6" fontId="0" fillId="0" borderId="0" xfId="0" applyNumberFormat="1"/>
    <xf numFmtId="10" fontId="0" fillId="0" borderId="0" xfId="0" applyNumberFormat="1"/>
    <xf numFmtId="0" fontId="16" fillId="0" borderId="0" xfId="4"/>
    <xf numFmtId="0" fontId="2" fillId="0" borderId="0" xfId="4" applyFont="1" applyAlignment="1">
      <alignment horizontal="center"/>
    </xf>
    <xf numFmtId="169" fontId="16" fillId="0" borderId="0" xfId="4" applyNumberFormat="1" applyAlignment="1">
      <alignment horizontal="center"/>
    </xf>
    <xf numFmtId="0" fontId="2" fillId="7" borderId="0" xfId="4" applyFont="1" applyFill="1"/>
    <xf numFmtId="0" fontId="16" fillId="0" borderId="0" xfId="4" applyAlignment="1">
      <alignment horizontal="center"/>
    </xf>
    <xf numFmtId="17" fontId="16" fillId="0" borderId="0" xfId="4" applyNumberFormat="1"/>
    <xf numFmtId="6" fontId="16" fillId="0" borderId="0" xfId="4" applyNumberFormat="1"/>
    <xf numFmtId="0" fontId="2" fillId="12" borderId="0" xfId="4" applyFont="1" applyFill="1" applyAlignment="1">
      <alignment horizontal="center"/>
    </xf>
    <xf numFmtId="0" fontId="8" fillId="12" borderId="0" xfId="4" applyFont="1" applyFill="1"/>
    <xf numFmtId="0" fontId="16" fillId="12" borderId="0" xfId="4" applyFill="1"/>
    <xf numFmtId="17" fontId="16" fillId="12" borderId="0" xfId="4" applyNumberFormat="1" applyFill="1"/>
    <xf numFmtId="6" fontId="16" fillId="12" borderId="0" xfId="4" applyNumberFormat="1" applyFill="1"/>
    <xf numFmtId="0" fontId="8" fillId="0" borderId="0" xfId="4" applyFont="1"/>
    <xf numFmtId="0" fontId="8" fillId="2" borderId="0" xfId="4" applyFont="1" applyFill="1" applyAlignment="1">
      <alignment horizontal="center"/>
    </xf>
    <xf numFmtId="0" fontId="16" fillId="2" borderId="0" xfId="4" applyFill="1"/>
    <xf numFmtId="175" fontId="16" fillId="2" borderId="0" xfId="4" applyNumberFormat="1" applyFill="1"/>
    <xf numFmtId="169" fontId="2" fillId="2" borderId="0" xfId="4" applyNumberFormat="1" applyFont="1" applyFill="1"/>
    <xf numFmtId="10" fontId="16" fillId="7" borderId="0" xfId="4" applyNumberFormat="1" applyFill="1"/>
    <xf numFmtId="0" fontId="8" fillId="7" borderId="0" xfId="4" applyFont="1" applyFill="1" applyAlignment="1">
      <alignment horizontal="center"/>
    </xf>
    <xf numFmtId="0" fontId="16" fillId="7" borderId="0" xfId="4" applyFill="1"/>
    <xf numFmtId="175" fontId="16" fillId="7" borderId="0" xfId="4" applyNumberFormat="1" applyFill="1"/>
    <xf numFmtId="169" fontId="2" fillId="7" borderId="0" xfId="4" applyNumberFormat="1" applyFont="1" applyFill="1"/>
    <xf numFmtId="10" fontId="16" fillId="0" borderId="0" xfId="4" applyNumberFormat="1"/>
    <xf numFmtId="169" fontId="2" fillId="12" borderId="0" xfId="4" applyNumberFormat="1" applyFont="1" applyFill="1" applyAlignment="1">
      <alignment horizontal="center"/>
    </xf>
    <xf numFmtId="169" fontId="2" fillId="0" borderId="0" xfId="4" applyNumberFormat="1" applyFont="1" applyAlignment="1">
      <alignment horizontal="center"/>
    </xf>
    <xf numFmtId="175" fontId="16" fillId="12" borderId="0" xfId="4" applyNumberFormat="1" applyFill="1"/>
    <xf numFmtId="169" fontId="2" fillId="12" borderId="0" xfId="4" applyNumberFormat="1" applyFont="1" applyFill="1"/>
    <xf numFmtId="0" fontId="8" fillId="7" borderId="0" xfId="4" applyFont="1" applyFill="1"/>
    <xf numFmtId="10" fontId="2" fillId="7" borderId="0" xfId="4" applyNumberFormat="1" applyFont="1" applyFill="1"/>
    <xf numFmtId="10" fontId="17" fillId="13" borderId="0" xfId="2" applyNumberFormat="1" applyFont="1" applyFill="1" applyAlignment="1">
      <alignment horizontal="center"/>
    </xf>
    <xf numFmtId="8" fontId="0" fillId="0" borderId="0" xfId="0" applyNumberFormat="1"/>
    <xf numFmtId="6" fontId="6" fillId="0" borderId="0" xfId="0" applyNumberFormat="1" applyFont="1"/>
    <xf numFmtId="0" fontId="17" fillId="0" borderId="0" xfId="5" applyFont="1" applyAlignment="1">
      <alignment horizontal="center"/>
    </xf>
    <xf numFmtId="0" fontId="8" fillId="0" borderId="0" xfId="5"/>
    <xf numFmtId="0" fontId="17" fillId="13" borderId="2" xfId="5" applyFont="1" applyFill="1" applyBorder="1" applyAlignment="1">
      <alignment horizontal="center"/>
    </xf>
    <xf numFmtId="0" fontId="17" fillId="13" borderId="3" xfId="5" applyFont="1" applyFill="1" applyBorder="1" applyAlignment="1">
      <alignment horizontal="center"/>
    </xf>
    <xf numFmtId="0" fontId="17" fillId="13" borderId="4" xfId="5" applyFont="1" applyFill="1" applyBorder="1" applyAlignment="1">
      <alignment horizontal="center"/>
    </xf>
    <xf numFmtId="0" fontId="12" fillId="13" borderId="3" xfId="5" applyFont="1" applyFill="1" applyBorder="1" applyAlignment="1">
      <alignment horizontal="left"/>
    </xf>
    <xf numFmtId="0" fontId="8" fillId="13" borderId="3" xfId="5" applyFill="1" applyBorder="1"/>
    <xf numFmtId="0" fontId="17" fillId="13" borderId="5" xfId="5" applyFont="1" applyFill="1" applyBorder="1" applyAlignment="1">
      <alignment horizontal="center"/>
    </xf>
    <xf numFmtId="0" fontId="17" fillId="13" borderId="0" xfId="5" applyFont="1" applyFill="1" applyAlignment="1">
      <alignment horizontal="center"/>
    </xf>
    <xf numFmtId="0" fontId="17" fillId="13" borderId="6" xfId="5" applyFont="1" applyFill="1" applyBorder="1" applyAlignment="1">
      <alignment horizontal="center"/>
    </xf>
    <xf numFmtId="0" fontId="12" fillId="13" borderId="0" xfId="5" applyFont="1" applyFill="1" applyAlignment="1">
      <alignment horizontal="center"/>
    </xf>
    <xf numFmtId="0" fontId="12" fillId="13" borderId="5" xfId="5" applyFont="1" applyFill="1" applyBorder="1" applyAlignment="1">
      <alignment horizontal="center"/>
    </xf>
    <xf numFmtId="10" fontId="17" fillId="0" borderId="0" xfId="5" applyNumberFormat="1" applyFont="1" applyAlignment="1">
      <alignment horizontal="center"/>
    </xf>
    <xf numFmtId="17" fontId="17" fillId="2" borderId="0" xfId="5" applyNumberFormat="1" applyFont="1" applyFill="1" applyAlignment="1">
      <alignment horizontal="center"/>
    </xf>
    <xf numFmtId="10" fontId="17" fillId="13" borderId="0" xfId="5" applyNumberFormat="1" applyFont="1" applyFill="1" applyAlignment="1">
      <alignment horizontal="center"/>
    </xf>
    <xf numFmtId="10" fontId="17" fillId="13" borderId="6" xfId="5" applyNumberFormat="1" applyFont="1" applyFill="1" applyBorder="1" applyAlignment="1">
      <alignment horizontal="center"/>
    </xf>
    <xf numFmtId="175" fontId="17" fillId="2" borderId="0" xfId="5" applyNumberFormat="1" applyFont="1" applyFill="1" applyAlignment="1">
      <alignment horizontal="center"/>
    </xf>
    <xf numFmtId="10" fontId="8" fillId="0" borderId="0" xfId="5" applyNumberFormat="1"/>
    <xf numFmtId="0" fontId="17" fillId="13" borderId="7" xfId="5" applyFont="1" applyFill="1" applyBorder="1" applyAlignment="1">
      <alignment horizontal="center"/>
    </xf>
    <xf numFmtId="10" fontId="17" fillId="13" borderId="8" xfId="5" applyNumberFormat="1" applyFont="1" applyFill="1" applyBorder="1" applyAlignment="1">
      <alignment horizontal="center"/>
    </xf>
    <xf numFmtId="10" fontId="17" fillId="13" borderId="9" xfId="5" applyNumberFormat="1" applyFont="1" applyFill="1" applyBorder="1" applyAlignment="1">
      <alignment horizontal="center"/>
    </xf>
    <xf numFmtId="0" fontId="8" fillId="14" borderId="10" xfId="5" applyFill="1" applyBorder="1"/>
    <xf numFmtId="0" fontId="8" fillId="14" borderId="11" xfId="5" applyFill="1" applyBorder="1"/>
    <xf numFmtId="0" fontId="12" fillId="14" borderId="11" xfId="5" applyFont="1" applyFill="1" applyBorder="1" applyAlignment="1">
      <alignment horizontal="center"/>
    </xf>
    <xf numFmtId="0" fontId="8" fillId="14" borderId="12" xfId="5" applyFill="1" applyBorder="1"/>
    <xf numFmtId="0" fontId="17" fillId="14" borderId="2" xfId="5" applyFont="1" applyFill="1" applyBorder="1" applyAlignment="1">
      <alignment horizontal="center"/>
    </xf>
    <xf numFmtId="0" fontId="17" fillId="14" borderId="3" xfId="5" applyFont="1" applyFill="1" applyBorder="1" applyAlignment="1">
      <alignment horizontal="center"/>
    </xf>
    <xf numFmtId="0" fontId="12" fillId="14" borderId="3" xfId="5" applyFont="1" applyFill="1" applyBorder="1" applyAlignment="1">
      <alignment horizontal="center"/>
    </xf>
    <xf numFmtId="0" fontId="17" fillId="14" borderId="4" xfId="5" applyFont="1" applyFill="1" applyBorder="1" applyAlignment="1">
      <alignment horizontal="center"/>
    </xf>
    <xf numFmtId="166" fontId="17" fillId="0" borderId="0" xfId="5" applyNumberFormat="1" applyFont="1" applyAlignment="1">
      <alignment horizontal="center"/>
    </xf>
    <xf numFmtId="0" fontId="12" fillId="14" borderId="5" xfId="5" applyFont="1" applyFill="1" applyBorder="1" applyAlignment="1">
      <alignment horizontal="center"/>
    </xf>
    <xf numFmtId="0" fontId="18" fillId="14" borderId="0" xfId="5" applyFont="1" applyFill="1" applyAlignment="1">
      <alignment horizontal="center"/>
    </xf>
    <xf numFmtId="0" fontId="18" fillId="14" borderId="6" xfId="5" applyFont="1" applyFill="1" applyBorder="1" applyAlignment="1">
      <alignment horizontal="center"/>
    </xf>
    <xf numFmtId="0" fontId="12" fillId="14" borderId="5" xfId="5" applyFont="1" applyFill="1" applyBorder="1" applyAlignment="1">
      <alignment horizontal="left"/>
    </xf>
    <xf numFmtId="0" fontId="12" fillId="14" borderId="7" xfId="5" applyFont="1" applyFill="1" applyBorder="1"/>
    <xf numFmtId="0" fontId="12" fillId="14" borderId="2" xfId="5" applyFont="1" applyFill="1" applyBorder="1"/>
    <xf numFmtId="44" fontId="0" fillId="0" borderId="0" xfId="1" applyFont="1" applyFill="1" applyAlignment="1">
      <alignment wrapText="1"/>
    </xf>
    <xf numFmtId="0" fontId="17" fillId="0" borderId="2" xfId="5" applyFont="1" applyBorder="1" applyAlignment="1">
      <alignment horizontal="center"/>
    </xf>
    <xf numFmtId="0" fontId="17" fillId="0" borderId="3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7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8" fillId="0" borderId="0" xfId="5" applyFont="1" applyAlignment="1">
      <alignment horizontal="center"/>
    </xf>
    <xf numFmtId="0" fontId="18" fillId="0" borderId="6" xfId="5" applyFont="1" applyBorder="1" applyAlignment="1">
      <alignment horizontal="center"/>
    </xf>
    <xf numFmtId="0" fontId="12" fillId="0" borderId="5" xfId="5" applyFont="1" applyBorder="1" applyAlignment="1">
      <alignment horizontal="left"/>
    </xf>
    <xf numFmtId="10" fontId="17" fillId="0" borderId="0" xfId="2" applyNumberFormat="1" applyFont="1" applyFill="1" applyAlignment="1">
      <alignment horizontal="center"/>
    </xf>
    <xf numFmtId="10" fontId="17" fillId="0" borderId="8" xfId="2" applyNumberFormat="1" applyFont="1" applyFill="1" applyBorder="1" applyAlignment="1">
      <alignment horizontal="center"/>
    </xf>
    <xf numFmtId="0" fontId="12" fillId="0" borderId="2" xfId="5" applyFont="1" applyBorder="1"/>
    <xf numFmtId="10" fontId="17" fillId="0" borderId="3" xfId="2" applyNumberFormat="1" applyFont="1" applyFill="1" applyBorder="1" applyAlignment="1">
      <alignment horizontal="center"/>
    </xf>
    <xf numFmtId="0" fontId="12" fillId="0" borderId="7" xfId="5" applyFont="1" applyBorder="1"/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9" fontId="17" fillId="14" borderId="0" xfId="2" applyFont="1" applyFill="1" applyAlignment="1">
      <alignment horizontal="center"/>
    </xf>
    <xf numFmtId="9" fontId="17" fillId="14" borderId="6" xfId="2" applyFont="1" applyFill="1" applyBorder="1" applyAlignment="1">
      <alignment horizontal="center"/>
    </xf>
    <xf numFmtId="9" fontId="17" fillId="14" borderId="8" xfId="2" applyFont="1" applyFill="1" applyBorder="1" applyAlignment="1">
      <alignment horizontal="center"/>
    </xf>
    <xf numFmtId="9" fontId="17" fillId="14" borderId="9" xfId="2" applyFont="1" applyFill="1" applyBorder="1" applyAlignment="1">
      <alignment horizontal="center"/>
    </xf>
    <xf numFmtId="9" fontId="17" fillId="14" borderId="3" xfId="2" applyFont="1" applyFill="1" applyBorder="1" applyAlignment="1">
      <alignment horizontal="center"/>
    </xf>
    <xf numFmtId="9" fontId="17" fillId="14" borderId="4" xfId="2" applyFont="1" applyFill="1" applyBorder="1" applyAlignment="1">
      <alignment horizontal="center"/>
    </xf>
    <xf numFmtId="9" fontId="17" fillId="0" borderId="0" xfId="5" applyNumberFormat="1" applyFont="1" applyAlignment="1">
      <alignment horizontal="center"/>
    </xf>
    <xf numFmtId="176" fontId="0" fillId="0" borderId="0" xfId="3" applyNumberFormat="1" applyFont="1"/>
  </cellXfs>
  <cellStyles count="6">
    <cellStyle name="Comma" xfId="3" builtinId="3"/>
    <cellStyle name="Currency" xfId="1" builtinId="4"/>
    <cellStyle name="Normal" xfId="0" builtinId="0"/>
    <cellStyle name="Normal 2" xfId="4" xr:uid="{2CD8F751-132A-49BD-9856-C5EF671CB3E3}"/>
    <cellStyle name="Normal 2 2" xfId="5" xr:uid="{F1BE137D-179E-4768-95F2-CB56E7D6834C}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microsoft.com/office/2017/10/relationships/person" Target="persons/perso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Diff - </a:t>
            </a:r>
            <a:r>
              <a:rPr lang="en-US" sz="1200" b="1" i="0" u="none" strike="noStrike" baseline="0">
                <a:effectLst/>
              </a:rPr>
              <a:t>Richmond Bank Total Core Deposits </a:t>
            </a:r>
            <a:endParaRPr lang="en-US"/>
          </a:p>
        </c:rich>
      </c:tx>
      <c:layout>
        <c:manualLayout>
          <c:xMode val="edge"/>
          <c:yMode val="edge"/>
          <c:x val="0.21315936206022426"/>
          <c:y val="6.28613197873401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7568323928504"/>
          <c:y val="0.25096572409983581"/>
          <c:w val="0.77292425825412603"/>
          <c:h val="0.65251088265957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3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A9-4211-9C8E-A9A07A4E340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5.2506320235574472E-2"/>
                  <c:y val="-0.6494204826425932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Data_F_Look!$B$4:$B$50</c:f>
              <c:numCache>
                <c:formatCode>m/d/yyyy</c:formatCode>
                <c:ptCount val="47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</c:numCache>
            </c:numRef>
          </c:cat>
          <c:val>
            <c:numRef>
              <c:f>Data_F_Look!$E$4:$E$50</c:f>
              <c:numCache>
                <c:formatCode>"$"#,##0.00</c:formatCode>
                <c:ptCount val="47"/>
                <c:pt idx="1">
                  <c:v>9</c:v>
                </c:pt>
                <c:pt idx="2">
                  <c:v>7</c:v>
                </c:pt>
                <c:pt idx="3">
                  <c:v>54</c:v>
                </c:pt>
                <c:pt idx="4">
                  <c:v>85</c:v>
                </c:pt>
                <c:pt idx="5">
                  <c:v>40</c:v>
                </c:pt>
                <c:pt idx="6">
                  <c:v>39</c:v>
                </c:pt>
                <c:pt idx="7">
                  <c:v>-46</c:v>
                </c:pt>
                <c:pt idx="8">
                  <c:v>37</c:v>
                </c:pt>
                <c:pt idx="9">
                  <c:v>40</c:v>
                </c:pt>
                <c:pt idx="10">
                  <c:v>24</c:v>
                </c:pt>
                <c:pt idx="11">
                  <c:v>45</c:v>
                </c:pt>
                <c:pt idx="12">
                  <c:v>10</c:v>
                </c:pt>
                <c:pt idx="13">
                  <c:v>21</c:v>
                </c:pt>
                <c:pt idx="14">
                  <c:v>38</c:v>
                </c:pt>
                <c:pt idx="15">
                  <c:v>58</c:v>
                </c:pt>
                <c:pt idx="16">
                  <c:v>99</c:v>
                </c:pt>
                <c:pt idx="17">
                  <c:v>14</c:v>
                </c:pt>
                <c:pt idx="18">
                  <c:v>119</c:v>
                </c:pt>
                <c:pt idx="19">
                  <c:v>82</c:v>
                </c:pt>
                <c:pt idx="20">
                  <c:v>61</c:v>
                </c:pt>
                <c:pt idx="21">
                  <c:v>46</c:v>
                </c:pt>
                <c:pt idx="22">
                  <c:v>58</c:v>
                </c:pt>
                <c:pt idx="23">
                  <c:v>65</c:v>
                </c:pt>
                <c:pt idx="24">
                  <c:v>15</c:v>
                </c:pt>
                <c:pt idx="25">
                  <c:v>27</c:v>
                </c:pt>
                <c:pt idx="26">
                  <c:v>28</c:v>
                </c:pt>
                <c:pt idx="27">
                  <c:v>101</c:v>
                </c:pt>
                <c:pt idx="28">
                  <c:v>117</c:v>
                </c:pt>
                <c:pt idx="29">
                  <c:v>49</c:v>
                </c:pt>
                <c:pt idx="30">
                  <c:v>2</c:v>
                </c:pt>
                <c:pt idx="31">
                  <c:v>599</c:v>
                </c:pt>
                <c:pt idx="32">
                  <c:v>203</c:v>
                </c:pt>
                <c:pt idx="33">
                  <c:v>-18</c:v>
                </c:pt>
                <c:pt idx="34">
                  <c:v>-2</c:v>
                </c:pt>
                <c:pt idx="35">
                  <c:v>-11</c:v>
                </c:pt>
                <c:pt idx="36">
                  <c:v>20</c:v>
                </c:pt>
                <c:pt idx="37">
                  <c:v>4</c:v>
                </c:pt>
                <c:pt idx="38">
                  <c:v>17</c:v>
                </c:pt>
                <c:pt idx="39">
                  <c:v>21</c:v>
                </c:pt>
                <c:pt idx="40">
                  <c:v>49</c:v>
                </c:pt>
                <c:pt idx="41">
                  <c:v>-4</c:v>
                </c:pt>
                <c:pt idx="42">
                  <c:v>-2</c:v>
                </c:pt>
                <c:pt idx="43">
                  <c:v>-6</c:v>
                </c:pt>
                <c:pt idx="44">
                  <c:v>10</c:v>
                </c:pt>
                <c:pt idx="45">
                  <c:v>44</c:v>
                </c:pt>
                <c:pt idx="4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0-4B12-B16C-13ED6FE7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39343"/>
        <c:axId val="1"/>
      </c:lineChart>
      <c:dateAx>
        <c:axId val="17844393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439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Centered Moving Averages</a:t>
            </a:r>
          </a:p>
        </c:rich>
      </c:tx>
      <c:layout>
        <c:manualLayout>
          <c:xMode val="edge"/>
          <c:yMode val="edge"/>
          <c:x val="0.3232836320991791"/>
          <c:y val="3.14960629921259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76829258318375E-2"/>
          <c:y val="0.18372750504302268"/>
          <c:w val="0.76549538953784146"/>
          <c:h val="0.69816451916348621"/>
        </c:manualLayout>
      </c:layout>
      <c:lineChart>
        <c:grouping val="standard"/>
        <c:varyColors val="0"/>
        <c:ser>
          <c:idx val="0"/>
          <c:order val="0"/>
          <c:tx>
            <c:strRef>
              <c:f>'Centered MA'!$C$1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'Centered MA'!$B$2:$B$63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  <c:pt idx="59">
                  <c:v>34273</c:v>
                </c:pt>
                <c:pt idx="60">
                  <c:v>34303</c:v>
                </c:pt>
                <c:pt idx="61">
                  <c:v>34334</c:v>
                </c:pt>
              </c:numCache>
            </c:numRef>
          </c:cat>
          <c:val>
            <c:numRef>
              <c:f>'Centered MA'!$C$2:$C$63</c:f>
              <c:numCache>
                <c:formatCode>"$"#,##0.00</c:formatCode>
                <c:ptCount val="62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4-4822-98C0-F6CB3DC5D65B}"/>
            </c:ext>
          </c:extLst>
        </c:ser>
        <c:ser>
          <c:idx val="1"/>
          <c:order val="1"/>
          <c:tx>
            <c:strRef>
              <c:f>'Centered MA'!$D$1</c:f>
              <c:strCache>
                <c:ptCount val="1"/>
                <c:pt idx="0">
                  <c:v>Naïve
Forecast</c:v>
                </c:pt>
              </c:strCache>
            </c:strRef>
          </c:tx>
          <c:marker>
            <c:symbol val="none"/>
          </c:marker>
          <c:cat>
            <c:numRef>
              <c:f>'Centered MA'!$B$2:$B$63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  <c:pt idx="59">
                  <c:v>34273</c:v>
                </c:pt>
                <c:pt idx="60">
                  <c:v>34303</c:v>
                </c:pt>
                <c:pt idx="61">
                  <c:v>34334</c:v>
                </c:pt>
              </c:numCache>
            </c:numRef>
          </c:cat>
          <c:val>
            <c:numRef>
              <c:f>'Centered MA'!$D$2:$D$63</c:f>
              <c:numCache>
                <c:formatCode>"$"#,##0.00</c:formatCode>
                <c:ptCount val="62"/>
                <c:pt idx="1">
                  <c:v>3761</c:v>
                </c:pt>
                <c:pt idx="2">
                  <c:v>3770</c:v>
                </c:pt>
                <c:pt idx="3">
                  <c:v>3777</c:v>
                </c:pt>
                <c:pt idx="4">
                  <c:v>3831</c:v>
                </c:pt>
                <c:pt idx="5">
                  <c:v>3916</c:v>
                </c:pt>
                <c:pt idx="6">
                  <c:v>3956</c:v>
                </c:pt>
                <c:pt idx="7">
                  <c:v>3995</c:v>
                </c:pt>
                <c:pt idx="8">
                  <c:v>3949</c:v>
                </c:pt>
                <c:pt idx="9">
                  <c:v>3986</c:v>
                </c:pt>
                <c:pt idx="10">
                  <c:v>4026</c:v>
                </c:pt>
                <c:pt idx="11">
                  <c:v>4050</c:v>
                </c:pt>
                <c:pt idx="12">
                  <c:v>4095</c:v>
                </c:pt>
                <c:pt idx="13">
                  <c:v>4105</c:v>
                </c:pt>
                <c:pt idx="14">
                  <c:v>4126</c:v>
                </c:pt>
                <c:pt idx="15">
                  <c:v>4164</c:v>
                </c:pt>
                <c:pt idx="16">
                  <c:v>4222</c:v>
                </c:pt>
                <c:pt idx="17">
                  <c:v>4321</c:v>
                </c:pt>
                <c:pt idx="18">
                  <c:v>4335</c:v>
                </c:pt>
                <c:pt idx="19">
                  <c:v>4454</c:v>
                </c:pt>
                <c:pt idx="20">
                  <c:v>4536</c:v>
                </c:pt>
                <c:pt idx="21">
                  <c:v>4597</c:v>
                </c:pt>
                <c:pt idx="22">
                  <c:v>4643</c:v>
                </c:pt>
                <c:pt idx="23">
                  <c:v>4701</c:v>
                </c:pt>
                <c:pt idx="24">
                  <c:v>4766</c:v>
                </c:pt>
                <c:pt idx="25">
                  <c:v>4781</c:v>
                </c:pt>
                <c:pt idx="26">
                  <c:v>4808</c:v>
                </c:pt>
                <c:pt idx="27">
                  <c:v>4836</c:v>
                </c:pt>
                <c:pt idx="28">
                  <c:v>4937</c:v>
                </c:pt>
                <c:pt idx="29">
                  <c:v>5054</c:v>
                </c:pt>
                <c:pt idx="30">
                  <c:v>5103</c:v>
                </c:pt>
                <c:pt idx="31">
                  <c:v>5105</c:v>
                </c:pt>
                <c:pt idx="32">
                  <c:v>5704</c:v>
                </c:pt>
                <c:pt idx="33">
                  <c:v>5907</c:v>
                </c:pt>
                <c:pt idx="34">
                  <c:v>5889</c:v>
                </c:pt>
                <c:pt idx="35">
                  <c:v>5887</c:v>
                </c:pt>
                <c:pt idx="36">
                  <c:v>5876</c:v>
                </c:pt>
                <c:pt idx="37">
                  <c:v>5896</c:v>
                </c:pt>
                <c:pt idx="38">
                  <c:v>5900</c:v>
                </c:pt>
                <c:pt idx="39">
                  <c:v>5917</c:v>
                </c:pt>
                <c:pt idx="40">
                  <c:v>5938</c:v>
                </c:pt>
                <c:pt idx="41">
                  <c:v>5987</c:v>
                </c:pt>
                <c:pt idx="42">
                  <c:v>5983</c:v>
                </c:pt>
                <c:pt idx="43">
                  <c:v>5981</c:v>
                </c:pt>
                <c:pt idx="44">
                  <c:v>5975</c:v>
                </c:pt>
                <c:pt idx="45">
                  <c:v>5985</c:v>
                </c:pt>
                <c:pt idx="46">
                  <c:v>6029</c:v>
                </c:pt>
                <c:pt idx="47">
                  <c:v>6024</c:v>
                </c:pt>
                <c:pt idx="48">
                  <c:v>6024</c:v>
                </c:pt>
                <c:pt idx="49">
                  <c:v>6024</c:v>
                </c:pt>
                <c:pt idx="50">
                  <c:v>6024</c:v>
                </c:pt>
                <c:pt idx="51">
                  <c:v>6024</c:v>
                </c:pt>
                <c:pt idx="52">
                  <c:v>6024</c:v>
                </c:pt>
                <c:pt idx="53">
                  <c:v>6024</c:v>
                </c:pt>
                <c:pt idx="54">
                  <c:v>6024</c:v>
                </c:pt>
                <c:pt idx="55">
                  <c:v>6024</c:v>
                </c:pt>
                <c:pt idx="56">
                  <c:v>6024</c:v>
                </c:pt>
                <c:pt idx="57">
                  <c:v>6024</c:v>
                </c:pt>
                <c:pt idx="58">
                  <c:v>6024</c:v>
                </c:pt>
                <c:pt idx="59">
                  <c:v>6024</c:v>
                </c:pt>
                <c:pt idx="60">
                  <c:v>6024</c:v>
                </c:pt>
                <c:pt idx="61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E4-4822-98C0-F6CB3DC5D65B}"/>
            </c:ext>
          </c:extLst>
        </c:ser>
        <c:ser>
          <c:idx val="2"/>
          <c:order val="2"/>
          <c:tx>
            <c:strRef>
              <c:f>'Centered MA'!$E$1</c:f>
              <c:strCache>
                <c:ptCount val="1"/>
                <c:pt idx="0">
                  <c:v>CMA(3)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'Centered MA'!$B$2:$B$63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  <c:pt idx="59">
                  <c:v>34273</c:v>
                </c:pt>
                <c:pt idx="60">
                  <c:v>34303</c:v>
                </c:pt>
                <c:pt idx="61">
                  <c:v>34334</c:v>
                </c:pt>
              </c:numCache>
            </c:numRef>
          </c:cat>
          <c:val>
            <c:numRef>
              <c:f>'Centered MA'!$E$2:$E$63</c:f>
              <c:numCache>
                <c:formatCode>"$"#,##0.00</c:formatCode>
                <c:ptCount val="62"/>
                <c:pt idx="1">
                  <c:v>3769.3333333333335</c:v>
                </c:pt>
                <c:pt idx="2">
                  <c:v>3792.6666666666665</c:v>
                </c:pt>
                <c:pt idx="3">
                  <c:v>3841.3333333333335</c:v>
                </c:pt>
                <c:pt idx="4">
                  <c:v>3901</c:v>
                </c:pt>
                <c:pt idx="5">
                  <c:v>3955.6666666666665</c:v>
                </c:pt>
                <c:pt idx="6">
                  <c:v>3966.6666666666665</c:v>
                </c:pt>
                <c:pt idx="7">
                  <c:v>3976.6666666666665</c:v>
                </c:pt>
                <c:pt idx="8">
                  <c:v>3987</c:v>
                </c:pt>
                <c:pt idx="9">
                  <c:v>4020.6666666666665</c:v>
                </c:pt>
                <c:pt idx="10">
                  <c:v>4057</c:v>
                </c:pt>
                <c:pt idx="11">
                  <c:v>4083.3333333333335</c:v>
                </c:pt>
                <c:pt idx="12">
                  <c:v>4108.666666666667</c:v>
                </c:pt>
                <c:pt idx="13">
                  <c:v>4131.666666666667</c:v>
                </c:pt>
                <c:pt idx="14">
                  <c:v>4170.666666666667</c:v>
                </c:pt>
                <c:pt idx="15">
                  <c:v>4235.666666666667</c:v>
                </c:pt>
                <c:pt idx="16">
                  <c:v>4292.666666666667</c:v>
                </c:pt>
                <c:pt idx="17">
                  <c:v>4370</c:v>
                </c:pt>
                <c:pt idx="18">
                  <c:v>4441.666666666667</c:v>
                </c:pt>
                <c:pt idx="19">
                  <c:v>4529</c:v>
                </c:pt>
                <c:pt idx="20">
                  <c:v>4592</c:v>
                </c:pt>
                <c:pt idx="21">
                  <c:v>4647</c:v>
                </c:pt>
                <c:pt idx="22">
                  <c:v>4703.333333333333</c:v>
                </c:pt>
                <c:pt idx="23">
                  <c:v>4749.333333333333</c:v>
                </c:pt>
                <c:pt idx="24">
                  <c:v>4785</c:v>
                </c:pt>
                <c:pt idx="25">
                  <c:v>4808.333333333333</c:v>
                </c:pt>
                <c:pt idx="26">
                  <c:v>4860.333333333333</c:v>
                </c:pt>
                <c:pt idx="27">
                  <c:v>4942.333333333333</c:v>
                </c:pt>
                <c:pt idx="28">
                  <c:v>5031.333333333333</c:v>
                </c:pt>
                <c:pt idx="29">
                  <c:v>5087.333333333333</c:v>
                </c:pt>
                <c:pt idx="30">
                  <c:v>5304</c:v>
                </c:pt>
                <c:pt idx="31">
                  <c:v>5572</c:v>
                </c:pt>
                <c:pt idx="32">
                  <c:v>5833.333333333333</c:v>
                </c:pt>
                <c:pt idx="33">
                  <c:v>5894.333333333333</c:v>
                </c:pt>
                <c:pt idx="34">
                  <c:v>5884</c:v>
                </c:pt>
                <c:pt idx="35">
                  <c:v>5886.333333333333</c:v>
                </c:pt>
                <c:pt idx="36">
                  <c:v>5890.666666666667</c:v>
                </c:pt>
                <c:pt idx="37">
                  <c:v>5904.333333333333</c:v>
                </c:pt>
                <c:pt idx="38">
                  <c:v>5918.333333333333</c:v>
                </c:pt>
                <c:pt idx="39">
                  <c:v>5947.333333333333</c:v>
                </c:pt>
                <c:pt idx="40">
                  <c:v>5969.333333333333</c:v>
                </c:pt>
                <c:pt idx="41">
                  <c:v>5983.666666666667</c:v>
                </c:pt>
                <c:pt idx="42">
                  <c:v>5979.666666666667</c:v>
                </c:pt>
                <c:pt idx="43">
                  <c:v>5980.333333333333</c:v>
                </c:pt>
                <c:pt idx="44">
                  <c:v>5996.333333333333</c:v>
                </c:pt>
                <c:pt idx="45">
                  <c:v>6012.666666666667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E4-4822-98C0-F6CB3DC5D65B}"/>
            </c:ext>
          </c:extLst>
        </c:ser>
        <c:ser>
          <c:idx val="3"/>
          <c:order val="3"/>
          <c:tx>
            <c:strRef>
              <c:f>'Centered MA'!$F$1</c:f>
              <c:strCache>
                <c:ptCount val="1"/>
                <c:pt idx="0">
                  <c:v>CMA(5)</c:v>
                </c:pt>
              </c:strCache>
            </c:strRef>
          </c:tx>
          <c:marker>
            <c:symbol val="none"/>
          </c:marker>
          <c:cat>
            <c:numRef>
              <c:f>'Centered MA'!$B$2:$B$63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  <c:pt idx="59">
                  <c:v>34273</c:v>
                </c:pt>
                <c:pt idx="60">
                  <c:v>34303</c:v>
                </c:pt>
                <c:pt idx="61">
                  <c:v>34334</c:v>
                </c:pt>
              </c:numCache>
            </c:numRef>
          </c:cat>
          <c:val>
            <c:numRef>
              <c:f>'Centered MA'!$F$2:$F$63</c:f>
              <c:numCache>
                <c:formatCode>General</c:formatCode>
                <c:ptCount val="62"/>
                <c:pt idx="2" formatCode="&quot;$&quot;#,##0.00">
                  <c:v>3811</c:v>
                </c:pt>
                <c:pt idx="3" formatCode="&quot;$&quot;#,##0.00">
                  <c:v>3850</c:v>
                </c:pt>
                <c:pt idx="4" formatCode="&quot;$&quot;#,##0.00">
                  <c:v>3895</c:v>
                </c:pt>
                <c:pt idx="5" formatCode="&quot;$&quot;#,##0.00">
                  <c:v>3929.4</c:v>
                </c:pt>
                <c:pt idx="6" formatCode="&quot;$&quot;#,##0.00">
                  <c:v>3960.4</c:v>
                </c:pt>
                <c:pt idx="7" formatCode="&quot;$&quot;#,##0.00">
                  <c:v>3982.4</c:v>
                </c:pt>
                <c:pt idx="8" formatCode="&quot;$&quot;#,##0.00">
                  <c:v>4001.2</c:v>
                </c:pt>
                <c:pt idx="9" formatCode="&quot;$&quot;#,##0.00">
                  <c:v>4021.2</c:v>
                </c:pt>
                <c:pt idx="10" formatCode="&quot;$&quot;#,##0.00">
                  <c:v>4052.4</c:v>
                </c:pt>
                <c:pt idx="11" formatCode="&quot;$&quot;#,##0.00">
                  <c:v>4080.4</c:v>
                </c:pt>
                <c:pt idx="12" formatCode="&quot;$&quot;#,##0.00">
                  <c:v>4108</c:v>
                </c:pt>
                <c:pt idx="13" formatCode="&quot;$&quot;#,##0.00">
                  <c:v>4142.3999999999996</c:v>
                </c:pt>
                <c:pt idx="14" formatCode="&quot;$&quot;#,##0.00">
                  <c:v>4187.6000000000004</c:v>
                </c:pt>
                <c:pt idx="15" formatCode="&quot;$&quot;#,##0.00">
                  <c:v>4233.6000000000004</c:v>
                </c:pt>
                <c:pt idx="16" formatCode="&quot;$&quot;#,##0.00">
                  <c:v>4299.2</c:v>
                </c:pt>
                <c:pt idx="17" formatCode="&quot;$&quot;#,##0.00">
                  <c:v>4373.6000000000004</c:v>
                </c:pt>
                <c:pt idx="18" formatCode="&quot;$&quot;#,##0.00">
                  <c:v>4448.6000000000004</c:v>
                </c:pt>
                <c:pt idx="19" formatCode="&quot;$&quot;#,##0.00">
                  <c:v>4513</c:v>
                </c:pt>
                <c:pt idx="20" formatCode="&quot;$&quot;#,##0.00">
                  <c:v>4586.2</c:v>
                </c:pt>
                <c:pt idx="21" formatCode="&quot;$&quot;#,##0.00">
                  <c:v>4648.6000000000004</c:v>
                </c:pt>
                <c:pt idx="22" formatCode="&quot;$&quot;#,##0.00">
                  <c:v>4697.6000000000004</c:v>
                </c:pt>
                <c:pt idx="23" formatCode="&quot;$&quot;#,##0.00">
                  <c:v>4739.8</c:v>
                </c:pt>
                <c:pt idx="24" formatCode="&quot;$&quot;#,##0.00">
                  <c:v>4778.3999999999996</c:v>
                </c:pt>
                <c:pt idx="25" formatCode="&quot;$&quot;#,##0.00">
                  <c:v>4825.6000000000004</c:v>
                </c:pt>
                <c:pt idx="26" formatCode="&quot;$&quot;#,##0.00">
                  <c:v>4883.2</c:v>
                </c:pt>
                <c:pt idx="27" formatCode="&quot;$&quot;#,##0.00">
                  <c:v>4947.6000000000004</c:v>
                </c:pt>
                <c:pt idx="28" formatCode="&quot;$&quot;#,##0.00">
                  <c:v>5007</c:v>
                </c:pt>
                <c:pt idx="29" formatCode="&quot;$&quot;#,##0.00">
                  <c:v>5180.6000000000004</c:v>
                </c:pt>
                <c:pt idx="30" formatCode="&quot;$&quot;#,##0.00">
                  <c:v>5374.6</c:v>
                </c:pt>
                <c:pt idx="31" formatCode="&quot;$&quot;#,##0.00">
                  <c:v>5541.6</c:v>
                </c:pt>
                <c:pt idx="32" formatCode="&quot;$&quot;#,##0.00">
                  <c:v>5698.4</c:v>
                </c:pt>
                <c:pt idx="33" formatCode="&quot;$&quot;#,##0.00">
                  <c:v>5852.6</c:v>
                </c:pt>
                <c:pt idx="34" formatCode="&quot;$&quot;#,##0.00">
                  <c:v>5891</c:v>
                </c:pt>
                <c:pt idx="35" formatCode="&quot;$&quot;#,##0.00">
                  <c:v>5889.6</c:v>
                </c:pt>
                <c:pt idx="36" formatCode="&quot;$&quot;#,##0.00">
                  <c:v>5895.2</c:v>
                </c:pt>
                <c:pt idx="37" formatCode="&quot;$&quot;#,##0.00">
                  <c:v>5905.4</c:v>
                </c:pt>
                <c:pt idx="38" formatCode="&quot;$&quot;#,##0.00">
                  <c:v>5927.6</c:v>
                </c:pt>
                <c:pt idx="39" formatCode="&quot;$&quot;#,##0.00">
                  <c:v>5945</c:v>
                </c:pt>
                <c:pt idx="40" formatCode="&quot;$&quot;#,##0.00">
                  <c:v>5961.2</c:v>
                </c:pt>
                <c:pt idx="41" formatCode="&quot;$&quot;#,##0.00">
                  <c:v>5972.8</c:v>
                </c:pt>
                <c:pt idx="42" formatCode="&quot;$&quot;#,##0.00">
                  <c:v>5982.2</c:v>
                </c:pt>
                <c:pt idx="43" formatCode="&quot;$&quot;#,##0.00">
                  <c:v>5990.6</c:v>
                </c:pt>
                <c:pt idx="44" formatCode="&quot;$&quot;#,##0.00">
                  <c:v>5998.8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E4-4822-98C0-F6CB3DC5D65B}"/>
            </c:ext>
          </c:extLst>
        </c:ser>
        <c:ser>
          <c:idx val="4"/>
          <c:order val="4"/>
          <c:tx>
            <c:strRef>
              <c:f>'Centered MA'!$G$1</c:f>
              <c:strCache>
                <c:ptCount val="1"/>
                <c:pt idx="0">
                  <c:v>CMA(4)</c:v>
                </c:pt>
              </c:strCache>
            </c:strRef>
          </c:tx>
          <c:marker>
            <c:symbol val="none"/>
          </c:marker>
          <c:cat>
            <c:numRef>
              <c:f>'Centered MA'!$B$2:$B$63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  <c:pt idx="59">
                  <c:v>34273</c:v>
                </c:pt>
                <c:pt idx="60">
                  <c:v>34303</c:v>
                </c:pt>
                <c:pt idx="61">
                  <c:v>34334</c:v>
                </c:pt>
              </c:numCache>
            </c:numRef>
          </c:cat>
          <c:val>
            <c:numRef>
              <c:f>'Centered MA'!$G$2:$G$63</c:f>
              <c:numCache>
                <c:formatCode>General</c:formatCode>
                <c:ptCount val="62"/>
                <c:pt idx="2" formatCode="&quot;$&quot;#,##0.00">
                  <c:v>3804.125</c:v>
                </c:pt>
                <c:pt idx="3" formatCode="&quot;$&quot;#,##0.00">
                  <c:v>3846.75</c:v>
                </c:pt>
                <c:pt idx="4" formatCode="&quot;$&quot;#,##0.00">
                  <c:v>3897.25</c:v>
                </c:pt>
                <c:pt idx="5" formatCode="&quot;$&quot;#,##0.00">
                  <c:v>3939.25</c:v>
                </c:pt>
                <c:pt idx="6" formatCode="&quot;$&quot;#,##0.00">
                  <c:v>3962.75</c:v>
                </c:pt>
                <c:pt idx="7" formatCode="&quot;$&quot;#,##0.00">
                  <c:v>3980.25</c:v>
                </c:pt>
                <c:pt idx="8" formatCode="&quot;$&quot;#,##0.00">
                  <c:v>3995.875</c:v>
                </c:pt>
                <c:pt idx="9" formatCode="&quot;$&quot;#,##0.00">
                  <c:v>4021</c:v>
                </c:pt>
                <c:pt idx="10" formatCode="&quot;$&quot;#,##0.00">
                  <c:v>4054.125</c:v>
                </c:pt>
                <c:pt idx="11" formatCode="&quot;$&quot;#,##0.00">
                  <c:v>4081.5</c:v>
                </c:pt>
                <c:pt idx="12" formatCode="&quot;$&quot;#,##0.00">
                  <c:v>4108.25</c:v>
                </c:pt>
                <c:pt idx="13" formatCode="&quot;$&quot;#,##0.00">
                  <c:v>4138.375</c:v>
                </c:pt>
                <c:pt idx="14" formatCode="&quot;$&quot;#,##0.00">
                  <c:v>4181.25</c:v>
                </c:pt>
                <c:pt idx="15" formatCode="&quot;$&quot;#,##0.00">
                  <c:v>4234.375</c:v>
                </c:pt>
                <c:pt idx="16" formatCode="&quot;$&quot;#,##0.00">
                  <c:v>4296.75</c:v>
                </c:pt>
                <c:pt idx="17" formatCode="&quot;$&quot;#,##0.00">
                  <c:v>4372.25</c:v>
                </c:pt>
                <c:pt idx="18" formatCode="&quot;$&quot;#,##0.00">
                  <c:v>4446</c:v>
                </c:pt>
                <c:pt idx="19" formatCode="&quot;$&quot;#,##0.00">
                  <c:v>4519</c:v>
                </c:pt>
                <c:pt idx="20" formatCode="&quot;$&quot;#,##0.00">
                  <c:v>4588.375</c:v>
                </c:pt>
                <c:pt idx="21" formatCode="&quot;$&quot;#,##0.00">
                  <c:v>4648</c:v>
                </c:pt>
                <c:pt idx="22" formatCode="&quot;$&quot;#,##0.00">
                  <c:v>4699.75</c:v>
                </c:pt>
                <c:pt idx="23" formatCode="&quot;$&quot;#,##0.00">
                  <c:v>4743.375</c:v>
                </c:pt>
                <c:pt idx="24" formatCode="&quot;$&quot;#,##0.00">
                  <c:v>4780.875</c:v>
                </c:pt>
                <c:pt idx="25" formatCode="&quot;$&quot;#,##0.00">
                  <c:v>4819.125</c:v>
                </c:pt>
                <c:pt idx="26" formatCode="&quot;$&quot;#,##0.00">
                  <c:v>4874.625</c:v>
                </c:pt>
                <c:pt idx="27" formatCode="&quot;$&quot;#,##0.00">
                  <c:v>4945.625</c:v>
                </c:pt>
                <c:pt idx="28" formatCode="&quot;$&quot;#,##0.00">
                  <c:v>5016.125</c:v>
                </c:pt>
                <c:pt idx="29" formatCode="&quot;$&quot;#,##0.00">
                  <c:v>5145.625</c:v>
                </c:pt>
                <c:pt idx="30" formatCode="&quot;$&quot;#,##0.00">
                  <c:v>5348.125</c:v>
                </c:pt>
                <c:pt idx="31" formatCode="&quot;$&quot;#,##0.00">
                  <c:v>5553</c:v>
                </c:pt>
                <c:pt idx="32" formatCode="&quot;$&quot;#,##0.00">
                  <c:v>5749</c:v>
                </c:pt>
                <c:pt idx="33" formatCode="&quot;$&quot;#,##0.00">
                  <c:v>5868.25</c:v>
                </c:pt>
                <c:pt idx="34" formatCode="&quot;$&quot;#,##0.00">
                  <c:v>5888.375</c:v>
                </c:pt>
                <c:pt idx="35" formatCode="&quot;$&quot;#,##0.00">
                  <c:v>5888.375</c:v>
                </c:pt>
                <c:pt idx="36" formatCode="&quot;$&quot;#,##0.00">
                  <c:v>5893.5</c:v>
                </c:pt>
                <c:pt idx="37" formatCode="&quot;$&quot;#,##0.00">
                  <c:v>5905</c:v>
                </c:pt>
                <c:pt idx="38" formatCode="&quot;$&quot;#,##0.00">
                  <c:v>5924.125</c:v>
                </c:pt>
                <c:pt idx="39" formatCode="&quot;$&quot;#,##0.00">
                  <c:v>5945.875</c:v>
                </c:pt>
                <c:pt idx="40" formatCode="&quot;$&quot;#,##0.00">
                  <c:v>5964.25</c:v>
                </c:pt>
                <c:pt idx="41" formatCode="&quot;$&quot;#,##0.00">
                  <c:v>5976.875</c:v>
                </c:pt>
                <c:pt idx="42" formatCode="&quot;$&quot;#,##0.00">
                  <c:v>5981.25</c:v>
                </c:pt>
                <c:pt idx="43" formatCode="&quot;$&quot;#,##0.00">
                  <c:v>5986.75</c:v>
                </c:pt>
                <c:pt idx="44" formatCode="&quot;$&quot;#,##0.00">
                  <c:v>5997.875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F-43EB-A60D-88812B9C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162127"/>
        <c:axId val="1"/>
      </c:lineChart>
      <c:dateAx>
        <c:axId val="843162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ax val="6200"/>
          <c:min val="3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31621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47374742403954"/>
          <c:y val="0.3625839469115022"/>
          <c:w val="0.20252625257596049"/>
          <c:h val="0.23652578577300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Richmond Bank Total Core Deposits ($ millions)</a:t>
            </a:r>
          </a:p>
        </c:rich>
      </c:tx>
      <c:layout>
        <c:manualLayout>
          <c:xMode val="edge"/>
          <c:yMode val="edge"/>
          <c:x val="6.3002485646150269E-2"/>
          <c:y val="1.72635421739143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8440164543723"/>
          <c:y val="0.21888979746843196"/>
          <c:w val="0.87256485720147869"/>
          <c:h val="0.7192153547901029"/>
        </c:manualLayout>
      </c:layout>
      <c:lineChart>
        <c:grouping val="standard"/>
        <c:varyColors val="0"/>
        <c:ser>
          <c:idx val="0"/>
          <c:order val="0"/>
          <c:tx>
            <c:strRef>
              <c:f>'Moving Averages'!$C$1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15875">
                <a:solidFill>
                  <a:srgbClr val="000000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>
                <c:manualLayout>
                  <c:x val="-0.72776140487778629"/>
                  <c:y val="-0.153545573431092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cat>
            <c:numRef>
              <c:f>'Moving Averages'!$B$2:$B$63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'Moving Averages'!$C$2:$C$63</c:f>
              <c:numCache>
                <c:formatCode>"$"#,##0.00</c:formatCode>
                <c:ptCount val="62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4-44AF-AEE2-E9FBA011E08A}"/>
            </c:ext>
          </c:extLst>
        </c:ser>
        <c:ser>
          <c:idx val="1"/>
          <c:order val="1"/>
          <c:tx>
            <c:strRef>
              <c:f>'Moving Averages'!$D$1</c:f>
              <c:strCache>
                <c:ptCount val="1"/>
                <c:pt idx="0">
                  <c:v>Naïve
Forecast</c:v>
                </c:pt>
              </c:strCache>
            </c:strRef>
          </c:tx>
          <c:marker>
            <c:symbol val="none"/>
          </c:marker>
          <c:cat>
            <c:numRef>
              <c:f>'Moving Averages'!$B$2:$B$63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'Moving Averages'!$D$2:$D$63</c:f>
              <c:numCache>
                <c:formatCode>"$"#,##0.00</c:formatCode>
                <c:ptCount val="62"/>
                <c:pt idx="1">
                  <c:v>3761</c:v>
                </c:pt>
                <c:pt idx="2">
                  <c:v>3770</c:v>
                </c:pt>
                <c:pt idx="3">
                  <c:v>3777</c:v>
                </c:pt>
                <c:pt idx="4">
                  <c:v>3831</c:v>
                </c:pt>
                <c:pt idx="5">
                  <c:v>3916</c:v>
                </c:pt>
                <c:pt idx="6">
                  <c:v>3956</c:v>
                </c:pt>
                <c:pt idx="7">
                  <c:v>3995</c:v>
                </c:pt>
                <c:pt idx="8">
                  <c:v>3949</c:v>
                </c:pt>
                <c:pt idx="9">
                  <c:v>3986</c:v>
                </c:pt>
                <c:pt idx="10">
                  <c:v>4026</c:v>
                </c:pt>
                <c:pt idx="11">
                  <c:v>4050</c:v>
                </c:pt>
                <c:pt idx="12">
                  <c:v>4095</c:v>
                </c:pt>
                <c:pt idx="13">
                  <c:v>4105</c:v>
                </c:pt>
                <c:pt idx="14">
                  <c:v>4126</c:v>
                </c:pt>
                <c:pt idx="15">
                  <c:v>4164</c:v>
                </c:pt>
                <c:pt idx="16">
                  <c:v>4222</c:v>
                </c:pt>
                <c:pt idx="17">
                  <c:v>4321</c:v>
                </c:pt>
                <c:pt idx="18">
                  <c:v>4335</c:v>
                </c:pt>
                <c:pt idx="19">
                  <c:v>4454</c:v>
                </c:pt>
                <c:pt idx="20">
                  <c:v>4536</c:v>
                </c:pt>
                <c:pt idx="21">
                  <c:v>4597</c:v>
                </c:pt>
                <c:pt idx="22">
                  <c:v>4643</c:v>
                </c:pt>
                <c:pt idx="23">
                  <c:v>4701</c:v>
                </c:pt>
                <c:pt idx="24">
                  <c:v>4766</c:v>
                </c:pt>
                <c:pt idx="25">
                  <c:v>4781</c:v>
                </c:pt>
                <c:pt idx="26">
                  <c:v>4808</c:v>
                </c:pt>
                <c:pt idx="27">
                  <c:v>4836</c:v>
                </c:pt>
                <c:pt idx="28">
                  <c:v>4937</c:v>
                </c:pt>
                <c:pt idx="29">
                  <c:v>5054</c:v>
                </c:pt>
                <c:pt idx="30">
                  <c:v>5103</c:v>
                </c:pt>
                <c:pt idx="31">
                  <c:v>5105</c:v>
                </c:pt>
                <c:pt idx="32">
                  <c:v>5704</c:v>
                </c:pt>
                <c:pt idx="33">
                  <c:v>5907</c:v>
                </c:pt>
                <c:pt idx="34">
                  <c:v>5889</c:v>
                </c:pt>
                <c:pt idx="35">
                  <c:v>5887</c:v>
                </c:pt>
                <c:pt idx="36">
                  <c:v>5876</c:v>
                </c:pt>
                <c:pt idx="37">
                  <c:v>5896</c:v>
                </c:pt>
                <c:pt idx="38">
                  <c:v>5900</c:v>
                </c:pt>
                <c:pt idx="39">
                  <c:v>5917</c:v>
                </c:pt>
                <c:pt idx="40">
                  <c:v>5938</c:v>
                </c:pt>
                <c:pt idx="41">
                  <c:v>5987</c:v>
                </c:pt>
                <c:pt idx="42">
                  <c:v>5983</c:v>
                </c:pt>
                <c:pt idx="43">
                  <c:v>5981</c:v>
                </c:pt>
                <c:pt idx="44">
                  <c:v>5975</c:v>
                </c:pt>
                <c:pt idx="45">
                  <c:v>5985</c:v>
                </c:pt>
                <c:pt idx="46">
                  <c:v>6029</c:v>
                </c:pt>
                <c:pt idx="47">
                  <c:v>6024</c:v>
                </c:pt>
                <c:pt idx="48">
                  <c:v>6024</c:v>
                </c:pt>
                <c:pt idx="49">
                  <c:v>6024</c:v>
                </c:pt>
                <c:pt idx="50">
                  <c:v>6024</c:v>
                </c:pt>
                <c:pt idx="51">
                  <c:v>6024</c:v>
                </c:pt>
                <c:pt idx="52">
                  <c:v>6024</c:v>
                </c:pt>
                <c:pt idx="53">
                  <c:v>6024</c:v>
                </c:pt>
                <c:pt idx="54">
                  <c:v>6024</c:v>
                </c:pt>
                <c:pt idx="55">
                  <c:v>6024</c:v>
                </c:pt>
                <c:pt idx="56">
                  <c:v>6024</c:v>
                </c:pt>
                <c:pt idx="57">
                  <c:v>6024</c:v>
                </c:pt>
                <c:pt idx="58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4-44AF-AEE2-E9FBA011E08A}"/>
            </c:ext>
          </c:extLst>
        </c:ser>
        <c:ser>
          <c:idx val="2"/>
          <c:order val="2"/>
          <c:tx>
            <c:strRef>
              <c:f>'Moving Averages'!$E$1</c:f>
              <c:strCache>
                <c:ptCount val="1"/>
                <c:pt idx="0">
                  <c:v>3 Mo. Avg</c:v>
                </c:pt>
              </c:strCache>
            </c:strRef>
          </c:tx>
          <c:marker>
            <c:symbol val="none"/>
          </c:marker>
          <c:cat>
            <c:numRef>
              <c:f>'Moving Averages'!$B$2:$B$63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'Moving Averages'!$E$2:$E$63</c:f>
              <c:numCache>
                <c:formatCode>General</c:formatCode>
                <c:ptCount val="62"/>
                <c:pt idx="3" formatCode="&quot;$&quot;#,##0.00">
                  <c:v>3769.3333333333335</c:v>
                </c:pt>
                <c:pt idx="4" formatCode="&quot;$&quot;#,##0.00">
                  <c:v>3792.6666666666665</c:v>
                </c:pt>
                <c:pt idx="5" formatCode="&quot;$&quot;#,##0.00">
                  <c:v>3841.3333333333335</c:v>
                </c:pt>
                <c:pt idx="6" formatCode="&quot;$&quot;#,##0.00">
                  <c:v>3901</c:v>
                </c:pt>
                <c:pt idx="7" formatCode="&quot;$&quot;#,##0.00">
                  <c:v>3955.6666666666665</c:v>
                </c:pt>
                <c:pt idx="8" formatCode="&quot;$&quot;#,##0.00">
                  <c:v>3966.6666666666665</c:v>
                </c:pt>
                <c:pt idx="9" formatCode="&quot;$&quot;#,##0.00">
                  <c:v>3976.6666666666665</c:v>
                </c:pt>
                <c:pt idx="10" formatCode="&quot;$&quot;#,##0.00">
                  <c:v>3987</c:v>
                </c:pt>
                <c:pt idx="11" formatCode="&quot;$&quot;#,##0.00">
                  <c:v>4020.6666666666665</c:v>
                </c:pt>
                <c:pt idx="12" formatCode="&quot;$&quot;#,##0.00">
                  <c:v>4057</c:v>
                </c:pt>
                <c:pt idx="13" formatCode="&quot;$&quot;#,##0.00">
                  <c:v>4083.3333333333335</c:v>
                </c:pt>
                <c:pt idx="14" formatCode="&quot;$&quot;#,##0.00">
                  <c:v>4108.666666666667</c:v>
                </c:pt>
                <c:pt idx="15" formatCode="&quot;$&quot;#,##0.00">
                  <c:v>4131.666666666667</c:v>
                </c:pt>
                <c:pt idx="16" formatCode="&quot;$&quot;#,##0.00">
                  <c:v>4170.666666666667</c:v>
                </c:pt>
                <c:pt idx="17" formatCode="&quot;$&quot;#,##0.00">
                  <c:v>4235.666666666667</c:v>
                </c:pt>
                <c:pt idx="18" formatCode="&quot;$&quot;#,##0.00">
                  <c:v>4292.666666666667</c:v>
                </c:pt>
                <c:pt idx="19" formatCode="&quot;$&quot;#,##0.00">
                  <c:v>4370</c:v>
                </c:pt>
                <c:pt idx="20" formatCode="&quot;$&quot;#,##0.00">
                  <c:v>4441.666666666667</c:v>
                </c:pt>
                <c:pt idx="21" formatCode="&quot;$&quot;#,##0.00">
                  <c:v>4529</c:v>
                </c:pt>
                <c:pt idx="22" formatCode="&quot;$&quot;#,##0.00">
                  <c:v>4592</c:v>
                </c:pt>
                <c:pt idx="23" formatCode="&quot;$&quot;#,##0.00">
                  <c:v>4647</c:v>
                </c:pt>
                <c:pt idx="24" formatCode="&quot;$&quot;#,##0.00">
                  <c:v>4703.333333333333</c:v>
                </c:pt>
                <c:pt idx="25" formatCode="&quot;$&quot;#,##0.00">
                  <c:v>4749.333333333333</c:v>
                </c:pt>
                <c:pt idx="26" formatCode="&quot;$&quot;#,##0.00">
                  <c:v>4785</c:v>
                </c:pt>
                <c:pt idx="27" formatCode="&quot;$&quot;#,##0.00">
                  <c:v>4808.333333333333</c:v>
                </c:pt>
                <c:pt idx="28" formatCode="&quot;$&quot;#,##0.00">
                  <c:v>4860.333333333333</c:v>
                </c:pt>
                <c:pt idx="29" formatCode="&quot;$&quot;#,##0.00">
                  <c:v>4942.333333333333</c:v>
                </c:pt>
                <c:pt idx="30" formatCode="&quot;$&quot;#,##0.00">
                  <c:v>5031.333333333333</c:v>
                </c:pt>
                <c:pt idx="31" formatCode="&quot;$&quot;#,##0.00">
                  <c:v>5087.333333333333</c:v>
                </c:pt>
                <c:pt idx="32" formatCode="&quot;$&quot;#,##0.00">
                  <c:v>5304</c:v>
                </c:pt>
                <c:pt idx="33" formatCode="&quot;$&quot;#,##0.00">
                  <c:v>5572</c:v>
                </c:pt>
                <c:pt idx="34" formatCode="&quot;$&quot;#,##0.00">
                  <c:v>5833.333333333333</c:v>
                </c:pt>
                <c:pt idx="35" formatCode="&quot;$&quot;#,##0.00">
                  <c:v>5894.333333333333</c:v>
                </c:pt>
                <c:pt idx="36" formatCode="&quot;$&quot;#,##0.00">
                  <c:v>5884</c:v>
                </c:pt>
                <c:pt idx="37" formatCode="&quot;$&quot;#,##0.00">
                  <c:v>5886.333333333333</c:v>
                </c:pt>
                <c:pt idx="38" formatCode="&quot;$&quot;#,##0.00">
                  <c:v>5890.666666666667</c:v>
                </c:pt>
                <c:pt idx="39" formatCode="&quot;$&quot;#,##0.00">
                  <c:v>5904.333333333333</c:v>
                </c:pt>
                <c:pt idx="40" formatCode="&quot;$&quot;#,##0.00">
                  <c:v>5918.333333333333</c:v>
                </c:pt>
                <c:pt idx="41" formatCode="&quot;$&quot;#,##0.00">
                  <c:v>5947.333333333333</c:v>
                </c:pt>
                <c:pt idx="42" formatCode="&quot;$&quot;#,##0.00">
                  <c:v>5969.333333333333</c:v>
                </c:pt>
                <c:pt idx="43" formatCode="&quot;$&quot;#,##0.00">
                  <c:v>5983.666666666667</c:v>
                </c:pt>
                <c:pt idx="44" formatCode="&quot;$&quot;#,##0.00">
                  <c:v>5979.666666666667</c:v>
                </c:pt>
                <c:pt idx="45" formatCode="&quot;$&quot;#,##0.00">
                  <c:v>5980.333333333333</c:v>
                </c:pt>
                <c:pt idx="46" formatCode="&quot;$&quot;#,##0.00">
                  <c:v>5996.333333333333</c:v>
                </c:pt>
                <c:pt idx="47" formatCode="&quot;$&quot;#,##0.00">
                  <c:v>6012.666666666667</c:v>
                </c:pt>
                <c:pt idx="48" formatCode="&quot;$&quot;#,##0.00">
                  <c:v>6012.666666666667</c:v>
                </c:pt>
                <c:pt idx="49" formatCode="&quot;$&quot;#,##0.00">
                  <c:v>6012.666666666667</c:v>
                </c:pt>
                <c:pt idx="50" formatCode="&quot;$&quot;#,##0.00">
                  <c:v>6012.666666666667</c:v>
                </c:pt>
                <c:pt idx="51" formatCode="&quot;$&quot;#,##0.00">
                  <c:v>6012.666666666667</c:v>
                </c:pt>
                <c:pt idx="52" formatCode="&quot;$&quot;#,##0.00">
                  <c:v>6012.666666666667</c:v>
                </c:pt>
                <c:pt idx="53" formatCode="&quot;$&quot;#,##0.00">
                  <c:v>6012.666666666667</c:v>
                </c:pt>
                <c:pt idx="54" formatCode="&quot;$&quot;#,##0.00">
                  <c:v>6012.666666666667</c:v>
                </c:pt>
                <c:pt idx="55" formatCode="&quot;$&quot;#,##0.00">
                  <c:v>6012.666666666667</c:v>
                </c:pt>
                <c:pt idx="56" formatCode="&quot;$&quot;#,##0.00">
                  <c:v>6012.666666666667</c:v>
                </c:pt>
                <c:pt idx="57" formatCode="&quot;$&quot;#,##0.00">
                  <c:v>6012.666666666667</c:v>
                </c:pt>
                <c:pt idx="58" formatCode="&quot;$&quot;#,##0.00">
                  <c:v>6012.666666666667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4-44AF-AEE2-E9FBA011E08A}"/>
            </c:ext>
          </c:extLst>
        </c:ser>
        <c:ser>
          <c:idx val="3"/>
          <c:order val="3"/>
          <c:tx>
            <c:strRef>
              <c:f>'Moving Averages'!$K$1</c:f>
              <c:strCache>
                <c:ptCount val="1"/>
                <c:pt idx="0">
                  <c:v>6 Mo. Avg</c:v>
                </c:pt>
              </c:strCache>
            </c:strRef>
          </c:tx>
          <c:marker>
            <c:symbol val="none"/>
          </c:marker>
          <c:cat>
            <c:numRef>
              <c:f>'Moving Averages'!$B$2:$B$63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'Moving Averages'!$K$2:$K$63</c:f>
              <c:numCache>
                <c:formatCode>General</c:formatCode>
                <c:ptCount val="62"/>
                <c:pt idx="6" formatCode="&quot;$&quot;#,##0.00">
                  <c:v>3835.1666666666665</c:v>
                </c:pt>
                <c:pt idx="7" formatCode="&quot;$&quot;#,##0.00">
                  <c:v>3874.1666666666665</c:v>
                </c:pt>
                <c:pt idx="8" formatCode="&quot;$&quot;#,##0.00">
                  <c:v>3904</c:v>
                </c:pt>
                <c:pt idx="9" formatCode="&quot;$&quot;#,##0.00">
                  <c:v>3938.8333333333335</c:v>
                </c:pt>
                <c:pt idx="10" formatCode="&quot;$&quot;#,##0.00">
                  <c:v>3971.3333333333335</c:v>
                </c:pt>
                <c:pt idx="11" formatCode="&quot;$&quot;#,##0.00">
                  <c:v>3993.6666666666665</c:v>
                </c:pt>
                <c:pt idx="12" formatCode="&quot;$&quot;#,##0.00">
                  <c:v>4016.8333333333335</c:v>
                </c:pt>
                <c:pt idx="13" formatCode="&quot;$&quot;#,##0.00">
                  <c:v>4035.1666666666665</c:v>
                </c:pt>
                <c:pt idx="14" formatCode="&quot;$&quot;#,##0.00">
                  <c:v>4064.6666666666665</c:v>
                </c:pt>
                <c:pt idx="15" formatCode="&quot;$&quot;#,##0.00">
                  <c:v>4094.3333333333335</c:v>
                </c:pt>
                <c:pt idx="16" formatCode="&quot;$&quot;#,##0.00">
                  <c:v>4127</c:v>
                </c:pt>
                <c:pt idx="17" formatCode="&quot;$&quot;#,##0.00">
                  <c:v>4172.166666666667</c:v>
                </c:pt>
                <c:pt idx="18" formatCode="&quot;$&quot;#,##0.00">
                  <c:v>4212.166666666667</c:v>
                </c:pt>
                <c:pt idx="19" formatCode="&quot;$&quot;#,##0.00">
                  <c:v>4270.333333333333</c:v>
                </c:pt>
                <c:pt idx="20" formatCode="&quot;$&quot;#,##0.00">
                  <c:v>4338.666666666667</c:v>
                </c:pt>
                <c:pt idx="21" formatCode="&quot;$&quot;#,##0.00">
                  <c:v>4410.833333333333</c:v>
                </c:pt>
                <c:pt idx="22" formatCode="&quot;$&quot;#,##0.00">
                  <c:v>4481</c:v>
                </c:pt>
                <c:pt idx="23" formatCode="&quot;$&quot;#,##0.00">
                  <c:v>4544.333333333333</c:v>
                </c:pt>
                <c:pt idx="24" formatCode="&quot;$&quot;#,##0.00">
                  <c:v>4616.166666666667</c:v>
                </c:pt>
                <c:pt idx="25" formatCode="&quot;$&quot;#,##0.00">
                  <c:v>4670.666666666667</c:v>
                </c:pt>
                <c:pt idx="26" formatCode="&quot;$&quot;#,##0.00">
                  <c:v>4716</c:v>
                </c:pt>
                <c:pt idx="27" formatCode="&quot;$&quot;#,##0.00">
                  <c:v>4755.833333333333</c:v>
                </c:pt>
                <c:pt idx="28" formatCode="&quot;$&quot;#,##0.00">
                  <c:v>4804.833333333333</c:v>
                </c:pt>
                <c:pt idx="29" formatCode="&quot;$&quot;#,##0.00">
                  <c:v>4863.666666666667</c:v>
                </c:pt>
                <c:pt idx="30" formatCode="&quot;$&quot;#,##0.00">
                  <c:v>4919.833333333333</c:v>
                </c:pt>
                <c:pt idx="31" formatCode="&quot;$&quot;#,##0.00">
                  <c:v>4973.833333333333</c:v>
                </c:pt>
                <c:pt idx="32" formatCode="&quot;$&quot;#,##0.00">
                  <c:v>5123.166666666667</c:v>
                </c:pt>
                <c:pt idx="33" formatCode="&quot;$&quot;#,##0.00">
                  <c:v>5301.666666666667</c:v>
                </c:pt>
                <c:pt idx="34" formatCode="&quot;$&quot;#,##0.00">
                  <c:v>5460.333333333333</c:v>
                </c:pt>
                <c:pt idx="35" formatCode="&quot;$&quot;#,##0.00">
                  <c:v>5599.166666666667</c:v>
                </c:pt>
                <c:pt idx="36" formatCode="&quot;$&quot;#,##0.00">
                  <c:v>5728</c:v>
                </c:pt>
                <c:pt idx="37" formatCode="&quot;$&quot;#,##0.00">
                  <c:v>5859.833333333333</c:v>
                </c:pt>
                <c:pt idx="38" formatCode="&quot;$&quot;#,##0.00">
                  <c:v>5892.5</c:v>
                </c:pt>
                <c:pt idx="39" formatCode="&quot;$&quot;#,##0.00">
                  <c:v>5894.166666666667</c:v>
                </c:pt>
                <c:pt idx="40" formatCode="&quot;$&quot;#,##0.00">
                  <c:v>5902.333333333333</c:v>
                </c:pt>
                <c:pt idx="41" formatCode="&quot;$&quot;#,##0.00">
                  <c:v>5919</c:v>
                </c:pt>
                <c:pt idx="42" formatCode="&quot;$&quot;#,##0.00">
                  <c:v>5936.833333333333</c:v>
                </c:pt>
                <c:pt idx="43" formatCode="&quot;$&quot;#,##0.00">
                  <c:v>5951</c:v>
                </c:pt>
                <c:pt idx="44" formatCode="&quot;$&quot;#,##0.00">
                  <c:v>5963.5</c:v>
                </c:pt>
                <c:pt idx="45" formatCode="&quot;$&quot;#,##0.00">
                  <c:v>5974.833333333333</c:v>
                </c:pt>
                <c:pt idx="46" formatCode="&quot;$&quot;#,##0.00">
                  <c:v>5990</c:v>
                </c:pt>
                <c:pt idx="47" formatCode="&quot;$&quot;#,##0.00">
                  <c:v>5996.166666666667</c:v>
                </c:pt>
                <c:pt idx="48" formatCode="&quot;$&quot;#,##0.00">
                  <c:v>5996.166666666667</c:v>
                </c:pt>
                <c:pt idx="49" formatCode="&quot;$&quot;#,##0.00">
                  <c:v>5996.166666666667</c:v>
                </c:pt>
                <c:pt idx="50" formatCode="&quot;$&quot;#,##0.00">
                  <c:v>5996.166666666667</c:v>
                </c:pt>
                <c:pt idx="51" formatCode="&quot;$&quot;#,##0.00">
                  <c:v>5996.166666666667</c:v>
                </c:pt>
                <c:pt idx="52" formatCode="&quot;$&quot;#,##0.00">
                  <c:v>5996.166666666667</c:v>
                </c:pt>
                <c:pt idx="53" formatCode="&quot;$&quot;#,##0.00">
                  <c:v>5996.166666666667</c:v>
                </c:pt>
                <c:pt idx="54" formatCode="&quot;$&quot;#,##0.00">
                  <c:v>5996.166666666667</c:v>
                </c:pt>
                <c:pt idx="55" formatCode="&quot;$&quot;#,##0.00">
                  <c:v>5996.166666666667</c:v>
                </c:pt>
                <c:pt idx="56" formatCode="&quot;$&quot;#,##0.00">
                  <c:v>5996.166666666667</c:v>
                </c:pt>
                <c:pt idx="57" formatCode="&quot;$&quot;#,##0.00">
                  <c:v>5996.166666666667</c:v>
                </c:pt>
                <c:pt idx="58" formatCode="&quot;$&quot;#,##0.00">
                  <c:v>5996.166666666667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C4-44AF-AEE2-E9FBA011E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38943"/>
        <c:axId val="1"/>
      </c:lineChart>
      <c:dateAx>
        <c:axId val="1784438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ax val="6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844389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991934263236318"/>
          <c:y val="1.5777881302077559E-3"/>
          <c:w val="0.32608152515749711"/>
          <c:h val="0.2060656162825238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lang="en-US" sz="10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49586515253432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4258462537543"/>
          <c:y val="0.12829966309028176"/>
          <c:w val="0.81705544281191655"/>
          <c:h val="0.80697926708078671"/>
        </c:manualLayout>
      </c:layout>
      <c:lineChart>
        <c:grouping val="standard"/>
        <c:varyColors val="0"/>
        <c:ser>
          <c:idx val="0"/>
          <c:order val="0"/>
          <c:tx>
            <c:strRef>
              <c:f>'3m CMA Naïve w Seasonals_FC'!$C$1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'3m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'3m CMA Naïve w Seasonals_FC'!$C$2:$C$60</c:f>
              <c:numCache>
                <c:formatCode>"$"#,##0.00</c:formatCode>
                <c:ptCount val="59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C-4FEE-AB59-37C42CBED73D}"/>
            </c:ext>
          </c:extLst>
        </c:ser>
        <c:ser>
          <c:idx val="1"/>
          <c:order val="1"/>
          <c:tx>
            <c:strRef>
              <c:f>'3m CMA Naïve w Seasonals_FC'!$D$1</c:f>
              <c:strCache>
                <c:ptCount val="1"/>
                <c:pt idx="0">
                  <c:v>CMA (3)
Adj</c:v>
                </c:pt>
              </c:strCache>
            </c:strRef>
          </c:tx>
          <c:spPr>
            <a:ln w="15875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'3m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'3m CMA Naïve w Seasonals_FC'!$D$2:$D$60</c:f>
              <c:numCache>
                <c:formatCode>0.00</c:formatCode>
                <c:ptCount val="59"/>
                <c:pt idx="2">
                  <c:v>3781</c:v>
                </c:pt>
                <c:pt idx="3">
                  <c:v>3817</c:v>
                </c:pt>
                <c:pt idx="4">
                  <c:v>3871.1666666666665</c:v>
                </c:pt>
                <c:pt idx="5">
                  <c:v>3928.3333333333335</c:v>
                </c:pt>
                <c:pt idx="6">
                  <c:v>3961.1666666666665</c:v>
                </c:pt>
                <c:pt idx="7">
                  <c:v>3971.6666666666665</c:v>
                </c:pt>
                <c:pt idx="8">
                  <c:v>3981.8333333333335</c:v>
                </c:pt>
                <c:pt idx="9">
                  <c:v>4003.8333333333335</c:v>
                </c:pt>
                <c:pt idx="10">
                  <c:v>4038.8333333333335</c:v>
                </c:pt>
                <c:pt idx="11">
                  <c:v>4070.1666666666665</c:v>
                </c:pt>
                <c:pt idx="12">
                  <c:v>4096</c:v>
                </c:pt>
                <c:pt idx="13">
                  <c:v>4120.166666666667</c:v>
                </c:pt>
                <c:pt idx="14">
                  <c:v>4151.166666666667</c:v>
                </c:pt>
                <c:pt idx="15">
                  <c:v>4203.166666666667</c:v>
                </c:pt>
                <c:pt idx="16">
                  <c:v>4264.166666666667</c:v>
                </c:pt>
                <c:pt idx="17">
                  <c:v>4331.333333333333</c:v>
                </c:pt>
                <c:pt idx="18">
                  <c:v>4405.833333333333</c:v>
                </c:pt>
                <c:pt idx="19">
                  <c:v>4485.333333333333</c:v>
                </c:pt>
                <c:pt idx="20">
                  <c:v>4560.5</c:v>
                </c:pt>
                <c:pt idx="21">
                  <c:v>4619.5</c:v>
                </c:pt>
                <c:pt idx="22">
                  <c:v>4675.166666666667</c:v>
                </c:pt>
                <c:pt idx="23">
                  <c:v>4726.333333333333</c:v>
                </c:pt>
                <c:pt idx="24">
                  <c:v>4767.166666666667</c:v>
                </c:pt>
                <c:pt idx="25">
                  <c:v>4796.666666666667</c:v>
                </c:pt>
                <c:pt idx="26">
                  <c:v>4834.333333333333</c:v>
                </c:pt>
                <c:pt idx="27">
                  <c:v>4901.333333333333</c:v>
                </c:pt>
                <c:pt idx="28">
                  <c:v>4986.833333333333</c:v>
                </c:pt>
                <c:pt idx="29">
                  <c:v>5059.333333333333</c:v>
                </c:pt>
                <c:pt idx="30">
                  <c:v>5195.666666666667</c:v>
                </c:pt>
                <c:pt idx="31">
                  <c:v>5438</c:v>
                </c:pt>
                <c:pt idx="32">
                  <c:v>5702.666666666667</c:v>
                </c:pt>
                <c:pt idx="33">
                  <c:v>5863.833333333333</c:v>
                </c:pt>
                <c:pt idx="34">
                  <c:v>5889.166666666667</c:v>
                </c:pt>
                <c:pt idx="35">
                  <c:v>5885.166666666667</c:v>
                </c:pt>
                <c:pt idx="36">
                  <c:v>5888.5</c:v>
                </c:pt>
                <c:pt idx="37">
                  <c:v>5897.5</c:v>
                </c:pt>
                <c:pt idx="38">
                  <c:v>5911.333333333333</c:v>
                </c:pt>
                <c:pt idx="39">
                  <c:v>5932.833333333333</c:v>
                </c:pt>
                <c:pt idx="40">
                  <c:v>5958.333333333333</c:v>
                </c:pt>
                <c:pt idx="41">
                  <c:v>5976.5</c:v>
                </c:pt>
                <c:pt idx="42">
                  <c:v>5981.666666666667</c:v>
                </c:pt>
                <c:pt idx="43">
                  <c:v>5980</c:v>
                </c:pt>
                <c:pt idx="44">
                  <c:v>5988.333333333333</c:v>
                </c:pt>
                <c:pt idx="45">
                  <c:v>6004.5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C-4FEE-AB59-37C42CBED73D}"/>
            </c:ext>
          </c:extLst>
        </c:ser>
        <c:ser>
          <c:idx val="2"/>
          <c:order val="2"/>
          <c:tx>
            <c:strRef>
              <c:f>'3m CMA Naïve w Seasonals_FC'!$G$1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'3m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'3m CMA Naïve w Seasonals_FC'!$G$2:$G$60</c:f>
              <c:numCache>
                <c:formatCode>"$"#,##0.00</c:formatCode>
                <c:ptCount val="59"/>
                <c:pt idx="0">
                  <c:v>3771.8899617170887</c:v>
                </c:pt>
                <c:pt idx="1">
                  <c:v>3783.647394716591</c:v>
                </c:pt>
                <c:pt idx="2">
                  <c:v>3792.8186779346142</c:v>
                </c:pt>
                <c:pt idx="3">
                  <c:v>3834.6315669936453</c:v>
                </c:pt>
                <c:pt idx="4">
                  <c:v>3893.640327438141</c:v>
                </c:pt>
                <c:pt idx="5">
                  <c:v>3958.4573876998497</c:v>
                </c:pt>
                <c:pt idx="6">
                  <c:v>4013.1603001853259</c:v>
                </c:pt>
                <c:pt idx="7">
                  <c:v>3916.3023027352979</c:v>
                </c:pt>
                <c:pt idx="8">
                  <c:v>3962.1283769870906</c:v>
                </c:pt>
                <c:pt idx="9">
                  <c:v>4027.109879873291</c:v>
                </c:pt>
                <c:pt idx="10">
                  <c:v>4059.6339458586749</c:v>
                </c:pt>
                <c:pt idx="11">
                  <c:v>4097.91026768338</c:v>
                </c:pt>
                <c:pt idx="12">
                  <c:v>4116.8860124564344</c:v>
                </c:pt>
                <c:pt idx="13">
                  <c:v>4140.9361142176804</c:v>
                </c:pt>
                <c:pt idx="14">
                  <c:v>4181.4394956102024</c:v>
                </c:pt>
                <c:pt idx="15">
                  <c:v>4226.0022124372672</c:v>
                </c:pt>
                <c:pt idx="16">
                  <c:v>4296.3278485342717</c:v>
                </c:pt>
                <c:pt idx="17">
                  <c:v>4337.6928148834304</c:v>
                </c:pt>
                <c:pt idx="18">
                  <c:v>4474.2468027598097</c:v>
                </c:pt>
                <c:pt idx="19">
                  <c:v>4498.4419461147918</c:v>
                </c:pt>
                <c:pt idx="20">
                  <c:v>4569.4691793802449</c:v>
                </c:pt>
                <c:pt idx="21">
                  <c:v>4644.2799732368831</c:v>
                </c:pt>
                <c:pt idx="22">
                  <c:v>4712.1825134522542</c:v>
                </c:pt>
                <c:pt idx="23">
                  <c:v>4769.3871393843692</c:v>
                </c:pt>
                <c:pt idx="24">
                  <c:v>4794.8433679791015</c:v>
                </c:pt>
                <c:pt idx="25">
                  <c:v>4825.4049532619019</c:v>
                </c:pt>
                <c:pt idx="26">
                  <c:v>4856.2539387057968</c:v>
                </c:pt>
                <c:pt idx="27">
                  <c:v>4941.6799911896705</c:v>
                </c:pt>
                <c:pt idx="28">
                  <c:v>5025.1425472094907</c:v>
                </c:pt>
                <c:pt idx="29">
                  <c:v>5106.1698810496291</c:v>
                </c:pt>
                <c:pt idx="30">
                  <c:v>5128.2060907249279</c:v>
                </c:pt>
                <c:pt idx="31">
                  <c:v>5656.7709128392353</c:v>
                </c:pt>
                <c:pt idx="32">
                  <c:v>5871.623763889299</c:v>
                </c:pt>
                <c:pt idx="33">
                  <c:v>5890.6234681007973</c:v>
                </c:pt>
                <c:pt idx="34">
                  <c:v>5901.0037134000049</c:v>
                </c:pt>
                <c:pt idx="35">
                  <c:v>5880.1760031520253</c:v>
                </c:pt>
                <c:pt idx="36">
                  <c:v>5913.0718463929679</c:v>
                </c:pt>
                <c:pt idx="37">
                  <c:v>5921.3579917315346</c:v>
                </c:pt>
                <c:pt idx="38">
                  <c:v>5941.7813389830844</c:v>
                </c:pt>
                <c:pt idx="39">
                  <c:v>5943.6288814430345</c:v>
                </c:pt>
                <c:pt idx="40">
                  <c:v>5952.8152809939093</c:v>
                </c:pt>
                <c:pt idx="41">
                  <c:v>5986.7165193650662</c:v>
                </c:pt>
                <c:pt idx="42">
                  <c:v>6008.1881740696954</c:v>
                </c:pt>
                <c:pt idx="43">
                  <c:v>5925.5270343994443</c:v>
                </c:pt>
                <c:pt idx="44">
                  <c:v>5949.1566322799135</c:v>
                </c:pt>
                <c:pt idx="45">
                  <c:v>6030.6620630293273</c:v>
                </c:pt>
                <c:pt idx="46">
                  <c:v>6038.3296024327547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C-4FEE-AB59-37C42CBED73D}"/>
            </c:ext>
          </c:extLst>
        </c:ser>
        <c:ser>
          <c:idx val="3"/>
          <c:order val="3"/>
          <c:tx>
            <c:strRef>
              <c:f>'3m CMA Naïve w Seasonals_FC'!$H$1</c:f>
              <c:strCache>
                <c:ptCount val="1"/>
                <c:pt idx="0">
                  <c:v>Naïve Sea Adj
Forecast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'3m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'3m CMA Naïve w Seasonals_FC'!$H$2:$H$60</c:f>
              <c:numCache>
                <c:formatCode>General</c:formatCode>
                <c:ptCount val="59"/>
                <c:pt idx="47" formatCode="&quot;$&quot;#,##0.00">
                  <c:v>6038.3296024327547</c:v>
                </c:pt>
                <c:pt idx="48" formatCode="&quot;$&quot;#,##0.00">
                  <c:v>6038.3296024327547</c:v>
                </c:pt>
                <c:pt idx="49" formatCode="&quot;$&quot;#,##0.00">
                  <c:v>6038.3296024327547</c:v>
                </c:pt>
                <c:pt idx="50" formatCode="&quot;$&quot;#,##0.00">
                  <c:v>6038.3296024327547</c:v>
                </c:pt>
                <c:pt idx="51" formatCode="&quot;$&quot;#,##0.00">
                  <c:v>6038.3296024327547</c:v>
                </c:pt>
                <c:pt idx="52" formatCode="&quot;$&quot;#,##0.00">
                  <c:v>6038.3296024327547</c:v>
                </c:pt>
                <c:pt idx="53" formatCode="&quot;$&quot;#,##0.00">
                  <c:v>6038.3296024327547</c:v>
                </c:pt>
                <c:pt idx="54" formatCode="&quot;$&quot;#,##0.00">
                  <c:v>6038.3296024327547</c:v>
                </c:pt>
                <c:pt idx="55" formatCode="&quot;$&quot;#,##0.00">
                  <c:v>6038.3296024327547</c:v>
                </c:pt>
                <c:pt idx="56" formatCode="&quot;$&quot;#,##0.00">
                  <c:v>6038.3296024327547</c:v>
                </c:pt>
                <c:pt idx="57" formatCode="&quot;$&quot;#,##0.00">
                  <c:v>6038.3296024327547</c:v>
                </c:pt>
                <c:pt idx="58" formatCode="&quot;$&quot;#,##0.00">
                  <c:v>6038.3296024327547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0C-4FEE-AB59-37C42CBED73D}"/>
            </c:ext>
          </c:extLst>
        </c:ser>
        <c:ser>
          <c:idx val="4"/>
          <c:order val="4"/>
          <c:tx>
            <c:strRef>
              <c:f>'3m CMA Naïve w Seasonals_FC'!$I$1</c:f>
              <c:strCache>
                <c:ptCount val="1"/>
                <c:pt idx="0">
                  <c:v>3M CMA Naïve w/Seasonals
Forecast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'3m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'3m CMA Naïve w Seasonals_FC'!$I$2:$I$60</c:f>
              <c:numCache>
                <c:formatCode>General</c:formatCode>
                <c:ptCount val="59"/>
                <c:pt idx="47" formatCode="&quot;$&quot;#,##0.00">
                  <c:v>6034.0412812261775</c:v>
                </c:pt>
                <c:pt idx="48" formatCode="&quot;$&quot;#,##0.00">
                  <c:v>6020.896119782662</c:v>
                </c:pt>
                <c:pt idx="49" formatCode="&quot;$&quot;#,##0.00">
                  <c:v>6016.5497009471283</c:v>
                </c:pt>
                <c:pt idx="50" formatCode="&quot;$&quot;#,##0.00">
                  <c:v>6013.1455903945243</c:v>
                </c:pt>
                <c:pt idx="51" formatCode="&quot;$&quot;#,##0.00">
                  <c:v>6032.6110351863745</c:v>
                </c:pt>
                <c:pt idx="52" formatCode="&quot;$&quot;#,##0.00">
                  <c:v>6073.0053971587176</c:v>
                </c:pt>
                <c:pt idx="53" formatCode="&quot;$&quot;#,##0.00">
                  <c:v>6034.5810419609998</c:v>
                </c:pt>
                <c:pt idx="54" formatCode="&quot;$&quot;#,##0.00">
                  <c:v>6011.005032768031</c:v>
                </c:pt>
                <c:pt idx="55" formatCode="&quot;$&quot;#,##0.00">
                  <c:v>6088.7443707684206</c:v>
                </c:pt>
                <c:pt idx="56" formatCode="&quot;$&quot;#,##0.00">
                  <c:v>6074.7102327864277</c:v>
                </c:pt>
                <c:pt idx="57" formatCode="&quot;$&quot;#,##0.00">
                  <c:v>6036.6654262135926</c:v>
                </c:pt>
                <c:pt idx="58" formatCode="&quot;$&quot;#,##0.00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0C-4FEE-AB59-37C42CBE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916000"/>
        <c:axId val="1"/>
      </c:lineChart>
      <c:dateAx>
        <c:axId val="172191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8"/>
        <c:minorUnit val="1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916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031463592824097"/>
          <c:y val="0.32114890190344442"/>
          <c:w val="0.26968530109857686"/>
          <c:h val="0.25407886122472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 Sum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'3m CMA Naïve w Seasonals_FC'!$V$3:$V$14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'3m CMA Naïve w Seasonals_FC'!$AD$3:$AD$14</c:f>
              <c:numCache>
                <c:formatCode>0.0000</c:formatCode>
                <c:ptCount val="12"/>
                <c:pt idx="0">
                  <c:v>0.99582930815368476</c:v>
                </c:pt>
                <c:pt idx="1">
                  <c:v>0.99905295543256256</c:v>
                </c:pt>
                <c:pt idx="2">
                  <c:v>1.0057426137705356</c:v>
                </c:pt>
                <c:pt idx="3">
                  <c:v>0.99937920572102512</c:v>
                </c:pt>
                <c:pt idx="4">
                  <c:v>0.99547481315797748</c:v>
                </c:pt>
                <c:pt idx="5">
                  <c:v>1.0083491249492831</c:v>
                </c:pt>
                <c:pt idx="6">
                  <c:v>1.0060249494063749</c:v>
                </c:pt>
                <c:pt idx="7">
                  <c:v>0.99972439791652123</c:v>
                </c:pt>
                <c:pt idx="8">
                  <c:v>0.99762689296937657</c:v>
                </c:pt>
                <c:pt idx="9">
                  <c:v>0.99928981663987837</c:v>
                </c:pt>
                <c:pt idx="10">
                  <c:v>0.99711286335825899</c:v>
                </c:pt>
                <c:pt idx="11">
                  <c:v>0.99639305852452109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277-88A8-A8DDBBEB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548143"/>
        <c:axId val="842578015"/>
      </c:barChart>
      <c:catAx>
        <c:axId val="10515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78015"/>
        <c:crosses val="autoZero"/>
        <c:auto val="1"/>
        <c:lblAlgn val="ctr"/>
        <c:lblOffset val="100"/>
        <c:noMultiLvlLbl val="0"/>
      </c:catAx>
      <c:valAx>
        <c:axId val="8425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49586515253432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4258462537543"/>
          <c:y val="0.12829966309028176"/>
          <c:w val="0.81705544281191655"/>
          <c:h val="0.80697926708078671"/>
        </c:manualLayout>
      </c:layout>
      <c:lineChart>
        <c:grouping val="standard"/>
        <c:varyColors val="0"/>
        <c:ser>
          <c:idx val="0"/>
          <c:order val="0"/>
          <c:tx>
            <c:strRef>
              <c:f>'6m CMA Naïve w Seasonals_FC'!$C$1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'6m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'6m CMA Naïve w Seasonals_FC'!$C$2:$C$60</c:f>
              <c:numCache>
                <c:formatCode>"$"#,##0.00</c:formatCode>
                <c:ptCount val="59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C-4CE7-8AB8-DB72E2DA4120}"/>
            </c:ext>
          </c:extLst>
        </c:ser>
        <c:ser>
          <c:idx val="1"/>
          <c:order val="1"/>
          <c:tx>
            <c:strRef>
              <c:f>'6m CMA Naïve w Seasonals_FC'!$D$1</c:f>
              <c:strCache>
                <c:ptCount val="1"/>
                <c:pt idx="0">
                  <c:v>CMA (6)
Adj</c:v>
                </c:pt>
              </c:strCache>
            </c:strRef>
          </c:tx>
          <c:spPr>
            <a:ln w="15875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'6m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'6m CMA Naïve w Seasonals_FC'!$D$2:$D$60</c:f>
              <c:numCache>
                <c:formatCode>0.00</c:formatCode>
                <c:ptCount val="59"/>
                <c:pt idx="2">
                  <c:v>3854.6666666666665</c:v>
                </c:pt>
                <c:pt idx="3">
                  <c:v>3889.0833333333335</c:v>
                </c:pt>
                <c:pt idx="4">
                  <c:v>3921.4166666666665</c:v>
                </c:pt>
                <c:pt idx="5">
                  <c:v>3955.0833333333335</c:v>
                </c:pt>
                <c:pt idx="6">
                  <c:v>3982.5</c:v>
                </c:pt>
                <c:pt idx="7">
                  <c:v>4005.25</c:v>
                </c:pt>
                <c:pt idx="8">
                  <c:v>4026</c:v>
                </c:pt>
                <c:pt idx="9">
                  <c:v>4049.9166666666665</c:v>
                </c:pt>
                <c:pt idx="10">
                  <c:v>4079.5</c:v>
                </c:pt>
                <c:pt idx="11">
                  <c:v>4110.666666666667</c:v>
                </c:pt>
                <c:pt idx="12">
                  <c:v>4149.583333333333</c:v>
                </c:pt>
                <c:pt idx="13">
                  <c:v>4192.166666666667</c:v>
                </c:pt>
                <c:pt idx="14">
                  <c:v>4241.25</c:v>
                </c:pt>
                <c:pt idx="15">
                  <c:v>4304.5</c:v>
                </c:pt>
                <c:pt idx="16">
                  <c:v>4374.75</c:v>
                </c:pt>
                <c:pt idx="17">
                  <c:v>4445.916666666667</c:v>
                </c:pt>
                <c:pt idx="18">
                  <c:v>4512.666666666667</c:v>
                </c:pt>
                <c:pt idx="19">
                  <c:v>4580.25</c:v>
                </c:pt>
                <c:pt idx="20">
                  <c:v>4643.416666666667</c:v>
                </c:pt>
                <c:pt idx="21">
                  <c:v>4693.333333333333</c:v>
                </c:pt>
                <c:pt idx="22">
                  <c:v>4735.916666666667</c:v>
                </c:pt>
                <c:pt idx="23">
                  <c:v>4780.333333333333</c:v>
                </c:pt>
                <c:pt idx="24">
                  <c:v>4834.25</c:v>
                </c:pt>
                <c:pt idx="25">
                  <c:v>4891.75</c:v>
                </c:pt>
                <c:pt idx="26">
                  <c:v>4946.833333333333</c:v>
                </c:pt>
                <c:pt idx="27">
                  <c:v>5048.5</c:v>
                </c:pt>
                <c:pt idx="28">
                  <c:v>5212.416666666667</c:v>
                </c:pt>
                <c:pt idx="29">
                  <c:v>5381</c:v>
                </c:pt>
                <c:pt idx="30">
                  <c:v>5529.75</c:v>
                </c:pt>
                <c:pt idx="31">
                  <c:v>5663.583333333333</c:v>
                </c:pt>
                <c:pt idx="32">
                  <c:v>5793.916666666667</c:v>
                </c:pt>
                <c:pt idx="33">
                  <c:v>5876.166666666667</c:v>
                </c:pt>
                <c:pt idx="34">
                  <c:v>5893.333333333333</c:v>
                </c:pt>
                <c:pt idx="35">
                  <c:v>5898.25</c:v>
                </c:pt>
                <c:pt idx="36">
                  <c:v>5910.666666666667</c:v>
                </c:pt>
                <c:pt idx="37">
                  <c:v>5927.916666666667</c:v>
                </c:pt>
                <c:pt idx="38">
                  <c:v>5943.916666666667</c:v>
                </c:pt>
                <c:pt idx="39">
                  <c:v>5957.25</c:v>
                </c:pt>
                <c:pt idx="40">
                  <c:v>5969.166666666667</c:v>
                </c:pt>
                <c:pt idx="41">
                  <c:v>5982.416666666667</c:v>
                </c:pt>
                <c:pt idx="42">
                  <c:v>5993.083333333333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C-4CE7-8AB8-DB72E2DA4120}"/>
            </c:ext>
          </c:extLst>
        </c:ser>
        <c:ser>
          <c:idx val="2"/>
          <c:order val="2"/>
          <c:tx>
            <c:strRef>
              <c:f>'6m CMA Naïve w Seasonals_FC'!$G$1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'6m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'6m CMA Naïve w Seasonals_FC'!$G$2:$G$60</c:f>
              <c:numCache>
                <c:formatCode>"$"#,##0.00</c:formatCode>
                <c:ptCount val="59"/>
                <c:pt idx="0">
                  <c:v>3752.9190757685278</c:v>
                </c:pt>
                <c:pt idx="1">
                  <c:v>3778.8817383017968</c:v>
                </c:pt>
                <c:pt idx="2">
                  <c:v>3800.4702920774575</c:v>
                </c:pt>
                <c:pt idx="3">
                  <c:v>3849.0558252787469</c:v>
                </c:pt>
                <c:pt idx="4">
                  <c:v>3916.2240737270881</c:v>
                </c:pt>
                <c:pt idx="5">
                  <c:v>3991.7277284115949</c:v>
                </c:pt>
                <c:pt idx="6">
                  <c:v>4043.867637102062</c:v>
                </c:pt>
                <c:pt idx="7">
                  <c:v>3930.3823355959034</c:v>
                </c:pt>
                <c:pt idx="8">
                  <c:v>3945.8417694676896</c:v>
                </c:pt>
                <c:pt idx="9">
                  <c:v>4004.170048005004</c:v>
                </c:pt>
                <c:pt idx="10">
                  <c:v>4029.7037798789393</c:v>
                </c:pt>
                <c:pt idx="11">
                  <c:v>4067.5315623555807</c:v>
                </c:pt>
                <c:pt idx="12">
                  <c:v>4096.1799537436336</c:v>
                </c:pt>
                <c:pt idx="13">
                  <c:v>4135.7204382581467</c:v>
                </c:pt>
                <c:pt idx="14">
                  <c:v>4189.8751115198656</c:v>
                </c:pt>
                <c:pt idx="15">
                  <c:v>4241.8986411712003</c:v>
                </c:pt>
                <c:pt idx="16">
                  <c:v>4321.2472478485051</c:v>
                </c:pt>
                <c:pt idx="17">
                  <c:v>4374.1505820688226</c:v>
                </c:pt>
                <c:pt idx="18">
                  <c:v>4508.4822166840013</c:v>
                </c:pt>
                <c:pt idx="19">
                  <c:v>4514.614908651055</c:v>
                </c:pt>
                <c:pt idx="20">
                  <c:v>4550.6860547523756</c:v>
                </c:pt>
                <c:pt idx="21">
                  <c:v>4617.8245238169975</c:v>
                </c:pt>
                <c:pt idx="22">
                  <c:v>4677.4413504224431</c:v>
                </c:pt>
                <c:pt idx="23">
                  <c:v>4734.0306291054212</c:v>
                </c:pt>
                <c:pt idx="24">
                  <c:v>4770.7274930202957</c:v>
                </c:pt>
                <c:pt idx="25">
                  <c:v>4819.3271612082326</c:v>
                </c:pt>
                <c:pt idx="26">
                  <c:v>4866.0509220245131</c:v>
                </c:pt>
                <c:pt idx="27">
                  <c:v>4960.2684963198053</c:v>
                </c:pt>
                <c:pt idx="28">
                  <c:v>5054.2891901472685</c:v>
                </c:pt>
                <c:pt idx="29">
                  <c:v>5149.0866021446836</c:v>
                </c:pt>
                <c:pt idx="30">
                  <c:v>5167.4453785747246</c:v>
                </c:pt>
                <c:pt idx="31">
                  <c:v>5677.1083419192282</c:v>
                </c:pt>
                <c:pt idx="32">
                  <c:v>5847.48804120563</c:v>
                </c:pt>
                <c:pt idx="33">
                  <c:v>5857.0684085199873</c:v>
                </c:pt>
                <c:pt idx="34">
                  <c:v>5857.4978153450165</c:v>
                </c:pt>
                <c:pt idx="35">
                  <c:v>5836.5849720149927</c:v>
                </c:pt>
                <c:pt idx="36">
                  <c:v>5883.3317922710021</c:v>
                </c:pt>
                <c:pt idx="37">
                  <c:v>5913.8998026473746</c:v>
                </c:pt>
                <c:pt idx="38">
                  <c:v>5953.7682600535654</c:v>
                </c:pt>
                <c:pt idx="39">
                  <c:v>5965.9862935278516</c:v>
                </c:pt>
                <c:pt idx="40">
                  <c:v>5987.3425764566082</c:v>
                </c:pt>
                <c:pt idx="41">
                  <c:v>6037.0341251482732</c:v>
                </c:pt>
                <c:pt idx="42">
                  <c:v>6054.1607853585565</c:v>
                </c:pt>
                <c:pt idx="43">
                  <c:v>5946.8307052888131</c:v>
                </c:pt>
                <c:pt idx="44">
                  <c:v>5924.7022052845268</c:v>
                </c:pt>
                <c:pt idx="45">
                  <c:v>5996.3092944416712</c:v>
                </c:pt>
                <c:pt idx="46">
                  <c:v>5993.8112518495627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C-4CE7-8AB8-DB72E2DA4120}"/>
            </c:ext>
          </c:extLst>
        </c:ser>
        <c:ser>
          <c:idx val="3"/>
          <c:order val="3"/>
          <c:tx>
            <c:strRef>
              <c:f>'6m CMA Naïve w Seasonals_FC'!$H$1</c:f>
              <c:strCache>
                <c:ptCount val="1"/>
                <c:pt idx="0">
                  <c:v>Naïve Sea Adj
Forecast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'6m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'6m CMA Naïve w Seasonals_FC'!$H$2:$H$60</c:f>
              <c:numCache>
                <c:formatCode>General</c:formatCode>
                <c:ptCount val="59"/>
                <c:pt idx="47" formatCode="&quot;$&quot;#,##0.00">
                  <c:v>5993.8112518495627</c:v>
                </c:pt>
                <c:pt idx="48" formatCode="&quot;$&quot;#,##0.00">
                  <c:v>5993.8112518495627</c:v>
                </c:pt>
                <c:pt idx="49" formatCode="&quot;$&quot;#,##0.00">
                  <c:v>5993.8112518495627</c:v>
                </c:pt>
                <c:pt idx="50" formatCode="&quot;$&quot;#,##0.00">
                  <c:v>5993.8112518495627</c:v>
                </c:pt>
                <c:pt idx="51" formatCode="&quot;$&quot;#,##0.00">
                  <c:v>5993.8112518495627</c:v>
                </c:pt>
                <c:pt idx="52" formatCode="&quot;$&quot;#,##0.00">
                  <c:v>5993.8112518495627</c:v>
                </c:pt>
                <c:pt idx="53" formatCode="&quot;$&quot;#,##0.00">
                  <c:v>5993.8112518495627</c:v>
                </c:pt>
                <c:pt idx="54" formatCode="&quot;$&quot;#,##0.00">
                  <c:v>5993.8112518495627</c:v>
                </c:pt>
                <c:pt idx="55" formatCode="&quot;$&quot;#,##0.00">
                  <c:v>5993.8112518495627</c:v>
                </c:pt>
                <c:pt idx="56" formatCode="&quot;$&quot;#,##0.00">
                  <c:v>5993.8112518495627</c:v>
                </c:pt>
                <c:pt idx="57" formatCode="&quot;$&quot;#,##0.00">
                  <c:v>5993.8112518495627</c:v>
                </c:pt>
                <c:pt idx="58" formatCode="&quot;$&quot;#,##0.00">
                  <c:v>5993.8112518495627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4C-4CE7-8AB8-DB72E2DA4120}"/>
            </c:ext>
          </c:extLst>
        </c:ser>
        <c:ser>
          <c:idx val="4"/>
          <c:order val="4"/>
          <c:tx>
            <c:strRef>
              <c:f>'6m CMA Naïve w Seasonals_FC'!$I$1</c:f>
              <c:strCache>
                <c:ptCount val="1"/>
                <c:pt idx="0">
                  <c:v>6M CMA Naïve w/Seasonals
Forecast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'6m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'6m CMA Naïve w Seasonals_FC'!$I$2:$I$60</c:f>
              <c:numCache>
                <c:formatCode>General</c:formatCode>
                <c:ptCount val="59"/>
                <c:pt idx="47" formatCode="&quot;$&quot;#,##0.00">
                  <c:v>6034.2880442480709</c:v>
                </c:pt>
                <c:pt idx="48" formatCode="&quot;$&quot;#,##0.00">
                  <c:v>6006.7173480392403</c:v>
                </c:pt>
                <c:pt idx="49" formatCode="&quot;$&quot;#,##0.00">
                  <c:v>5979.7236284053806</c:v>
                </c:pt>
                <c:pt idx="50" formatCode="&quot;$&quot;#,##0.00">
                  <c:v>5956.7957011606604</c:v>
                </c:pt>
                <c:pt idx="51" formatCode="&quot;$&quot;#,##0.00">
                  <c:v>5965.6944321333021</c:v>
                </c:pt>
                <c:pt idx="52" formatCode="&quot;$&quot;#,##0.00">
                  <c:v>5993.4683052761848</c:v>
                </c:pt>
                <c:pt idx="53" formatCode="&quot;$&quot;#,##0.00">
                  <c:v>5940.1639905315533</c:v>
                </c:pt>
                <c:pt idx="54" formatCode="&quot;$&quot;#,##0.00">
                  <c:v>5921.379753245038</c:v>
                </c:pt>
                <c:pt idx="55" formatCode="&quot;$&quot;#,##0.00">
                  <c:v>6022.2030867552412</c:v>
                </c:pt>
                <c:pt idx="56" formatCode="&quot;$&quot;#,##0.00">
                  <c:v>6054.8123938318477</c:v>
                </c:pt>
                <c:pt idx="57" formatCode="&quot;$&quot;#,##0.00">
                  <c:v>6026.4883385682278</c:v>
                </c:pt>
                <c:pt idx="58" formatCode="&quot;$&quot;#,##0.00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4C-4CE7-8AB8-DB72E2DA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916000"/>
        <c:axId val="1"/>
      </c:lineChart>
      <c:dateAx>
        <c:axId val="172191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8"/>
        <c:minorUnit val="1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916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031463592824097"/>
          <c:y val="0.32114890190344442"/>
          <c:w val="0.26968530109857686"/>
          <c:h val="0.25407886122472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 Sum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'6m CMA Naïve w Seasonals_FC'!$V$3:$V$14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'6m CMA Naïve w Seasonals_FC'!$AD$3:$AD$14</c:f>
              <c:numCache>
                <c:formatCode>0.0000</c:formatCode>
                <c:ptCount val="12"/>
                <c:pt idx="0">
                  <c:v>0.99382437165042858</c:v>
                </c:pt>
                <c:pt idx="1">
                  <c:v>0.99530902483664563</c:v>
                </c:pt>
                <c:pt idx="2">
                  <c:v>0.99994278322106456</c:v>
                </c:pt>
                <c:pt idx="3">
                  <c:v>0.99104955777487069</c:v>
                </c:pt>
                <c:pt idx="4">
                  <c:v>0.98791561903418734</c:v>
                </c:pt>
                <c:pt idx="5">
                  <c:v>1.0047368583548435</c:v>
                </c:pt>
                <c:pt idx="6">
                  <c:v>1.010177354511032</c:v>
                </c:pt>
                <c:pt idx="7">
                  <c:v>1.0054518044272052</c:v>
                </c:pt>
                <c:pt idx="8">
                  <c:v>1.0050366531213544</c:v>
                </c:pt>
                <c:pt idx="9">
                  <c:v>1.0067530976031349</c:v>
                </c:pt>
                <c:pt idx="10">
                  <c:v>1.0021532370052018</c:v>
                </c:pt>
                <c:pt idx="11">
                  <c:v>0.99764963846003074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FDD-AF3F-E34BDC88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548143"/>
        <c:axId val="842578015"/>
      </c:barChart>
      <c:catAx>
        <c:axId val="10515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78015"/>
        <c:crosses val="autoZero"/>
        <c:auto val="1"/>
        <c:lblAlgn val="ctr"/>
        <c:lblOffset val="100"/>
        <c:noMultiLvlLbl val="0"/>
      </c:catAx>
      <c:valAx>
        <c:axId val="8425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4780958555539936"/>
          <c:y val="3.21480310347809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4258462537543"/>
          <c:y val="0.12829966309028176"/>
          <c:w val="0.81705544281191655"/>
          <c:h val="0.80697926708078671"/>
        </c:manualLayout>
      </c:layout>
      <c:lineChart>
        <c:grouping val="standard"/>
        <c:varyColors val="0"/>
        <c:ser>
          <c:idx val="0"/>
          <c:order val="0"/>
          <c:tx>
            <c:strRef>
              <c:f>'12m CMA Naïve w Seasonals_FC'!$C$1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'12m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'12m CMA Naïve w Seasonals_FC'!$C$2:$C$60</c:f>
              <c:numCache>
                <c:formatCode>"$"#,##0.00</c:formatCode>
                <c:ptCount val="59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C-4635-B78A-D8F4E4A1A4AF}"/>
            </c:ext>
          </c:extLst>
        </c:ser>
        <c:ser>
          <c:idx val="1"/>
          <c:order val="1"/>
          <c:tx>
            <c:strRef>
              <c:f>'12m CMA Naïve w Seasonals_FC'!$D$1</c:f>
              <c:strCache>
                <c:ptCount val="1"/>
                <c:pt idx="0">
                  <c:v>CMA (12)
Adj</c:v>
                </c:pt>
              </c:strCache>
            </c:strRef>
          </c:tx>
          <c:spPr>
            <a:ln w="15875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'12m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'12m CMA Naïve w Seasonals_FC'!$D$2:$D$60</c:f>
              <c:numCache>
                <c:formatCode>0.00</c:formatCode>
                <c:ptCount val="59"/>
                <c:pt idx="6" formatCode="&quot;$&quot;#,##0.00">
                  <c:v>3940.3333333333335</c:v>
                </c:pt>
                <c:pt idx="7" formatCode="&quot;$&quot;#,##0.00">
                  <c:v>3969.5</c:v>
                </c:pt>
                <c:pt idx="8" formatCode="&quot;$&quot;#,##0.00">
                  <c:v>4000.4583333333335</c:v>
                </c:pt>
                <c:pt idx="9" formatCode="&quot;$&quot;#,##0.00">
                  <c:v>4032.875</c:v>
                </c:pt>
                <c:pt idx="10" formatCode="&quot;$&quot;#,##0.00">
                  <c:v>4066.0416666666665</c:v>
                </c:pt>
                <c:pt idx="11" formatCode="&quot;$&quot;#,##0.00">
                  <c:v>4098.708333333333</c:v>
                </c:pt>
                <c:pt idx="12" formatCode="&quot;$&quot;#,##0.00">
                  <c:v>4133.625</c:v>
                </c:pt>
                <c:pt idx="13" formatCode="&quot;$&quot;#,##0.00">
                  <c:v>4177.208333333333</c:v>
                </c:pt>
                <c:pt idx="14" formatCode="&quot;$&quot;#,##0.00">
                  <c:v>4227.125</c:v>
                </c:pt>
                <c:pt idx="15" formatCode="&quot;$&quot;#,##0.00">
                  <c:v>4278.291666666667</c:v>
                </c:pt>
                <c:pt idx="16" formatCode="&quot;$&quot;#,##0.00">
                  <c:v>4331.125</c:v>
                </c:pt>
                <c:pt idx="17" formatCode="&quot;$&quot;#,##0.00">
                  <c:v>4386.208333333333</c:v>
                </c:pt>
                <c:pt idx="18" formatCode="&quot;$&quot;#,##0.00">
                  <c:v>4442.333333333333</c:v>
                </c:pt>
                <c:pt idx="19" formatCode="&quot;$&quot;#,##0.00">
                  <c:v>4498.916666666667</c:v>
                </c:pt>
                <c:pt idx="20" formatCode="&quot;$&quot;#,##0.00">
                  <c:v>4555.333333333333</c:v>
                </c:pt>
                <c:pt idx="21" formatCode="&quot;$&quot;#,##0.00">
                  <c:v>4613.125</c:v>
                </c:pt>
                <c:pt idx="22" formatCode="&quot;$&quot;#,##0.00">
                  <c:v>4673.458333333333</c:v>
                </c:pt>
                <c:pt idx="23" formatCode="&quot;$&quot;#,##0.00">
                  <c:v>4736</c:v>
                </c:pt>
                <c:pt idx="24" formatCode="&quot;$&quot;#,##0.00">
                  <c:v>4795.125</c:v>
                </c:pt>
                <c:pt idx="25" formatCode="&quot;$&quot;#,##0.00">
                  <c:v>4870.916666666667</c:v>
                </c:pt>
                <c:pt idx="26" formatCode="&quot;$&quot;#,##0.00">
                  <c:v>4974.166666666667</c:v>
                </c:pt>
                <c:pt idx="27" formatCode="&quot;$&quot;#,##0.00">
                  <c:v>5080.666666666667</c:v>
                </c:pt>
                <c:pt idx="28" formatCode="&quot;$&quot;#,##0.00">
                  <c:v>5182</c:v>
                </c:pt>
                <c:pt idx="29" formatCode="&quot;$&quot;#,##0.00">
                  <c:v>5277.666666666667</c:v>
                </c:pt>
                <c:pt idx="30" formatCode="&quot;$&quot;#,##0.00">
                  <c:v>5370.375</c:v>
                </c:pt>
                <c:pt idx="31" formatCode="&quot;$&quot;#,##0.00">
                  <c:v>5462.333333333333</c:v>
                </c:pt>
                <c:pt idx="32" formatCode="&quot;$&quot;#,##0.00">
                  <c:v>5552.875</c:v>
                </c:pt>
                <c:pt idx="33" formatCode="&quot;$&quot;#,##0.00">
                  <c:v>5639.625</c:v>
                </c:pt>
                <c:pt idx="34" formatCode="&quot;$&quot;#,##0.00">
                  <c:v>5720.208333333333</c:v>
                </c:pt>
                <c:pt idx="35" formatCode="&quot;$&quot;#,##0.00">
                  <c:v>5795.75</c:v>
                </c:pt>
                <c:pt idx="36" formatCode="&quot;$&quot;#,##0.00">
                  <c:v>5868.916666666667</c:v>
                </c:pt>
                <c:pt idx="37" formatCode="&quot;$&quot;#,##0.00">
                  <c:v>5916.708333333333</c:v>
                </c:pt>
                <c:pt idx="38" formatCode="&quot;$&quot;#,##0.00">
                  <c:v>5931.25</c:v>
                </c:pt>
                <c:pt idx="39" formatCode="&quot;$&quot;#,##0.00">
                  <c:v>5940.333333333333</c:v>
                </c:pt>
                <c:pt idx="40" formatCode="&quot;$&quot;#,##0.00">
                  <c:v>5951.875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C-4635-B78A-D8F4E4A1A4AF}"/>
            </c:ext>
          </c:extLst>
        </c:ser>
        <c:ser>
          <c:idx val="2"/>
          <c:order val="2"/>
          <c:tx>
            <c:strRef>
              <c:f>'12m CMA Naïve w Seasonals_FC'!$G$1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'12m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'12m CMA Naïve w Seasonals_FC'!$G$2:$G$60</c:f>
              <c:numCache>
                <c:formatCode>"$"#,##0.00</c:formatCode>
                <c:ptCount val="59"/>
                <c:pt idx="0">
                  <c:v>3764.942008120142</c:v>
                </c:pt>
                <c:pt idx="1">
                  <c:v>3802.8323300443694</c:v>
                </c:pt>
                <c:pt idx="2">
                  <c:v>3831.9579705848228</c:v>
                </c:pt>
                <c:pt idx="3">
                  <c:v>3882.4272050223549</c:v>
                </c:pt>
                <c:pt idx="4">
                  <c:v>3941.0037168641152</c:v>
                </c:pt>
                <c:pt idx="5">
                  <c:v>4043.7277625030488</c:v>
                </c:pt>
                <c:pt idx="6">
                  <c:v>4036.4672549308007</c:v>
                </c:pt>
                <c:pt idx="7">
                  <c:v>3884.9339698073859</c:v>
                </c:pt>
                <c:pt idx="8">
                  <c:v>3893.2455539057823</c:v>
                </c:pt>
                <c:pt idx="9">
                  <c:v>3958.5167410354115</c:v>
                </c:pt>
                <c:pt idx="10">
                  <c:v>4005.6088475200413</c:v>
                </c:pt>
                <c:pt idx="11">
                  <c:v>4065.9848660920511</c:v>
                </c:pt>
                <c:pt idx="12">
                  <c:v>4109.3025640343485</c:v>
                </c:pt>
                <c:pt idx="13">
                  <c:v>4161.9326773907342</c:v>
                </c:pt>
                <c:pt idx="14">
                  <c:v>4224.5890890958972</c:v>
                </c:pt>
                <c:pt idx="15">
                  <c:v>4278.6759748380009</c:v>
                </c:pt>
                <c:pt idx="16">
                  <c:v>4348.5896477451079</c:v>
                </c:pt>
                <c:pt idx="17">
                  <c:v>4431.1324192241445</c:v>
                </c:pt>
                <c:pt idx="18">
                  <c:v>4500.2315778377442</c:v>
                </c:pt>
                <c:pt idx="19">
                  <c:v>4462.4108602295018</c:v>
                </c:pt>
                <c:pt idx="20">
                  <c:v>4490.0275492485907</c:v>
                </c:pt>
                <c:pt idx="21">
                  <c:v>4565.174671790217</c:v>
                </c:pt>
                <c:pt idx="22">
                  <c:v>4649.4733807880775</c:v>
                </c:pt>
                <c:pt idx="23">
                  <c:v>4732.2304937227636</c:v>
                </c:pt>
                <c:pt idx="24">
                  <c:v>4786.0110983308696</c:v>
                </c:pt>
                <c:pt idx="25">
                  <c:v>4849.8721068576469</c:v>
                </c:pt>
                <c:pt idx="26">
                  <c:v>4906.3671553476843</c:v>
                </c:pt>
                <c:pt idx="27">
                  <c:v>5003.27410889986</c:v>
                </c:pt>
                <c:pt idx="28">
                  <c:v>5086.2698633889777</c:v>
                </c:pt>
                <c:pt idx="29">
                  <c:v>5216.1634914188717</c:v>
                </c:pt>
                <c:pt idx="30">
                  <c:v>5157.9888201305976</c:v>
                </c:pt>
                <c:pt idx="31">
                  <c:v>5611.4619812057053</c:v>
                </c:pt>
                <c:pt idx="32">
                  <c:v>5769.5437749426637</c:v>
                </c:pt>
                <c:pt idx="33">
                  <c:v>5790.2893909482209</c:v>
                </c:pt>
                <c:pt idx="34">
                  <c:v>5822.4738976174031</c:v>
                </c:pt>
                <c:pt idx="35">
                  <c:v>5834.3655856304986</c:v>
                </c:pt>
                <c:pt idx="36">
                  <c:v>5902.1797606690661</c:v>
                </c:pt>
                <c:pt idx="37">
                  <c:v>5951.3821610773957</c:v>
                </c:pt>
                <c:pt idx="38">
                  <c:v>6003.0964553747408</c:v>
                </c:pt>
                <c:pt idx="39">
                  <c:v>6017.7114965864639</c:v>
                </c:pt>
                <c:pt idx="40">
                  <c:v>6025.2270819370424</c:v>
                </c:pt>
                <c:pt idx="41">
                  <c:v>6115.6782616419969</c:v>
                </c:pt>
                <c:pt idx="42">
                  <c:v>6043.0815148288157</c:v>
                </c:pt>
                <c:pt idx="43">
                  <c:v>5878.0654519116561</c:v>
                </c:pt>
                <c:pt idx="44">
                  <c:v>5845.7287105183414</c:v>
                </c:pt>
                <c:pt idx="45">
                  <c:v>5927.9427301794576</c:v>
                </c:pt>
                <c:pt idx="46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1-4C50-A4AA-482D9C4221E6}"/>
            </c:ext>
          </c:extLst>
        </c:ser>
        <c:ser>
          <c:idx val="3"/>
          <c:order val="3"/>
          <c:tx>
            <c:strRef>
              <c:f>'12m CMA Naïve w Seasonals_FC'!$H$1</c:f>
              <c:strCache>
                <c:ptCount val="1"/>
                <c:pt idx="0">
                  <c:v>Naïve Sea Adj
Forecast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'12m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'12m CMA Naïve w Seasonals_FC'!$H$2:$H$60</c:f>
              <c:numCache>
                <c:formatCode>General</c:formatCode>
                <c:ptCount val="59"/>
                <c:pt idx="47" formatCode="&quot;$&quot;#,##0.00">
                  <c:v>5957.9722709779571</c:v>
                </c:pt>
                <c:pt idx="48" formatCode="&quot;$&quot;#,##0.00">
                  <c:v>5957.9722709779571</c:v>
                </c:pt>
                <c:pt idx="49" formatCode="&quot;$&quot;#,##0.00">
                  <c:v>5957.9722709779571</c:v>
                </c:pt>
                <c:pt idx="50" formatCode="&quot;$&quot;#,##0.00">
                  <c:v>5957.9722709779571</c:v>
                </c:pt>
                <c:pt idx="51" formatCode="&quot;$&quot;#,##0.00">
                  <c:v>5957.9722709779571</c:v>
                </c:pt>
                <c:pt idx="52" formatCode="&quot;$&quot;#,##0.00">
                  <c:v>5957.9722709779571</c:v>
                </c:pt>
                <c:pt idx="53" formatCode="&quot;$&quot;#,##0.00">
                  <c:v>5957.9722709779571</c:v>
                </c:pt>
                <c:pt idx="54" formatCode="&quot;$&quot;#,##0.00">
                  <c:v>5957.9722709779571</c:v>
                </c:pt>
                <c:pt idx="55" formatCode="&quot;$&quot;#,##0.00">
                  <c:v>5957.9722709779571</c:v>
                </c:pt>
                <c:pt idx="56" formatCode="&quot;$&quot;#,##0.00">
                  <c:v>5957.9722709779571</c:v>
                </c:pt>
                <c:pt idx="57" formatCode="&quot;$&quot;#,##0.00">
                  <c:v>5957.9722709779571</c:v>
                </c:pt>
                <c:pt idx="58" formatCode="&quot;$&quot;#,##0.00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1-4C50-A4AA-482D9C4221E6}"/>
            </c:ext>
          </c:extLst>
        </c:ser>
        <c:ser>
          <c:idx val="4"/>
          <c:order val="4"/>
          <c:tx>
            <c:strRef>
              <c:f>'12m CMA Naïve w Seasonals_FC'!$I$1</c:f>
              <c:strCache>
                <c:ptCount val="1"/>
                <c:pt idx="0">
                  <c:v>12M CMA Naïve w/Seasonals
Forecast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'12m CMA Naïve w Seasonals_FC'!$B$2:$B$60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'12m CMA Naïve w Seasonals_FC'!$I$2:$I$60</c:f>
              <c:numCache>
                <c:formatCode>General</c:formatCode>
                <c:ptCount val="59"/>
                <c:pt idx="47" formatCode="&quot;$&quot;#,##0.00">
                  <c:v>6000.4887507376134</c:v>
                </c:pt>
                <c:pt idx="48" formatCode="&quot;$&quot;#,##0.00">
                  <c:v>5951.7340938636426</c:v>
                </c:pt>
                <c:pt idx="49" formatCode="&quot;$&quot;#,##0.00">
                  <c:v>5906.5332131866116</c:v>
                </c:pt>
                <c:pt idx="50" formatCode="&quot;$&quot;#,##0.00">
                  <c:v>5872.5229870016965</c:v>
                </c:pt>
                <c:pt idx="51" formatCode="&quot;$&quot;#,##0.00">
                  <c:v>5879.0520890101607</c:v>
                </c:pt>
                <c:pt idx="52" formatCode="&quot;$&quot;#,##0.00">
                  <c:v>5920.1718875095758</c:v>
                </c:pt>
                <c:pt idx="53" formatCode="&quot;$&quot;#,##0.00">
                  <c:v>5828.7154052624055</c:v>
                </c:pt>
                <c:pt idx="54" formatCode="&quot;$&quot;#,##0.00">
                  <c:v>5896.7650966277915</c:v>
                </c:pt>
                <c:pt idx="55" formatCode="&quot;$&quot;#,##0.00">
                  <c:v>6056.2245538650604</c:v>
                </c:pt>
                <c:pt idx="56" formatCode="&quot;$&quot;#,##0.00">
                  <c:v>6099.9177019012286</c:v>
                </c:pt>
                <c:pt idx="57" formatCode="&quot;$&quot;#,##0.00">
                  <c:v>6059.5414727697062</c:v>
                </c:pt>
                <c:pt idx="58" formatCode="&quot;$&quot;#,##0.00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1-4C50-A4AA-482D9C42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916000"/>
        <c:axId val="1"/>
      </c:lineChart>
      <c:dateAx>
        <c:axId val="1721916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8"/>
        <c:minorUnit val="1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1916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031463592824097"/>
          <c:y val="0.32114890190344442"/>
          <c:w val="0.21813897231918175"/>
          <c:h val="0.299121456189912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'12m CMA Naïve w Seasonals_FC'!$AD$2</c:f>
              <c:strCache>
                <c:ptCount val="1"/>
                <c:pt idx="0">
                  <c:v>Adj Sum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'12m CMA Naïve w Seasonals_FC'!$V$3:$V$14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'12m CMA Naïve w Seasonals_FC'!$AD$3:$AD$14</c:f>
              <c:numCache>
                <c:formatCode>0.0000</c:formatCode>
                <c:ptCount val="12"/>
                <c:pt idx="0">
                  <c:v>0.98565799233532947</c:v>
                </c:pt>
                <c:pt idx="1">
                  <c:v>0.9867538520861826</c:v>
                </c:pt>
                <c:pt idx="2">
                  <c:v>0.99365549523408958</c:v>
                </c:pt>
                <c:pt idx="3">
                  <c:v>0.97830522536246467</c:v>
                </c:pt>
                <c:pt idx="4">
                  <c:v>0.98972684471052108</c:v>
                </c:pt>
                <c:pt idx="5">
                  <c:v>1.0164908929445178</c:v>
                </c:pt>
                <c:pt idx="6">
                  <c:v>1.023824453097022</c:v>
                </c:pt>
                <c:pt idx="7">
                  <c:v>1.0170476123708239</c:v>
                </c:pt>
                <c:pt idx="8">
                  <c:v>1.0110822484595425</c:v>
                </c:pt>
                <c:pt idx="9">
                  <c:v>1.0071360653970747</c:v>
                </c:pt>
                <c:pt idx="10">
                  <c:v>0.99895296976377324</c:v>
                </c:pt>
                <c:pt idx="11">
                  <c:v>0.99136634823865966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D-43D0-9865-01C4CFD6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548143"/>
        <c:axId val="842578015"/>
      </c:barChart>
      <c:catAx>
        <c:axId val="10515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78015"/>
        <c:crosses val="autoZero"/>
        <c:auto val="1"/>
        <c:lblAlgn val="ctr"/>
        <c:lblOffset val="100"/>
        <c:noMultiLvlLbl val="0"/>
      </c:catAx>
      <c:valAx>
        <c:axId val="8425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4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Differences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F-C'!$H$1</c:f>
              <c:strCache>
                <c:ptCount val="1"/>
                <c:pt idx="0">
                  <c:v>First
Diff</c:v>
                </c:pt>
              </c:strCache>
            </c:strRef>
          </c:tx>
          <c:marker>
            <c:symbol val="none"/>
          </c:marker>
          <c:cat>
            <c:numRef>
              <c:f>'Linear F-C'!$B$2:$B$63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'Linear F-C'!$H$2:$H$63</c:f>
              <c:numCache>
                <c:formatCode>"$"#,##0.00</c:formatCode>
                <c:ptCount val="62"/>
                <c:pt idx="1">
                  <c:v>37.890321924227464</c:v>
                </c:pt>
                <c:pt idx="2">
                  <c:v>29.125640540453333</c:v>
                </c:pt>
                <c:pt idx="3">
                  <c:v>50.469234437532123</c:v>
                </c:pt>
                <c:pt idx="4">
                  <c:v>58.576511841760293</c:v>
                </c:pt>
                <c:pt idx="5">
                  <c:v>102.7240456389336</c:v>
                </c:pt>
                <c:pt idx="6">
                  <c:v>-103.39442916971529</c:v>
                </c:pt>
                <c:pt idx="7">
                  <c:v>-55.399363525947592</c:v>
                </c:pt>
                <c:pt idx="8">
                  <c:v>8.3115840983964517</c:v>
                </c:pt>
                <c:pt idx="9">
                  <c:v>65.271187129629197</c:v>
                </c:pt>
                <c:pt idx="10">
                  <c:v>47.092106484629767</c:v>
                </c:pt>
                <c:pt idx="11">
                  <c:v>60.376018572009798</c:v>
                </c:pt>
                <c:pt idx="12">
                  <c:v>43.3176979422974</c:v>
                </c:pt>
                <c:pt idx="13">
                  <c:v>52.630113356385664</c:v>
                </c:pt>
                <c:pt idx="14">
                  <c:v>62.656411705163009</c:v>
                </c:pt>
                <c:pt idx="15">
                  <c:v>54.086885742103732</c:v>
                </c:pt>
                <c:pt idx="16">
                  <c:v>69.913672907106957</c:v>
                </c:pt>
                <c:pt idx="17">
                  <c:v>82.542771479036674</c:v>
                </c:pt>
                <c:pt idx="18">
                  <c:v>69.099158613599684</c:v>
                </c:pt>
                <c:pt idx="19">
                  <c:v>-37.820717608242376</c:v>
                </c:pt>
                <c:pt idx="20">
                  <c:v>27.616689019088881</c:v>
                </c:pt>
                <c:pt idx="21">
                  <c:v>75.147122541626231</c:v>
                </c:pt>
                <c:pt idx="22">
                  <c:v>84.298708997860558</c:v>
                </c:pt>
                <c:pt idx="23">
                  <c:v>82.75711293468612</c:v>
                </c:pt>
                <c:pt idx="24">
                  <c:v>53.780604608105932</c:v>
                </c:pt>
                <c:pt idx="25">
                  <c:v>63.861008526777368</c:v>
                </c:pt>
                <c:pt idx="26">
                  <c:v>56.495048490037334</c:v>
                </c:pt>
                <c:pt idx="27">
                  <c:v>96.906953552175764</c:v>
                </c:pt>
                <c:pt idx="28">
                  <c:v>82.995754489117644</c:v>
                </c:pt>
                <c:pt idx="29">
                  <c:v>129.89362802989399</c:v>
                </c:pt>
                <c:pt idx="30">
                  <c:v>-58.174671288273203</c:v>
                </c:pt>
                <c:pt idx="31">
                  <c:v>453.47316107510687</c:v>
                </c:pt>
                <c:pt idx="32">
                  <c:v>158.08179373695839</c:v>
                </c:pt>
                <c:pt idx="33">
                  <c:v>20.745616005557167</c:v>
                </c:pt>
                <c:pt idx="34">
                  <c:v>32.184506669182156</c:v>
                </c:pt>
                <c:pt idx="35">
                  <c:v>11.891688013095518</c:v>
                </c:pt>
                <c:pt idx="36">
                  <c:v>67.814175038567555</c:v>
                </c:pt>
                <c:pt idx="37">
                  <c:v>49.202400408329595</c:v>
                </c:pt>
                <c:pt idx="38">
                  <c:v>51.714294297345077</c:v>
                </c:pt>
                <c:pt idx="39">
                  <c:v>14.61504121172311</c:v>
                </c:pt>
                <c:pt idx="40">
                  <c:v>7.5155853505784762</c:v>
                </c:pt>
                <c:pt idx="41">
                  <c:v>90.451179704954484</c:v>
                </c:pt>
                <c:pt idx="42">
                  <c:v>-72.596746813180289</c:v>
                </c:pt>
                <c:pt idx="43">
                  <c:v>-165.01606291716053</c:v>
                </c:pt>
                <c:pt idx="44">
                  <c:v>-32.336741393314696</c:v>
                </c:pt>
                <c:pt idx="45">
                  <c:v>82.214019661116254</c:v>
                </c:pt>
                <c:pt idx="46">
                  <c:v>30.029540798499511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D-4E6F-AF27-C059F886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106448"/>
        <c:axId val="1"/>
      </c:lineChart>
      <c:dateAx>
        <c:axId val="1799106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9106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Richmond</a:t>
            </a:r>
            <a:r>
              <a:rPr lang="en-US" baseline="0"/>
              <a:t> Bank Core Deposit</a:t>
            </a:r>
          </a:p>
          <a:p>
            <a:pPr>
              <a:defRPr/>
            </a:pPr>
            <a:r>
              <a:rPr lang="en-US" baseline="0"/>
              <a:t> Linear-Naïve w/Seasonals FC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F-C'!$C$1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'Linear F-C'!$A$2:$A$63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'Linear F-C'!$C$2:$C$63</c:f>
              <c:numCache>
                <c:formatCode>"$"#,##0.00</c:formatCode>
                <c:ptCount val="62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5-4487-BC89-1A0C20D4E725}"/>
            </c:ext>
          </c:extLst>
        </c:ser>
        <c:ser>
          <c:idx val="1"/>
          <c:order val="1"/>
          <c:tx>
            <c:strRef>
              <c:f>'Linear F-C'!$K$1</c:f>
              <c:strCache>
                <c:ptCount val="1"/>
                <c:pt idx="0">
                  <c:v>Linear-Naïve w/Seasonals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'Linear F-C'!$A$2:$A$63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'Linear F-C'!$K$2:$K$63</c:f>
              <c:numCache>
                <c:formatCode>General</c:formatCode>
                <c:ptCount val="62"/>
                <c:pt idx="47" formatCode="&quot;$&quot;#,##0.00">
                  <c:v>6030.7325843030949</c:v>
                </c:pt>
                <c:pt idx="48" formatCode="&quot;$&quot;#,##0.00">
                  <c:v>6011.7302917862498</c:v>
                </c:pt>
                <c:pt idx="49" formatCode="&quot;$&quot;#,##0.00">
                  <c:v>5995.8440417886886</c:v>
                </c:pt>
                <c:pt idx="50" formatCode="&quot;$&quot;#,##0.00">
                  <c:v>5990.9184145785002</c:v>
                </c:pt>
                <c:pt idx="51" formatCode="&quot;$&quot;#,##0.00">
                  <c:v>6027.2109143066536</c:v>
                </c:pt>
                <c:pt idx="52" formatCode="&quot;$&quot;#,##0.00">
                  <c:v>6099.2059969122874</c:v>
                </c:pt>
                <c:pt idx="53" formatCode="&quot;$&quot;#,##0.00">
                  <c:v>6034.3618020112572</c:v>
                </c:pt>
                <c:pt idx="54" formatCode="&quot;$&quot;#,##0.00">
                  <c:v>6134.5334379286287</c:v>
                </c:pt>
                <c:pt idx="55" formatCode="&quot;$&quot;#,##0.00">
                  <c:v>6330.9473465338851</c:v>
                </c:pt>
                <c:pt idx="56" formatCode="&quot;$&quot;#,##0.00">
                  <c:v>6407.3674837490134</c:v>
                </c:pt>
                <c:pt idx="57" formatCode="&quot;$&quot;#,##0.00">
                  <c:v>6395.4976732364739</c:v>
                </c:pt>
                <c:pt idx="58" formatCode="&quot;$&quot;#,##0.00">
                  <c:v>6388.3480275690536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5-4487-BC89-1A0C20D4E725}"/>
            </c:ext>
          </c:extLst>
        </c:ser>
        <c:ser>
          <c:idx val="2"/>
          <c:order val="2"/>
          <c:tx>
            <c:strRef>
              <c:f>'Linear F-C'!$L$1</c:f>
              <c:strCache>
                <c:ptCount val="1"/>
                <c:pt idx="0">
                  <c:v>Naïve w/Seasonals
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'Linear F-C'!$A$2:$A$63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'Linear F-C'!$L$2:$L$63</c:f>
              <c:numCache>
                <c:formatCode>General</c:formatCode>
                <c:ptCount val="62"/>
                <c:pt idx="47" formatCode="_(&quot;$&quot;* #,##0.00_);_(&quot;$&quot;* \(#,##0.00\);_(&quot;$&quot;* &quot;-&quot;??_);_(@_)">
                  <c:v>6000.4887507376097</c:v>
                </c:pt>
                <c:pt idx="48" formatCode="_(&quot;$&quot;* #,##0.00_);_(&quot;$&quot;* \(#,##0.00\);_(&quot;$&quot;* &quot;-&quot;??_);_(@_)">
                  <c:v>5951.7340938636426</c:v>
                </c:pt>
                <c:pt idx="49" formatCode="_(&quot;$&quot;* #,##0.00_);_(&quot;$&quot;* \(#,##0.00\);_(&quot;$&quot;* &quot;-&quot;??_);_(@_)">
                  <c:v>5906.5332131866098</c:v>
                </c:pt>
                <c:pt idx="50" formatCode="_(&quot;$&quot;* #,##0.00_);_(&quot;$&quot;* \(#,##0.00\);_(&quot;$&quot;* &quot;-&quot;??_);_(@_)">
                  <c:v>5872.5229870016965</c:v>
                </c:pt>
                <c:pt idx="51" formatCode="_(&quot;$&quot;* #,##0.00_);_(&quot;$&quot;* \(#,##0.00\);_(&quot;$&quot;* &quot;-&quot;??_);_(@_)">
                  <c:v>5879.0520890101598</c:v>
                </c:pt>
                <c:pt idx="52" formatCode="_(&quot;$&quot;* #,##0.00_);_(&quot;$&quot;* \(#,##0.00\);_(&quot;$&quot;* &quot;-&quot;??_);_(@_)">
                  <c:v>5920.1718875095758</c:v>
                </c:pt>
                <c:pt idx="53" formatCode="_(&quot;$&quot;* #,##0.00_);_(&quot;$&quot;* \(#,##0.00\);_(&quot;$&quot;* &quot;-&quot;??_);_(@_)">
                  <c:v>5828.7154052624055</c:v>
                </c:pt>
                <c:pt idx="54" formatCode="_(&quot;$&quot;* #,##0.00_);_(&quot;$&quot;* \(#,##0.00\);_(&quot;$&quot;* &quot;-&quot;??_);_(@_)">
                  <c:v>5896.7650966277915</c:v>
                </c:pt>
                <c:pt idx="55" formatCode="_(&quot;$&quot;* #,##0.00_);_(&quot;$&quot;* \(#,##0.00\);_(&quot;$&quot;* &quot;-&quot;??_);_(@_)">
                  <c:v>6056.2245538650604</c:v>
                </c:pt>
                <c:pt idx="56" formatCode="_(&quot;$&quot;* #,##0.00_);_(&quot;$&quot;* \(#,##0.00\);_(&quot;$&quot;* &quot;-&quot;??_);_(@_)">
                  <c:v>6099.9177019012286</c:v>
                </c:pt>
                <c:pt idx="57" formatCode="_(&quot;$&quot;* #,##0.00_);_(&quot;$&quot;* \(#,##0.00\);_(&quot;$&quot;* &quot;-&quot;??_);_(@_)">
                  <c:v>6059.5414727697062</c:v>
                </c:pt>
                <c:pt idx="58" formatCode="_(&quot;$&quot;* #,##0.00_);_(&quot;$&quot;* \(#,##0.00\);_(&quot;$&quot;* &quot;-&quot;??_);_(@_)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5-4487-BC89-1A0C20D4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192783"/>
        <c:axId val="2034193199"/>
      </c:lineChart>
      <c:catAx>
        <c:axId val="20341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3199"/>
        <c:crosses val="autoZero"/>
        <c:auto val="1"/>
        <c:lblAlgn val="ctr"/>
        <c:lblOffset val="100"/>
        <c:noMultiLvlLbl val="0"/>
      </c:catAx>
      <c:valAx>
        <c:axId val="20341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Richmond Bank Total Core Deposits ($ millions)</a:t>
            </a:r>
          </a:p>
        </c:rich>
      </c:tx>
      <c:layout>
        <c:manualLayout>
          <c:xMode val="edge"/>
          <c:yMode val="edge"/>
          <c:x val="0.20823959901169625"/>
          <c:y val="5.46030513969811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7929042462958"/>
          <c:y val="0.22558996734916664"/>
          <c:w val="0.77517052152518495"/>
          <c:h val="0.62289767103874372"/>
        </c:manualLayout>
      </c:layout>
      <c:lineChart>
        <c:grouping val="standard"/>
        <c:varyColors val="0"/>
        <c:ser>
          <c:idx val="0"/>
          <c:order val="0"/>
          <c:tx>
            <c:strRef>
              <c:f>Data_F_Look!$C$3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15875">
                <a:solidFill>
                  <a:srgbClr val="000000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>
                <c:manualLayout>
                  <c:x val="6.6805904504626604E-2"/>
                  <c:y val="-0.2356908873173504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cat>
            <c:numRef>
              <c:f>Data_F_Look!$B$4:$B$50</c:f>
              <c:numCache>
                <c:formatCode>m/d/yyyy</c:formatCode>
                <c:ptCount val="47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</c:numCache>
            </c:numRef>
          </c:cat>
          <c:val>
            <c:numRef>
              <c:f>Data_F_Look!$C$4:$C$50</c:f>
              <c:numCache>
                <c:formatCode>"$"#,##0.00</c:formatCode>
                <c:ptCount val="47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F-4709-BC70-9841D365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38943"/>
        <c:axId val="1"/>
      </c:lineChart>
      <c:dateAx>
        <c:axId val="1784438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844389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lang="en-US" sz="10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Richmond</a:t>
            </a:r>
            <a:r>
              <a:rPr lang="en-US" baseline="0"/>
              <a:t> Bank Core Deposit</a:t>
            </a:r>
          </a:p>
          <a:p>
            <a:pPr>
              <a:defRPr/>
            </a:pPr>
            <a:r>
              <a:rPr lang="en-US" baseline="0"/>
              <a:t> Linear-Naïve w/Seasonals FC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F-C'!$K$1</c:f>
              <c:strCache>
                <c:ptCount val="1"/>
                <c:pt idx="0">
                  <c:v>Linear-Naïve w/Seasonals 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F-C'!$K$49:$K$60</c:f>
              <c:numCache>
                <c:formatCode>"$"#,##0.00</c:formatCode>
                <c:ptCount val="12"/>
                <c:pt idx="0">
                  <c:v>6030.7325843030949</c:v>
                </c:pt>
                <c:pt idx="1">
                  <c:v>6011.7302917862498</c:v>
                </c:pt>
                <c:pt idx="2">
                  <c:v>5995.8440417886886</c:v>
                </c:pt>
                <c:pt idx="3">
                  <c:v>5990.9184145785002</c:v>
                </c:pt>
                <c:pt idx="4">
                  <c:v>6027.2109143066536</c:v>
                </c:pt>
                <c:pt idx="5">
                  <c:v>6099.2059969122874</c:v>
                </c:pt>
                <c:pt idx="6">
                  <c:v>6034.3618020112572</c:v>
                </c:pt>
                <c:pt idx="7">
                  <c:v>6134.5334379286287</c:v>
                </c:pt>
                <c:pt idx="8">
                  <c:v>6330.9473465338851</c:v>
                </c:pt>
                <c:pt idx="9">
                  <c:v>6407.3674837490134</c:v>
                </c:pt>
                <c:pt idx="10">
                  <c:v>6395.4976732364739</c:v>
                </c:pt>
                <c:pt idx="11">
                  <c:v>6388.3480275690536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F-4426-A27C-8A8495319A49}"/>
            </c:ext>
          </c:extLst>
        </c:ser>
        <c:ser>
          <c:idx val="1"/>
          <c:order val="1"/>
          <c:tx>
            <c:strRef>
              <c:f>'Linear F-C'!$L$1</c:f>
              <c:strCache>
                <c:ptCount val="1"/>
                <c:pt idx="0">
                  <c:v>Naïve w/Seasonals
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'Linear F-C'!$L$49:$L$60</c:f>
              <c:numCache>
                <c:formatCode>_("$"* #,##0.00_);_("$"* \(#,##0.00\);_("$"* "-"??_);_(@_)</c:formatCode>
                <c:ptCount val="12"/>
                <c:pt idx="0">
                  <c:v>6000.4887507376097</c:v>
                </c:pt>
                <c:pt idx="1">
                  <c:v>5951.7340938636426</c:v>
                </c:pt>
                <c:pt idx="2">
                  <c:v>5906.5332131866098</c:v>
                </c:pt>
                <c:pt idx="3">
                  <c:v>5872.5229870016965</c:v>
                </c:pt>
                <c:pt idx="4">
                  <c:v>5879.0520890101598</c:v>
                </c:pt>
                <c:pt idx="5">
                  <c:v>5920.1718875095758</c:v>
                </c:pt>
                <c:pt idx="6">
                  <c:v>5828.7154052624055</c:v>
                </c:pt>
                <c:pt idx="7">
                  <c:v>5896.7650966277915</c:v>
                </c:pt>
                <c:pt idx="8">
                  <c:v>6056.2245538650604</c:v>
                </c:pt>
                <c:pt idx="9">
                  <c:v>6099.9177019012286</c:v>
                </c:pt>
                <c:pt idx="10">
                  <c:v>6059.5414727697062</c:v>
                </c:pt>
                <c:pt idx="11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F-4426-A27C-8A849531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192783"/>
        <c:axId val="2034193199"/>
      </c:lineChart>
      <c:catAx>
        <c:axId val="203419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3199"/>
        <c:crosses val="autoZero"/>
        <c:auto val="1"/>
        <c:lblAlgn val="ctr"/>
        <c:lblOffset val="100"/>
        <c:noMultiLvlLbl val="0"/>
      </c:catAx>
      <c:valAx>
        <c:axId val="2034193199"/>
        <c:scaling>
          <c:orientation val="minMax"/>
          <c:min val="5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9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Exp_Smoothing'!$E$7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Exp_Smoothing'!$E$8:$E$66</c:f>
              <c:numCache>
                <c:formatCode>"$"#,##0.00</c:formatCode>
                <c:ptCount val="59"/>
                <c:pt idx="0">
                  <c:v>3764.942008120142</c:v>
                </c:pt>
                <c:pt idx="1">
                  <c:v>3802.8323300443694</c:v>
                </c:pt>
                <c:pt idx="2">
                  <c:v>3831.9579705848228</c:v>
                </c:pt>
                <c:pt idx="3">
                  <c:v>3882.4272050223549</c:v>
                </c:pt>
                <c:pt idx="4">
                  <c:v>3941.0037168641152</c:v>
                </c:pt>
                <c:pt idx="5">
                  <c:v>4043.7277625030488</c:v>
                </c:pt>
                <c:pt idx="6">
                  <c:v>4036.4672549308007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4005.6088475200413</c:v>
                </c:pt>
                <c:pt idx="11">
                  <c:v>4065.9848660920511</c:v>
                </c:pt>
                <c:pt idx="12">
                  <c:v>4109.3025640343485</c:v>
                </c:pt>
                <c:pt idx="13">
                  <c:v>4161.9326773907342</c:v>
                </c:pt>
                <c:pt idx="14">
                  <c:v>4224.5890890958972</c:v>
                </c:pt>
                <c:pt idx="15">
                  <c:v>4278.6759748380009</c:v>
                </c:pt>
                <c:pt idx="16">
                  <c:v>4348.5896477451079</c:v>
                </c:pt>
                <c:pt idx="17">
                  <c:v>4431.1324192241445</c:v>
                </c:pt>
                <c:pt idx="18">
                  <c:v>4500.2315778377442</c:v>
                </c:pt>
                <c:pt idx="19">
                  <c:v>4462.4108602295018</c:v>
                </c:pt>
                <c:pt idx="20">
                  <c:v>4490.0275492485907</c:v>
                </c:pt>
                <c:pt idx="21">
                  <c:v>4565.174671790217</c:v>
                </c:pt>
                <c:pt idx="22">
                  <c:v>4649.4733807880775</c:v>
                </c:pt>
                <c:pt idx="23">
                  <c:v>4732.2304937227636</c:v>
                </c:pt>
                <c:pt idx="24">
                  <c:v>4786.0110983308696</c:v>
                </c:pt>
                <c:pt idx="25">
                  <c:v>4849.8721068576469</c:v>
                </c:pt>
                <c:pt idx="26">
                  <c:v>4906.3671553476843</c:v>
                </c:pt>
                <c:pt idx="27">
                  <c:v>5003.27410889986</c:v>
                </c:pt>
                <c:pt idx="28">
                  <c:v>5086.2698633889777</c:v>
                </c:pt>
                <c:pt idx="29">
                  <c:v>5216.1634914188717</c:v>
                </c:pt>
                <c:pt idx="30">
                  <c:v>5157.9888201305976</c:v>
                </c:pt>
                <c:pt idx="31">
                  <c:v>5611.4619812057053</c:v>
                </c:pt>
                <c:pt idx="32">
                  <c:v>5769.5437749426637</c:v>
                </c:pt>
                <c:pt idx="33">
                  <c:v>5790.2893909482209</c:v>
                </c:pt>
                <c:pt idx="34">
                  <c:v>5822.4738976174031</c:v>
                </c:pt>
                <c:pt idx="35">
                  <c:v>5834.3655856304986</c:v>
                </c:pt>
                <c:pt idx="36">
                  <c:v>5902.1797606690661</c:v>
                </c:pt>
                <c:pt idx="37">
                  <c:v>5951.3821610773957</c:v>
                </c:pt>
                <c:pt idx="38">
                  <c:v>6003.0964553747408</c:v>
                </c:pt>
                <c:pt idx="39">
                  <c:v>6017.7114965864639</c:v>
                </c:pt>
                <c:pt idx="40">
                  <c:v>6025.2270819370424</c:v>
                </c:pt>
                <c:pt idx="41">
                  <c:v>6115.6782616419969</c:v>
                </c:pt>
                <c:pt idx="42">
                  <c:v>6043.0815148288157</c:v>
                </c:pt>
                <c:pt idx="43">
                  <c:v>5878.0654519116561</c:v>
                </c:pt>
                <c:pt idx="44">
                  <c:v>5845.7287105183414</c:v>
                </c:pt>
                <c:pt idx="45">
                  <c:v>5927.9427301794576</c:v>
                </c:pt>
                <c:pt idx="46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A-422A-9475-6B970D575DFE}"/>
            </c:ext>
          </c:extLst>
        </c:ser>
        <c:ser>
          <c:idx val="1"/>
          <c:order val="1"/>
          <c:tx>
            <c:strRef>
              <c:f>'Simple Exp_Smoothing'!$F$7</c:f>
              <c:strCache>
                <c:ptCount val="1"/>
                <c:pt idx="0">
                  <c:v>F(t): F(1)=Y1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Exp_Smoothing'!$F$8:$F$66</c:f>
              <c:numCache>
                <c:formatCode>0.00</c:formatCode>
                <c:ptCount val="59"/>
                <c:pt idx="0">
                  <c:v>3764.942008120142</c:v>
                </c:pt>
                <c:pt idx="1">
                  <c:v>3764.942008120142</c:v>
                </c:pt>
                <c:pt idx="2">
                  <c:v>3802.8323300443694</c:v>
                </c:pt>
                <c:pt idx="3">
                  <c:v>3831.9579705848228</c:v>
                </c:pt>
                <c:pt idx="4">
                  <c:v>3882.4272050223549</c:v>
                </c:pt>
                <c:pt idx="5">
                  <c:v>3941.0037168641152</c:v>
                </c:pt>
                <c:pt idx="6">
                  <c:v>4043.7277625030488</c:v>
                </c:pt>
                <c:pt idx="7">
                  <c:v>4036.4672549308007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4005.6088475200413</c:v>
                </c:pt>
                <c:pt idx="12">
                  <c:v>4065.9848660920511</c:v>
                </c:pt>
                <c:pt idx="13">
                  <c:v>4109.3025640343485</c:v>
                </c:pt>
                <c:pt idx="14">
                  <c:v>4161.9326773907342</c:v>
                </c:pt>
                <c:pt idx="15">
                  <c:v>4224.5890890958972</c:v>
                </c:pt>
                <c:pt idx="16">
                  <c:v>4278.6759748380009</c:v>
                </c:pt>
                <c:pt idx="17">
                  <c:v>4348.5896477451079</c:v>
                </c:pt>
                <c:pt idx="18">
                  <c:v>4431.1324192241445</c:v>
                </c:pt>
                <c:pt idx="19">
                  <c:v>4500.2315778377442</c:v>
                </c:pt>
                <c:pt idx="20">
                  <c:v>4462.4108602295018</c:v>
                </c:pt>
                <c:pt idx="21">
                  <c:v>4490.0275492485907</c:v>
                </c:pt>
                <c:pt idx="22">
                  <c:v>4565.174671790217</c:v>
                </c:pt>
                <c:pt idx="23">
                  <c:v>4649.4733807880775</c:v>
                </c:pt>
                <c:pt idx="24">
                  <c:v>4732.2304937227636</c:v>
                </c:pt>
                <c:pt idx="25">
                  <c:v>4786.0110983308696</c:v>
                </c:pt>
                <c:pt idx="26">
                  <c:v>4849.8721068576469</c:v>
                </c:pt>
                <c:pt idx="27">
                  <c:v>4906.3671553476843</c:v>
                </c:pt>
                <c:pt idx="28">
                  <c:v>5003.27410889986</c:v>
                </c:pt>
                <c:pt idx="29">
                  <c:v>5086.2698633889777</c:v>
                </c:pt>
                <c:pt idx="30">
                  <c:v>5216.1634914188717</c:v>
                </c:pt>
                <c:pt idx="31">
                  <c:v>5157.9888201305976</c:v>
                </c:pt>
                <c:pt idx="32">
                  <c:v>5611.4619812057053</c:v>
                </c:pt>
                <c:pt idx="33">
                  <c:v>5769.5437749426637</c:v>
                </c:pt>
                <c:pt idx="34">
                  <c:v>5790.2893909482209</c:v>
                </c:pt>
                <c:pt idx="35">
                  <c:v>5822.4738976174031</c:v>
                </c:pt>
                <c:pt idx="36">
                  <c:v>5834.3655856304986</c:v>
                </c:pt>
                <c:pt idx="37">
                  <c:v>5902.1797606690661</c:v>
                </c:pt>
                <c:pt idx="38">
                  <c:v>5951.3821610773957</c:v>
                </c:pt>
                <c:pt idx="39">
                  <c:v>6003.0964553747408</c:v>
                </c:pt>
                <c:pt idx="40">
                  <c:v>6017.7114965864639</c:v>
                </c:pt>
                <c:pt idx="41">
                  <c:v>6025.2270819370424</c:v>
                </c:pt>
                <c:pt idx="42">
                  <c:v>6115.6782616419969</c:v>
                </c:pt>
                <c:pt idx="43">
                  <c:v>6043.0815148288157</c:v>
                </c:pt>
                <c:pt idx="44">
                  <c:v>5878.0654519116561</c:v>
                </c:pt>
                <c:pt idx="45">
                  <c:v>5845.7287105183414</c:v>
                </c:pt>
                <c:pt idx="46">
                  <c:v>5927.9427301794576</c:v>
                </c:pt>
                <c:pt idx="47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22A-9475-6B970D575DFE}"/>
            </c:ext>
          </c:extLst>
        </c:ser>
        <c:ser>
          <c:idx val="2"/>
          <c:order val="2"/>
          <c:tx>
            <c:strRef>
              <c:f>'Simple Exp_Smoothing'!$K$7</c:f>
              <c:strCache>
                <c:ptCount val="1"/>
                <c:pt idx="0">
                  <c:v>Sea Adj F/C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'Simple Exp_Smoothing'!$K$8:$K$66</c:f>
              <c:numCache>
                <c:formatCode>0.00</c:formatCode>
                <c:ptCount val="59"/>
                <c:pt idx="47">
                  <c:v>5927.9427301794576</c:v>
                </c:pt>
                <c:pt idx="48">
                  <c:v>5957.9722709779571</c:v>
                </c:pt>
                <c:pt idx="49">
                  <c:v>5957.9722709779571</c:v>
                </c:pt>
                <c:pt idx="50">
                  <c:v>5957.9722709779571</c:v>
                </c:pt>
                <c:pt idx="51">
                  <c:v>5957.9722709779571</c:v>
                </c:pt>
                <c:pt idx="52">
                  <c:v>5957.9722709779571</c:v>
                </c:pt>
                <c:pt idx="53">
                  <c:v>5957.9722709779571</c:v>
                </c:pt>
                <c:pt idx="54">
                  <c:v>5957.9722709779571</c:v>
                </c:pt>
                <c:pt idx="55">
                  <c:v>5957.9722709779571</c:v>
                </c:pt>
                <c:pt idx="56">
                  <c:v>5957.9722709779571</c:v>
                </c:pt>
                <c:pt idx="57">
                  <c:v>5957.9722709779571</c:v>
                </c:pt>
                <c:pt idx="58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A-422A-9475-6B970D575DFE}"/>
            </c:ext>
          </c:extLst>
        </c:ser>
        <c:ser>
          <c:idx val="3"/>
          <c:order val="3"/>
          <c:tx>
            <c:strRef>
              <c:f>'Simple Exp_Smoothing'!$L$7</c:f>
              <c:strCache>
                <c:ptCount val="1"/>
                <c:pt idx="0">
                  <c:v>ES FC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'Simple Exp_Smoothing'!$L$8:$L$66</c:f>
              <c:numCache>
                <c:formatCode>General</c:formatCode>
                <c:ptCount val="59"/>
                <c:pt idx="47" formatCode="0.00">
                  <c:v>5970.2449171721319</c:v>
                </c:pt>
                <c:pt idx="48" formatCode="0.00">
                  <c:v>5951.7340938636426</c:v>
                </c:pt>
                <c:pt idx="49" formatCode="0.00">
                  <c:v>5906.5332131866116</c:v>
                </c:pt>
                <c:pt idx="50" formatCode="0.00">
                  <c:v>5872.5229870016965</c:v>
                </c:pt>
                <c:pt idx="51" formatCode="0.00">
                  <c:v>5879.0520890101607</c:v>
                </c:pt>
                <c:pt idx="52" formatCode="0.00">
                  <c:v>5920.1718875095758</c:v>
                </c:pt>
                <c:pt idx="53" formatCode="0.00">
                  <c:v>5828.7154052624055</c:v>
                </c:pt>
                <c:pt idx="54" formatCode="0.00">
                  <c:v>5896.7650966277915</c:v>
                </c:pt>
                <c:pt idx="55" formatCode="0.00">
                  <c:v>6056.2245538650604</c:v>
                </c:pt>
                <c:pt idx="56" formatCode="0.00">
                  <c:v>6099.9177019012286</c:v>
                </c:pt>
                <c:pt idx="57" formatCode="0.00">
                  <c:v>6059.5414727697062</c:v>
                </c:pt>
                <c:pt idx="58" formatCode="0.00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A-422A-9475-6B970D57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49375"/>
        <c:axId val="176033983"/>
      </c:lineChart>
      <c:catAx>
        <c:axId val="17604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3983"/>
        <c:crosses val="autoZero"/>
        <c:auto val="1"/>
        <c:lblAlgn val="ctr"/>
        <c:lblOffset val="100"/>
        <c:noMultiLvlLbl val="0"/>
      </c:catAx>
      <c:valAx>
        <c:axId val="1760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8192617183386"/>
          <c:y val="0.11286402523600401"/>
          <c:w val="0.83957669929668965"/>
          <c:h val="0.72416793344957442"/>
        </c:manualLayout>
      </c:layout>
      <c:lineChart>
        <c:grouping val="standard"/>
        <c:varyColors val="0"/>
        <c:ser>
          <c:idx val="0"/>
          <c:order val="0"/>
          <c:tx>
            <c:strRef>
              <c:f>'Simple Exp_Smoothing'!$E$7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Exp_Smoothing'!$B$34:$B$55</c:f>
              <c:numCache>
                <c:formatCode>m/d/yyyy</c:formatCode>
                <c:ptCount val="22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</c:numCache>
            </c:numRef>
          </c:cat>
          <c:val>
            <c:numRef>
              <c:f>'Simple Exp_Smoothing'!$E$34:$E$55</c:f>
              <c:numCache>
                <c:formatCode>"$"#,##0.00</c:formatCode>
                <c:ptCount val="22"/>
                <c:pt idx="0">
                  <c:v>4906.3671553476843</c:v>
                </c:pt>
                <c:pt idx="1">
                  <c:v>5003.27410889986</c:v>
                </c:pt>
                <c:pt idx="2">
                  <c:v>5086.2698633889777</c:v>
                </c:pt>
                <c:pt idx="3">
                  <c:v>5216.1634914188717</c:v>
                </c:pt>
                <c:pt idx="4">
                  <c:v>5157.9888201305976</c:v>
                </c:pt>
                <c:pt idx="5">
                  <c:v>5611.4619812057053</c:v>
                </c:pt>
                <c:pt idx="6">
                  <c:v>5769.5437749426637</c:v>
                </c:pt>
                <c:pt idx="7">
                  <c:v>5790.2893909482209</c:v>
                </c:pt>
                <c:pt idx="8">
                  <c:v>5822.4738976174031</c:v>
                </c:pt>
                <c:pt idx="9">
                  <c:v>5834.3655856304986</c:v>
                </c:pt>
                <c:pt idx="10">
                  <c:v>5902.1797606690661</c:v>
                </c:pt>
                <c:pt idx="11">
                  <c:v>5951.3821610773957</c:v>
                </c:pt>
                <c:pt idx="12">
                  <c:v>6003.0964553747408</c:v>
                </c:pt>
                <c:pt idx="13">
                  <c:v>6017.7114965864639</c:v>
                </c:pt>
                <c:pt idx="14">
                  <c:v>6025.2270819370424</c:v>
                </c:pt>
                <c:pt idx="15">
                  <c:v>6115.6782616419969</c:v>
                </c:pt>
                <c:pt idx="16">
                  <c:v>6043.0815148288157</c:v>
                </c:pt>
                <c:pt idx="17">
                  <c:v>5878.0654519116561</c:v>
                </c:pt>
                <c:pt idx="18">
                  <c:v>5845.7287105183414</c:v>
                </c:pt>
                <c:pt idx="19">
                  <c:v>5927.9427301794576</c:v>
                </c:pt>
                <c:pt idx="20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0-469B-BFB0-5D214E5131C0}"/>
            </c:ext>
          </c:extLst>
        </c:ser>
        <c:ser>
          <c:idx val="1"/>
          <c:order val="1"/>
          <c:tx>
            <c:strRef>
              <c:f>'Simple Exp_Smoothing'!$F$7</c:f>
              <c:strCache>
                <c:ptCount val="1"/>
                <c:pt idx="0">
                  <c:v>F(t): F(1)=Y1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Exp_Smoothing'!$B$34:$B$55</c:f>
              <c:numCache>
                <c:formatCode>m/d/yyyy</c:formatCode>
                <c:ptCount val="22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</c:numCache>
            </c:numRef>
          </c:cat>
          <c:val>
            <c:numRef>
              <c:f>'Simple Exp_Smoothing'!$F$34:$F$55</c:f>
              <c:numCache>
                <c:formatCode>0.00</c:formatCode>
                <c:ptCount val="22"/>
                <c:pt idx="0">
                  <c:v>4849.8721068576469</c:v>
                </c:pt>
                <c:pt idx="1">
                  <c:v>4906.3671553476843</c:v>
                </c:pt>
                <c:pt idx="2">
                  <c:v>5003.27410889986</c:v>
                </c:pt>
                <c:pt idx="3">
                  <c:v>5086.2698633889777</c:v>
                </c:pt>
                <c:pt idx="4">
                  <c:v>5216.1634914188717</c:v>
                </c:pt>
                <c:pt idx="5">
                  <c:v>5157.9888201305976</c:v>
                </c:pt>
                <c:pt idx="6">
                  <c:v>5611.4619812057053</c:v>
                </c:pt>
                <c:pt idx="7">
                  <c:v>5769.5437749426637</c:v>
                </c:pt>
                <c:pt idx="8">
                  <c:v>5790.2893909482209</c:v>
                </c:pt>
                <c:pt idx="9">
                  <c:v>5822.4738976174031</c:v>
                </c:pt>
                <c:pt idx="10">
                  <c:v>5834.3655856304986</c:v>
                </c:pt>
                <c:pt idx="11">
                  <c:v>5902.1797606690661</c:v>
                </c:pt>
                <c:pt idx="12">
                  <c:v>5951.3821610773957</c:v>
                </c:pt>
                <c:pt idx="13">
                  <c:v>6003.0964553747408</c:v>
                </c:pt>
                <c:pt idx="14">
                  <c:v>6017.7114965864639</c:v>
                </c:pt>
                <c:pt idx="15">
                  <c:v>6025.2270819370424</c:v>
                </c:pt>
                <c:pt idx="16">
                  <c:v>6115.6782616419969</c:v>
                </c:pt>
                <c:pt idx="17">
                  <c:v>6043.0815148288157</c:v>
                </c:pt>
                <c:pt idx="18">
                  <c:v>5878.0654519116561</c:v>
                </c:pt>
                <c:pt idx="19">
                  <c:v>5845.7287105183414</c:v>
                </c:pt>
                <c:pt idx="20">
                  <c:v>5927.9427301794576</c:v>
                </c:pt>
                <c:pt idx="21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0-469B-BFB0-5D214E51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63599"/>
        <c:axId val="411543631"/>
      </c:lineChart>
      <c:dateAx>
        <c:axId val="411563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3631"/>
        <c:crosses val="autoZero"/>
        <c:auto val="1"/>
        <c:lblOffset val="100"/>
        <c:baseTimeUnit val="months"/>
        <c:majorUnit val="3"/>
        <c:majorTimeUnit val="months"/>
      </c:dateAx>
      <c:valAx>
        <c:axId val="411543631"/>
        <c:scaling>
          <c:orientation val="minMax"/>
          <c:min val="4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Exp_Smoothing'!$C$7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Exp_Smoothing'!$B$34:$B$66</c:f>
              <c:numCache>
                <c:formatCode>m/d/yyyy</c:formatCode>
                <c:ptCount val="33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</c:numCache>
            </c:numRef>
          </c:cat>
          <c:val>
            <c:numRef>
              <c:f>'Simple Exp_Smoothing'!$C$34:$C$66</c:f>
              <c:numCache>
                <c:formatCode>0.00</c:formatCode>
                <c:ptCount val="33"/>
                <c:pt idx="0">
                  <c:v>4836</c:v>
                </c:pt>
                <c:pt idx="1">
                  <c:v>4937</c:v>
                </c:pt>
                <c:pt idx="2">
                  <c:v>5054</c:v>
                </c:pt>
                <c:pt idx="3">
                  <c:v>5103</c:v>
                </c:pt>
                <c:pt idx="4">
                  <c:v>5105</c:v>
                </c:pt>
                <c:pt idx="5">
                  <c:v>5704</c:v>
                </c:pt>
                <c:pt idx="6">
                  <c:v>5907</c:v>
                </c:pt>
                <c:pt idx="7">
                  <c:v>5889</c:v>
                </c:pt>
                <c:pt idx="8">
                  <c:v>5887</c:v>
                </c:pt>
                <c:pt idx="9">
                  <c:v>5876</c:v>
                </c:pt>
                <c:pt idx="10">
                  <c:v>5896</c:v>
                </c:pt>
                <c:pt idx="11">
                  <c:v>5900</c:v>
                </c:pt>
                <c:pt idx="12">
                  <c:v>5917</c:v>
                </c:pt>
                <c:pt idx="13">
                  <c:v>5938</c:v>
                </c:pt>
                <c:pt idx="14">
                  <c:v>5987</c:v>
                </c:pt>
                <c:pt idx="15">
                  <c:v>5983</c:v>
                </c:pt>
                <c:pt idx="16">
                  <c:v>5981</c:v>
                </c:pt>
                <c:pt idx="17">
                  <c:v>5975</c:v>
                </c:pt>
                <c:pt idx="18">
                  <c:v>5985</c:v>
                </c:pt>
                <c:pt idx="19">
                  <c:v>6029</c:v>
                </c:pt>
                <c:pt idx="20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8-4570-9A65-F0C6A48129EE}"/>
            </c:ext>
          </c:extLst>
        </c:ser>
        <c:ser>
          <c:idx val="6"/>
          <c:order val="1"/>
          <c:tx>
            <c:strRef>
              <c:f>'Simple Exp_Smoothing'!$L$7</c:f>
              <c:strCache>
                <c:ptCount val="1"/>
                <c:pt idx="0">
                  <c:v>ES FC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'Simple Exp_Smoothing'!$B$34:$B$66</c:f>
              <c:numCache>
                <c:formatCode>m/d/yyyy</c:formatCode>
                <c:ptCount val="33"/>
                <c:pt idx="0">
                  <c:v>33269</c:v>
                </c:pt>
                <c:pt idx="1">
                  <c:v>33297</c:v>
                </c:pt>
                <c:pt idx="2">
                  <c:v>33328</c:v>
                </c:pt>
                <c:pt idx="3">
                  <c:v>33358</c:v>
                </c:pt>
                <c:pt idx="4">
                  <c:v>33389</c:v>
                </c:pt>
                <c:pt idx="5">
                  <c:v>33419</c:v>
                </c:pt>
                <c:pt idx="6">
                  <c:v>33450</c:v>
                </c:pt>
                <c:pt idx="7">
                  <c:v>33481</c:v>
                </c:pt>
                <c:pt idx="8">
                  <c:v>33511</c:v>
                </c:pt>
                <c:pt idx="9">
                  <c:v>33542</c:v>
                </c:pt>
                <c:pt idx="10">
                  <c:v>33572</c:v>
                </c:pt>
                <c:pt idx="11">
                  <c:v>33603</c:v>
                </c:pt>
                <c:pt idx="12">
                  <c:v>33634</c:v>
                </c:pt>
                <c:pt idx="13">
                  <c:v>33663</c:v>
                </c:pt>
                <c:pt idx="14">
                  <c:v>33694</c:v>
                </c:pt>
                <c:pt idx="15">
                  <c:v>33724</c:v>
                </c:pt>
                <c:pt idx="16">
                  <c:v>33755</c:v>
                </c:pt>
                <c:pt idx="17">
                  <c:v>33785</c:v>
                </c:pt>
                <c:pt idx="18">
                  <c:v>33816</c:v>
                </c:pt>
                <c:pt idx="19">
                  <c:v>33847</c:v>
                </c:pt>
                <c:pt idx="20">
                  <c:v>33877</c:v>
                </c:pt>
                <c:pt idx="21">
                  <c:v>33908</c:v>
                </c:pt>
                <c:pt idx="22">
                  <c:v>33938</c:v>
                </c:pt>
                <c:pt idx="23">
                  <c:v>33969</c:v>
                </c:pt>
                <c:pt idx="24">
                  <c:v>34000</c:v>
                </c:pt>
                <c:pt idx="25">
                  <c:v>34028</c:v>
                </c:pt>
                <c:pt idx="26">
                  <c:v>34059</c:v>
                </c:pt>
                <c:pt idx="27">
                  <c:v>34089</c:v>
                </c:pt>
                <c:pt idx="28">
                  <c:v>34120</c:v>
                </c:pt>
                <c:pt idx="29">
                  <c:v>34150</c:v>
                </c:pt>
                <c:pt idx="30">
                  <c:v>34181</c:v>
                </c:pt>
                <c:pt idx="31">
                  <c:v>34212</c:v>
                </c:pt>
                <c:pt idx="32">
                  <c:v>34242</c:v>
                </c:pt>
              </c:numCache>
            </c:numRef>
          </c:cat>
          <c:val>
            <c:numRef>
              <c:f>'Simple Exp_Smoothing'!$L$34:$L$66</c:f>
              <c:numCache>
                <c:formatCode>General</c:formatCode>
                <c:ptCount val="33"/>
                <c:pt idx="21" formatCode="0.00">
                  <c:v>5970.2449171721319</c:v>
                </c:pt>
                <c:pt idx="22" formatCode="0.00">
                  <c:v>5951.7340938636426</c:v>
                </c:pt>
                <c:pt idx="23" formatCode="0.00">
                  <c:v>5906.5332131866116</c:v>
                </c:pt>
                <c:pt idx="24" formatCode="0.00">
                  <c:v>5872.5229870016965</c:v>
                </c:pt>
                <c:pt idx="25" formatCode="0.00">
                  <c:v>5879.0520890101607</c:v>
                </c:pt>
                <c:pt idx="26" formatCode="0.00">
                  <c:v>5920.1718875095758</c:v>
                </c:pt>
                <c:pt idx="27" formatCode="0.00">
                  <c:v>5828.7154052624055</c:v>
                </c:pt>
                <c:pt idx="28" formatCode="0.00">
                  <c:v>5896.7650966277915</c:v>
                </c:pt>
                <c:pt idx="29" formatCode="0.00">
                  <c:v>6056.2245538650604</c:v>
                </c:pt>
                <c:pt idx="30" formatCode="0.00">
                  <c:v>6099.9177019012286</c:v>
                </c:pt>
                <c:pt idx="31" formatCode="0.00">
                  <c:v>6059.5414727697062</c:v>
                </c:pt>
                <c:pt idx="32" formatCode="0.00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8-4570-9A65-F0C6A481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63599"/>
        <c:axId val="411543631"/>
      </c:lineChart>
      <c:dateAx>
        <c:axId val="411563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43631"/>
        <c:crosses val="autoZero"/>
        <c:auto val="1"/>
        <c:lblOffset val="100"/>
        <c:baseTimeUnit val="months"/>
        <c:majorUnit val="3"/>
        <c:majorTimeUnit val="months"/>
      </c:dateAx>
      <c:valAx>
        <c:axId val="411543631"/>
        <c:scaling>
          <c:orientation val="minMax"/>
          <c:min val="4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'Holt’s linear_Exp Smooth'!$C$6</c:f>
              <c:strCache>
                <c:ptCount val="1"/>
                <c:pt idx="0">
                  <c:v>Core Deposits        ($ mills)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'Holt’s linear_Exp Smooth'!$B$7:$B$65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'Holt’s linear_Exp Smooth'!$C$7:$C$65</c:f>
              <c:numCache>
                <c:formatCode>0.00</c:formatCode>
                <c:ptCount val="59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F-4635-BAA5-9DDF6E159D53}"/>
            </c:ext>
          </c:extLst>
        </c:ser>
        <c:ser>
          <c:idx val="1"/>
          <c:order val="1"/>
          <c:tx>
            <c:strRef>
              <c:f>'Holt’s linear_Exp Smooth'!$E$6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'Holt’s linear_Exp Smooth'!$B$7:$B$65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'Holt’s linear_Exp Smooth'!$E$7:$E$65</c:f>
              <c:numCache>
                <c:formatCode>"$"#,##0.00</c:formatCode>
                <c:ptCount val="59"/>
                <c:pt idx="0">
                  <c:v>3764.942008120142</c:v>
                </c:pt>
                <c:pt idx="1">
                  <c:v>3802.8323300443694</c:v>
                </c:pt>
                <c:pt idx="2">
                  <c:v>3831.9579705848228</c:v>
                </c:pt>
                <c:pt idx="3">
                  <c:v>3882.4272050223549</c:v>
                </c:pt>
                <c:pt idx="4">
                  <c:v>3941.0037168641152</c:v>
                </c:pt>
                <c:pt idx="5">
                  <c:v>4043.7277625030488</c:v>
                </c:pt>
                <c:pt idx="6">
                  <c:v>4036.4672549308007</c:v>
                </c:pt>
                <c:pt idx="7">
                  <c:v>3884.9339698073859</c:v>
                </c:pt>
                <c:pt idx="8">
                  <c:v>3893.2455539057901</c:v>
                </c:pt>
                <c:pt idx="9">
                  <c:v>3958.5167410354115</c:v>
                </c:pt>
                <c:pt idx="10">
                  <c:v>4005.6088475200413</c:v>
                </c:pt>
                <c:pt idx="11">
                  <c:v>4065.9848660920702</c:v>
                </c:pt>
                <c:pt idx="12">
                  <c:v>4109.3025640343485</c:v>
                </c:pt>
                <c:pt idx="13">
                  <c:v>4161.9326773907342</c:v>
                </c:pt>
                <c:pt idx="14">
                  <c:v>4224.5890890958972</c:v>
                </c:pt>
                <c:pt idx="15">
                  <c:v>4278.6759748380009</c:v>
                </c:pt>
                <c:pt idx="16">
                  <c:v>4348.5896477451079</c:v>
                </c:pt>
                <c:pt idx="17">
                  <c:v>4431.1324192241445</c:v>
                </c:pt>
                <c:pt idx="18">
                  <c:v>4500.2315778377442</c:v>
                </c:pt>
                <c:pt idx="19">
                  <c:v>4462.4108602295018</c:v>
                </c:pt>
                <c:pt idx="20">
                  <c:v>4490.0275492485989</c:v>
                </c:pt>
                <c:pt idx="21">
                  <c:v>4565.174671790217</c:v>
                </c:pt>
                <c:pt idx="22">
                  <c:v>4649.4733807880775</c:v>
                </c:pt>
                <c:pt idx="23">
                  <c:v>4732.2304937227855</c:v>
                </c:pt>
                <c:pt idx="24">
                  <c:v>4786.0110983308696</c:v>
                </c:pt>
                <c:pt idx="25">
                  <c:v>4849.8721068576469</c:v>
                </c:pt>
                <c:pt idx="26">
                  <c:v>4906.3671553476843</c:v>
                </c:pt>
                <c:pt idx="27">
                  <c:v>5003.27410889986</c:v>
                </c:pt>
                <c:pt idx="28">
                  <c:v>5086.2698633889777</c:v>
                </c:pt>
                <c:pt idx="29">
                  <c:v>5216.1634914188717</c:v>
                </c:pt>
                <c:pt idx="30">
                  <c:v>5157.9888201305976</c:v>
                </c:pt>
                <c:pt idx="31">
                  <c:v>5611.4619812057053</c:v>
                </c:pt>
                <c:pt idx="32">
                  <c:v>5769.5437749426746</c:v>
                </c:pt>
                <c:pt idx="33">
                  <c:v>5790.2893909482209</c:v>
                </c:pt>
                <c:pt idx="34">
                  <c:v>5822.4738976174031</c:v>
                </c:pt>
                <c:pt idx="35">
                  <c:v>5834.3655856305259</c:v>
                </c:pt>
                <c:pt idx="36">
                  <c:v>5902.1797606690661</c:v>
                </c:pt>
                <c:pt idx="37">
                  <c:v>5951.3821610773957</c:v>
                </c:pt>
                <c:pt idx="38">
                  <c:v>6003.0964553747408</c:v>
                </c:pt>
                <c:pt idx="39">
                  <c:v>6017.7114965864639</c:v>
                </c:pt>
                <c:pt idx="40">
                  <c:v>6025.2270819370424</c:v>
                </c:pt>
                <c:pt idx="41">
                  <c:v>6115.6782616419969</c:v>
                </c:pt>
                <c:pt idx="42">
                  <c:v>6043.0815148288157</c:v>
                </c:pt>
                <c:pt idx="43">
                  <c:v>5878.0654519116561</c:v>
                </c:pt>
                <c:pt idx="44">
                  <c:v>5845.7287105183523</c:v>
                </c:pt>
                <c:pt idx="45">
                  <c:v>5927.9427301794576</c:v>
                </c:pt>
                <c:pt idx="46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F-4635-BAA5-9DDF6E159D53}"/>
            </c:ext>
          </c:extLst>
        </c:ser>
        <c:ser>
          <c:idx val="2"/>
          <c:order val="2"/>
          <c:tx>
            <c:strRef>
              <c:f>'Holt’s linear_Exp Smooth'!$I$6</c:f>
              <c:strCache>
                <c:ptCount val="1"/>
                <c:pt idx="0">
                  <c:v>Holt’s linear_Exp Smooth 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'Holt’s linear_Exp Smooth'!$B$7:$B$65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'Holt’s linear_Exp Smooth'!$I$7:$I$65</c:f>
              <c:numCache>
                <c:formatCode>General</c:formatCode>
                <c:ptCount val="59"/>
                <c:pt idx="47" formatCode="&quot;$&quot;#,##0">
                  <c:v>6039.9299437210839</c:v>
                </c:pt>
                <c:pt idx="48" formatCode="&quot;$&quot;#,##0">
                  <c:v>6029.9755514294739</c:v>
                </c:pt>
                <c:pt idx="49" formatCode="&quot;$&quot;#,##0">
                  <c:v>6023.0040838116583</c:v>
                </c:pt>
                <c:pt idx="50" formatCode="&quot;$&quot;#,##0">
                  <c:v>6026.9232847453713</c:v>
                </c:pt>
                <c:pt idx="51" formatCode="&quot;$&quot;#,##0">
                  <c:v>6072.2670400207644</c:v>
                </c:pt>
                <c:pt idx="52" formatCode="&quot;$&quot;#,##0">
                  <c:v>6153.6515105306607</c:v>
                </c:pt>
                <c:pt idx="53" formatCode="&quot;$&quot;#,##0">
                  <c:v>6096.9002966708094</c:v>
                </c:pt>
                <c:pt idx="54" formatCode="&quot;$&quot;#,##0">
                  <c:v>6206.8404385750482</c:v>
                </c:pt>
                <c:pt idx="55" formatCode="&quot;$&quot;#,##0">
                  <c:v>6414.4924519857386</c:v>
                </c:pt>
                <c:pt idx="56" formatCode="&quot;$&quot;#,##0">
                  <c:v>6500.8650934525631</c:v>
                </c:pt>
                <c:pt idx="57" formatCode="&quot;$&quot;#,##0">
                  <c:v>6497.6642824301825</c:v>
                </c:pt>
                <c:pt idx="58" formatCode="&quot;$&quot;#,##0">
                  <c:v>6499.148788178406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F-4635-BAA5-9DDF6E15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62559"/>
        <c:axId val="2057664639"/>
      </c:lineChart>
      <c:dateAx>
        <c:axId val="2057662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64639"/>
        <c:crosses val="autoZero"/>
        <c:auto val="1"/>
        <c:lblOffset val="100"/>
        <c:baseTimeUnit val="months"/>
      </c:dateAx>
      <c:valAx>
        <c:axId val="2057664639"/>
        <c:scaling>
          <c:orientation val="minMax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R_Software_Model!$C$19</c:f>
              <c:strCache>
                <c:ptCount val="1"/>
                <c:pt idx="0">
                  <c:v>Core Deposits        ($ mills)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R_Software_Model!$A$20:$B$78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R_Software_Model!$C$20:$C$78</c:f>
              <c:numCache>
                <c:formatCode>0.00</c:formatCode>
                <c:ptCount val="59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E-4E0B-A017-3D39C63914BC}"/>
            </c:ext>
          </c:extLst>
        </c:ser>
        <c:ser>
          <c:idx val="1"/>
          <c:order val="1"/>
          <c:tx>
            <c:strRef>
              <c:f>R_Software_Model!$D$19</c:f>
              <c:strCache>
                <c:ptCount val="1"/>
                <c:pt idx="0">
                  <c:v>R Holt's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R_Software_Model!$A$20:$B$78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R_Software_Model!$D$20:$D$78</c:f>
              <c:numCache>
                <c:formatCode>General</c:formatCode>
                <c:ptCount val="59"/>
                <c:pt idx="47" formatCode="_(* #,##0_);_(* \(#,##0\);_(* &quot;-&quot;??_);_(@_)">
                  <c:v>6071.5</c:v>
                </c:pt>
                <c:pt idx="48" formatCode="_(* #,##0_);_(* \(#,##0\);_(* &quot;-&quot;??_);_(@_)">
                  <c:v>6118.5</c:v>
                </c:pt>
                <c:pt idx="49" formatCode="_(* #,##0_);_(* \(#,##0\);_(* &quot;-&quot;??_);_(@_)">
                  <c:v>6165.5</c:v>
                </c:pt>
                <c:pt idx="50" formatCode="_(* #,##0_);_(* \(#,##0\);_(* &quot;-&quot;??_);_(@_)">
                  <c:v>6212.5</c:v>
                </c:pt>
                <c:pt idx="51" formatCode="_(* #,##0_);_(* \(#,##0\);_(* &quot;-&quot;??_);_(@_)">
                  <c:v>6259.47</c:v>
                </c:pt>
                <c:pt idx="52" formatCode="_(* #,##0_);_(* \(#,##0\);_(* &quot;-&quot;??_);_(@_)">
                  <c:v>6306.46</c:v>
                </c:pt>
                <c:pt idx="53" formatCode="_(* #,##0_);_(* \(#,##0\);_(* &quot;-&quot;??_);_(@_)">
                  <c:v>6353.4</c:v>
                </c:pt>
                <c:pt idx="54" formatCode="_(* #,##0_);_(* \(#,##0\);_(* &quot;-&quot;??_);_(@_)">
                  <c:v>6400.4</c:v>
                </c:pt>
                <c:pt idx="55" formatCode="_(* #,##0_);_(* \(#,##0\);_(* &quot;-&quot;??_);_(@_)">
                  <c:v>6447.4</c:v>
                </c:pt>
                <c:pt idx="56" formatCode="_(* #,##0_);_(* \(#,##0\);_(* &quot;-&quot;??_);_(@_)">
                  <c:v>6494.4</c:v>
                </c:pt>
                <c:pt idx="57" formatCode="_(* #,##0_);_(* \(#,##0\);_(* &quot;-&quot;??_);_(@_)">
                  <c:v>6541.38</c:v>
                </c:pt>
                <c:pt idx="58" formatCode="_(* #,##0_);_(* \(#,##0\);_(* &quot;-&quot;??_);_(@_)">
                  <c:v>6588.37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E-4E0B-A017-3D39C639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732848"/>
        <c:axId val="899747408"/>
      </c:lineChart>
      <c:catAx>
        <c:axId val="8997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47408"/>
        <c:crosses val="autoZero"/>
        <c:auto val="1"/>
        <c:lblAlgn val="ctr"/>
        <c:lblOffset val="100"/>
        <c:noMultiLvlLbl val="0"/>
      </c:catAx>
      <c:valAx>
        <c:axId val="8997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'Damped Trend ES'!$C$9</c:f>
              <c:strCache>
                <c:ptCount val="1"/>
                <c:pt idx="0">
                  <c:v>Core Deposits        ($ mills)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'Damped Trend ES'!$B$10:$B$68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'Damped Trend ES'!$C$10:$C$68</c:f>
              <c:numCache>
                <c:formatCode>0.00</c:formatCode>
                <c:ptCount val="59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0-4213-B8E6-0ED85974C492}"/>
            </c:ext>
          </c:extLst>
        </c:ser>
        <c:ser>
          <c:idx val="1"/>
          <c:order val="1"/>
          <c:tx>
            <c:strRef>
              <c:f>'Damped Trend ES'!$E$9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'Damped Trend ES'!$B$10:$B$68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'Damped Trend ES'!$E$10:$E$68</c:f>
              <c:numCache>
                <c:formatCode>"$"#,##0.00</c:formatCode>
                <c:ptCount val="59"/>
                <c:pt idx="0">
                  <c:v>3764.942008120142</c:v>
                </c:pt>
                <c:pt idx="1">
                  <c:v>3802.8323300443694</c:v>
                </c:pt>
                <c:pt idx="2">
                  <c:v>3831.9579705848228</c:v>
                </c:pt>
                <c:pt idx="3">
                  <c:v>3882.4272050223549</c:v>
                </c:pt>
                <c:pt idx="4">
                  <c:v>3941.0037168641152</c:v>
                </c:pt>
                <c:pt idx="5">
                  <c:v>4043.7277625030488</c:v>
                </c:pt>
                <c:pt idx="6">
                  <c:v>4036.4672549308007</c:v>
                </c:pt>
                <c:pt idx="7">
                  <c:v>3884.9339698073859</c:v>
                </c:pt>
                <c:pt idx="8">
                  <c:v>3893.2455539057823</c:v>
                </c:pt>
                <c:pt idx="9">
                  <c:v>3958.5167410354115</c:v>
                </c:pt>
                <c:pt idx="10">
                  <c:v>4005.6088475200413</c:v>
                </c:pt>
                <c:pt idx="11">
                  <c:v>4065.9848660920511</c:v>
                </c:pt>
                <c:pt idx="12">
                  <c:v>4109.3025640343485</c:v>
                </c:pt>
                <c:pt idx="13">
                  <c:v>4161.9326773907342</c:v>
                </c:pt>
                <c:pt idx="14">
                  <c:v>4224.5890890958972</c:v>
                </c:pt>
                <c:pt idx="15">
                  <c:v>4278.6759748380009</c:v>
                </c:pt>
                <c:pt idx="16">
                  <c:v>4348.5896477451079</c:v>
                </c:pt>
                <c:pt idx="17">
                  <c:v>4431.1324192241445</c:v>
                </c:pt>
                <c:pt idx="18">
                  <c:v>4500.2315778377442</c:v>
                </c:pt>
                <c:pt idx="19">
                  <c:v>4462.4108602295018</c:v>
                </c:pt>
                <c:pt idx="20">
                  <c:v>4490.0275492485907</c:v>
                </c:pt>
                <c:pt idx="21">
                  <c:v>4565.174671790217</c:v>
                </c:pt>
                <c:pt idx="22">
                  <c:v>4649.4733807880775</c:v>
                </c:pt>
                <c:pt idx="23">
                  <c:v>4732.2304937227636</c:v>
                </c:pt>
                <c:pt idx="24">
                  <c:v>4786.0110983308696</c:v>
                </c:pt>
                <c:pt idx="25">
                  <c:v>4849.8721068576469</c:v>
                </c:pt>
                <c:pt idx="26">
                  <c:v>4906.3671553476843</c:v>
                </c:pt>
                <c:pt idx="27">
                  <c:v>5003.27410889986</c:v>
                </c:pt>
                <c:pt idx="28">
                  <c:v>5086.2698633889777</c:v>
                </c:pt>
                <c:pt idx="29">
                  <c:v>5216.1634914188717</c:v>
                </c:pt>
                <c:pt idx="30">
                  <c:v>5157.9888201305976</c:v>
                </c:pt>
                <c:pt idx="31">
                  <c:v>5611.4619812057053</c:v>
                </c:pt>
                <c:pt idx="32">
                  <c:v>5769.5437749426637</c:v>
                </c:pt>
                <c:pt idx="33">
                  <c:v>5790.2893909482209</c:v>
                </c:pt>
                <c:pt idx="34">
                  <c:v>5822.4738976174031</c:v>
                </c:pt>
                <c:pt idx="35">
                  <c:v>5834.3655856304986</c:v>
                </c:pt>
                <c:pt idx="36">
                  <c:v>5902.1797606690661</c:v>
                </c:pt>
                <c:pt idx="37">
                  <c:v>5951.3821610773957</c:v>
                </c:pt>
                <c:pt idx="38">
                  <c:v>6003.0964553747408</c:v>
                </c:pt>
                <c:pt idx="39">
                  <c:v>6017.7114965864639</c:v>
                </c:pt>
                <c:pt idx="40">
                  <c:v>6025.2270819370424</c:v>
                </c:pt>
                <c:pt idx="41">
                  <c:v>6115.6782616419969</c:v>
                </c:pt>
                <c:pt idx="42">
                  <c:v>6043.0815148288157</c:v>
                </c:pt>
                <c:pt idx="43">
                  <c:v>5878.0654519116561</c:v>
                </c:pt>
                <c:pt idx="44">
                  <c:v>5845.7287105183414</c:v>
                </c:pt>
                <c:pt idx="45">
                  <c:v>5927.9427301794576</c:v>
                </c:pt>
                <c:pt idx="46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0-4213-B8E6-0ED85974C492}"/>
            </c:ext>
          </c:extLst>
        </c:ser>
        <c:ser>
          <c:idx val="2"/>
          <c:order val="2"/>
          <c:tx>
            <c:strRef>
              <c:f>'Damped Trend ES'!$J$9</c:f>
              <c:strCache>
                <c:ptCount val="1"/>
                <c:pt idx="0">
                  <c:v>Damped Trend ES FC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'Damped Trend ES'!$B$10:$B$68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'Damped Trend ES'!$J$10:$J$68</c:f>
              <c:numCache>
                <c:formatCode>General</c:formatCode>
                <c:ptCount val="59"/>
                <c:pt idx="47" formatCode="&quot;$&quot;#,##0.00">
                  <c:v>5972.3901600416702</c:v>
                </c:pt>
                <c:pt idx="48" formatCode="&quot;$&quot;#,##0.00">
                  <c:v>5986.6638702147466</c:v>
                </c:pt>
                <c:pt idx="49" formatCode="&quot;$&quot;#,##0.00">
                  <c:v>6000.7948432860921</c:v>
                </c:pt>
                <c:pt idx="50" formatCode="&quot;$&quot;#,##0.00">
                  <c:v>6014.7845066267237</c:v>
                </c:pt>
                <c:pt idx="51" formatCode="&quot;$&quot;#,##0.00">
                  <c:v>6028.6342733339488</c:v>
                </c:pt>
                <c:pt idx="52" formatCode="&quot;$&quot;#,##0.00">
                  <c:v>6042.3455423741025</c:v>
                </c:pt>
                <c:pt idx="53" formatCode="&quot;$&quot;#,##0.00">
                  <c:v>6055.9196987238538</c:v>
                </c:pt>
                <c:pt idx="54" formatCode="&quot;$&quot;#,##0.00">
                  <c:v>6069.3581135101076</c:v>
                </c:pt>
                <c:pt idx="55" formatCode="&quot;$&quot;#,##0.00">
                  <c:v>6082.6621441484995</c:v>
                </c:pt>
                <c:pt idx="56" formatCode="&quot;$&quot;#,##0.00">
                  <c:v>6095.8331344805074</c:v>
                </c:pt>
                <c:pt idx="57" formatCode="&quot;$&quot;#,##0.00">
                  <c:v>6108.872414909195</c:v>
                </c:pt>
                <c:pt idx="58" formatCode="&quot;$&quot;#,##0.00">
                  <c:v>6121.7813025335954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0-4213-B8E6-0ED85974C492}"/>
            </c:ext>
          </c:extLst>
        </c:ser>
        <c:ser>
          <c:idx val="3"/>
          <c:order val="3"/>
          <c:tx>
            <c:strRef>
              <c:f>'Damped Trend ES'!$K$9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'Damped Trend ES'!$B$10:$B$68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'Damped Trend ES'!$K$10:$K$68</c:f>
              <c:numCache>
                <c:formatCode>General</c:formatCode>
                <c:ptCount val="59"/>
                <c:pt idx="47" formatCode="&quot;$&quot;#,##0.00">
                  <c:v>6015.0095268005725</c:v>
                </c:pt>
                <c:pt idx="48" formatCode="&quot;$&quot;#,##0.00">
                  <c:v>5980.3956521285054</c:v>
                </c:pt>
                <c:pt idx="49" formatCode="&quot;$&quot;#,##0.00">
                  <c:v>5948.9860703179129</c:v>
                </c:pt>
                <c:pt idx="50" formatCode="&quot;$&quot;#,##0.00">
                  <c:v>5928.5204211313412</c:v>
                </c:pt>
                <c:pt idx="51" formatCode="&quot;$&quot;#,##0.00">
                  <c:v>5948.7780920310579</c:v>
                </c:pt>
                <c:pt idx="52" formatCode="&quot;$&quot;#,##0.00">
                  <c:v>6004.0098522832322</c:v>
                </c:pt>
                <c:pt idx="53" formatCode="&quot;$&quot;#,##0.00">
                  <c:v>5924.5378856370289</c:v>
                </c:pt>
                <c:pt idx="54" formatCode="&quot;$&quot;#,##0.00">
                  <c:v>6007.0066551025593</c:v>
                </c:pt>
                <c:pt idx="55" formatCode="&quot;$&quot;#,##0.00">
                  <c:v>6182.970674385323</c:v>
                </c:pt>
                <c:pt idx="56" formatCode="&quot;$&quot;#,##0.00">
                  <c:v>6241.0630250802105</c:v>
                </c:pt>
                <c:pt idx="57" formatCode="&quot;$&quot;#,##0.00">
                  <c:v>6213.0141038613856</c:v>
                </c:pt>
                <c:pt idx="58" formatCode="&quot;$&quot;#,##0.00">
                  <c:v>6189.6244039432549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B0-4213-B8E6-0ED85974C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931888"/>
        <c:axId val="1380934384"/>
      </c:lineChart>
      <c:dateAx>
        <c:axId val="138093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34384"/>
        <c:crosses val="autoZero"/>
        <c:auto val="1"/>
        <c:lblOffset val="100"/>
        <c:baseTimeUnit val="months"/>
      </c:dateAx>
      <c:valAx>
        <c:axId val="1380934384"/>
        <c:scaling>
          <c:orientation val="minMax"/>
          <c:max val="65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9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Richmond Bank Total Core Deposits ($ millions)</a:t>
            </a:r>
            <a:endParaRPr lang="en-US" sz="14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 wo seas adj'!$E$4</c:f>
              <c:strCache>
                <c:ptCount val="1"/>
                <c:pt idx="0">
                  <c:v>Seasonal Adj Series</c:v>
                </c:pt>
              </c:strCache>
            </c:strRef>
          </c:tx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2"/>
            <c:dispRSqr val="0"/>
            <c:dispEq val="0"/>
          </c:trendline>
          <c:cat>
            <c:numRef>
              <c:f>'Regr wo seas adj'!$B$5:$B$63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'Regr wo seas adj'!$E$5:$E$63</c:f>
              <c:numCache>
                <c:formatCode>"$"#,##0.00</c:formatCode>
                <c:ptCount val="59"/>
                <c:pt idx="0">
                  <c:v>3764.942008120142</c:v>
                </c:pt>
                <c:pt idx="1">
                  <c:v>3802.8323300443694</c:v>
                </c:pt>
                <c:pt idx="2">
                  <c:v>3831.9579705848228</c:v>
                </c:pt>
                <c:pt idx="3">
                  <c:v>3882.4272050223549</c:v>
                </c:pt>
                <c:pt idx="4">
                  <c:v>3941.0037168641152</c:v>
                </c:pt>
                <c:pt idx="5">
                  <c:v>4043.7277625030488</c:v>
                </c:pt>
                <c:pt idx="6">
                  <c:v>4036.4672549308007</c:v>
                </c:pt>
                <c:pt idx="7">
                  <c:v>3884.9339698073859</c:v>
                </c:pt>
                <c:pt idx="8">
                  <c:v>3893.2455539057823</c:v>
                </c:pt>
                <c:pt idx="9">
                  <c:v>3958.5167410354115</c:v>
                </c:pt>
                <c:pt idx="10">
                  <c:v>4005.6088475200413</c:v>
                </c:pt>
                <c:pt idx="11">
                  <c:v>4065.9848660920511</c:v>
                </c:pt>
                <c:pt idx="12">
                  <c:v>4109.3025640343485</c:v>
                </c:pt>
                <c:pt idx="13">
                  <c:v>4161.9326773907342</c:v>
                </c:pt>
                <c:pt idx="14">
                  <c:v>4224.5890890958972</c:v>
                </c:pt>
                <c:pt idx="15">
                  <c:v>4278.6759748380009</c:v>
                </c:pt>
                <c:pt idx="16">
                  <c:v>4348.5896477451079</c:v>
                </c:pt>
                <c:pt idx="17">
                  <c:v>4431.1324192241445</c:v>
                </c:pt>
                <c:pt idx="18">
                  <c:v>4500.2315778377442</c:v>
                </c:pt>
                <c:pt idx="19">
                  <c:v>4462.4108602295018</c:v>
                </c:pt>
                <c:pt idx="20">
                  <c:v>4490.0275492485907</c:v>
                </c:pt>
                <c:pt idx="21">
                  <c:v>4565.174671790217</c:v>
                </c:pt>
                <c:pt idx="22">
                  <c:v>4649.4733807880775</c:v>
                </c:pt>
                <c:pt idx="23">
                  <c:v>4732.2304937227636</c:v>
                </c:pt>
                <c:pt idx="24">
                  <c:v>4786.0110983308696</c:v>
                </c:pt>
                <c:pt idx="25">
                  <c:v>4849.8721068576469</c:v>
                </c:pt>
                <c:pt idx="26">
                  <c:v>4906.3671553476843</c:v>
                </c:pt>
                <c:pt idx="27">
                  <c:v>5003.27410889986</c:v>
                </c:pt>
                <c:pt idx="28">
                  <c:v>5086.2698633889777</c:v>
                </c:pt>
                <c:pt idx="29">
                  <c:v>5216.1634914188717</c:v>
                </c:pt>
                <c:pt idx="30">
                  <c:v>5157.9888201305976</c:v>
                </c:pt>
                <c:pt idx="31">
                  <c:v>5611.4619812057053</c:v>
                </c:pt>
                <c:pt idx="32">
                  <c:v>5769.5437749426637</c:v>
                </c:pt>
                <c:pt idx="33">
                  <c:v>5790.2893909482209</c:v>
                </c:pt>
                <c:pt idx="34">
                  <c:v>5822.4738976174031</c:v>
                </c:pt>
                <c:pt idx="35">
                  <c:v>5834.3655856304986</c:v>
                </c:pt>
                <c:pt idx="36">
                  <c:v>5902.1797606690661</c:v>
                </c:pt>
                <c:pt idx="37">
                  <c:v>5951.3821610773957</c:v>
                </c:pt>
                <c:pt idx="38">
                  <c:v>6003.0964553747408</c:v>
                </c:pt>
                <c:pt idx="39">
                  <c:v>6017.7114965864639</c:v>
                </c:pt>
                <c:pt idx="40">
                  <c:v>6025.2270819370424</c:v>
                </c:pt>
                <c:pt idx="41">
                  <c:v>6115.6782616419969</c:v>
                </c:pt>
                <c:pt idx="42">
                  <c:v>6043.0815148288157</c:v>
                </c:pt>
                <c:pt idx="43">
                  <c:v>5878.0654519116561</c:v>
                </c:pt>
                <c:pt idx="44">
                  <c:v>5845.7287105183414</c:v>
                </c:pt>
                <c:pt idx="45">
                  <c:v>5927.9427301794576</c:v>
                </c:pt>
                <c:pt idx="46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5-4A2D-98F5-09B22D839E78}"/>
            </c:ext>
          </c:extLst>
        </c:ser>
        <c:ser>
          <c:idx val="1"/>
          <c:order val="1"/>
          <c:tx>
            <c:strRef>
              <c:f>'Regr wo seas adj'!$F$4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'Regr wo seas adj'!$B$5:$B$63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'Regr wo seas adj'!$F$5:$F$63</c:f>
              <c:numCache>
                <c:formatCode>"$"#,##0.00</c:formatCode>
                <c:ptCount val="59"/>
                <c:pt idx="47">
                  <c:v>6291.7404440836017</c:v>
                </c:pt>
                <c:pt idx="48">
                  <c:v>6350.3789499073009</c:v>
                </c:pt>
                <c:pt idx="49">
                  <c:v>6409.0174557309983</c:v>
                </c:pt>
                <c:pt idx="50">
                  <c:v>6467.6559615546976</c:v>
                </c:pt>
                <c:pt idx="51">
                  <c:v>6526.2944673783959</c:v>
                </c:pt>
                <c:pt idx="52">
                  <c:v>6584.9329732020942</c:v>
                </c:pt>
                <c:pt idx="53">
                  <c:v>6643.5714790257935</c:v>
                </c:pt>
                <c:pt idx="54">
                  <c:v>6702.2099848494909</c:v>
                </c:pt>
                <c:pt idx="55">
                  <c:v>6760.8484906731901</c:v>
                </c:pt>
                <c:pt idx="56">
                  <c:v>6819.4869964968884</c:v>
                </c:pt>
                <c:pt idx="57">
                  <c:v>6878.1255023205867</c:v>
                </c:pt>
                <c:pt idx="58">
                  <c:v>6936.7640081442851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75-4A2D-98F5-09B22D839E78}"/>
            </c:ext>
          </c:extLst>
        </c:ser>
        <c:ser>
          <c:idx val="2"/>
          <c:order val="2"/>
          <c:tx>
            <c:strRef>
              <c:f>'Regr wo seas adj'!$I$4</c:f>
              <c:strCache>
                <c:ptCount val="1"/>
                <c:pt idx="0">
                  <c:v>F/C</c:v>
                </c:pt>
              </c:strCache>
            </c:strRef>
          </c:tx>
          <c:marker>
            <c:symbol val="none"/>
          </c:marker>
          <c:cat>
            <c:numRef>
              <c:f>'Regr wo seas adj'!$B$5:$B$63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'Regr wo seas adj'!$I$5:$I$63</c:f>
              <c:numCache>
                <c:formatCode>General</c:formatCode>
                <c:ptCount val="59"/>
                <c:pt idx="47" formatCode="0.0000">
                  <c:v>6336.6387153540018</c:v>
                </c:pt>
                <c:pt idx="48" formatCode="0.0000">
                  <c:v>6343.7299111352504</c:v>
                </c:pt>
                <c:pt idx="49" formatCode="0.0000">
                  <c:v>6353.684230885865</c:v>
                </c:pt>
                <c:pt idx="50" formatCode="0.0000">
                  <c:v>6374.8967901816277</c:v>
                </c:pt>
                <c:pt idx="51" formatCode="0.0000">
                  <c:v>6439.8462055343734</c:v>
                </c:pt>
                <c:pt idx="52" formatCode="0.0000">
                  <c:v>6543.1548345704132</c:v>
                </c:pt>
                <c:pt idx="53" formatCode="0.0000">
                  <c:v>6499.4406929999714</c:v>
                </c:pt>
                <c:pt idx="54" formatCode="0.0000">
                  <c:v>6633.3571408924363</c:v>
                </c:pt>
                <c:pt idx="55" formatCode="0.0000">
                  <c:v>6872.3409193469861</c:v>
                </c:pt>
                <c:pt idx="56" formatCode="0.0000">
                  <c:v>6981.9575445906794</c:v>
                </c:pt>
                <c:pt idx="57" formatCode="0.0000">
                  <c:v>6995.3811197220266</c:v>
                </c:pt>
                <c:pt idx="58" formatCode="0.0000">
                  <c:v>7013.6389503877517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75-4A2D-98F5-09B22D83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714943"/>
        <c:axId val="1"/>
      </c:lineChart>
      <c:dateAx>
        <c:axId val="1440714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494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'Regr wo seas adj'!$B$52:$B$63</c:f>
              <c:numCache>
                <c:formatCode>m/d/yyyy</c:formatCode>
                <c:ptCount val="12"/>
                <c:pt idx="0">
                  <c:v>33908</c:v>
                </c:pt>
                <c:pt idx="1">
                  <c:v>33938</c:v>
                </c:pt>
                <c:pt idx="2">
                  <c:v>33969</c:v>
                </c:pt>
                <c:pt idx="3">
                  <c:v>34000</c:v>
                </c:pt>
                <c:pt idx="4">
                  <c:v>34028</c:v>
                </c:pt>
                <c:pt idx="5">
                  <c:v>34059</c:v>
                </c:pt>
                <c:pt idx="6">
                  <c:v>34089</c:v>
                </c:pt>
                <c:pt idx="7">
                  <c:v>34120</c:v>
                </c:pt>
                <c:pt idx="8">
                  <c:v>34150</c:v>
                </c:pt>
                <c:pt idx="9">
                  <c:v>34181</c:v>
                </c:pt>
                <c:pt idx="10">
                  <c:v>34212</c:v>
                </c:pt>
                <c:pt idx="11">
                  <c:v>34242</c:v>
                </c:pt>
              </c:numCache>
            </c:numRef>
          </c:cat>
          <c:val>
            <c:numRef>
              <c:f>'Regr wo seas adj'!$D$52:$D$63</c:f>
              <c:numCache>
                <c:formatCode>"$"#,##0.00</c:formatCode>
                <c:ptCount val="12"/>
                <c:pt idx="0">
                  <c:v>6310.049028677151</c:v>
                </c:pt>
                <c:pt idx="1">
                  <c:v>6369.4358233117491</c:v>
                </c:pt>
                <c:pt idx="2">
                  <c:v>6428.8226179463454</c:v>
                </c:pt>
                <c:pt idx="3">
                  <c:v>6488.2094125809435</c:v>
                </c:pt>
                <c:pt idx="4">
                  <c:v>6547.5962072155417</c:v>
                </c:pt>
                <c:pt idx="5">
                  <c:v>6606.9830018501389</c:v>
                </c:pt>
                <c:pt idx="6">
                  <c:v>6666.3697964847361</c:v>
                </c:pt>
                <c:pt idx="7">
                  <c:v>6725.7565911193342</c:v>
                </c:pt>
                <c:pt idx="8">
                  <c:v>6785.1433857539314</c:v>
                </c:pt>
                <c:pt idx="9">
                  <c:v>6844.5301803885286</c:v>
                </c:pt>
                <c:pt idx="10">
                  <c:v>6903.9169750231267</c:v>
                </c:pt>
                <c:pt idx="11">
                  <c:v>6963.3037696577248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5-4007-B39A-614F429906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'Regr wo seas adj'!$B$52:$B$63</c:f>
              <c:numCache>
                <c:formatCode>m/d/yyyy</c:formatCode>
                <c:ptCount val="12"/>
                <c:pt idx="0">
                  <c:v>33908</c:v>
                </c:pt>
                <c:pt idx="1">
                  <c:v>33938</c:v>
                </c:pt>
                <c:pt idx="2">
                  <c:v>33969</c:v>
                </c:pt>
                <c:pt idx="3">
                  <c:v>34000</c:v>
                </c:pt>
                <c:pt idx="4">
                  <c:v>34028</c:v>
                </c:pt>
                <c:pt idx="5">
                  <c:v>34059</c:v>
                </c:pt>
                <c:pt idx="6">
                  <c:v>34089</c:v>
                </c:pt>
                <c:pt idx="7">
                  <c:v>34120</c:v>
                </c:pt>
                <c:pt idx="8">
                  <c:v>34150</c:v>
                </c:pt>
                <c:pt idx="9">
                  <c:v>34181</c:v>
                </c:pt>
                <c:pt idx="10">
                  <c:v>34212</c:v>
                </c:pt>
                <c:pt idx="11">
                  <c:v>34242</c:v>
                </c:pt>
              </c:numCache>
            </c:numRef>
          </c:cat>
          <c:val>
            <c:numRef>
              <c:f>'Regr wo seas adj'!$I$52:$I$63</c:f>
              <c:numCache>
                <c:formatCode>0.0000</c:formatCode>
                <c:ptCount val="12"/>
                <c:pt idx="0">
                  <c:v>6336.6387153540018</c:v>
                </c:pt>
                <c:pt idx="1">
                  <c:v>6343.7299111352504</c:v>
                </c:pt>
                <c:pt idx="2">
                  <c:v>6353.684230885865</c:v>
                </c:pt>
                <c:pt idx="3">
                  <c:v>6374.8967901816277</c:v>
                </c:pt>
                <c:pt idx="4">
                  <c:v>6439.8462055343734</c:v>
                </c:pt>
                <c:pt idx="5">
                  <c:v>6543.1548345704132</c:v>
                </c:pt>
                <c:pt idx="6">
                  <c:v>6499.4406929999714</c:v>
                </c:pt>
                <c:pt idx="7">
                  <c:v>6633.3571408924363</c:v>
                </c:pt>
                <c:pt idx="8">
                  <c:v>6872.3409193469861</c:v>
                </c:pt>
                <c:pt idx="9">
                  <c:v>6981.9575445906794</c:v>
                </c:pt>
                <c:pt idx="10">
                  <c:v>6995.3811197220266</c:v>
                </c:pt>
                <c:pt idx="11">
                  <c:v>7013.6389503877517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5-4007-B39A-614F4299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935935"/>
        <c:axId val="538914719"/>
      </c:lineChart>
      <c:dateAx>
        <c:axId val="538935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14719"/>
        <c:crosses val="autoZero"/>
        <c:auto val="1"/>
        <c:lblOffset val="100"/>
        <c:baseTimeUnit val="months"/>
      </c:dateAx>
      <c:valAx>
        <c:axId val="5389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3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 LN'!$C$6</c:f>
              <c:strCache>
                <c:ptCount val="1"/>
                <c:pt idx="0">
                  <c:v>Core Deposits        ($ mills)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'Regr LN'!$B$7:$B$65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'Regr LN'!$C$7:$C$65</c:f>
              <c:numCache>
                <c:formatCode>0.00</c:formatCode>
                <c:ptCount val="59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B-43E0-9CF3-2EA1C7DF39BD}"/>
            </c:ext>
          </c:extLst>
        </c:ser>
        <c:ser>
          <c:idx val="1"/>
          <c:order val="1"/>
          <c:tx>
            <c:strRef>
              <c:f>'Regr LN'!$F$6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'Regr LN'!$B$7:$B$65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'Regr LN'!$F$7:$F$65</c:f>
              <c:numCache>
                <c:formatCode>"$"#,##0.00</c:formatCode>
                <c:ptCount val="59"/>
                <c:pt idx="0">
                  <c:v>3764.942008120142</c:v>
                </c:pt>
                <c:pt idx="1">
                  <c:v>3802.8323300443694</c:v>
                </c:pt>
                <c:pt idx="2">
                  <c:v>3831.9579705848228</c:v>
                </c:pt>
                <c:pt idx="3">
                  <c:v>3882.4272050223549</c:v>
                </c:pt>
                <c:pt idx="4">
                  <c:v>3941.0037168641152</c:v>
                </c:pt>
                <c:pt idx="5">
                  <c:v>4043.7277625030488</c:v>
                </c:pt>
                <c:pt idx="6">
                  <c:v>4036.4672549308007</c:v>
                </c:pt>
                <c:pt idx="7">
                  <c:v>3884.9339698073859</c:v>
                </c:pt>
                <c:pt idx="8">
                  <c:v>3893.2455539057823</c:v>
                </c:pt>
                <c:pt idx="9">
                  <c:v>3958.5167410354115</c:v>
                </c:pt>
                <c:pt idx="10">
                  <c:v>4005.6088475200413</c:v>
                </c:pt>
                <c:pt idx="11">
                  <c:v>4065.9848660920511</c:v>
                </c:pt>
                <c:pt idx="12">
                  <c:v>4109.3025640343485</c:v>
                </c:pt>
                <c:pt idx="13">
                  <c:v>4161.9326773907342</c:v>
                </c:pt>
                <c:pt idx="14">
                  <c:v>4224.5890890958972</c:v>
                </c:pt>
                <c:pt idx="15">
                  <c:v>4278.6759748380009</c:v>
                </c:pt>
                <c:pt idx="16">
                  <c:v>4348.5896477451079</c:v>
                </c:pt>
                <c:pt idx="17">
                  <c:v>4431.1324192241445</c:v>
                </c:pt>
                <c:pt idx="18">
                  <c:v>4500.2315778377442</c:v>
                </c:pt>
                <c:pt idx="19">
                  <c:v>4462.4108602295018</c:v>
                </c:pt>
                <c:pt idx="20">
                  <c:v>4490.0275492485907</c:v>
                </c:pt>
                <c:pt idx="21">
                  <c:v>4565.174671790217</c:v>
                </c:pt>
                <c:pt idx="22">
                  <c:v>4649.4733807880775</c:v>
                </c:pt>
                <c:pt idx="23">
                  <c:v>4732.2304937227636</c:v>
                </c:pt>
                <c:pt idx="24">
                  <c:v>4786.0110983308696</c:v>
                </c:pt>
                <c:pt idx="25">
                  <c:v>4849.8721068576469</c:v>
                </c:pt>
                <c:pt idx="26">
                  <c:v>4906.3671553476843</c:v>
                </c:pt>
                <c:pt idx="27">
                  <c:v>5003.27410889986</c:v>
                </c:pt>
                <c:pt idx="28">
                  <c:v>5086.2698633889777</c:v>
                </c:pt>
                <c:pt idx="29">
                  <c:v>5216.1634914188717</c:v>
                </c:pt>
                <c:pt idx="30">
                  <c:v>5157.9888201305976</c:v>
                </c:pt>
                <c:pt idx="31">
                  <c:v>5611.4619812057053</c:v>
                </c:pt>
                <c:pt idx="32">
                  <c:v>5769.5437749426637</c:v>
                </c:pt>
                <c:pt idx="33">
                  <c:v>5790.2893909482209</c:v>
                </c:pt>
                <c:pt idx="34">
                  <c:v>5822.4738976174031</c:v>
                </c:pt>
                <c:pt idx="35">
                  <c:v>5834.3655856304986</c:v>
                </c:pt>
                <c:pt idx="36">
                  <c:v>5902.1797606690661</c:v>
                </c:pt>
                <c:pt idx="37">
                  <c:v>5951.3821610773957</c:v>
                </c:pt>
                <c:pt idx="38">
                  <c:v>6003.0964553747408</c:v>
                </c:pt>
                <c:pt idx="39">
                  <c:v>6017.7114965864639</c:v>
                </c:pt>
                <c:pt idx="40">
                  <c:v>6025.2270819370424</c:v>
                </c:pt>
                <c:pt idx="41">
                  <c:v>6115.6782616419969</c:v>
                </c:pt>
                <c:pt idx="42">
                  <c:v>6043.0815148288157</c:v>
                </c:pt>
                <c:pt idx="43">
                  <c:v>5878.0654519116561</c:v>
                </c:pt>
                <c:pt idx="44">
                  <c:v>5845.7287105183414</c:v>
                </c:pt>
                <c:pt idx="45">
                  <c:v>5927.9427301794576</c:v>
                </c:pt>
                <c:pt idx="46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B-43E0-9CF3-2EA1C7DF39BD}"/>
            </c:ext>
          </c:extLst>
        </c:ser>
        <c:ser>
          <c:idx val="2"/>
          <c:order val="2"/>
          <c:tx>
            <c:strRef>
              <c:f>'Regr LN'!$L$6</c:f>
              <c:strCache>
                <c:ptCount val="1"/>
                <c:pt idx="0">
                  <c:v>Seasional F/C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'Regr LN'!$B$7:$B$65</c:f>
              <c:numCache>
                <c:formatCode>m/d/yyyy</c:formatCode>
                <c:ptCount val="59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</c:numCache>
            </c:numRef>
          </c:cat>
          <c:val>
            <c:numRef>
              <c:f>'Regr LN'!$L$7:$L$65</c:f>
              <c:numCache>
                <c:formatCode>General</c:formatCode>
                <c:ptCount val="59"/>
                <c:pt idx="47" formatCode="&quot;$&quot;#,##0.00">
                  <c:v>6099.7044872198449</c:v>
                </c:pt>
                <c:pt idx="48" formatCode="&quot;$&quot;#,##0.00">
                  <c:v>6088.1578419077514</c:v>
                </c:pt>
                <c:pt idx="49" formatCode="&quot;$&quot;#,##0.00">
                  <c:v>6079.8833664319318</c:v>
                </c:pt>
                <c:pt idx="50" formatCode="&quot;$&quot;#,##0.00">
                  <c:v>6082.8560245714716</c:v>
                </c:pt>
                <c:pt idx="51" formatCode="&quot;$&quot;#,##0.00">
                  <c:v>6127.8811570977241</c:v>
                </c:pt>
                <c:pt idx="52" formatCode="&quot;$&quot;#,##0.00">
                  <c:v>6209.5132260608043</c:v>
                </c:pt>
                <c:pt idx="53" formatCode="&quot;$&quot;#,##0.00">
                  <c:v>6151.9996934098754</c:v>
                </c:pt>
                <c:pt idx="54" formatCode="&quot;$&quot;#,##0.00">
                  <c:v>6262.9291114841844</c:v>
                </c:pt>
                <c:pt idx="55" formatCode="&quot;$&quot;#,##0.00">
                  <c:v>6472.7055697225533</c:v>
                </c:pt>
                <c:pt idx="56" formatCode="&quot;$&quot;#,##0.00">
                  <c:v>6560.3660505501612</c:v>
                </c:pt>
                <c:pt idx="57" formatCode="&quot;$&quot;#,##0.00">
                  <c:v>6557.8891773829546</c:v>
                </c:pt>
                <c:pt idx="58" formatCode="&quot;$&quot;#,##0.00">
                  <c:v>6560.3874378515347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B-43E0-9CF3-2EA1C7DF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170591"/>
        <c:axId val="2060147295"/>
      </c:lineChart>
      <c:dateAx>
        <c:axId val="2060170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47295"/>
        <c:crosses val="autoZero"/>
        <c:auto val="1"/>
        <c:lblOffset val="100"/>
        <c:baseTimeUnit val="months"/>
      </c:dateAx>
      <c:valAx>
        <c:axId val="20601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 </a:t>
            </a:r>
          </a:p>
        </c:rich>
      </c:tx>
      <c:layout>
        <c:manualLayout>
          <c:xMode val="edge"/>
          <c:yMode val="edge"/>
          <c:x val="0.46096373891625009"/>
          <c:y val="5.8951699969434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69406524016684E-2"/>
          <c:y val="0.25096572409983581"/>
          <c:w val="0.83926764008867827"/>
          <c:h val="0.575290659859623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3.2103705431452828E-2"/>
                  <c:y val="-0.2625486315080305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Data_F_Look!$B$4:$B$50</c:f>
              <c:numCache>
                <c:formatCode>m/d/yyyy</c:formatCode>
                <c:ptCount val="47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</c:numCache>
            </c:numRef>
          </c:cat>
          <c:val>
            <c:numRef>
              <c:f>Data_F_Look!$F$4:$F$50</c:f>
              <c:numCache>
                <c:formatCode>General</c:formatCode>
                <c:ptCount val="47"/>
                <c:pt idx="0">
                  <c:v>8.2324401584703359</c:v>
                </c:pt>
                <c:pt idx="1">
                  <c:v>8.2348302804420559</c:v>
                </c:pt>
                <c:pt idx="2">
                  <c:v>8.2366853227124572</c:v>
                </c:pt>
                <c:pt idx="3">
                  <c:v>8.2508811447006494</c:v>
                </c:pt>
                <c:pt idx="4">
                  <c:v>8.2728260036504011</c:v>
                </c:pt>
                <c:pt idx="5">
                  <c:v>8.2829886927426024</c:v>
                </c:pt>
                <c:pt idx="6">
                  <c:v>8.2927988582003742</c:v>
                </c:pt>
                <c:pt idx="7">
                  <c:v>8.2812176612866502</c:v>
                </c:pt>
                <c:pt idx="8">
                  <c:v>8.2905435007727402</c:v>
                </c:pt>
                <c:pt idx="9">
                  <c:v>8.3005286061997374</c:v>
                </c:pt>
                <c:pt idx="10">
                  <c:v>8.3064721601005846</c:v>
                </c:pt>
                <c:pt idx="11">
                  <c:v>8.3175219962871694</c:v>
                </c:pt>
                <c:pt idx="12">
                  <c:v>8.3199610218865292</c:v>
                </c:pt>
                <c:pt idx="13">
                  <c:v>8.325063693631197</c:v>
                </c:pt>
                <c:pt idx="14">
                  <c:v>8.3342314297348601</c:v>
                </c:pt>
                <c:pt idx="15">
                  <c:v>8.3480642284082656</c:v>
                </c:pt>
                <c:pt idx="16">
                  <c:v>8.3712421359319329</c:v>
                </c:pt>
                <c:pt idx="17">
                  <c:v>8.3744768892146428</c:v>
                </c:pt>
                <c:pt idx="18">
                  <c:v>8.4015578478173136</c:v>
                </c:pt>
                <c:pt idx="19">
                  <c:v>8.4198008454075879</c:v>
                </c:pt>
                <c:pt idx="20">
                  <c:v>8.433159195806228</c:v>
                </c:pt>
                <c:pt idx="21">
                  <c:v>8.4431159880199225</c:v>
                </c:pt>
                <c:pt idx="22">
                  <c:v>8.4555305310241309</c:v>
                </c:pt>
                <c:pt idx="23">
                  <c:v>8.4692626576586871</c:v>
                </c:pt>
                <c:pt idx="24">
                  <c:v>8.4724050086261027</c:v>
                </c:pt>
                <c:pt idx="25">
                  <c:v>8.4780364762150437</c:v>
                </c:pt>
                <c:pt idx="26">
                  <c:v>8.4838432117346834</c:v>
                </c:pt>
                <c:pt idx="27">
                  <c:v>8.5045131382588632</c:v>
                </c:pt>
                <c:pt idx="28">
                  <c:v>8.5279352879481394</c:v>
                </c:pt>
                <c:pt idx="29">
                  <c:v>8.5375838810639717</c:v>
                </c:pt>
                <c:pt idx="30">
                  <c:v>8.5379757305987667</c:v>
                </c:pt>
                <c:pt idx="31">
                  <c:v>8.6489229620941313</c:v>
                </c:pt>
                <c:pt idx="32">
                  <c:v>8.6838933673072347</c:v>
                </c:pt>
                <c:pt idx="33">
                  <c:v>8.6808414829445706</c:v>
                </c:pt>
                <c:pt idx="34">
                  <c:v>8.6805018090282609</c:v>
                </c:pt>
                <c:pt idx="35">
                  <c:v>8.6786315372937679</c:v>
                </c:pt>
                <c:pt idx="36">
                  <c:v>8.6820294338691717</c:v>
                </c:pt>
                <c:pt idx="37">
                  <c:v>8.6827076298938106</c:v>
                </c:pt>
                <c:pt idx="38">
                  <c:v>8.6855848426766933</c:v>
                </c:pt>
                <c:pt idx="39">
                  <c:v>8.6891276553237056</c:v>
                </c:pt>
                <c:pt idx="40">
                  <c:v>8.6973457309253526</c:v>
                </c:pt>
                <c:pt idx="41">
                  <c:v>8.696677393390031</c:v>
                </c:pt>
                <c:pt idx="42">
                  <c:v>8.6963430570445563</c:v>
                </c:pt>
                <c:pt idx="43">
                  <c:v>8.695339376799712</c:v>
                </c:pt>
                <c:pt idx="44">
                  <c:v>8.6970116179920733</c:v>
                </c:pt>
                <c:pt idx="45">
                  <c:v>8.7043364384894062</c:v>
                </c:pt>
                <c:pt idx="46">
                  <c:v>8.7035067694797288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0-42E9-A426-9356DA67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189823"/>
        <c:axId val="1"/>
      </c:lineChart>
      <c:dateAx>
        <c:axId val="1789189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5"/>
        <c:minorUnit val="1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1898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My_Forecast!$C$1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My_Forecast!$C$2:$C$60</c:f>
              <c:numCache>
                <c:formatCode>_("$"* #,##0_);_("$"* \(#,##0\);_("$"* "-"??_);_(@_)</c:formatCode>
                <c:ptCount val="59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  <c:pt idx="47">
                  <c:v>6036</c:v>
                </c:pt>
                <c:pt idx="48">
                  <c:v>6026</c:v>
                </c:pt>
                <c:pt idx="49">
                  <c:v>6021</c:v>
                </c:pt>
                <c:pt idx="50">
                  <c:v>5996</c:v>
                </c:pt>
                <c:pt idx="51">
                  <c:v>6026</c:v>
                </c:pt>
                <c:pt idx="52">
                  <c:v>6094</c:v>
                </c:pt>
                <c:pt idx="53">
                  <c:v>6083</c:v>
                </c:pt>
                <c:pt idx="54">
                  <c:v>6057</c:v>
                </c:pt>
                <c:pt idx="55">
                  <c:v>6198</c:v>
                </c:pt>
                <c:pt idx="56">
                  <c:v>6507</c:v>
                </c:pt>
                <c:pt idx="57">
                  <c:v>6653</c:v>
                </c:pt>
                <c:pt idx="58">
                  <c:v>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E-4FA1-9730-8ABE4D342F63}"/>
            </c:ext>
          </c:extLst>
        </c:ser>
        <c:ser>
          <c:idx val="1"/>
          <c:order val="1"/>
          <c:tx>
            <c:strRef>
              <c:f>My_Forecast!$D$1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My_Forecast!$D$2:$D$60</c:f>
              <c:numCache>
                <c:formatCode>_("$"* #,##0.00_);_("$"* \(#,##0.00\);_("$"* "-"??_);_(@_)</c:formatCode>
                <c:ptCount val="59"/>
                <c:pt idx="0">
                  <c:v>3764.942008120142</c:v>
                </c:pt>
                <c:pt idx="1">
                  <c:v>3802.8323300443694</c:v>
                </c:pt>
                <c:pt idx="2">
                  <c:v>3831.9579705848228</c:v>
                </c:pt>
                <c:pt idx="3">
                  <c:v>3882.4272050223549</c:v>
                </c:pt>
                <c:pt idx="4">
                  <c:v>3941.0037168641152</c:v>
                </c:pt>
                <c:pt idx="5">
                  <c:v>4043.7277625030488</c:v>
                </c:pt>
                <c:pt idx="6">
                  <c:v>4036.4672549308007</c:v>
                </c:pt>
                <c:pt idx="7">
                  <c:v>3884.9339698073859</c:v>
                </c:pt>
                <c:pt idx="8">
                  <c:v>3893.2455539057823</c:v>
                </c:pt>
                <c:pt idx="9">
                  <c:v>3958.5167410354115</c:v>
                </c:pt>
                <c:pt idx="10">
                  <c:v>4005.6088475200413</c:v>
                </c:pt>
                <c:pt idx="11">
                  <c:v>4065.9848660920511</c:v>
                </c:pt>
                <c:pt idx="12">
                  <c:v>4109.3025640343485</c:v>
                </c:pt>
                <c:pt idx="13">
                  <c:v>4161.9326773907342</c:v>
                </c:pt>
                <c:pt idx="14">
                  <c:v>4224.5890890958972</c:v>
                </c:pt>
                <c:pt idx="15">
                  <c:v>4278.6759748380009</c:v>
                </c:pt>
                <c:pt idx="16">
                  <c:v>4348.5896477451079</c:v>
                </c:pt>
                <c:pt idx="17">
                  <c:v>4431.1324192241445</c:v>
                </c:pt>
                <c:pt idx="18">
                  <c:v>4500.2315778377442</c:v>
                </c:pt>
                <c:pt idx="19">
                  <c:v>4462.4108602295018</c:v>
                </c:pt>
                <c:pt idx="20">
                  <c:v>4490.0275492485907</c:v>
                </c:pt>
                <c:pt idx="21">
                  <c:v>4565.174671790217</c:v>
                </c:pt>
                <c:pt idx="22">
                  <c:v>4649.4733807880775</c:v>
                </c:pt>
                <c:pt idx="23">
                  <c:v>4732.2304937227636</c:v>
                </c:pt>
                <c:pt idx="24">
                  <c:v>4786.0110983308696</c:v>
                </c:pt>
                <c:pt idx="25">
                  <c:v>4849.8721068576469</c:v>
                </c:pt>
                <c:pt idx="26">
                  <c:v>4906.3671553476843</c:v>
                </c:pt>
                <c:pt idx="27">
                  <c:v>5003.27410889986</c:v>
                </c:pt>
                <c:pt idx="28">
                  <c:v>5086.2698633889777</c:v>
                </c:pt>
                <c:pt idx="29">
                  <c:v>5216.1634914188717</c:v>
                </c:pt>
                <c:pt idx="30">
                  <c:v>5157.9888201305976</c:v>
                </c:pt>
                <c:pt idx="31">
                  <c:v>5611.4619812057053</c:v>
                </c:pt>
                <c:pt idx="32">
                  <c:v>5769.5437749426637</c:v>
                </c:pt>
                <c:pt idx="33">
                  <c:v>5790.2893909482209</c:v>
                </c:pt>
                <c:pt idx="34">
                  <c:v>5822.4738976174031</c:v>
                </c:pt>
                <c:pt idx="35">
                  <c:v>5834.3655856304986</c:v>
                </c:pt>
                <c:pt idx="36">
                  <c:v>5902.1797606690661</c:v>
                </c:pt>
                <c:pt idx="37">
                  <c:v>5951.3821610773957</c:v>
                </c:pt>
                <c:pt idx="38">
                  <c:v>6003.0964553747408</c:v>
                </c:pt>
                <c:pt idx="39">
                  <c:v>6017.7114965864639</c:v>
                </c:pt>
                <c:pt idx="40">
                  <c:v>6025.2270819370424</c:v>
                </c:pt>
                <c:pt idx="41">
                  <c:v>6115.6782616419969</c:v>
                </c:pt>
                <c:pt idx="42">
                  <c:v>6043.0815148288157</c:v>
                </c:pt>
                <c:pt idx="43">
                  <c:v>5878.0654519116561</c:v>
                </c:pt>
                <c:pt idx="44">
                  <c:v>5845.7287105183414</c:v>
                </c:pt>
                <c:pt idx="45">
                  <c:v>5927.9427301794576</c:v>
                </c:pt>
                <c:pt idx="46">
                  <c:v>5957.9722709779571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E-4FA1-9730-8ABE4D342F63}"/>
            </c:ext>
          </c:extLst>
        </c:ser>
        <c:ser>
          <c:idx val="2"/>
          <c:order val="2"/>
          <c:tx>
            <c:strRef>
              <c:f>My_Forecast!$E$1</c:f>
              <c:strCache>
                <c:ptCount val="1"/>
                <c:pt idx="0">
                  <c:v>Unaided
Eyeball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My_Forecast!$E$2:$E$60</c:f>
              <c:numCache>
                <c:formatCode>_("$"* #,##0_);_("$"* \(#,##0\);_("$"* "-"??_);_(@_)</c:formatCode>
                <c:ptCount val="59"/>
                <c:pt idx="47" formatCode="_(&quot;$&quot;* #,##0.00_);_(&quot;$&quot;* \(#,##0.00\);_(&quot;$&quot;* &quot;-&quot;??_);_(@_)">
                  <c:v>6044.7424242424204</c:v>
                </c:pt>
                <c:pt idx="48" formatCode="_(&quot;$&quot;* #,##0.00_);_(&quot;$&quot;* \(#,##0.00\);_(&quot;$&quot;* &quot;-&quot;??_);_(@_)">
                  <c:v>6058.1515151515196</c:v>
                </c:pt>
                <c:pt idx="49" formatCode="_(&quot;$&quot;* #,##0.00_);_(&quot;$&quot;* \(#,##0.00\);_(&quot;$&quot;* &quot;-&quot;??_);_(@_)">
                  <c:v>6071.5606060606096</c:v>
                </c:pt>
                <c:pt idx="50" formatCode="_(&quot;$&quot;* #,##0.00_);_(&quot;$&quot;* \(#,##0.00\);_(&quot;$&quot;* &quot;-&quot;??_);_(@_)">
                  <c:v>6084.9696969696997</c:v>
                </c:pt>
                <c:pt idx="51" formatCode="_(&quot;$&quot;* #,##0.00_);_(&quot;$&quot;* \(#,##0.00\);_(&quot;$&quot;* &quot;-&quot;??_);_(@_)">
                  <c:v>6098.3787878787898</c:v>
                </c:pt>
                <c:pt idx="52" formatCode="_(&quot;$&quot;* #,##0.00_);_(&quot;$&quot;* \(#,##0.00\);_(&quot;$&quot;* &quot;-&quot;??_);_(@_)">
                  <c:v>6111.7878787878799</c:v>
                </c:pt>
                <c:pt idx="53" formatCode="_(&quot;$&quot;* #,##0.00_);_(&quot;$&quot;* \(#,##0.00\);_(&quot;$&quot;* &quot;-&quot;??_);_(@_)">
                  <c:v>6125.19696969697</c:v>
                </c:pt>
                <c:pt idx="54" formatCode="_(&quot;$&quot;* #,##0.00_);_(&quot;$&quot;* \(#,##0.00\);_(&quot;$&quot;* &quot;-&quot;??_);_(@_)">
                  <c:v>6138.6060606060601</c:v>
                </c:pt>
                <c:pt idx="55" formatCode="_(&quot;$&quot;* #,##0.00_);_(&quot;$&quot;* \(#,##0.00\);_(&quot;$&quot;* &quot;-&quot;??_);_(@_)">
                  <c:v>6152.0151515151501</c:v>
                </c:pt>
                <c:pt idx="56" formatCode="_(&quot;$&quot;* #,##0.00_);_(&quot;$&quot;* \(#,##0.00\);_(&quot;$&quot;* &quot;-&quot;??_);_(@_)">
                  <c:v>6165.4242424242402</c:v>
                </c:pt>
                <c:pt idx="57" formatCode="_(&quot;$&quot;* #,##0.00_);_(&quot;$&quot;* \(#,##0.00\);_(&quot;$&quot;* &quot;-&quot;??_);_(@_)">
                  <c:v>6178.8333333333303</c:v>
                </c:pt>
                <c:pt idx="58" formatCode="_(&quot;$&quot;* #,##0.00_);_(&quot;$&quot;* \(#,##0.00\);_(&quot;$&quot;* &quot;-&quot;??_);_(@_)">
                  <c:v>6192.2424242424204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E-4FA1-9730-8ABE4D342F63}"/>
            </c:ext>
          </c:extLst>
        </c:ser>
        <c:ser>
          <c:idx val="3"/>
          <c:order val="3"/>
          <c:tx>
            <c:strRef>
              <c:f>My_Forecast!$F$1</c:f>
              <c:strCache>
                <c:ptCount val="1"/>
                <c:pt idx="0">
                  <c:v>Naïve w/o seasonal 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My_Forecast!$F$2:$F$60</c:f>
              <c:numCache>
                <c:formatCode>_("$"* #,##0_);_("$"* \(#,##0\);_("$"* "-"??_);_(@_)</c:formatCode>
                <c:ptCount val="59"/>
                <c:pt idx="47" formatCode="_(&quot;$&quot;* #,##0.00_);_(&quot;$&quot;* \(#,##0.00\);_(&quot;$&quot;* &quot;-&quot;??_);_(@_)">
                  <c:v>6024</c:v>
                </c:pt>
                <c:pt idx="48" formatCode="_(&quot;$&quot;* #,##0.00_);_(&quot;$&quot;* \(#,##0.00\);_(&quot;$&quot;* &quot;-&quot;??_);_(@_)">
                  <c:v>6024</c:v>
                </c:pt>
                <c:pt idx="49" formatCode="_(&quot;$&quot;* #,##0.00_);_(&quot;$&quot;* \(#,##0.00\);_(&quot;$&quot;* &quot;-&quot;??_);_(@_)">
                  <c:v>6024</c:v>
                </c:pt>
                <c:pt idx="50" formatCode="_(&quot;$&quot;* #,##0.00_);_(&quot;$&quot;* \(#,##0.00\);_(&quot;$&quot;* &quot;-&quot;??_);_(@_)">
                  <c:v>6024</c:v>
                </c:pt>
                <c:pt idx="51" formatCode="_(&quot;$&quot;* #,##0.00_);_(&quot;$&quot;* \(#,##0.00\);_(&quot;$&quot;* &quot;-&quot;??_);_(@_)">
                  <c:v>6024</c:v>
                </c:pt>
                <c:pt idx="52" formatCode="_(&quot;$&quot;* #,##0.00_);_(&quot;$&quot;* \(#,##0.00\);_(&quot;$&quot;* &quot;-&quot;??_);_(@_)">
                  <c:v>6024</c:v>
                </c:pt>
                <c:pt idx="53" formatCode="_(&quot;$&quot;* #,##0.00_);_(&quot;$&quot;* \(#,##0.00\);_(&quot;$&quot;* &quot;-&quot;??_);_(@_)">
                  <c:v>6024</c:v>
                </c:pt>
                <c:pt idx="54" formatCode="_(&quot;$&quot;* #,##0.00_);_(&quot;$&quot;* \(#,##0.00\);_(&quot;$&quot;* &quot;-&quot;??_);_(@_)">
                  <c:v>6024</c:v>
                </c:pt>
                <c:pt idx="55" formatCode="_(&quot;$&quot;* #,##0.00_);_(&quot;$&quot;* \(#,##0.00\);_(&quot;$&quot;* &quot;-&quot;??_);_(@_)">
                  <c:v>6024</c:v>
                </c:pt>
                <c:pt idx="56" formatCode="_(&quot;$&quot;* #,##0.00_);_(&quot;$&quot;* \(#,##0.00\);_(&quot;$&quot;* &quot;-&quot;??_);_(@_)">
                  <c:v>6024</c:v>
                </c:pt>
                <c:pt idx="57" formatCode="_(&quot;$&quot;* #,##0.00_);_(&quot;$&quot;* \(#,##0.00\);_(&quot;$&quot;* &quot;-&quot;??_);_(@_)">
                  <c:v>6024</c:v>
                </c:pt>
                <c:pt idx="58" formatCode="_(&quot;$&quot;* #,##0.00_);_(&quot;$&quot;* \(#,##0.00\);_(&quot;$&quot;* &quot;-&quot;??_);_(@_)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E-4FA1-9730-8ABE4D342F63}"/>
            </c:ext>
          </c:extLst>
        </c:ser>
        <c:ser>
          <c:idx val="4"/>
          <c:order val="4"/>
          <c:tx>
            <c:strRef>
              <c:f>My_Forecast!$G$1</c:f>
              <c:strCache>
                <c:ptCount val="1"/>
                <c:pt idx="0">
                  <c:v>R Holts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My_Forecast!$G$2:$G$60</c:f>
              <c:numCache>
                <c:formatCode>_("$"* #,##0_);_("$"* \(#,##0\);_("$"* "-"??_);_(@_)</c:formatCode>
                <c:ptCount val="59"/>
                <c:pt idx="47" formatCode="_(&quot;$&quot;* #,##0.00_);_(&quot;$&quot;* \(#,##0.00\);_(&quot;$&quot;* &quot;-&quot;??_);_(@_)">
                  <c:v>6071.5</c:v>
                </c:pt>
                <c:pt idx="48" formatCode="_(&quot;$&quot;* #,##0.00_);_(&quot;$&quot;* \(#,##0.00\);_(&quot;$&quot;* &quot;-&quot;??_);_(@_)">
                  <c:v>6118.5</c:v>
                </c:pt>
                <c:pt idx="49" formatCode="_(&quot;$&quot;* #,##0.00_);_(&quot;$&quot;* \(#,##0.00\);_(&quot;$&quot;* &quot;-&quot;??_);_(@_)">
                  <c:v>6165.5</c:v>
                </c:pt>
                <c:pt idx="50" formatCode="_(&quot;$&quot;* #,##0.00_);_(&quot;$&quot;* \(#,##0.00\);_(&quot;$&quot;* &quot;-&quot;??_);_(@_)">
                  <c:v>6212.5</c:v>
                </c:pt>
                <c:pt idx="51" formatCode="_(&quot;$&quot;* #,##0.00_);_(&quot;$&quot;* \(#,##0.00\);_(&quot;$&quot;* &quot;-&quot;??_);_(@_)">
                  <c:v>6259.47</c:v>
                </c:pt>
                <c:pt idx="52" formatCode="_(&quot;$&quot;* #,##0.00_);_(&quot;$&quot;* \(#,##0.00\);_(&quot;$&quot;* &quot;-&quot;??_);_(@_)">
                  <c:v>6306.46</c:v>
                </c:pt>
                <c:pt idx="53" formatCode="_(&quot;$&quot;* #,##0.00_);_(&quot;$&quot;* \(#,##0.00\);_(&quot;$&quot;* &quot;-&quot;??_);_(@_)">
                  <c:v>6353.4</c:v>
                </c:pt>
                <c:pt idx="54" formatCode="_(&quot;$&quot;* #,##0.00_);_(&quot;$&quot;* \(#,##0.00\);_(&quot;$&quot;* &quot;-&quot;??_);_(@_)">
                  <c:v>6400.4</c:v>
                </c:pt>
                <c:pt idx="55" formatCode="_(&quot;$&quot;* #,##0.00_);_(&quot;$&quot;* \(#,##0.00\);_(&quot;$&quot;* &quot;-&quot;??_);_(@_)">
                  <c:v>6447.4</c:v>
                </c:pt>
                <c:pt idx="56" formatCode="_(&quot;$&quot;* #,##0.00_);_(&quot;$&quot;* \(#,##0.00\);_(&quot;$&quot;* &quot;-&quot;??_);_(@_)">
                  <c:v>6494.4</c:v>
                </c:pt>
                <c:pt idx="57" formatCode="_(&quot;$&quot;* #,##0.00_);_(&quot;$&quot;* \(#,##0.00\);_(&quot;$&quot;* &quot;-&quot;??_);_(@_)">
                  <c:v>6541.38</c:v>
                </c:pt>
                <c:pt idx="58" formatCode="_(&quot;$&quot;* #,##0.00_);_(&quot;$&quot;* \(#,##0.00\);_(&quot;$&quot;* &quot;-&quot;??_);_(@_)">
                  <c:v>6588.37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E-4FA1-9730-8ABE4D342F63}"/>
            </c:ext>
          </c:extLst>
        </c:ser>
        <c:ser>
          <c:idx val="5"/>
          <c:order val="5"/>
          <c:tx>
            <c:strRef>
              <c:f>My_Forecast!$H$1</c:f>
              <c:strCache>
                <c:ptCount val="1"/>
                <c:pt idx="0">
                  <c:v>12M CMA Naïve w/Seasonals
Forecast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My_Forecast!$H$2:$H$60</c:f>
              <c:numCache>
                <c:formatCode>General</c:formatCode>
                <c:ptCount val="59"/>
                <c:pt idx="47" formatCode="_(&quot;$&quot;* #,##0.00_);_(&quot;$&quot;* \(#,##0.00\);_(&quot;$&quot;* &quot;-&quot;??_);_(@_)">
                  <c:v>6000.4887507376097</c:v>
                </c:pt>
                <c:pt idx="48" formatCode="_(&quot;$&quot;* #,##0.00_);_(&quot;$&quot;* \(#,##0.00\);_(&quot;$&quot;* &quot;-&quot;??_);_(@_)">
                  <c:v>5951.7340938636426</c:v>
                </c:pt>
                <c:pt idx="49" formatCode="_(&quot;$&quot;* #,##0.00_);_(&quot;$&quot;* \(#,##0.00\);_(&quot;$&quot;* &quot;-&quot;??_);_(@_)">
                  <c:v>5906.5332131866116</c:v>
                </c:pt>
                <c:pt idx="50" formatCode="_(&quot;$&quot;* #,##0.00_);_(&quot;$&quot;* \(#,##0.00\);_(&quot;$&quot;* &quot;-&quot;??_);_(@_)">
                  <c:v>5872.5229870016965</c:v>
                </c:pt>
                <c:pt idx="51" formatCode="_(&quot;$&quot;* #,##0.00_);_(&quot;$&quot;* \(#,##0.00\);_(&quot;$&quot;* &quot;-&quot;??_);_(@_)">
                  <c:v>5879.0520890101607</c:v>
                </c:pt>
                <c:pt idx="52" formatCode="_(&quot;$&quot;* #,##0.00_);_(&quot;$&quot;* \(#,##0.00\);_(&quot;$&quot;* &quot;-&quot;??_);_(@_)">
                  <c:v>5920.1718875095758</c:v>
                </c:pt>
                <c:pt idx="53" formatCode="_(&quot;$&quot;* #,##0.00_);_(&quot;$&quot;* \(#,##0.00\);_(&quot;$&quot;* &quot;-&quot;??_);_(@_)">
                  <c:v>5828.7154052624055</c:v>
                </c:pt>
                <c:pt idx="54" formatCode="_(&quot;$&quot;* #,##0.00_);_(&quot;$&quot;* \(#,##0.00\);_(&quot;$&quot;* &quot;-&quot;??_);_(@_)">
                  <c:v>5896.7650966277915</c:v>
                </c:pt>
                <c:pt idx="55" formatCode="_(&quot;$&quot;* #,##0.00_);_(&quot;$&quot;* \(#,##0.00\);_(&quot;$&quot;* &quot;-&quot;??_);_(@_)">
                  <c:v>6056.2245538650604</c:v>
                </c:pt>
                <c:pt idx="56" formatCode="_(&quot;$&quot;* #,##0.00_);_(&quot;$&quot;* \(#,##0.00\);_(&quot;$&quot;* &quot;-&quot;??_);_(@_)">
                  <c:v>6099.9177019012286</c:v>
                </c:pt>
                <c:pt idx="57" formatCode="_(&quot;$&quot;* #,##0.00_);_(&quot;$&quot;* \(#,##0.00\);_(&quot;$&quot;* &quot;-&quot;??_);_(@_)">
                  <c:v>6059.5414727697062</c:v>
                </c:pt>
                <c:pt idx="58" formatCode="_(&quot;$&quot;* #,##0.00_);_(&quot;$&quot;* \(#,##0.00\);_(&quot;$&quot;* &quot;-&quot;??_);_(@_)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E-4FA1-9730-8ABE4D342F63}"/>
            </c:ext>
          </c:extLst>
        </c:ser>
        <c:ser>
          <c:idx val="6"/>
          <c:order val="6"/>
          <c:tx>
            <c:strRef>
              <c:f>My_Forecast!$I$1</c:f>
              <c:strCache>
                <c:ptCount val="1"/>
                <c:pt idx="0">
                  <c:v> 3M MA Naïve w/Seasonals
Forecast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My_Forecast!$I$2:$I$60</c:f>
              <c:numCache>
                <c:formatCode>_("$"* #,##0.00_);_("$"* \(#,##0.00\);_("$"* "-"??_);_(@_)</c:formatCode>
                <c:ptCount val="59"/>
                <c:pt idx="47">
                  <c:v>5951.6786514789346</c:v>
                </c:pt>
                <c:pt idx="48">
                  <c:v>5953.5801176009345</c:v>
                </c:pt>
                <c:pt idx="49">
                  <c:v>5932.824797395052</c:v>
                </c:pt>
                <c:pt idx="50">
                  <c:v>5922.5257200190536</c:v>
                </c:pt>
                <c:pt idx="51">
                  <c:v>5929.3246396797167</c:v>
                </c:pt>
                <c:pt idx="52">
                  <c:v>5977.1288021302062</c:v>
                </c:pt>
                <c:pt idx="53">
                  <c:v>6049.5590540249914</c:v>
                </c:pt>
                <c:pt idx="54">
                  <c:v>6008.144228396608</c:v>
                </c:pt>
                <c:pt idx="55">
                  <c:v>5988.2749254774199</c:v>
                </c:pt>
                <c:pt idx="56">
                  <c:v>6102.5007445075435</c:v>
                </c:pt>
                <c:pt idx="57">
                  <c:v>6100.0880825469721</c:v>
                </c:pt>
                <c:pt idx="58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E-4FA1-9730-8ABE4D342F63}"/>
            </c:ext>
          </c:extLst>
        </c:ser>
        <c:ser>
          <c:idx val="7"/>
          <c:order val="7"/>
          <c:tx>
            <c:strRef>
              <c:f>My_Forecast!$J$1</c:f>
              <c:strCache>
                <c:ptCount val="1"/>
                <c:pt idx="0">
                  <c:v> 6M Naïve w/Seasonals
Forecast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My_Forecast!$J$2:$J$60</c:f>
              <c:numCache>
                <c:formatCode>_("$"* #,##0.00_);_("$"* \(#,##0.00\);_("$"* "-"??_);_(@_)</c:formatCode>
                <c:ptCount val="59"/>
                <c:pt idx="47">
                  <c:v>6041.5116412365678</c:v>
                </c:pt>
                <c:pt idx="48">
                  <c:v>5970.7074046302014</c:v>
                </c:pt>
                <c:pt idx="49">
                  <c:v>5916.1287319014282</c:v>
                </c:pt>
                <c:pt idx="50">
                  <c:v>5906.9859788862695</c:v>
                </c:pt>
                <c:pt idx="51">
                  <c:v>5950.8337103917402</c:v>
                </c:pt>
                <c:pt idx="52">
                  <c:v>6021.4264928422999</c:v>
                </c:pt>
                <c:pt idx="53">
                  <c:v>5994.0387002137113</c:v>
                </c:pt>
                <c:pt idx="54">
                  <c:v>6011.5895947907911</c:v>
                </c:pt>
                <c:pt idx="55">
                  <c:v>6139.5305322166287</c:v>
                </c:pt>
                <c:pt idx="56">
                  <c:v>6146.4740655113446</c:v>
                </c:pt>
                <c:pt idx="57">
                  <c:v>6084.7720215850477</c:v>
                </c:pt>
                <c:pt idx="58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E-4FA1-9730-8ABE4D342F63}"/>
            </c:ext>
          </c:extLst>
        </c:ser>
        <c:ser>
          <c:idx val="8"/>
          <c:order val="8"/>
          <c:tx>
            <c:strRef>
              <c:f>My_Forecast!$K$1</c:f>
              <c:strCache>
                <c:ptCount val="1"/>
                <c:pt idx="0">
                  <c:v> Damped Trend ES FC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My_Forecast!$K$2:$K$60</c:f>
              <c:numCache>
                <c:formatCode>_("$"* #,##0.00_);_("$"* \(#,##0.00\);_("$"* "-"??_);_(@_)</c:formatCode>
                <c:ptCount val="59"/>
                <c:pt idx="47">
                  <c:v>6015.0095268005725</c:v>
                </c:pt>
                <c:pt idx="48">
                  <c:v>5980.3956521285054</c:v>
                </c:pt>
                <c:pt idx="49">
                  <c:v>5948.9860703179129</c:v>
                </c:pt>
                <c:pt idx="50">
                  <c:v>5928.5204211313412</c:v>
                </c:pt>
                <c:pt idx="51">
                  <c:v>5948.7780920310579</c:v>
                </c:pt>
                <c:pt idx="52">
                  <c:v>6004.0098522832322</c:v>
                </c:pt>
                <c:pt idx="53">
                  <c:v>5924.5378856370289</c:v>
                </c:pt>
                <c:pt idx="54">
                  <c:v>6007.0066551025593</c:v>
                </c:pt>
                <c:pt idx="55">
                  <c:v>6182.970674385323</c:v>
                </c:pt>
                <c:pt idx="56">
                  <c:v>6241.0630250802105</c:v>
                </c:pt>
                <c:pt idx="57">
                  <c:v>6213.0141038613856</c:v>
                </c:pt>
                <c:pt idx="58">
                  <c:v>6189.6244039432549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E-4FA1-9730-8ABE4D342F63}"/>
            </c:ext>
          </c:extLst>
        </c:ser>
        <c:ser>
          <c:idx val="9"/>
          <c:order val="9"/>
          <c:tx>
            <c:strRef>
              <c:f>My_Forecast!$L$1</c:f>
              <c:strCache>
                <c:ptCount val="1"/>
                <c:pt idx="0">
                  <c:v>Simple Exponential Smoothing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My_Forecast!$L$2:$L$60</c:f>
              <c:numCache>
                <c:formatCode>General</c:formatCode>
                <c:ptCount val="59"/>
                <c:pt idx="47" formatCode="_(&quot;$&quot;* #,##0.00_);_(&quot;$&quot;* \(#,##0.00\);_(&quot;$&quot;* &quot;-&quot;??_);_(@_)">
                  <c:v>5970.2449171721319</c:v>
                </c:pt>
                <c:pt idx="48" formatCode="_(&quot;$&quot;* #,##0.00_);_(&quot;$&quot;* \(#,##0.00\);_(&quot;$&quot;* &quot;-&quot;??_);_(@_)">
                  <c:v>5951.7340938636426</c:v>
                </c:pt>
                <c:pt idx="49" formatCode="_(&quot;$&quot;* #,##0.00_);_(&quot;$&quot;* \(#,##0.00\);_(&quot;$&quot;* &quot;-&quot;??_);_(@_)">
                  <c:v>5906.5332131866116</c:v>
                </c:pt>
                <c:pt idx="50" formatCode="_(&quot;$&quot;* #,##0.00_);_(&quot;$&quot;* \(#,##0.00\);_(&quot;$&quot;* &quot;-&quot;??_);_(@_)">
                  <c:v>5872.5229870016965</c:v>
                </c:pt>
                <c:pt idx="51" formatCode="_(&quot;$&quot;* #,##0.00_);_(&quot;$&quot;* \(#,##0.00\);_(&quot;$&quot;* &quot;-&quot;??_);_(@_)">
                  <c:v>5879.0520890101607</c:v>
                </c:pt>
                <c:pt idx="52" formatCode="_(&quot;$&quot;* #,##0.00_);_(&quot;$&quot;* \(#,##0.00\);_(&quot;$&quot;* &quot;-&quot;??_);_(@_)">
                  <c:v>5920.1718875095758</c:v>
                </c:pt>
                <c:pt idx="53" formatCode="_(&quot;$&quot;* #,##0.00_);_(&quot;$&quot;* \(#,##0.00\);_(&quot;$&quot;* &quot;-&quot;??_);_(@_)">
                  <c:v>5828.7154052624055</c:v>
                </c:pt>
                <c:pt idx="54" formatCode="_(&quot;$&quot;* #,##0.00_);_(&quot;$&quot;* \(#,##0.00\);_(&quot;$&quot;* &quot;-&quot;??_);_(@_)">
                  <c:v>5896.7650966277915</c:v>
                </c:pt>
                <c:pt idx="55" formatCode="_(&quot;$&quot;* #,##0.00_);_(&quot;$&quot;* \(#,##0.00\);_(&quot;$&quot;* &quot;-&quot;??_);_(@_)">
                  <c:v>6056.2245538650604</c:v>
                </c:pt>
                <c:pt idx="56" formatCode="_(&quot;$&quot;* #,##0.00_);_(&quot;$&quot;* \(#,##0.00\);_(&quot;$&quot;* &quot;-&quot;??_);_(@_)">
                  <c:v>6099.9177019012286</c:v>
                </c:pt>
                <c:pt idx="57" formatCode="_(&quot;$&quot;* #,##0.00_);_(&quot;$&quot;* \(#,##0.00\);_(&quot;$&quot;* &quot;-&quot;??_);_(@_)">
                  <c:v>6059.5414727697062</c:v>
                </c:pt>
                <c:pt idx="58" formatCode="_(&quot;$&quot;* #,##0.00_);_(&quot;$&quot;* \(#,##0.00\);_(&quot;$&quot;* &quot;-&quot;??_);_(@_)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E-4FA1-9730-8ABE4D342F63}"/>
            </c:ext>
          </c:extLst>
        </c:ser>
        <c:ser>
          <c:idx val="10"/>
          <c:order val="10"/>
          <c:tx>
            <c:strRef>
              <c:f>My_Forecast!$M$1</c:f>
              <c:strCache>
                <c:ptCount val="1"/>
                <c:pt idx="0">
                  <c:v>Holt's Linear Exponential Smooothing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My_Forecast!$M$2:$M$60</c:f>
              <c:numCache>
                <c:formatCode>General</c:formatCode>
                <c:ptCount val="59"/>
                <c:pt idx="47" formatCode="_(&quot;$&quot;* #,##0.00_);_(&quot;$&quot;* \(#,##0.00\);_(&quot;$&quot;* &quot;-&quot;??_);_(@_)">
                  <c:v>6039.9299437211121</c:v>
                </c:pt>
                <c:pt idx="48" formatCode="_(&quot;$&quot;* #,##0.00_);_(&quot;$&quot;* \(#,##0.00\);_(&quot;$&quot;* &quot;-&quot;??_);_(@_)">
                  <c:v>6029.9755514294739</c:v>
                </c:pt>
                <c:pt idx="49" formatCode="_(&quot;$&quot;* #,##0.00_);_(&quot;$&quot;* \(#,##0.00\);_(&quot;$&quot;* &quot;-&quot;??_);_(@_)">
                  <c:v>6023.0040838116583</c:v>
                </c:pt>
                <c:pt idx="50" formatCode="_(&quot;$&quot;* #,##0.00_);_(&quot;$&quot;* \(#,##0.00\);_(&quot;$&quot;* &quot;-&quot;??_);_(@_)">
                  <c:v>6026.9232847453713</c:v>
                </c:pt>
                <c:pt idx="51" formatCode="_(&quot;$&quot;* #,##0.00_);_(&quot;$&quot;* \(#,##0.00\);_(&quot;$&quot;* &quot;-&quot;??_);_(@_)">
                  <c:v>6072.2670400207644</c:v>
                </c:pt>
                <c:pt idx="52" formatCode="_(&quot;$&quot;* #,##0.00_);_(&quot;$&quot;* \(#,##0.00\);_(&quot;$&quot;* &quot;-&quot;??_);_(@_)">
                  <c:v>6153.6515105306607</c:v>
                </c:pt>
                <c:pt idx="53" formatCode="_(&quot;$&quot;* #,##0.00_);_(&quot;$&quot;* \(#,##0.00\);_(&quot;$&quot;* &quot;-&quot;??_);_(@_)">
                  <c:v>6096.9002966708094</c:v>
                </c:pt>
                <c:pt idx="54" formatCode="_(&quot;$&quot;* #,##0.00_);_(&quot;$&quot;* \(#,##0.00\);_(&quot;$&quot;* &quot;-&quot;??_);_(@_)">
                  <c:v>6206.8404385750482</c:v>
                </c:pt>
                <c:pt idx="55" formatCode="_(&quot;$&quot;* #,##0.00_);_(&quot;$&quot;* \(#,##0.00\);_(&quot;$&quot;* &quot;-&quot;??_);_(@_)">
                  <c:v>6414.4924519857386</c:v>
                </c:pt>
                <c:pt idx="56" formatCode="_(&quot;$&quot;* #,##0.00_);_(&quot;$&quot;* \(#,##0.00\);_(&quot;$&quot;* &quot;-&quot;??_);_(@_)">
                  <c:v>6500.8650934525758</c:v>
                </c:pt>
                <c:pt idx="57" formatCode="_(&quot;$&quot;* #,##0.00_);_(&quot;$&quot;* \(#,##0.00\);_(&quot;$&quot;* &quot;-&quot;??_);_(@_)">
                  <c:v>6497.6642824301825</c:v>
                </c:pt>
                <c:pt idx="58" formatCode="_(&quot;$&quot;* #,##0.00_);_(&quot;$&quot;* \(#,##0.00\);_(&quot;$&quot;* &quot;-&quot;??_);_(@_)">
                  <c:v>6499.148788178406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E-4FA1-9730-8ABE4D342F63}"/>
            </c:ext>
          </c:extLst>
        </c:ser>
        <c:ser>
          <c:idx val="11"/>
          <c:order val="11"/>
          <c:tx>
            <c:strRef>
              <c:f>My_Forecast!$N$1</c:f>
              <c:strCache>
                <c:ptCount val="1"/>
                <c:pt idx="0">
                  <c:v>Regression w/o seas adj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My_Forecast!$N$2:$N$60</c:f>
              <c:numCache>
                <c:formatCode>General</c:formatCode>
                <c:ptCount val="59"/>
                <c:pt idx="47" formatCode="_(&quot;$&quot;* #,##0.00_);_(&quot;$&quot;* \(#,##0.00\);_(&quot;$&quot;* &quot;-&quot;??_);_(@_)">
                  <c:v>6310.049028677151</c:v>
                </c:pt>
                <c:pt idx="48" formatCode="_(&quot;$&quot;* #,##0.00_);_(&quot;$&quot;* \(#,##0.00\);_(&quot;$&quot;* &quot;-&quot;??_);_(@_)">
                  <c:v>6369.4358233117491</c:v>
                </c:pt>
                <c:pt idx="49" formatCode="_(&quot;$&quot;* #,##0.00_);_(&quot;$&quot;* \(#,##0.00\);_(&quot;$&quot;* &quot;-&quot;??_);_(@_)">
                  <c:v>6428.8226179463454</c:v>
                </c:pt>
                <c:pt idx="50" formatCode="_(&quot;$&quot;* #,##0.00_);_(&quot;$&quot;* \(#,##0.00\);_(&quot;$&quot;* &quot;-&quot;??_);_(@_)">
                  <c:v>6488.2094125809435</c:v>
                </c:pt>
                <c:pt idx="51" formatCode="_(&quot;$&quot;* #,##0.00_);_(&quot;$&quot;* \(#,##0.00\);_(&quot;$&quot;* &quot;-&quot;??_);_(@_)">
                  <c:v>6547.5962072155417</c:v>
                </c:pt>
                <c:pt idx="52" formatCode="_(&quot;$&quot;* #,##0.00_);_(&quot;$&quot;* \(#,##0.00\);_(&quot;$&quot;* &quot;-&quot;??_);_(@_)">
                  <c:v>6606.9830018501389</c:v>
                </c:pt>
                <c:pt idx="53" formatCode="_(&quot;$&quot;* #,##0.00_);_(&quot;$&quot;* \(#,##0.00\);_(&quot;$&quot;* &quot;-&quot;??_);_(@_)">
                  <c:v>6666.3697964847361</c:v>
                </c:pt>
                <c:pt idx="54" formatCode="_(&quot;$&quot;* #,##0.00_);_(&quot;$&quot;* \(#,##0.00\);_(&quot;$&quot;* &quot;-&quot;??_);_(@_)">
                  <c:v>6725.7565911193342</c:v>
                </c:pt>
                <c:pt idx="55" formatCode="_(&quot;$&quot;* #,##0.00_);_(&quot;$&quot;* \(#,##0.00\);_(&quot;$&quot;* &quot;-&quot;??_);_(@_)">
                  <c:v>6785.1433857539314</c:v>
                </c:pt>
                <c:pt idx="56" formatCode="_(&quot;$&quot;* #,##0.00_);_(&quot;$&quot;* \(#,##0.00\);_(&quot;$&quot;* &quot;-&quot;??_);_(@_)">
                  <c:v>6844.5301803885286</c:v>
                </c:pt>
                <c:pt idx="57" formatCode="_(&quot;$&quot;* #,##0.00_);_(&quot;$&quot;* \(#,##0.00\);_(&quot;$&quot;* &quot;-&quot;??_);_(@_)">
                  <c:v>6903.9169750231267</c:v>
                </c:pt>
                <c:pt idx="58" formatCode="_(&quot;$&quot;* #,##0.00_);_(&quot;$&quot;* \(#,##0.00\);_(&quot;$&quot;* &quot;-&quot;??_);_(@_)">
                  <c:v>6963.3037696577248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BE-4FA1-9730-8ABE4D342F63}"/>
            </c:ext>
          </c:extLst>
        </c:ser>
        <c:ser>
          <c:idx val="12"/>
          <c:order val="12"/>
          <c:tx>
            <c:strRef>
              <c:f>My_Forecast!$O$1</c:f>
              <c:strCache>
                <c:ptCount val="1"/>
                <c:pt idx="0">
                  <c:v>Regression with seasonal adjustment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My_Forecast!$O$2:$O$60</c:f>
              <c:numCache>
                <c:formatCode>General</c:formatCode>
                <c:ptCount val="59"/>
                <c:pt idx="47" formatCode="_(&quot;$&quot;* #,##0.00_);_(&quot;$&quot;* \(#,##0.00\);_(&quot;$&quot;* &quot;-&quot;??_);_(@_)">
                  <c:v>6099.7044872198449</c:v>
                </c:pt>
                <c:pt idx="48" formatCode="_(&quot;$&quot;* #,##0.00_);_(&quot;$&quot;* \(#,##0.00\);_(&quot;$&quot;* &quot;-&quot;??_);_(@_)">
                  <c:v>6088.1578419077514</c:v>
                </c:pt>
                <c:pt idx="49" formatCode="_(&quot;$&quot;* #,##0.00_);_(&quot;$&quot;* \(#,##0.00\);_(&quot;$&quot;* &quot;-&quot;??_);_(@_)">
                  <c:v>6079.8833664319318</c:v>
                </c:pt>
                <c:pt idx="50" formatCode="_(&quot;$&quot;* #,##0.00_);_(&quot;$&quot;* \(#,##0.00\);_(&quot;$&quot;* &quot;-&quot;??_);_(@_)">
                  <c:v>6082.8560245714716</c:v>
                </c:pt>
                <c:pt idx="51" formatCode="_(&quot;$&quot;* #,##0.00_);_(&quot;$&quot;* \(#,##0.00\);_(&quot;$&quot;* &quot;-&quot;??_);_(@_)">
                  <c:v>6127.8811570977241</c:v>
                </c:pt>
                <c:pt idx="52" formatCode="_(&quot;$&quot;* #,##0.00_);_(&quot;$&quot;* \(#,##0.00\);_(&quot;$&quot;* &quot;-&quot;??_);_(@_)">
                  <c:v>6209.5132260608043</c:v>
                </c:pt>
                <c:pt idx="53" formatCode="_(&quot;$&quot;* #,##0.00_);_(&quot;$&quot;* \(#,##0.00\);_(&quot;$&quot;* &quot;-&quot;??_);_(@_)">
                  <c:v>6151.9996934098754</c:v>
                </c:pt>
                <c:pt idx="54" formatCode="_(&quot;$&quot;* #,##0.00_);_(&quot;$&quot;* \(#,##0.00\);_(&quot;$&quot;* &quot;-&quot;??_);_(@_)">
                  <c:v>6262.9291114841844</c:v>
                </c:pt>
                <c:pt idx="55" formatCode="_(&quot;$&quot;* #,##0.00_);_(&quot;$&quot;* \(#,##0.00\);_(&quot;$&quot;* &quot;-&quot;??_);_(@_)">
                  <c:v>6472.7055697225533</c:v>
                </c:pt>
                <c:pt idx="56" formatCode="_(&quot;$&quot;* #,##0.00_);_(&quot;$&quot;* \(#,##0.00\);_(&quot;$&quot;* &quot;-&quot;??_);_(@_)">
                  <c:v>6560.3660505501612</c:v>
                </c:pt>
                <c:pt idx="57" formatCode="_(&quot;$&quot;* #,##0.00_);_(&quot;$&quot;* \(#,##0.00\);_(&quot;$&quot;* &quot;-&quot;??_);_(@_)">
                  <c:v>6557.8891773829546</c:v>
                </c:pt>
                <c:pt idx="58" formatCode="_(&quot;$&quot;* #,##0.00_);_(&quot;$&quot;* \(#,##0.00\);_(&quot;$&quot;* &quot;-&quot;??_);_(@_)">
                  <c:v>6560.3874378515347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BE-4FA1-9730-8ABE4D342F63}"/>
            </c:ext>
          </c:extLst>
        </c:ser>
        <c:ser>
          <c:idx val="13"/>
          <c:order val="13"/>
          <c:tx>
            <c:strRef>
              <c:f>My_Forecast!$P$1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My_Forecast!$P$2:$P$60</c:f>
              <c:numCache>
                <c:formatCode>General</c:formatCode>
                <c:ptCount val="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BE-4FA1-9730-8ABE4D342F63}"/>
            </c:ext>
          </c:extLst>
        </c:ser>
        <c:ser>
          <c:idx val="14"/>
          <c:order val="14"/>
          <c:tx>
            <c:strRef>
              <c:f>My_Forecast!$Q$1</c:f>
              <c:strCache>
                <c:ptCount val="1"/>
                <c:pt idx="0">
                  <c:v>Average ALL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My_Forecast!$A$2:$B$60</c:f>
              <c:multiLvlStrCache>
                <c:ptCount val="59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</c:lvl>
              </c:multiLvlStrCache>
            </c:multiLvlStrRef>
          </c:cat>
          <c:val>
            <c:numRef>
              <c:f>My_Forecast!$Q$2:$Q$60</c:f>
              <c:numCache>
                <c:formatCode>General</c:formatCode>
                <c:ptCount val="59"/>
                <c:pt idx="47" formatCode="_(&quot;$&quot;* #,##0.00_);_(&quot;$&quot;* \(#,##0.00\);_(&quot;$&quot;* &quot;-&quot;??_);_(@_)">
                  <c:v>6051.7144882987595</c:v>
                </c:pt>
                <c:pt idx="48" formatCode="_(&quot;$&quot;* #,##0.00_);_(&quot;$&quot;* \(#,##0.00\);_(&quot;$&quot;* &quot;-&quot;??_);_(@_)">
                  <c:v>6045.1247358079472</c:v>
                </c:pt>
                <c:pt idx="49" formatCode="_(&quot;$&quot;* #,##0.00_);_(&quot;$&quot;* \(#,##0.00\);_(&quot;$&quot;* &quot;-&quot;??_);_(@_)">
                  <c:v>6036.7069727489234</c:v>
                </c:pt>
                <c:pt idx="50" formatCode="_(&quot;$&quot;* #,##0.00_);_(&quot;$&quot;* \(#,##0.00\);_(&quot;$&quot;* &quot;-&quot;??_);_(@_)">
                  <c:v>6038.4124102643218</c:v>
                </c:pt>
                <c:pt idx="51" formatCode="_(&quot;$&quot;* #,##0.00_);_(&quot;$&quot;* \(#,##0.00\);_(&quot;$&quot;* &quot;-&quot;??_);_(@_)">
                  <c:v>6065.148528394152</c:v>
                </c:pt>
                <c:pt idx="52" formatCode="_(&quot;$&quot;* #,##0.00_);_(&quot;$&quot;* \(#,##0.00\);_(&quot;$&quot;* &quot;-&quot;??_);_(@_)">
                  <c:v>6114.1185945003972</c:v>
                </c:pt>
                <c:pt idx="53" formatCode="_(&quot;$&quot;* #,##0.00_);_(&quot;$&quot;* \(#,##0.00\);_(&quot;$&quot;* &quot;-&quot;??_);_(@_)">
                  <c:v>6094.8575642420847</c:v>
                </c:pt>
                <c:pt idx="54" formatCode="_(&quot;$&quot;* #,##0.00_);_(&quot;$&quot;* \(#,##0.00\);_(&quot;$&quot;* &quot;-&quot;??_);_(@_)">
                  <c:v>6143.5275339391073</c:v>
                </c:pt>
                <c:pt idx="55" formatCode="_(&quot;$&quot;* #,##0.00_);_(&quot;$&quot;* \(#,##0.00\);_(&quot;$&quot;* &quot;-&quot;??_);_(@_)">
                  <c:v>6247.180163526079</c:v>
                </c:pt>
                <c:pt idx="56" formatCode="_(&quot;$&quot;* #,##0.00_);_(&quot;$&quot;* \(#,##0.00\);_(&quot;$&quot;* &quot;-&quot;??_);_(@_)">
                  <c:v>6298.1326187015511</c:v>
                </c:pt>
                <c:pt idx="57" formatCode="_(&quot;$&quot;* #,##0.00_);_(&quot;$&quot;* \(#,##0.00\);_(&quot;$&quot;* &quot;-&quot;??_);_(@_)">
                  <c:v>6292.7855383365822</c:v>
                </c:pt>
                <c:pt idx="58" formatCode="_(&quot;$&quot;* #,##0.00_);_(&quot;$&quot;* \(#,##0.00\);_(&quot;$&quot;* &quot;-&quot;??_);_(@_)">
                  <c:v>6283.0069839884854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E-4408-807C-F8AB3295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40624"/>
        <c:axId val="202851440"/>
      </c:lineChart>
      <c:catAx>
        <c:axId val="20284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51440"/>
        <c:crosses val="autoZero"/>
        <c:auto val="1"/>
        <c:lblAlgn val="ctr"/>
        <c:lblOffset val="100"/>
        <c:noMultiLvlLbl val="1"/>
      </c:catAx>
      <c:valAx>
        <c:axId val="202851440"/>
        <c:scaling>
          <c:orientation val="minMax"/>
          <c:max val="70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Enlarged Forecasts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My_Forecast!$A$1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My_Forecast!$A$49:$A$60</c:f>
              <c:numCache>
                <c:formatCode>General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4E-4479-92FC-D5FA0DD44730}"/>
            </c:ext>
          </c:extLst>
        </c:ser>
        <c:ser>
          <c:idx val="1"/>
          <c:order val="1"/>
          <c:tx>
            <c:strRef>
              <c:f>My_Forecast!$B$1</c:f>
              <c:strCache>
                <c:ptCount val="1"/>
                <c:pt idx="0">
                  <c:v>Month/Year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My_Forecast!$B$49:$B$60</c:f>
              <c:numCache>
                <c:formatCode>m/d/yyyy</c:formatCode>
                <c:ptCount val="12"/>
                <c:pt idx="0">
                  <c:v>33908</c:v>
                </c:pt>
                <c:pt idx="1">
                  <c:v>33938</c:v>
                </c:pt>
                <c:pt idx="2">
                  <c:v>33969</c:v>
                </c:pt>
                <c:pt idx="3">
                  <c:v>34000</c:v>
                </c:pt>
                <c:pt idx="4">
                  <c:v>34028</c:v>
                </c:pt>
                <c:pt idx="5">
                  <c:v>34059</c:v>
                </c:pt>
                <c:pt idx="6">
                  <c:v>34089</c:v>
                </c:pt>
                <c:pt idx="7">
                  <c:v>34120</c:v>
                </c:pt>
                <c:pt idx="8">
                  <c:v>34150</c:v>
                </c:pt>
                <c:pt idx="9">
                  <c:v>34181</c:v>
                </c:pt>
                <c:pt idx="10">
                  <c:v>34212</c:v>
                </c:pt>
                <c:pt idx="11">
                  <c:v>34242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E-4479-92FC-D5FA0DD44730}"/>
            </c:ext>
          </c:extLst>
        </c:ser>
        <c:ser>
          <c:idx val="2"/>
          <c:order val="2"/>
          <c:tx>
            <c:strRef>
              <c:f>My_Forecast!$C$1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My_Forecast!$C$49:$C$60</c:f>
              <c:numCache>
                <c:formatCode>_("$"* #,##0_);_("$"* \(#,##0\);_("$"* "-"??_);_(@_)</c:formatCode>
                <c:ptCount val="12"/>
                <c:pt idx="0">
                  <c:v>6036</c:v>
                </c:pt>
                <c:pt idx="1">
                  <c:v>6026</c:v>
                </c:pt>
                <c:pt idx="2">
                  <c:v>6021</c:v>
                </c:pt>
                <c:pt idx="3">
                  <c:v>5996</c:v>
                </c:pt>
                <c:pt idx="4">
                  <c:v>6026</c:v>
                </c:pt>
                <c:pt idx="5">
                  <c:v>6094</c:v>
                </c:pt>
                <c:pt idx="6">
                  <c:v>6083</c:v>
                </c:pt>
                <c:pt idx="7">
                  <c:v>6057</c:v>
                </c:pt>
                <c:pt idx="8">
                  <c:v>6198</c:v>
                </c:pt>
                <c:pt idx="9">
                  <c:v>6507</c:v>
                </c:pt>
                <c:pt idx="10">
                  <c:v>6653</c:v>
                </c:pt>
                <c:pt idx="11">
                  <c:v>6725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04E-4479-92FC-D5FA0DD44730}"/>
            </c:ext>
          </c:extLst>
        </c:ser>
        <c:ser>
          <c:idx val="3"/>
          <c:order val="3"/>
          <c:tx>
            <c:strRef>
              <c:f>My_Forecast!$D$1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My_Forecast!$D$49:$D$60</c:f>
              <c:numCache>
                <c:formatCode>_("$"* #,##0.00_);_("$"* \(#,##0.00\);_("$"* "-"??_);_(@_)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04E-4479-92FC-D5FA0DD44730}"/>
            </c:ext>
          </c:extLst>
        </c:ser>
        <c:ser>
          <c:idx val="4"/>
          <c:order val="4"/>
          <c:tx>
            <c:strRef>
              <c:f>My_Forecast!$E$1</c:f>
              <c:strCache>
                <c:ptCount val="1"/>
                <c:pt idx="0">
                  <c:v>Unaided
Eyeball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My_Forecast!$E$49:$E$60</c:f>
              <c:numCache>
                <c:formatCode>_("$"* #,##0.00_);_("$"* \(#,##0.00\);_("$"* "-"??_);_(@_)</c:formatCode>
                <c:ptCount val="12"/>
                <c:pt idx="0">
                  <c:v>6044.7424242424204</c:v>
                </c:pt>
                <c:pt idx="1">
                  <c:v>6058.1515151515196</c:v>
                </c:pt>
                <c:pt idx="2">
                  <c:v>6071.5606060606096</c:v>
                </c:pt>
                <c:pt idx="3">
                  <c:v>6084.9696969696997</c:v>
                </c:pt>
                <c:pt idx="4">
                  <c:v>6098.3787878787898</c:v>
                </c:pt>
                <c:pt idx="5">
                  <c:v>6111.7878787878799</c:v>
                </c:pt>
                <c:pt idx="6">
                  <c:v>6125.19696969697</c:v>
                </c:pt>
                <c:pt idx="7">
                  <c:v>6138.6060606060601</c:v>
                </c:pt>
                <c:pt idx="8">
                  <c:v>6152.0151515151501</c:v>
                </c:pt>
                <c:pt idx="9">
                  <c:v>6165.4242424242402</c:v>
                </c:pt>
                <c:pt idx="10">
                  <c:v>6178.8333333333303</c:v>
                </c:pt>
                <c:pt idx="11">
                  <c:v>6192.2424242424204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04E-4479-92FC-D5FA0DD44730}"/>
            </c:ext>
          </c:extLst>
        </c:ser>
        <c:ser>
          <c:idx val="5"/>
          <c:order val="5"/>
          <c:tx>
            <c:strRef>
              <c:f>My_Forecast!$F$1</c:f>
              <c:strCache>
                <c:ptCount val="1"/>
                <c:pt idx="0">
                  <c:v>Naïve w/o seasonal 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My_Forecast!$F$49:$F$60</c:f>
              <c:numCache>
                <c:formatCode>_("$"* #,##0.00_);_("$"* \(#,##0.00\);_("$"* "-"??_);_(@_)</c:formatCode>
                <c:ptCount val="12"/>
                <c:pt idx="0">
                  <c:v>6024</c:v>
                </c:pt>
                <c:pt idx="1">
                  <c:v>6024</c:v>
                </c:pt>
                <c:pt idx="2">
                  <c:v>6024</c:v>
                </c:pt>
                <c:pt idx="3">
                  <c:v>6024</c:v>
                </c:pt>
                <c:pt idx="4">
                  <c:v>6024</c:v>
                </c:pt>
                <c:pt idx="5">
                  <c:v>6024</c:v>
                </c:pt>
                <c:pt idx="6">
                  <c:v>6024</c:v>
                </c:pt>
                <c:pt idx="7">
                  <c:v>6024</c:v>
                </c:pt>
                <c:pt idx="8">
                  <c:v>6024</c:v>
                </c:pt>
                <c:pt idx="9">
                  <c:v>6024</c:v>
                </c:pt>
                <c:pt idx="10">
                  <c:v>6024</c:v>
                </c:pt>
                <c:pt idx="11">
                  <c:v>6024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04E-4479-92FC-D5FA0DD44730}"/>
            </c:ext>
          </c:extLst>
        </c:ser>
        <c:ser>
          <c:idx val="6"/>
          <c:order val="6"/>
          <c:tx>
            <c:strRef>
              <c:f>My_Forecast!$G$1</c:f>
              <c:strCache>
                <c:ptCount val="1"/>
                <c:pt idx="0">
                  <c:v>R Holts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My_Forecast!$G$49:$G$60</c:f>
              <c:numCache>
                <c:formatCode>_("$"* #,##0.00_);_("$"* \(#,##0.00\);_("$"* "-"??_);_(@_)</c:formatCode>
                <c:ptCount val="12"/>
                <c:pt idx="0">
                  <c:v>6071.5</c:v>
                </c:pt>
                <c:pt idx="1">
                  <c:v>6118.5</c:v>
                </c:pt>
                <c:pt idx="2">
                  <c:v>6165.5</c:v>
                </c:pt>
                <c:pt idx="3">
                  <c:v>6212.5</c:v>
                </c:pt>
                <c:pt idx="4">
                  <c:v>6259.47</c:v>
                </c:pt>
                <c:pt idx="5">
                  <c:v>6306.46</c:v>
                </c:pt>
                <c:pt idx="6">
                  <c:v>6353.4</c:v>
                </c:pt>
                <c:pt idx="7">
                  <c:v>6400.4</c:v>
                </c:pt>
                <c:pt idx="8">
                  <c:v>6447.4</c:v>
                </c:pt>
                <c:pt idx="9">
                  <c:v>6494.4</c:v>
                </c:pt>
                <c:pt idx="10">
                  <c:v>6541.38</c:v>
                </c:pt>
                <c:pt idx="11">
                  <c:v>6588.37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04E-4479-92FC-D5FA0DD44730}"/>
            </c:ext>
          </c:extLst>
        </c:ser>
        <c:ser>
          <c:idx val="7"/>
          <c:order val="7"/>
          <c:tx>
            <c:strRef>
              <c:f>My_Forecast!$H$1</c:f>
              <c:strCache>
                <c:ptCount val="1"/>
                <c:pt idx="0">
                  <c:v>12M CMA Naïve w/Seasonals
Forecast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My_Forecast!$H$49:$H$60</c:f>
              <c:numCache>
                <c:formatCode>_("$"* #,##0.00_);_("$"* \(#,##0.00\);_("$"* "-"??_);_(@_)</c:formatCode>
                <c:ptCount val="12"/>
                <c:pt idx="0">
                  <c:v>6000.4887507376097</c:v>
                </c:pt>
                <c:pt idx="1">
                  <c:v>5951.7340938636426</c:v>
                </c:pt>
                <c:pt idx="2">
                  <c:v>5906.5332131866116</c:v>
                </c:pt>
                <c:pt idx="3">
                  <c:v>5872.5229870016965</c:v>
                </c:pt>
                <c:pt idx="4">
                  <c:v>5879.0520890101607</c:v>
                </c:pt>
                <c:pt idx="5">
                  <c:v>5920.1718875095758</c:v>
                </c:pt>
                <c:pt idx="6">
                  <c:v>5828.7154052624055</c:v>
                </c:pt>
                <c:pt idx="7">
                  <c:v>5896.7650966277915</c:v>
                </c:pt>
                <c:pt idx="8">
                  <c:v>6056.2245538650604</c:v>
                </c:pt>
                <c:pt idx="9">
                  <c:v>6099.9177019012286</c:v>
                </c:pt>
                <c:pt idx="10">
                  <c:v>6059.5414727697062</c:v>
                </c:pt>
                <c:pt idx="11">
                  <c:v>6024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04E-4479-92FC-D5FA0DD44730}"/>
            </c:ext>
          </c:extLst>
        </c:ser>
        <c:ser>
          <c:idx val="8"/>
          <c:order val="8"/>
          <c:tx>
            <c:strRef>
              <c:f>My_Forecast!$I$1</c:f>
              <c:strCache>
                <c:ptCount val="1"/>
                <c:pt idx="0">
                  <c:v> 3M MA Naïve w/Seasonals
Forecast 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My_Forecast!$I$49:$I$60</c:f>
              <c:numCache>
                <c:formatCode>_("$"* #,##0.00_);_("$"* \(#,##0.00\);_("$"* "-"??_);_(@_)</c:formatCode>
                <c:ptCount val="12"/>
                <c:pt idx="0">
                  <c:v>5951.6786514789346</c:v>
                </c:pt>
                <c:pt idx="1">
                  <c:v>5953.5801176009345</c:v>
                </c:pt>
                <c:pt idx="2">
                  <c:v>5932.824797395052</c:v>
                </c:pt>
                <c:pt idx="3">
                  <c:v>5922.5257200190536</c:v>
                </c:pt>
                <c:pt idx="4">
                  <c:v>5929.3246396797167</c:v>
                </c:pt>
                <c:pt idx="5">
                  <c:v>5977.1288021302062</c:v>
                </c:pt>
                <c:pt idx="6">
                  <c:v>6049.5590540249914</c:v>
                </c:pt>
                <c:pt idx="7">
                  <c:v>6008.144228396608</c:v>
                </c:pt>
                <c:pt idx="8">
                  <c:v>5988.2749254774199</c:v>
                </c:pt>
                <c:pt idx="9">
                  <c:v>6102.5007445075435</c:v>
                </c:pt>
                <c:pt idx="10">
                  <c:v>6100.0880825469721</c:v>
                </c:pt>
                <c:pt idx="11">
                  <c:v>6024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04E-4479-92FC-D5FA0DD44730}"/>
            </c:ext>
          </c:extLst>
        </c:ser>
        <c:ser>
          <c:idx val="9"/>
          <c:order val="9"/>
          <c:tx>
            <c:strRef>
              <c:f>My_Forecast!$J$1</c:f>
              <c:strCache>
                <c:ptCount val="1"/>
                <c:pt idx="0">
                  <c:v> 6M Naïve w/Seasonals
Forecast </c:v>
                </c:pt>
              </c:strCache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My_Forecast!$J$49:$J$60</c:f>
              <c:numCache>
                <c:formatCode>_("$"* #,##0.00_);_("$"* \(#,##0.00\);_("$"* "-"??_);_(@_)</c:formatCode>
                <c:ptCount val="12"/>
                <c:pt idx="0">
                  <c:v>6041.5116412365678</c:v>
                </c:pt>
                <c:pt idx="1">
                  <c:v>5970.7074046302014</c:v>
                </c:pt>
                <c:pt idx="2">
                  <c:v>5916.1287319014282</c:v>
                </c:pt>
                <c:pt idx="3">
                  <c:v>5906.9859788862695</c:v>
                </c:pt>
                <c:pt idx="4">
                  <c:v>5950.8337103917402</c:v>
                </c:pt>
                <c:pt idx="5">
                  <c:v>6021.4264928422999</c:v>
                </c:pt>
                <c:pt idx="6">
                  <c:v>5994.0387002137113</c:v>
                </c:pt>
                <c:pt idx="7">
                  <c:v>6011.5895947907911</c:v>
                </c:pt>
                <c:pt idx="8">
                  <c:v>6139.5305322166287</c:v>
                </c:pt>
                <c:pt idx="9">
                  <c:v>6146.4740655113446</c:v>
                </c:pt>
                <c:pt idx="10">
                  <c:v>6084.7720215850477</c:v>
                </c:pt>
                <c:pt idx="11">
                  <c:v>6024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04E-4479-92FC-D5FA0DD44730}"/>
            </c:ext>
          </c:extLst>
        </c:ser>
        <c:ser>
          <c:idx val="10"/>
          <c:order val="10"/>
          <c:tx>
            <c:strRef>
              <c:f>My_Forecast!$K$1</c:f>
              <c:strCache>
                <c:ptCount val="1"/>
                <c:pt idx="0">
                  <c:v> Damped Trend ES FC 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My_Forecast!$K$49:$K$60</c:f>
              <c:numCache>
                <c:formatCode>_("$"* #,##0.00_);_("$"* \(#,##0.00\);_("$"* "-"??_);_(@_)</c:formatCode>
                <c:ptCount val="12"/>
                <c:pt idx="0">
                  <c:v>6015.0095268005725</c:v>
                </c:pt>
                <c:pt idx="1">
                  <c:v>5980.3956521285054</c:v>
                </c:pt>
                <c:pt idx="2">
                  <c:v>5948.9860703179129</c:v>
                </c:pt>
                <c:pt idx="3">
                  <c:v>5928.5204211313412</c:v>
                </c:pt>
                <c:pt idx="4">
                  <c:v>5948.7780920310579</c:v>
                </c:pt>
                <c:pt idx="5">
                  <c:v>6004.0098522832322</c:v>
                </c:pt>
                <c:pt idx="6">
                  <c:v>5924.5378856370289</c:v>
                </c:pt>
                <c:pt idx="7">
                  <c:v>6007.0066551025593</c:v>
                </c:pt>
                <c:pt idx="8">
                  <c:v>6182.970674385323</c:v>
                </c:pt>
                <c:pt idx="9">
                  <c:v>6241.0630250802105</c:v>
                </c:pt>
                <c:pt idx="10">
                  <c:v>6213.0141038613856</c:v>
                </c:pt>
                <c:pt idx="11">
                  <c:v>6189.6244039432549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4E-4479-92FC-D5FA0DD44730}"/>
            </c:ext>
          </c:extLst>
        </c:ser>
        <c:ser>
          <c:idx val="11"/>
          <c:order val="11"/>
          <c:tx>
            <c:strRef>
              <c:f>My_Forecast!$L$1</c:f>
              <c:strCache>
                <c:ptCount val="1"/>
                <c:pt idx="0">
                  <c:v>Simple Exponential Smoothing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My_Forecast!$L$49:$L$60</c:f>
              <c:numCache>
                <c:formatCode>_("$"* #,##0.00_);_("$"* \(#,##0.00\);_("$"* "-"??_);_(@_)</c:formatCode>
                <c:ptCount val="12"/>
                <c:pt idx="0">
                  <c:v>5970.2449171721319</c:v>
                </c:pt>
                <c:pt idx="1">
                  <c:v>5951.7340938636426</c:v>
                </c:pt>
                <c:pt idx="2">
                  <c:v>5906.5332131866116</c:v>
                </c:pt>
                <c:pt idx="3">
                  <c:v>5872.5229870016965</c:v>
                </c:pt>
                <c:pt idx="4">
                  <c:v>5879.0520890101607</c:v>
                </c:pt>
                <c:pt idx="5">
                  <c:v>5920.1718875095758</c:v>
                </c:pt>
                <c:pt idx="6">
                  <c:v>5828.7154052624055</c:v>
                </c:pt>
                <c:pt idx="7">
                  <c:v>5896.7650966277915</c:v>
                </c:pt>
                <c:pt idx="8">
                  <c:v>6056.2245538650604</c:v>
                </c:pt>
                <c:pt idx="9">
                  <c:v>6099.9177019012286</c:v>
                </c:pt>
                <c:pt idx="10">
                  <c:v>6059.5414727697062</c:v>
                </c:pt>
                <c:pt idx="11">
                  <c:v>6024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204E-4479-92FC-D5FA0DD44730}"/>
            </c:ext>
          </c:extLst>
        </c:ser>
        <c:ser>
          <c:idx val="12"/>
          <c:order val="12"/>
          <c:tx>
            <c:strRef>
              <c:f>My_Forecast!$M$1</c:f>
              <c:strCache>
                <c:ptCount val="1"/>
                <c:pt idx="0">
                  <c:v>Holt's Linear Exponential Smooothing</c:v>
                </c:pt>
              </c:strCache>
            </c:strRef>
          </c:tx>
          <c:spPr>
            <a:ln w="158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My_Forecast!$M$49:$M$60</c:f>
              <c:numCache>
                <c:formatCode>_("$"* #,##0.00_);_("$"* \(#,##0.00\);_("$"* "-"??_);_(@_)</c:formatCode>
                <c:ptCount val="12"/>
                <c:pt idx="0">
                  <c:v>6039.9299437211121</c:v>
                </c:pt>
                <c:pt idx="1">
                  <c:v>6029.9755514294739</c:v>
                </c:pt>
                <c:pt idx="2">
                  <c:v>6023.0040838116583</c:v>
                </c:pt>
                <c:pt idx="3">
                  <c:v>6026.9232847453713</c:v>
                </c:pt>
                <c:pt idx="4">
                  <c:v>6072.2670400207644</c:v>
                </c:pt>
                <c:pt idx="5">
                  <c:v>6153.6515105306607</c:v>
                </c:pt>
                <c:pt idx="6">
                  <c:v>6096.9002966708094</c:v>
                </c:pt>
                <c:pt idx="7">
                  <c:v>6206.8404385750482</c:v>
                </c:pt>
                <c:pt idx="8">
                  <c:v>6414.4924519857386</c:v>
                </c:pt>
                <c:pt idx="9">
                  <c:v>6500.8650934525758</c:v>
                </c:pt>
                <c:pt idx="10">
                  <c:v>6497.6642824301825</c:v>
                </c:pt>
                <c:pt idx="11">
                  <c:v>6499.148788178406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04E-4479-92FC-D5FA0DD44730}"/>
            </c:ext>
          </c:extLst>
        </c:ser>
        <c:ser>
          <c:idx val="13"/>
          <c:order val="13"/>
          <c:tx>
            <c:strRef>
              <c:f>My_Forecast!$N$1</c:f>
              <c:strCache>
                <c:ptCount val="1"/>
                <c:pt idx="0">
                  <c:v>Regression w/o seas adj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My_Forecast!$N$49:$N$60</c:f>
              <c:numCache>
                <c:formatCode>_("$"* #,##0.00_);_("$"* \(#,##0.00\);_("$"* "-"??_);_(@_)</c:formatCode>
                <c:ptCount val="12"/>
                <c:pt idx="0">
                  <c:v>6310.049028677151</c:v>
                </c:pt>
                <c:pt idx="1">
                  <c:v>6369.4358233117491</c:v>
                </c:pt>
                <c:pt idx="2">
                  <c:v>6428.8226179463454</c:v>
                </c:pt>
                <c:pt idx="3">
                  <c:v>6488.2094125809435</c:v>
                </c:pt>
                <c:pt idx="4">
                  <c:v>6547.5962072155417</c:v>
                </c:pt>
                <c:pt idx="5">
                  <c:v>6606.9830018501389</c:v>
                </c:pt>
                <c:pt idx="6">
                  <c:v>6666.3697964847361</c:v>
                </c:pt>
                <c:pt idx="7">
                  <c:v>6725.7565911193342</c:v>
                </c:pt>
                <c:pt idx="8">
                  <c:v>6785.1433857539314</c:v>
                </c:pt>
                <c:pt idx="9">
                  <c:v>6844.5301803885286</c:v>
                </c:pt>
                <c:pt idx="10">
                  <c:v>6903.9169750231267</c:v>
                </c:pt>
                <c:pt idx="11">
                  <c:v>6963.3037696577248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04E-4479-92FC-D5FA0DD44730}"/>
            </c:ext>
          </c:extLst>
        </c:ser>
        <c:ser>
          <c:idx val="14"/>
          <c:order val="14"/>
          <c:tx>
            <c:strRef>
              <c:f>My_Forecast!$O$1</c:f>
              <c:strCache>
                <c:ptCount val="1"/>
                <c:pt idx="0">
                  <c:v>Regression with seasonal adjustment</c:v>
                </c:pt>
              </c:strCache>
            </c:strRef>
          </c:tx>
          <c:spPr>
            <a:ln w="158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My_Forecast!$O$49:$O$60</c:f>
              <c:numCache>
                <c:formatCode>_("$"* #,##0.00_);_("$"* \(#,##0.00\);_("$"* "-"??_);_(@_)</c:formatCode>
                <c:ptCount val="12"/>
                <c:pt idx="0">
                  <c:v>6099.7044872198449</c:v>
                </c:pt>
                <c:pt idx="1">
                  <c:v>6088.1578419077514</c:v>
                </c:pt>
                <c:pt idx="2">
                  <c:v>6079.8833664319318</c:v>
                </c:pt>
                <c:pt idx="3">
                  <c:v>6082.8560245714716</c:v>
                </c:pt>
                <c:pt idx="4">
                  <c:v>6127.8811570977241</c:v>
                </c:pt>
                <c:pt idx="5">
                  <c:v>6209.5132260608043</c:v>
                </c:pt>
                <c:pt idx="6">
                  <c:v>6151.9996934098754</c:v>
                </c:pt>
                <c:pt idx="7">
                  <c:v>6262.9291114841844</c:v>
                </c:pt>
                <c:pt idx="8">
                  <c:v>6472.7055697225533</c:v>
                </c:pt>
                <c:pt idx="9">
                  <c:v>6560.3660505501612</c:v>
                </c:pt>
                <c:pt idx="10">
                  <c:v>6557.8891773829546</c:v>
                </c:pt>
                <c:pt idx="11">
                  <c:v>6560.3874378515347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0-4B86-A661-353915FA6563}"/>
            </c:ext>
          </c:extLst>
        </c:ser>
        <c:ser>
          <c:idx val="15"/>
          <c:order val="15"/>
          <c:tx>
            <c:strRef>
              <c:f>My_Forecast!$P$1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My_Forecast!$P$49:$P$60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0-4B86-A661-353915FA6563}"/>
            </c:ext>
          </c:extLst>
        </c:ser>
        <c:ser>
          <c:idx val="16"/>
          <c:order val="16"/>
          <c:tx>
            <c:strRef>
              <c:f>My_Forecast!$Q$1</c:f>
              <c:strCache>
                <c:ptCount val="1"/>
                <c:pt idx="0">
                  <c:v>Average ALL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My_Forecast!$Q$49:$Q$60</c:f>
              <c:numCache>
                <c:formatCode>_("$"* #,##0.00_);_("$"* \(#,##0.00\);_("$"* "-"??_);_(@_)</c:formatCode>
                <c:ptCount val="12"/>
                <c:pt idx="0">
                  <c:v>6051.7144882987595</c:v>
                </c:pt>
                <c:pt idx="1">
                  <c:v>6045.1247358079472</c:v>
                </c:pt>
                <c:pt idx="2">
                  <c:v>6036.7069727489234</c:v>
                </c:pt>
                <c:pt idx="3">
                  <c:v>6038.4124102643218</c:v>
                </c:pt>
                <c:pt idx="4">
                  <c:v>6065.148528394152</c:v>
                </c:pt>
                <c:pt idx="5">
                  <c:v>6114.1185945003972</c:v>
                </c:pt>
                <c:pt idx="6">
                  <c:v>6094.8575642420847</c:v>
                </c:pt>
                <c:pt idx="7">
                  <c:v>6143.5275339391073</c:v>
                </c:pt>
                <c:pt idx="8">
                  <c:v>6247.180163526079</c:v>
                </c:pt>
                <c:pt idx="9">
                  <c:v>6298.1326187015511</c:v>
                </c:pt>
                <c:pt idx="10">
                  <c:v>6292.7855383365822</c:v>
                </c:pt>
                <c:pt idx="11">
                  <c:v>6283.0069839884854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0-4B86-A661-353915FA6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264879"/>
        <c:axId val="1946252399"/>
      </c:lineChart>
      <c:catAx>
        <c:axId val="19462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52399"/>
        <c:crosses val="autoZero"/>
        <c:auto val="1"/>
        <c:lblAlgn val="ctr"/>
        <c:lblOffset val="100"/>
        <c:noMultiLvlLbl val="0"/>
      </c:catAx>
      <c:valAx>
        <c:axId val="1946252399"/>
        <c:scaling>
          <c:orientation val="minMax"/>
          <c:max val="7000"/>
          <c:min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2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Richmond Bank Total Core Deposits ($ millions)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My_Forecast!$AG$48</c:f>
              <c:strCache>
                <c:ptCount val="1"/>
                <c:pt idx="0">
                  <c:v>Unaided
Eyeball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My_Forecast!$AG$49:$AG$60</c:f>
              <c:numCache>
                <c:formatCode>0.00%</c:formatCode>
                <c:ptCount val="12"/>
                <c:pt idx="0">
                  <c:v>1.4483804245229263E-3</c:v>
                </c:pt>
                <c:pt idx="1">
                  <c:v>5.3354655080517024E-3</c:v>
                </c:pt>
                <c:pt idx="2">
                  <c:v>8.3973768577660923E-3</c:v>
                </c:pt>
                <c:pt idx="3">
                  <c:v>1.483817494491323E-2</c:v>
                </c:pt>
                <c:pt idx="4">
                  <c:v>1.2011083285560871E-2</c:v>
                </c:pt>
                <c:pt idx="5">
                  <c:v>2.9189167686051675E-3</c:v>
                </c:pt>
                <c:pt idx="6">
                  <c:v>6.9368682717359806E-3</c:v>
                </c:pt>
                <c:pt idx="7">
                  <c:v>1.3473016444784556E-2</c:v>
                </c:pt>
                <c:pt idx="8">
                  <c:v>7.4193043699338273E-3</c:v>
                </c:pt>
                <c:pt idx="9">
                  <c:v>5.2493584997043152E-2</c:v>
                </c:pt>
                <c:pt idx="10">
                  <c:v>7.127110576682244E-2</c:v>
                </c:pt>
                <c:pt idx="11">
                  <c:v>7.9220457361721883E-2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9-4A98-9C33-8C71DB66A817}"/>
            </c:ext>
          </c:extLst>
        </c:ser>
        <c:ser>
          <c:idx val="1"/>
          <c:order val="1"/>
          <c:tx>
            <c:strRef>
              <c:f>My_Forecast!$AH$48</c:f>
              <c:strCache>
                <c:ptCount val="1"/>
                <c:pt idx="0">
                  <c:v>Naïve w/o seasonal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My_Forecast!$AH$49:$AH$60</c:f>
              <c:numCache>
                <c:formatCode>0.00%</c:formatCode>
                <c:ptCount val="12"/>
                <c:pt idx="0">
                  <c:v>1.9880715705765406E-3</c:v>
                </c:pt>
                <c:pt idx="1">
                  <c:v>3.3189512114171923E-4</c:v>
                </c:pt>
                <c:pt idx="2">
                  <c:v>4.9825610363726954E-4</c:v>
                </c:pt>
                <c:pt idx="3">
                  <c:v>4.6697798532354907E-3</c:v>
                </c:pt>
                <c:pt idx="4">
                  <c:v>3.3189512114171923E-4</c:v>
                </c:pt>
                <c:pt idx="5">
                  <c:v>1.1486708237610764E-2</c:v>
                </c:pt>
                <c:pt idx="6">
                  <c:v>9.6991615978957758E-3</c:v>
                </c:pt>
                <c:pt idx="7">
                  <c:v>5.4482417038137689E-3</c:v>
                </c:pt>
                <c:pt idx="8">
                  <c:v>2.8073572120038724E-2</c:v>
                </c:pt>
                <c:pt idx="9">
                  <c:v>7.4227754725680037E-2</c:v>
                </c:pt>
                <c:pt idx="10">
                  <c:v>9.454381482038178E-2</c:v>
                </c:pt>
                <c:pt idx="11">
                  <c:v>0.10423791821561339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9-4A98-9C33-8C71DB66A817}"/>
            </c:ext>
          </c:extLst>
        </c:ser>
        <c:ser>
          <c:idx val="2"/>
          <c:order val="2"/>
          <c:tx>
            <c:strRef>
              <c:f>My_Forecast!$AJ$48</c:f>
              <c:strCache>
                <c:ptCount val="1"/>
                <c:pt idx="0">
                  <c:v>12M CMA Naïve w/Seasonals
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My_Forecast!$AJ$49:$AJ$60</c:f>
              <c:numCache>
                <c:formatCode>0.00%</c:formatCode>
                <c:ptCount val="12"/>
                <c:pt idx="0">
                  <c:v>5.8832420911846036E-3</c:v>
                </c:pt>
                <c:pt idx="1">
                  <c:v>1.2324245956912951E-2</c:v>
                </c:pt>
                <c:pt idx="2">
                  <c:v>1.9011258397838956E-2</c:v>
                </c:pt>
                <c:pt idx="3">
                  <c:v>2.0593230987041945E-2</c:v>
                </c:pt>
                <c:pt idx="4">
                  <c:v>2.4385647359747648E-2</c:v>
                </c:pt>
                <c:pt idx="5">
                  <c:v>2.852446873817267E-2</c:v>
                </c:pt>
                <c:pt idx="6">
                  <c:v>4.1802497901955366E-2</c:v>
                </c:pt>
                <c:pt idx="7">
                  <c:v>2.6454499483607143E-2</c:v>
                </c:pt>
                <c:pt idx="8">
                  <c:v>2.287438627540167E-2</c:v>
                </c:pt>
                <c:pt idx="9">
                  <c:v>6.2560672829071975E-2</c:v>
                </c:pt>
                <c:pt idx="10">
                  <c:v>8.9201642451569793E-2</c:v>
                </c:pt>
                <c:pt idx="11">
                  <c:v>0.10423791821561339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9-4A98-9C33-8C71DB66A817}"/>
            </c:ext>
          </c:extLst>
        </c:ser>
        <c:ser>
          <c:idx val="3"/>
          <c:order val="3"/>
          <c:tx>
            <c:strRef>
              <c:f>My_Forecast!$AK$48</c:f>
              <c:strCache>
                <c:ptCount val="1"/>
                <c:pt idx="0">
                  <c:v> 3M MA Naïve w/Seasonals
Forecast 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My_Forecast!$AK$49:$AK$60</c:f>
              <c:numCache>
                <c:formatCode>0.00%</c:formatCode>
                <c:ptCount val="12"/>
                <c:pt idx="0">
                  <c:v>1.3969739648950525E-2</c:v>
                </c:pt>
                <c:pt idx="1">
                  <c:v>1.2017902820953451E-2</c:v>
                </c:pt>
                <c:pt idx="2">
                  <c:v>1.4644610962456076E-2</c:v>
                </c:pt>
                <c:pt idx="3">
                  <c:v>1.2253882585214551E-2</c:v>
                </c:pt>
                <c:pt idx="4">
                  <c:v>1.6043040212459888E-2</c:v>
                </c:pt>
                <c:pt idx="5">
                  <c:v>1.9178076447291408E-2</c:v>
                </c:pt>
                <c:pt idx="6">
                  <c:v>5.4974430338662859E-3</c:v>
                </c:pt>
                <c:pt idx="7">
                  <c:v>8.066001585503052E-3</c:v>
                </c:pt>
                <c:pt idx="8">
                  <c:v>3.3837540258564079E-2</c:v>
                </c:pt>
                <c:pt idx="9">
                  <c:v>6.2163709158207549E-2</c:v>
                </c:pt>
                <c:pt idx="10">
                  <c:v>8.3107157290399497E-2</c:v>
                </c:pt>
                <c:pt idx="11">
                  <c:v>0.10423791821561339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9-4A98-9C33-8C71DB66A817}"/>
            </c:ext>
          </c:extLst>
        </c:ser>
        <c:ser>
          <c:idx val="4"/>
          <c:order val="4"/>
          <c:tx>
            <c:strRef>
              <c:f>My_Forecast!$AL$48</c:f>
              <c:strCache>
                <c:ptCount val="1"/>
                <c:pt idx="0">
                  <c:v> 6M Naïve w/Seasonals
Forecast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My_Forecast!$AL$49:$AL$60</c:f>
              <c:numCache>
                <c:formatCode>0.00%</c:formatCode>
                <c:ptCount val="12"/>
                <c:pt idx="0">
                  <c:v>9.13128104136483E-4</c:v>
                </c:pt>
                <c:pt idx="1">
                  <c:v>9.1756713192496873E-3</c:v>
                </c:pt>
                <c:pt idx="2">
                  <c:v>1.7417583142097959E-2</c:v>
                </c:pt>
                <c:pt idx="3">
                  <c:v>1.4845567230442036E-2</c:v>
                </c:pt>
                <c:pt idx="4">
                  <c:v>1.2473662397653473E-2</c:v>
                </c:pt>
                <c:pt idx="5">
                  <c:v>1.1909010035723675E-2</c:v>
                </c:pt>
                <c:pt idx="6">
                  <c:v>1.46245766540011E-2</c:v>
                </c:pt>
                <c:pt idx="7">
                  <c:v>7.4971776802392068E-3</c:v>
                </c:pt>
                <c:pt idx="8">
                  <c:v>9.4336024174526186E-3</c:v>
                </c:pt>
                <c:pt idx="9">
                  <c:v>5.5405860533065218E-2</c:v>
                </c:pt>
                <c:pt idx="10">
                  <c:v>8.5409285798129009E-2</c:v>
                </c:pt>
                <c:pt idx="11">
                  <c:v>0.10423791821561339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F9-4A98-9C33-8C71DB66A817}"/>
            </c:ext>
          </c:extLst>
        </c:ser>
        <c:ser>
          <c:idx val="5"/>
          <c:order val="5"/>
          <c:tx>
            <c:strRef>
              <c:f>My_Forecast!$AM$48</c:f>
              <c:strCache>
                <c:ptCount val="1"/>
                <c:pt idx="0">
                  <c:v>Damped Trend ES 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My_Forecast!$AM$49:$AM$60</c:f>
              <c:numCache>
                <c:formatCode>0.00%</c:formatCode>
                <c:ptCount val="12"/>
                <c:pt idx="0">
                  <c:v>3.4775469183942129E-3</c:v>
                </c:pt>
                <c:pt idx="1">
                  <c:v>7.5679302806994043E-3</c:v>
                </c:pt>
                <c:pt idx="2">
                  <c:v>1.1960460003668346E-2</c:v>
                </c:pt>
                <c:pt idx="3">
                  <c:v>1.1254099210917077E-2</c:v>
                </c:pt>
                <c:pt idx="4">
                  <c:v>1.2814787250073366E-2</c:v>
                </c:pt>
                <c:pt idx="5">
                  <c:v>1.4767008158314367E-2</c:v>
                </c:pt>
                <c:pt idx="6">
                  <c:v>2.6049994141537247E-2</c:v>
                </c:pt>
                <c:pt idx="7">
                  <c:v>8.2538129267691416E-3</c:v>
                </c:pt>
                <c:pt idx="8">
                  <c:v>2.4248669917194196E-3</c:v>
                </c:pt>
                <c:pt idx="9">
                  <c:v>4.0869367591791834E-2</c:v>
                </c:pt>
                <c:pt idx="10">
                  <c:v>6.6133458009712071E-2</c:v>
                </c:pt>
                <c:pt idx="11">
                  <c:v>7.960975406048254E-2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9-4A98-9C33-8C71DB66A817}"/>
            </c:ext>
          </c:extLst>
        </c:ser>
        <c:ser>
          <c:idx val="6"/>
          <c:order val="6"/>
          <c:tx>
            <c:strRef>
              <c:f>My_Forecast!$AN$48</c:f>
              <c:strCache>
                <c:ptCount val="1"/>
                <c:pt idx="0">
                  <c:v>Simple Exponential Smoothing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My_Forecast!$AN$49:$AN$60</c:f>
              <c:numCache>
                <c:formatCode>0.00%</c:formatCode>
                <c:ptCount val="12"/>
                <c:pt idx="0">
                  <c:v>1.0893817565915861E-2</c:v>
                </c:pt>
                <c:pt idx="1">
                  <c:v>1.2324245956912951E-2</c:v>
                </c:pt>
                <c:pt idx="2">
                  <c:v>1.9011258397838956E-2</c:v>
                </c:pt>
                <c:pt idx="3">
                  <c:v>2.0593230987041945E-2</c:v>
                </c:pt>
                <c:pt idx="4">
                  <c:v>2.4385647359747648E-2</c:v>
                </c:pt>
                <c:pt idx="5">
                  <c:v>2.852446873817267E-2</c:v>
                </c:pt>
                <c:pt idx="6">
                  <c:v>4.1802497901955366E-2</c:v>
                </c:pt>
                <c:pt idx="7">
                  <c:v>2.6454499483607143E-2</c:v>
                </c:pt>
                <c:pt idx="8">
                  <c:v>2.287438627540167E-2</c:v>
                </c:pt>
                <c:pt idx="9">
                  <c:v>6.2560672829071975E-2</c:v>
                </c:pt>
                <c:pt idx="10">
                  <c:v>8.9201642451569793E-2</c:v>
                </c:pt>
                <c:pt idx="11">
                  <c:v>0.10423791821561339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F9-4A98-9C33-8C71DB66A817}"/>
            </c:ext>
          </c:extLst>
        </c:ser>
        <c:ser>
          <c:idx val="7"/>
          <c:order val="7"/>
          <c:tx>
            <c:strRef>
              <c:f>My_Forecast!$AO$48</c:f>
              <c:strCache>
                <c:ptCount val="1"/>
                <c:pt idx="0">
                  <c:v>Holt's Linear Exponential Smooothing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My_Forecast!$AO$49:$AO$60</c:f>
              <c:numCache>
                <c:formatCode>0.00%</c:formatCode>
                <c:ptCount val="12"/>
                <c:pt idx="0">
                  <c:v>6.510841154923903E-4</c:v>
                </c:pt>
                <c:pt idx="1">
                  <c:v>6.5973306164517976E-4</c:v>
                </c:pt>
                <c:pt idx="2">
                  <c:v>3.3284899711980524E-4</c:v>
                </c:pt>
                <c:pt idx="3">
                  <c:v>5.1573190035642674E-3</c:v>
                </c:pt>
                <c:pt idx="4">
                  <c:v>7.6779024262801851E-3</c:v>
                </c:pt>
                <c:pt idx="5">
                  <c:v>9.7885642485495156E-3</c:v>
                </c:pt>
                <c:pt idx="6">
                  <c:v>2.2851054859131083E-3</c:v>
                </c:pt>
                <c:pt idx="7">
                  <c:v>2.4738391707949184E-2</c:v>
                </c:pt>
                <c:pt idx="8">
                  <c:v>3.4929404967043984E-2</c:v>
                </c:pt>
                <c:pt idx="9">
                  <c:v>9.4281643574983549E-4</c:v>
                </c:pt>
                <c:pt idx="10">
                  <c:v>2.3348221489526148E-2</c:v>
                </c:pt>
                <c:pt idx="11">
                  <c:v>3.3583823319196134E-2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F9-4A98-9C33-8C71DB66A817}"/>
            </c:ext>
          </c:extLst>
        </c:ser>
        <c:ser>
          <c:idx val="8"/>
          <c:order val="8"/>
          <c:tx>
            <c:strRef>
              <c:f>My_Forecast!$AP$48</c:f>
              <c:strCache>
                <c:ptCount val="1"/>
                <c:pt idx="0">
                  <c:v>Regression w/o seas adj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My_Forecast!$AP$49:$AP$60</c:f>
              <c:numCache>
                <c:formatCode>0.00%</c:formatCode>
                <c:ptCount val="12"/>
                <c:pt idx="0">
                  <c:v>4.5402423571429922E-2</c:v>
                </c:pt>
                <c:pt idx="1">
                  <c:v>5.6992337091229528E-2</c:v>
                </c:pt>
                <c:pt idx="2">
                  <c:v>6.7733369531032289E-2</c:v>
                </c:pt>
                <c:pt idx="3">
                  <c:v>8.2089628515834484E-2</c:v>
                </c:pt>
                <c:pt idx="4">
                  <c:v>8.6557618190431743E-2</c:v>
                </c:pt>
                <c:pt idx="5">
                  <c:v>8.4178372472946975E-2</c:v>
                </c:pt>
                <c:pt idx="6">
                  <c:v>9.590165978706823E-2</c:v>
                </c:pt>
                <c:pt idx="7">
                  <c:v>0.11041053180111181</c:v>
                </c:pt>
                <c:pt idx="8">
                  <c:v>9.4731104510153499E-2</c:v>
                </c:pt>
                <c:pt idx="9">
                  <c:v>5.1871858058787246E-2</c:v>
                </c:pt>
                <c:pt idx="10">
                  <c:v>3.7714861719994996E-2</c:v>
                </c:pt>
                <c:pt idx="11">
                  <c:v>3.5435504781817818E-2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F9-4A98-9C33-8C71DB66A817}"/>
            </c:ext>
          </c:extLst>
        </c:ser>
        <c:ser>
          <c:idx val="9"/>
          <c:order val="9"/>
          <c:tx>
            <c:strRef>
              <c:f>My_Forecast!$AQ$48</c:f>
              <c:strCache>
                <c:ptCount val="1"/>
                <c:pt idx="0">
                  <c:v>Regression with seasonal adjustment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My_Forecast!$AQ$49:$AQ$60</c:f>
              <c:numCache>
                <c:formatCode>0.00%</c:formatCode>
                <c:ptCount val="12"/>
                <c:pt idx="0">
                  <c:v>1.0554089996660843E-2</c:v>
                </c:pt>
                <c:pt idx="1">
                  <c:v>1.0314942234940489E-2</c:v>
                </c:pt>
                <c:pt idx="2">
                  <c:v>9.7796655758066418E-3</c:v>
                </c:pt>
                <c:pt idx="3">
                  <c:v>1.4485661202713744E-2</c:v>
                </c:pt>
                <c:pt idx="4">
                  <c:v>1.6906929488503832E-2</c:v>
                </c:pt>
                <c:pt idx="5">
                  <c:v>1.8955238933509075E-2</c:v>
                </c:pt>
                <c:pt idx="6">
                  <c:v>1.1343036891316022E-2</c:v>
                </c:pt>
                <c:pt idx="7">
                  <c:v>3.3998532521740864E-2</c:v>
                </c:pt>
                <c:pt idx="8">
                  <c:v>4.4321647260818532E-2</c:v>
                </c:pt>
                <c:pt idx="9">
                  <c:v>8.2013294221855177E-3</c:v>
                </c:pt>
                <c:pt idx="10">
                  <c:v>1.4295930049157586E-2</c:v>
                </c:pt>
                <c:pt idx="11">
                  <c:v>2.4477704408693717E-2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F9-4A98-9C33-8C71DB66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04063"/>
        <c:axId val="424886175"/>
      </c:lineChart>
      <c:catAx>
        <c:axId val="42490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86175"/>
        <c:crosses val="autoZero"/>
        <c:auto val="1"/>
        <c:lblAlgn val="ctr"/>
        <c:lblOffset val="100"/>
        <c:noMultiLvlLbl val="0"/>
      </c:catAx>
      <c:valAx>
        <c:axId val="42488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to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Comp Takeoff Pts'!$B$23</c:f>
              <c:strCache>
                <c:ptCount val="1"/>
                <c:pt idx="0">
                  <c:v>3M MA Naïve w/Seasonals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Pts'!$C$22:$F$22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Pts'!$C$23:$F$23</c:f>
              <c:numCache>
                <c:formatCode>0%</c:formatCode>
                <c:ptCount val="4"/>
                <c:pt idx="0">
                  <c:v>1.0484307795906944</c:v>
                </c:pt>
                <c:pt idx="1">
                  <c:v>1.07931940710844</c:v>
                </c:pt>
                <c:pt idx="2">
                  <c:v>0.9129640647989713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C-4E6B-85C1-013A50B3381B}"/>
            </c:ext>
          </c:extLst>
        </c:ser>
        <c:ser>
          <c:idx val="1"/>
          <c:order val="1"/>
          <c:tx>
            <c:strRef>
              <c:f>'Model Comp Takeoff Pts'!$B$24</c:f>
              <c:strCache>
                <c:ptCount val="1"/>
                <c:pt idx="0">
                  <c:v>Simple 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Pts'!$C$22:$F$22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Pts'!$C$24:$F$24</c:f>
              <c:numCache>
                <c:formatCode>0%</c:formatCode>
                <c:ptCount val="4"/>
                <c:pt idx="0">
                  <c:v>1.3381649229799824</c:v>
                </c:pt>
                <c:pt idx="1">
                  <c:v>1.045784524119538</c:v>
                </c:pt>
                <c:pt idx="2">
                  <c:v>0.82671517981594345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C-4E6B-85C1-013A50B3381B}"/>
            </c:ext>
          </c:extLst>
        </c:ser>
        <c:ser>
          <c:idx val="2"/>
          <c:order val="2"/>
          <c:tx>
            <c:strRef>
              <c:f>'Model Comp Takeoff Pts'!$B$25</c:f>
              <c:strCache>
                <c:ptCount val="1"/>
                <c:pt idx="0">
                  <c:v>Holt's Linear Exponential Smooothing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Pts'!$C$22:$F$22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Pts'!$C$25:$F$25</c:f>
              <c:numCache>
                <c:formatCode>0%</c:formatCode>
                <c:ptCount val="4"/>
                <c:pt idx="0">
                  <c:v>0.85295976867000223</c:v>
                </c:pt>
                <c:pt idx="1">
                  <c:v>0.71553750511270819</c:v>
                </c:pt>
                <c:pt idx="2">
                  <c:v>0.51836705893772517</c:v>
                </c:pt>
                <c:pt idx="3">
                  <c:v>0.32218432499514121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C-4E6B-85C1-013A50B3381B}"/>
            </c:ext>
          </c:extLst>
        </c:ser>
        <c:ser>
          <c:idx val="3"/>
          <c:order val="3"/>
          <c:tx>
            <c:strRef>
              <c:f>'Model Comp Takeoff Pts'!$B$26</c:f>
              <c:strCache>
                <c:ptCount val="1"/>
                <c:pt idx="0">
                  <c:v>Damped Trend ES 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Pts'!$C$22:$F$22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Pts'!$C$26:$F$26</c:f>
              <c:numCache>
                <c:formatCode>0%</c:formatCode>
                <c:ptCount val="4"/>
                <c:pt idx="0">
                  <c:v>0.97492342014431221</c:v>
                </c:pt>
                <c:pt idx="1">
                  <c:v>0.81792170355244109</c:v>
                </c:pt>
                <c:pt idx="2">
                  <c:v>0.37887572881229314</c:v>
                </c:pt>
                <c:pt idx="3">
                  <c:v>0.76373123545898014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C-4E6B-85C1-013A50B3381B}"/>
            </c:ext>
          </c:extLst>
        </c:ser>
        <c:ser>
          <c:idx val="4"/>
          <c:order val="4"/>
          <c:tx>
            <c:strRef>
              <c:f>'Model Comp Takeoff Pts'!$B$27</c:f>
              <c:strCache>
                <c:ptCount val="1"/>
                <c:pt idx="0">
                  <c:v>Regression W/o Sea Adj.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Pts'!$C$22:$F$22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Pts'!$C$27:$F$27</c:f>
              <c:numCache>
                <c:formatCode>0%</c:formatCode>
                <c:ptCount val="4"/>
                <c:pt idx="0">
                  <c:v>3.1237026157174701</c:v>
                </c:pt>
                <c:pt idx="1">
                  <c:v>2.1404615601397641</c:v>
                </c:pt>
                <c:pt idx="2">
                  <c:v>0.93363497486344582</c:v>
                </c:pt>
                <c:pt idx="3">
                  <c:v>0.33994831620217519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EC-4E6B-85C1-013A50B3381B}"/>
            </c:ext>
          </c:extLst>
        </c:ser>
        <c:ser>
          <c:idx val="5"/>
          <c:order val="5"/>
          <c:tx>
            <c:strRef>
              <c:f>'Model Comp Takeoff Pts'!$B$28</c:f>
              <c:strCache>
                <c:ptCount val="1"/>
                <c:pt idx="0">
                  <c:v>Reg with Seasonal adj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Pts'!$C$22:$F$22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Pts'!$C$28:$F$28</c:f>
              <c:numCache>
                <c:formatCode>0%</c:formatCode>
                <c:ptCount val="4"/>
                <c:pt idx="0">
                  <c:v>1.3072569512716088</c:v>
                </c:pt>
                <c:pt idx="1">
                  <c:v>0.69035259104381097</c:v>
                </c:pt>
                <c:pt idx="2">
                  <c:v>0.46024377665480504</c:v>
                </c:pt>
                <c:pt idx="3">
                  <c:v>0.23482533830023572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EC-4E6B-85C1-013A50B3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078320"/>
        <c:axId val="1113076656"/>
      </c:lineChart>
      <c:catAx>
        <c:axId val="11130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76656"/>
        <c:crosses val="autoZero"/>
        <c:auto val="1"/>
        <c:lblAlgn val="ctr"/>
        <c:lblOffset val="100"/>
        <c:noMultiLvlLbl val="0"/>
      </c:catAx>
      <c:valAx>
        <c:axId val="11130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F/C Horizon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Comp Takeoff Pts'!$B$34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Pts'!$C$33:$F$33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Pts'!$C$34:$F$34</c:f>
              <c:numCache>
                <c:formatCode>0.00%</c:formatCode>
                <c:ptCount val="4"/>
                <c:pt idx="0">
                  <c:v>1.3863289369591299E-2</c:v>
                </c:pt>
                <c:pt idx="1">
                  <c:v>3.0099225709596444E-2</c:v>
                </c:pt>
                <c:pt idx="2">
                  <c:v>6.6378793494963603E-2</c:v>
                </c:pt>
                <c:pt idx="3">
                  <c:v>0.10423791821561339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0-4C51-9762-5BFB9221F7A6}"/>
            </c:ext>
          </c:extLst>
        </c:ser>
        <c:ser>
          <c:idx val="1"/>
          <c:order val="1"/>
          <c:tx>
            <c:strRef>
              <c:f>'Model Comp Takeoff Pts'!$B$35</c:f>
              <c:strCache>
                <c:ptCount val="1"/>
                <c:pt idx="0">
                  <c:v>3M MA Naïve w/Seasonals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Pts'!$C$33:$F$33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Pts'!$C$35:$F$35</c:f>
              <c:numCache>
                <c:formatCode>0.00%</c:formatCode>
                <c:ptCount val="4"/>
                <c:pt idx="0">
                  <c:v>1.4534699281451994E-2</c:v>
                </c:pt>
                <c:pt idx="1">
                  <c:v>3.2486678447304747E-2</c:v>
                </c:pt>
                <c:pt idx="2">
                  <c:v>6.0601453125613484E-2</c:v>
                </c:pt>
                <c:pt idx="3">
                  <c:v>0.10423791821561339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0-4C51-9762-5BFB9221F7A6}"/>
            </c:ext>
          </c:extLst>
        </c:ser>
        <c:ser>
          <c:idx val="2"/>
          <c:order val="2"/>
          <c:tx>
            <c:strRef>
              <c:f>'Model Comp Takeoff Pts'!$B$36</c:f>
              <c:strCache>
                <c:ptCount val="1"/>
                <c:pt idx="0">
                  <c:v>Simple 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Pts'!$C$33:$F$33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Pts'!$C$36:$F$36</c:f>
              <c:numCache>
                <c:formatCode>0.00%</c:formatCode>
                <c:ptCount val="4"/>
                <c:pt idx="0">
                  <c:v>1.8551367551508349E-2</c:v>
                </c:pt>
                <c:pt idx="1">
                  <c:v>3.1477304435076882E-2</c:v>
                </c:pt>
                <c:pt idx="2">
                  <c:v>5.4876356200154214E-2</c:v>
                </c:pt>
                <c:pt idx="3">
                  <c:v>0.10423791821561339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0-4C51-9762-5BFB9221F7A6}"/>
            </c:ext>
          </c:extLst>
        </c:ser>
        <c:ser>
          <c:idx val="3"/>
          <c:order val="3"/>
          <c:tx>
            <c:strRef>
              <c:f>'Model Comp Takeoff Pts'!$B$37</c:f>
              <c:strCache>
                <c:ptCount val="1"/>
                <c:pt idx="0">
                  <c:v>Holt's Linear Exponential Smooothing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Pts'!$C$33:$F$33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Pts'!$C$37:$F$37</c:f>
              <c:numCache>
                <c:formatCode>0.00%</c:formatCode>
                <c:ptCount val="4"/>
                <c:pt idx="0">
                  <c:v>1.1824828093691895E-2</c:v>
                </c:pt>
                <c:pt idx="1">
                  <c:v>2.1537124870068924E-2</c:v>
                </c:pt>
                <c:pt idx="2">
                  <c:v>3.4408579959818886E-2</c:v>
                </c:pt>
                <c:pt idx="3">
                  <c:v>3.3583823319196134E-2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0-4C51-9762-5BFB9221F7A6}"/>
            </c:ext>
          </c:extLst>
        </c:ser>
        <c:ser>
          <c:idx val="4"/>
          <c:order val="4"/>
          <c:tx>
            <c:strRef>
              <c:f>'Model Comp Takeoff Pts'!$B$38</c:f>
              <c:strCache>
                <c:ptCount val="1"/>
                <c:pt idx="0">
                  <c:v>Damped Trend ES FC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Pts'!$C$33:$F$33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Pts'!$C$38:$F$38</c:f>
              <c:numCache>
                <c:formatCode>0.00%</c:formatCode>
                <c:ptCount val="4"/>
                <c:pt idx="0">
                  <c:v>1.3515645486652236E-2</c:v>
                </c:pt>
                <c:pt idx="1">
                  <c:v>2.4618809968002555E-2</c:v>
                </c:pt>
                <c:pt idx="2">
                  <c:v>2.5149313763085039E-2</c:v>
                </c:pt>
                <c:pt idx="3">
                  <c:v>7.960975406048254E-2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0-4C51-9762-5BFB9221F7A6}"/>
            </c:ext>
          </c:extLst>
        </c:ser>
        <c:ser>
          <c:idx val="5"/>
          <c:order val="5"/>
          <c:tx>
            <c:strRef>
              <c:f>'Model Comp Takeoff Pts'!$B$39</c:f>
              <c:strCache>
                <c:ptCount val="1"/>
                <c:pt idx="0">
                  <c:v>Regression W/o Sea Adj.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Pts'!$C$33:$F$33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Pts'!$C$39:$F$39</c:f>
              <c:numCache>
                <c:formatCode>0.00%</c:formatCode>
                <c:ptCount val="4"/>
                <c:pt idx="0">
                  <c:v>4.3304793266240538E-2</c:v>
                </c:pt>
                <c:pt idx="1">
                  <c:v>6.4426235621361697E-2</c:v>
                </c:pt>
                <c:pt idx="2">
                  <c:v>6.1973563196136207E-2</c:v>
                </c:pt>
                <c:pt idx="3">
                  <c:v>3.5435504781817818E-2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0-4C51-9762-5BFB9221F7A6}"/>
            </c:ext>
          </c:extLst>
        </c:ser>
        <c:ser>
          <c:idx val="6"/>
          <c:order val="6"/>
          <c:tx>
            <c:strRef>
              <c:f>'Model Comp Takeoff Pts'!$B$40</c:f>
              <c:strCache>
                <c:ptCount val="1"/>
                <c:pt idx="0">
                  <c:v>Reg with Seasonal adj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'Model Comp Takeoff Pts'!$C$33:$F$33</c:f>
              <c:strCache>
                <c:ptCount val="4"/>
                <c:pt idx="0">
                  <c:v>1 Mo.</c:v>
                </c:pt>
                <c:pt idx="1">
                  <c:v>5 Mo.</c:v>
                </c:pt>
                <c:pt idx="2">
                  <c:v>9 Mo.</c:v>
                </c:pt>
                <c:pt idx="3">
                  <c:v>12 Mo.</c:v>
                </c:pt>
              </c:strCache>
            </c:strRef>
          </c:cat>
          <c:val>
            <c:numRef>
              <c:f>'Model Comp Takeoff Pts'!$C$40:$F$40</c:f>
              <c:numCache>
                <c:formatCode>0.00%</c:formatCode>
                <c:ptCount val="4"/>
                <c:pt idx="0">
                  <c:v>1.8122881395888024E-2</c:v>
                </c:pt>
                <c:pt idx="1">
                  <c:v>2.0779078457032394E-2</c:v>
                </c:pt>
                <c:pt idx="2">
                  <c:v>3.0550426607911456E-2</c:v>
                </c:pt>
                <c:pt idx="3">
                  <c:v>2.4477704408693717E-2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F0-4C51-9762-5BFB9221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02416"/>
        <c:axId val="1525703664"/>
      </c:lineChart>
      <c:catAx>
        <c:axId val="15257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03664"/>
        <c:crosses val="autoZero"/>
        <c:auto val="1"/>
        <c:lblAlgn val="ctr"/>
        <c:lblOffset val="100"/>
        <c:noMultiLvlLbl val="0"/>
      </c:catAx>
      <c:valAx>
        <c:axId val="15257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LN - First Diff</a:t>
            </a:r>
          </a:p>
        </c:rich>
      </c:tx>
      <c:layout>
        <c:manualLayout>
          <c:xMode val="edge"/>
          <c:yMode val="edge"/>
          <c:x val="0.39183187408355441"/>
          <c:y val="3.773694954797317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31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65000"/>
                      <a:lumOff val="35000"/>
                    </a:sysClr>
                  </a:solidFill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D99F-4EFC-A8DA-86761081FE0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2.8467321670046685E-2"/>
                  <c:y val="-0.2626827128877777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cat>
            <c:numRef>
              <c:f>Data_F_Look!$B$4:$B$50</c:f>
              <c:numCache>
                <c:formatCode>m/d/yyyy</c:formatCode>
                <c:ptCount val="47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</c:numCache>
            </c:numRef>
          </c:cat>
          <c:val>
            <c:numRef>
              <c:f>Data_F_Look!$G$4:$G$50</c:f>
              <c:numCache>
                <c:formatCode>General</c:formatCode>
                <c:ptCount val="47"/>
                <c:pt idx="1">
                  <c:v>-2.3901219717199496E-3</c:v>
                </c:pt>
                <c:pt idx="2">
                  <c:v>-1.8550422704013414E-3</c:v>
                </c:pt>
                <c:pt idx="3">
                  <c:v>-1.4195821988192137E-2</c:v>
                </c:pt>
                <c:pt idx="4">
                  <c:v>-2.1944858949751733E-2</c:v>
                </c:pt>
                <c:pt idx="5">
                  <c:v>-1.0162689092201305E-2</c:v>
                </c:pt>
                <c:pt idx="6">
                  <c:v>-9.8101654577718023E-3</c:v>
                </c:pt>
                <c:pt idx="7">
                  <c:v>1.1581196913724057E-2</c:v>
                </c:pt>
                <c:pt idx="8">
                  <c:v>-9.325839486090004E-3</c:v>
                </c:pt>
                <c:pt idx="9">
                  <c:v>-9.985105426997265E-3</c:v>
                </c:pt>
                <c:pt idx="10">
                  <c:v>-5.9435539008472205E-3</c:v>
                </c:pt>
                <c:pt idx="11">
                  <c:v>-1.1049836186584727E-2</c:v>
                </c:pt>
                <c:pt idx="12">
                  <c:v>-2.4390255993598231E-3</c:v>
                </c:pt>
                <c:pt idx="13">
                  <c:v>-5.1026717446678305E-3</c:v>
                </c:pt>
                <c:pt idx="14">
                  <c:v>-9.16773610366306E-3</c:v>
                </c:pt>
                <c:pt idx="15">
                  <c:v>-1.3832798673405478E-2</c:v>
                </c:pt>
                <c:pt idx="16">
                  <c:v>-2.3177907523667329E-2</c:v>
                </c:pt>
                <c:pt idx="17">
                  <c:v>-3.2347532827099457E-3</c:v>
                </c:pt>
                <c:pt idx="18">
                  <c:v>-2.708095860267079E-2</c:v>
                </c:pt>
                <c:pt idx="19">
                  <c:v>-1.8242997590274257E-2</c:v>
                </c:pt>
                <c:pt idx="20">
                  <c:v>-1.3358350398640084E-2</c:v>
                </c:pt>
                <c:pt idx="21">
                  <c:v>-9.9567922136944986E-3</c:v>
                </c:pt>
                <c:pt idx="22">
                  <c:v>-1.2414543004208412E-2</c:v>
                </c:pt>
                <c:pt idx="23">
                  <c:v>-1.3732126634556252E-2</c:v>
                </c:pt>
                <c:pt idx="24">
                  <c:v>-3.1423509674155525E-3</c:v>
                </c:pt>
                <c:pt idx="25">
                  <c:v>-5.6314675889410637E-3</c:v>
                </c:pt>
                <c:pt idx="26">
                  <c:v>-5.8067355196396164E-3</c:v>
                </c:pt>
                <c:pt idx="27">
                  <c:v>-2.0669926524179871E-2</c:v>
                </c:pt>
                <c:pt idx="28">
                  <c:v>-2.3422149689276139E-2</c:v>
                </c:pt>
                <c:pt idx="29">
                  <c:v>-9.6485931158323268E-3</c:v>
                </c:pt>
                <c:pt idx="30">
                  <c:v>-3.9184953479498574E-4</c:v>
                </c:pt>
                <c:pt idx="31">
                  <c:v>-0.11094723149536456</c:v>
                </c:pt>
                <c:pt idx="32">
                  <c:v>-3.4970405213103462E-2</c:v>
                </c:pt>
                <c:pt idx="33">
                  <c:v>3.0518843626641257E-3</c:v>
                </c:pt>
                <c:pt idx="34">
                  <c:v>3.3967391630973509E-4</c:v>
                </c:pt>
                <c:pt idx="35">
                  <c:v>1.8702717344929454E-3</c:v>
                </c:pt>
                <c:pt idx="36">
                  <c:v>-3.3978965754037915E-3</c:v>
                </c:pt>
                <c:pt idx="37">
                  <c:v>-6.7819602463892181E-4</c:v>
                </c:pt>
                <c:pt idx="38">
                  <c:v>-2.8772127828826655E-3</c:v>
                </c:pt>
                <c:pt idx="39">
                  <c:v>-3.5428126470122834E-3</c:v>
                </c:pt>
                <c:pt idx="40">
                  <c:v>-8.2180756016470013E-3</c:v>
                </c:pt>
                <c:pt idx="41">
                  <c:v>6.6833753532158369E-4</c:v>
                </c:pt>
                <c:pt idx="42">
                  <c:v>3.3433634547463953E-4</c:v>
                </c:pt>
                <c:pt idx="43">
                  <c:v>1.0036802448443183E-3</c:v>
                </c:pt>
                <c:pt idx="44">
                  <c:v>-1.6722411923613123E-3</c:v>
                </c:pt>
                <c:pt idx="45">
                  <c:v>-7.3248204973328512E-3</c:v>
                </c:pt>
                <c:pt idx="46">
                  <c:v>8.2966900967740287E-4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13-4839-A6BF-861DA505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190623"/>
        <c:axId val="1"/>
      </c:lineChart>
      <c:dateAx>
        <c:axId val="17891906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8"/>
        <c:majorTimeUnit val="months"/>
      </c:dateAx>
      <c:valAx>
        <c:axId val="1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919062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 Deposite Seasonality</a:t>
            </a:r>
          </a:p>
        </c:rich>
      </c:tx>
      <c:layout>
        <c:manualLayout>
          <c:xMode val="edge"/>
          <c:yMode val="edge"/>
          <c:x val="0.34654820081124349"/>
          <c:y val="2.28325771615259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90318110206359"/>
          <c:y val="8.7542375389228835E-2"/>
          <c:w val="0.64401396265353628"/>
          <c:h val="0.760945262998681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Seasonality!$F$4</c:f>
              <c:strCache>
                <c:ptCount val="1"/>
                <c:pt idx="0">
                  <c:v>1988</c:v>
                </c:pt>
              </c:strCache>
            </c:strRef>
          </c:tx>
          <c:spPr>
            <a:ln w="22225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strRef>
              <c:f>Seasonality!$E$5:$E$16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Seasonality!$F$5:$F$16</c:f>
              <c:numCache>
                <c:formatCode>General</c:formatCode>
                <c:ptCount val="12"/>
                <c:pt idx="10" formatCode="&quot;$&quot;#,##0.00">
                  <c:v>3761</c:v>
                </c:pt>
                <c:pt idx="11" formatCode="&quot;$&quot;#,##0.00">
                  <c:v>3770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A-4FC0-A411-8FC9F26CD375}"/>
            </c:ext>
          </c:extLst>
        </c:ser>
        <c:ser>
          <c:idx val="1"/>
          <c:order val="1"/>
          <c:tx>
            <c:strRef>
              <c:f>Seasonality!$G$4</c:f>
              <c:strCache>
                <c:ptCount val="1"/>
                <c:pt idx="0">
                  <c:v>1989</c:v>
                </c:pt>
              </c:strCache>
            </c:strRef>
          </c:tx>
          <c:spPr>
            <a:ln w="22225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strRef>
              <c:f>Seasonality!$E$5:$E$16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Seasonality!$G$5:$G$16</c:f>
              <c:numCache>
                <c:formatCode>"$"#,##0.00</c:formatCode>
                <c:ptCount val="12"/>
                <c:pt idx="0">
                  <c:v>3777</c:v>
                </c:pt>
                <c:pt idx="1">
                  <c:v>3831</c:v>
                </c:pt>
                <c:pt idx="2">
                  <c:v>3916</c:v>
                </c:pt>
                <c:pt idx="3">
                  <c:v>3956</c:v>
                </c:pt>
                <c:pt idx="4">
                  <c:v>3995</c:v>
                </c:pt>
                <c:pt idx="5">
                  <c:v>3949</c:v>
                </c:pt>
                <c:pt idx="6">
                  <c:v>3986</c:v>
                </c:pt>
                <c:pt idx="7">
                  <c:v>4026</c:v>
                </c:pt>
                <c:pt idx="8">
                  <c:v>4050</c:v>
                </c:pt>
                <c:pt idx="9">
                  <c:v>4095</c:v>
                </c:pt>
                <c:pt idx="10">
                  <c:v>4105</c:v>
                </c:pt>
                <c:pt idx="11">
                  <c:v>4126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5A-4FC0-A411-8FC9F26CD375}"/>
            </c:ext>
          </c:extLst>
        </c:ser>
        <c:ser>
          <c:idx val="2"/>
          <c:order val="2"/>
          <c:tx>
            <c:strRef>
              <c:f>Seasonality!$H$4</c:f>
              <c:strCache>
                <c:ptCount val="1"/>
                <c:pt idx="0">
                  <c:v>1990</c:v>
                </c:pt>
              </c:strCache>
            </c:strRef>
          </c:tx>
          <c:spPr>
            <a:ln w="22225"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strRef>
              <c:f>Seasonality!$E$5:$E$16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Seasonality!$H$5:$H$16</c:f>
              <c:numCache>
                <c:formatCode>"$"#,##0.00</c:formatCode>
                <c:ptCount val="12"/>
                <c:pt idx="0">
                  <c:v>4164</c:v>
                </c:pt>
                <c:pt idx="1">
                  <c:v>4222</c:v>
                </c:pt>
                <c:pt idx="2">
                  <c:v>4321</c:v>
                </c:pt>
                <c:pt idx="3">
                  <c:v>4335</c:v>
                </c:pt>
                <c:pt idx="4">
                  <c:v>4454</c:v>
                </c:pt>
                <c:pt idx="5">
                  <c:v>4536</c:v>
                </c:pt>
                <c:pt idx="6">
                  <c:v>4597</c:v>
                </c:pt>
                <c:pt idx="7">
                  <c:v>4643</c:v>
                </c:pt>
                <c:pt idx="8">
                  <c:v>4701</c:v>
                </c:pt>
                <c:pt idx="9">
                  <c:v>4766</c:v>
                </c:pt>
                <c:pt idx="10">
                  <c:v>4781</c:v>
                </c:pt>
                <c:pt idx="11">
                  <c:v>4808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5A-4FC0-A411-8FC9F26CD375}"/>
            </c:ext>
          </c:extLst>
        </c:ser>
        <c:ser>
          <c:idx val="3"/>
          <c:order val="3"/>
          <c:tx>
            <c:strRef>
              <c:f>Seasonality!$I$4</c:f>
              <c:strCache>
                <c:ptCount val="1"/>
                <c:pt idx="0">
                  <c:v>1991</c:v>
                </c:pt>
              </c:strCache>
            </c:strRef>
          </c:tx>
          <c:spPr>
            <a:ln w="22225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strRef>
              <c:f>Seasonality!$E$5:$E$16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Seasonality!$I$5:$I$16</c:f>
              <c:numCache>
                <c:formatCode>"$"#,##0.00</c:formatCode>
                <c:ptCount val="12"/>
                <c:pt idx="0">
                  <c:v>4836</c:v>
                </c:pt>
                <c:pt idx="1">
                  <c:v>4937</c:v>
                </c:pt>
                <c:pt idx="2">
                  <c:v>5054</c:v>
                </c:pt>
                <c:pt idx="3">
                  <c:v>5103</c:v>
                </c:pt>
                <c:pt idx="4">
                  <c:v>5105</c:v>
                </c:pt>
                <c:pt idx="5">
                  <c:v>5704</c:v>
                </c:pt>
                <c:pt idx="6">
                  <c:v>5907</c:v>
                </c:pt>
                <c:pt idx="7">
                  <c:v>5889</c:v>
                </c:pt>
                <c:pt idx="8">
                  <c:v>5887</c:v>
                </c:pt>
                <c:pt idx="9">
                  <c:v>5876</c:v>
                </c:pt>
                <c:pt idx="10">
                  <c:v>5896</c:v>
                </c:pt>
                <c:pt idx="11">
                  <c:v>5900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5A-4FC0-A411-8FC9F26CD375}"/>
            </c:ext>
          </c:extLst>
        </c:ser>
        <c:ser>
          <c:idx val="4"/>
          <c:order val="4"/>
          <c:tx>
            <c:strRef>
              <c:f>Seasonality!$J$4</c:f>
              <c:strCache>
                <c:ptCount val="1"/>
                <c:pt idx="0">
                  <c:v>1992</c:v>
                </c:pt>
              </c:strCache>
            </c:strRef>
          </c:tx>
          <c:spPr>
            <a:ln w="22225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strRef>
              <c:f>Seasonality!$E$5:$E$16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Seasonality!$J$5:$J$16</c:f>
              <c:numCache>
                <c:formatCode>"$"#,##0.00</c:formatCode>
                <c:ptCount val="12"/>
                <c:pt idx="0">
                  <c:v>5917</c:v>
                </c:pt>
                <c:pt idx="1">
                  <c:v>5938</c:v>
                </c:pt>
                <c:pt idx="2">
                  <c:v>5987</c:v>
                </c:pt>
                <c:pt idx="3">
                  <c:v>5983</c:v>
                </c:pt>
                <c:pt idx="4">
                  <c:v>5981</c:v>
                </c:pt>
                <c:pt idx="5">
                  <c:v>5975</c:v>
                </c:pt>
                <c:pt idx="6">
                  <c:v>5985</c:v>
                </c:pt>
                <c:pt idx="7">
                  <c:v>6029</c:v>
                </c:pt>
                <c:pt idx="8">
                  <c:v>6024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5A-4FC0-A411-8FC9F26CD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72335"/>
        <c:axId val="1"/>
      </c:scatterChart>
      <c:valAx>
        <c:axId val="1787372335"/>
        <c:scaling>
          <c:orientation val="minMax"/>
          <c:max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Core Deposits ($ 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72335"/>
        <c:crosses val="autoZero"/>
        <c:crossBetween val="midCat"/>
      </c:valAx>
      <c:spPr>
        <a:noFill/>
        <a:ln w="15875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Richmond Bank Total Core Deposits ($ millions)</a:t>
            </a:r>
          </a:p>
        </c:rich>
      </c:tx>
      <c:layout>
        <c:manualLayout>
          <c:xMode val="edge"/>
          <c:yMode val="edge"/>
          <c:x val="0.20823959901169625"/>
          <c:y val="5.46030513969811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7929042462958"/>
          <c:y val="0.22558996734916664"/>
          <c:w val="0.58308008109155851"/>
          <c:h val="0.62289767103874372"/>
        </c:manualLayout>
      </c:layout>
      <c:lineChart>
        <c:grouping val="standard"/>
        <c:varyColors val="0"/>
        <c:ser>
          <c:idx val="0"/>
          <c:order val="0"/>
          <c:tx>
            <c:strRef>
              <c:f>Unaided!$C$2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1905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Unaided!$A$3:$B$64</c:f>
              <c:multiLvlStrCache>
                <c:ptCount val="62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  <c:pt idx="59">
                    <c:v>10/31/1993</c:v>
                  </c:pt>
                  <c:pt idx="60">
                    <c:v>11/30/1993</c:v>
                  </c:pt>
                  <c:pt idx="61">
                    <c:v>12/31/1993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</c:lvl>
              </c:multiLvlStrCache>
            </c:multiLvlStrRef>
          </c:cat>
          <c:val>
            <c:numRef>
              <c:f>Unaided!$C$3:$C$64</c:f>
              <c:numCache>
                <c:formatCode>"$"#,##0.00</c:formatCode>
                <c:ptCount val="62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  <c:pt idx="47">
                  <c:v>6044.7424242424204</c:v>
                </c:pt>
                <c:pt idx="48">
                  <c:v>6058.1515151515196</c:v>
                </c:pt>
                <c:pt idx="49">
                  <c:v>6071.5606060606096</c:v>
                </c:pt>
                <c:pt idx="50">
                  <c:v>6084.9696969696997</c:v>
                </c:pt>
                <c:pt idx="51">
                  <c:v>6098.3787878787898</c:v>
                </c:pt>
                <c:pt idx="52">
                  <c:v>6111.7878787878799</c:v>
                </c:pt>
                <c:pt idx="53">
                  <c:v>6125.19696969697</c:v>
                </c:pt>
                <c:pt idx="54">
                  <c:v>6138.6060606060601</c:v>
                </c:pt>
                <c:pt idx="55">
                  <c:v>6152.0151515151501</c:v>
                </c:pt>
                <c:pt idx="56">
                  <c:v>6165.4242424242402</c:v>
                </c:pt>
                <c:pt idx="57">
                  <c:v>6178.8333333333303</c:v>
                </c:pt>
                <c:pt idx="58">
                  <c:v>6192.2424242424204</c:v>
                </c:pt>
                <c:pt idx="59">
                  <c:v>6205.6515151515196</c:v>
                </c:pt>
                <c:pt idx="60">
                  <c:v>6219.0606060606096</c:v>
                </c:pt>
                <c:pt idx="61">
                  <c:v>6232.4696969696997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6-4A7B-947B-9A3C27E14637}"/>
            </c:ext>
          </c:extLst>
        </c:ser>
        <c:ser>
          <c:idx val="1"/>
          <c:order val="1"/>
          <c:tx>
            <c:strRef>
              <c:f>Unaided!#REF!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Unaided!$A$3:$B$64</c:f>
              <c:multiLvlStrCache>
                <c:ptCount val="62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  <c:pt idx="47">
                    <c:v>10/31/1992</c:v>
                  </c:pt>
                  <c:pt idx="48">
                    <c:v>11/30/1992</c:v>
                  </c:pt>
                  <c:pt idx="49">
                    <c:v>12/31/1992</c:v>
                  </c:pt>
                  <c:pt idx="50">
                    <c:v>1/31/1993</c:v>
                  </c:pt>
                  <c:pt idx="51">
                    <c:v>2/28/1993</c:v>
                  </c:pt>
                  <c:pt idx="52">
                    <c:v>3/31/1993</c:v>
                  </c:pt>
                  <c:pt idx="53">
                    <c:v>4/30/1993</c:v>
                  </c:pt>
                  <c:pt idx="54">
                    <c:v>5/31/1993</c:v>
                  </c:pt>
                  <c:pt idx="55">
                    <c:v>6/30/1993</c:v>
                  </c:pt>
                  <c:pt idx="56">
                    <c:v>7/31/1993</c:v>
                  </c:pt>
                  <c:pt idx="57">
                    <c:v>8/31/1993</c:v>
                  </c:pt>
                  <c:pt idx="58">
                    <c:v>9/30/1993</c:v>
                  </c:pt>
                  <c:pt idx="59">
                    <c:v>10/31/1993</c:v>
                  </c:pt>
                  <c:pt idx="60">
                    <c:v>11/30/1993</c:v>
                  </c:pt>
                  <c:pt idx="61">
                    <c:v>12/31/1993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</c:lvl>
              </c:multiLvlStrCache>
            </c:multiLvlStrRef>
          </c:cat>
          <c:val>
            <c:numRef>
              <c:f>Unaided!#REF!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6-4A7B-947B-9A3C27E1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38943"/>
        <c:axId val="1"/>
      </c:lineChart>
      <c:catAx>
        <c:axId val="178443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844389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0246452244318"/>
          <c:y val="5.6436703690184435E-2"/>
          <c:w val="0.23629012475135525"/>
          <c:h val="0.87766630164606907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lang="en-US" sz="10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First Diff - </a:t>
            </a:r>
            <a:r>
              <a:rPr lang="en-US" sz="1200" b="1" i="0" u="none" strike="noStrike" baseline="0">
                <a:effectLst/>
              </a:rPr>
              <a:t>Richmond Bank Total Core Deposits </a:t>
            </a:r>
            <a:endParaRPr lang="en-US"/>
          </a:p>
        </c:rich>
      </c:tx>
      <c:layout>
        <c:manualLayout>
          <c:xMode val="edge"/>
          <c:yMode val="edge"/>
          <c:x val="0.21315936206022426"/>
          <c:y val="6.28613197873401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7568323928504"/>
          <c:y val="0.25096572409983581"/>
          <c:w val="0.77292425825412603"/>
          <c:h val="0.65251088265957302"/>
        </c:manualLayout>
      </c:layout>
      <c:lineChart>
        <c:grouping val="standard"/>
        <c:varyColors val="0"/>
        <c:ser>
          <c:idx val="0"/>
          <c:order val="0"/>
          <c:tx>
            <c:strRef>
              <c:f>Naïve_FC!$F$2:$F$3</c:f>
              <c:strCache>
                <c:ptCount val="2"/>
                <c:pt idx="0">
                  <c:v>First
Diff</c:v>
                </c:pt>
                <c:pt idx="1">
                  <c:v>=C4-C3</c:v>
                </c:pt>
              </c:strCache>
            </c:strRef>
          </c:tx>
          <c:marker>
            <c:symbol val="none"/>
          </c:marker>
          <c:dLbls>
            <c:dLbl>
              <c:idx val="3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6-4F96-A837-7FD7F19C3B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5.2506320235574472E-2"/>
                  <c:y val="-0.6494204826425932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Naïve_FC!$B$4:$B$49</c:f>
              <c:numCache>
                <c:formatCode>m/d/yyyy</c:formatCode>
                <c:ptCount val="46"/>
                <c:pt idx="0">
                  <c:v>32508</c:v>
                </c:pt>
                <c:pt idx="1">
                  <c:v>32539</c:v>
                </c:pt>
                <c:pt idx="2">
                  <c:v>32567</c:v>
                </c:pt>
                <c:pt idx="3">
                  <c:v>32598</c:v>
                </c:pt>
                <c:pt idx="4">
                  <c:v>32628</c:v>
                </c:pt>
                <c:pt idx="5">
                  <c:v>32659</c:v>
                </c:pt>
                <c:pt idx="6">
                  <c:v>32689</c:v>
                </c:pt>
                <c:pt idx="7">
                  <c:v>32720</c:v>
                </c:pt>
                <c:pt idx="8">
                  <c:v>32751</c:v>
                </c:pt>
                <c:pt idx="9">
                  <c:v>32781</c:v>
                </c:pt>
                <c:pt idx="10">
                  <c:v>32812</c:v>
                </c:pt>
                <c:pt idx="11">
                  <c:v>32842</c:v>
                </c:pt>
                <c:pt idx="12">
                  <c:v>32873</c:v>
                </c:pt>
                <c:pt idx="13">
                  <c:v>32904</c:v>
                </c:pt>
                <c:pt idx="14">
                  <c:v>32932</c:v>
                </c:pt>
                <c:pt idx="15">
                  <c:v>32963</c:v>
                </c:pt>
                <c:pt idx="16">
                  <c:v>32993</c:v>
                </c:pt>
                <c:pt idx="17">
                  <c:v>33024</c:v>
                </c:pt>
                <c:pt idx="18">
                  <c:v>33054</c:v>
                </c:pt>
                <c:pt idx="19">
                  <c:v>33085</c:v>
                </c:pt>
                <c:pt idx="20">
                  <c:v>33116</c:v>
                </c:pt>
                <c:pt idx="21">
                  <c:v>33146</c:v>
                </c:pt>
                <c:pt idx="22">
                  <c:v>33177</c:v>
                </c:pt>
                <c:pt idx="23">
                  <c:v>33207</c:v>
                </c:pt>
                <c:pt idx="24">
                  <c:v>33238</c:v>
                </c:pt>
                <c:pt idx="25">
                  <c:v>33269</c:v>
                </c:pt>
                <c:pt idx="26">
                  <c:v>33297</c:v>
                </c:pt>
                <c:pt idx="27">
                  <c:v>33328</c:v>
                </c:pt>
                <c:pt idx="28">
                  <c:v>33358</c:v>
                </c:pt>
                <c:pt idx="29">
                  <c:v>33389</c:v>
                </c:pt>
                <c:pt idx="30">
                  <c:v>33419</c:v>
                </c:pt>
                <c:pt idx="31">
                  <c:v>33450</c:v>
                </c:pt>
                <c:pt idx="32">
                  <c:v>33481</c:v>
                </c:pt>
                <c:pt idx="33">
                  <c:v>33511</c:v>
                </c:pt>
                <c:pt idx="34">
                  <c:v>33542</c:v>
                </c:pt>
                <c:pt idx="35">
                  <c:v>33572</c:v>
                </c:pt>
                <c:pt idx="36">
                  <c:v>33603</c:v>
                </c:pt>
                <c:pt idx="37">
                  <c:v>33634</c:v>
                </c:pt>
                <c:pt idx="38">
                  <c:v>33663</c:v>
                </c:pt>
                <c:pt idx="39">
                  <c:v>33694</c:v>
                </c:pt>
                <c:pt idx="40">
                  <c:v>33724</c:v>
                </c:pt>
                <c:pt idx="41">
                  <c:v>33755</c:v>
                </c:pt>
                <c:pt idx="42">
                  <c:v>33785</c:v>
                </c:pt>
                <c:pt idx="43">
                  <c:v>33816</c:v>
                </c:pt>
                <c:pt idx="44">
                  <c:v>33847</c:v>
                </c:pt>
                <c:pt idx="45">
                  <c:v>33877</c:v>
                </c:pt>
              </c:numCache>
            </c:numRef>
          </c:cat>
          <c:val>
            <c:numRef>
              <c:f>Naïve_FC!$F$4:$F$49</c:f>
              <c:numCache>
                <c:formatCode>"$"#,##0.00</c:formatCode>
                <c:ptCount val="46"/>
                <c:pt idx="0">
                  <c:v>9</c:v>
                </c:pt>
                <c:pt idx="1">
                  <c:v>7</c:v>
                </c:pt>
                <c:pt idx="2">
                  <c:v>54</c:v>
                </c:pt>
                <c:pt idx="3">
                  <c:v>85</c:v>
                </c:pt>
                <c:pt idx="4">
                  <c:v>40</c:v>
                </c:pt>
                <c:pt idx="5">
                  <c:v>39</c:v>
                </c:pt>
                <c:pt idx="6">
                  <c:v>-46</c:v>
                </c:pt>
                <c:pt idx="7">
                  <c:v>37</c:v>
                </c:pt>
                <c:pt idx="8">
                  <c:v>40</c:v>
                </c:pt>
                <c:pt idx="9">
                  <c:v>24</c:v>
                </c:pt>
                <c:pt idx="10">
                  <c:v>45</c:v>
                </c:pt>
                <c:pt idx="11">
                  <c:v>10</c:v>
                </c:pt>
                <c:pt idx="12">
                  <c:v>21</c:v>
                </c:pt>
                <c:pt idx="13">
                  <c:v>38</c:v>
                </c:pt>
                <c:pt idx="14">
                  <c:v>58</c:v>
                </c:pt>
                <c:pt idx="15">
                  <c:v>99</c:v>
                </c:pt>
                <c:pt idx="16">
                  <c:v>14</c:v>
                </c:pt>
                <c:pt idx="17">
                  <c:v>119</c:v>
                </c:pt>
                <c:pt idx="18">
                  <c:v>82</c:v>
                </c:pt>
                <c:pt idx="19">
                  <c:v>61</c:v>
                </c:pt>
                <c:pt idx="20">
                  <c:v>46</c:v>
                </c:pt>
                <c:pt idx="21">
                  <c:v>58</c:v>
                </c:pt>
                <c:pt idx="22">
                  <c:v>65</c:v>
                </c:pt>
                <c:pt idx="23">
                  <c:v>15</c:v>
                </c:pt>
                <c:pt idx="24">
                  <c:v>27</c:v>
                </c:pt>
                <c:pt idx="25">
                  <c:v>28</c:v>
                </c:pt>
                <c:pt idx="26">
                  <c:v>101</c:v>
                </c:pt>
                <c:pt idx="27">
                  <c:v>117</c:v>
                </c:pt>
                <c:pt idx="28">
                  <c:v>49</c:v>
                </c:pt>
                <c:pt idx="29">
                  <c:v>2</c:v>
                </c:pt>
                <c:pt idx="30">
                  <c:v>599</c:v>
                </c:pt>
                <c:pt idx="31">
                  <c:v>203</c:v>
                </c:pt>
                <c:pt idx="32">
                  <c:v>-18</c:v>
                </c:pt>
                <c:pt idx="33">
                  <c:v>-2</c:v>
                </c:pt>
                <c:pt idx="34">
                  <c:v>-11</c:v>
                </c:pt>
                <c:pt idx="35">
                  <c:v>20</c:v>
                </c:pt>
                <c:pt idx="36">
                  <c:v>4</c:v>
                </c:pt>
                <c:pt idx="37">
                  <c:v>17</c:v>
                </c:pt>
                <c:pt idx="38">
                  <c:v>21</c:v>
                </c:pt>
                <c:pt idx="39">
                  <c:v>49</c:v>
                </c:pt>
                <c:pt idx="40">
                  <c:v>-4</c:v>
                </c:pt>
                <c:pt idx="41">
                  <c:v>-2</c:v>
                </c:pt>
                <c:pt idx="42">
                  <c:v>-6</c:v>
                </c:pt>
                <c:pt idx="43">
                  <c:v>10</c:v>
                </c:pt>
                <c:pt idx="44">
                  <c:v>44</c:v>
                </c:pt>
                <c:pt idx="45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5-40E8-8C2A-DF91F9F8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39343"/>
        <c:axId val="1"/>
      </c:lineChart>
      <c:dateAx>
        <c:axId val="17844393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439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Richmond Bank Total Core Deposits ($ millions)</a:t>
            </a:r>
          </a:p>
        </c:rich>
      </c:tx>
      <c:layout>
        <c:manualLayout>
          <c:xMode val="edge"/>
          <c:yMode val="edge"/>
          <c:x val="0.20823959901169625"/>
          <c:y val="5.46030513969811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7929042462958"/>
          <c:y val="0.22558996734916664"/>
          <c:w val="0.77517052152518495"/>
          <c:h val="0.62289767103874372"/>
        </c:manualLayout>
      </c:layout>
      <c:lineChart>
        <c:grouping val="standard"/>
        <c:varyColors val="0"/>
        <c:ser>
          <c:idx val="0"/>
          <c:order val="0"/>
          <c:tx>
            <c:strRef>
              <c:f>Naïve_FC!$C$2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15875">
                <a:solidFill>
                  <a:srgbClr val="000000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>
                <c:manualLayout>
                  <c:x val="6.6805904504626604E-2"/>
                  <c:y val="-0.2356908873173504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cat>
            <c:multiLvlStrRef>
              <c:f>Naïve_FC!$A$3:$B$49</c:f>
              <c:multiLvlStrCache>
                <c:ptCount val="47"/>
                <c:lvl>
                  <c:pt idx="0">
                    <c:v>11/30/1988</c:v>
                  </c:pt>
                  <c:pt idx="1">
                    <c:v>12/31/1988</c:v>
                  </c:pt>
                  <c:pt idx="2">
                    <c:v>1/31/1989</c:v>
                  </c:pt>
                  <c:pt idx="3">
                    <c:v>2/28/1989</c:v>
                  </c:pt>
                  <c:pt idx="4">
                    <c:v>3/31/1989</c:v>
                  </c:pt>
                  <c:pt idx="5">
                    <c:v>4/30/1989</c:v>
                  </c:pt>
                  <c:pt idx="6">
                    <c:v>5/31/1989</c:v>
                  </c:pt>
                  <c:pt idx="7">
                    <c:v>6/30/1989</c:v>
                  </c:pt>
                  <c:pt idx="8">
                    <c:v>7/31/1989</c:v>
                  </c:pt>
                  <c:pt idx="9">
                    <c:v>8/31/1989</c:v>
                  </c:pt>
                  <c:pt idx="10">
                    <c:v>9/30/1989</c:v>
                  </c:pt>
                  <c:pt idx="11">
                    <c:v>10/31/1989</c:v>
                  </c:pt>
                  <c:pt idx="12">
                    <c:v>11/30/1989</c:v>
                  </c:pt>
                  <c:pt idx="13">
                    <c:v>12/31/1989</c:v>
                  </c:pt>
                  <c:pt idx="14">
                    <c:v>1/31/1990</c:v>
                  </c:pt>
                  <c:pt idx="15">
                    <c:v>2/28/1990</c:v>
                  </c:pt>
                  <c:pt idx="16">
                    <c:v>3/31/1990</c:v>
                  </c:pt>
                  <c:pt idx="17">
                    <c:v>4/30/1990</c:v>
                  </c:pt>
                  <c:pt idx="18">
                    <c:v>5/31/1990</c:v>
                  </c:pt>
                  <c:pt idx="19">
                    <c:v>6/30/1990</c:v>
                  </c:pt>
                  <c:pt idx="20">
                    <c:v>7/31/1990</c:v>
                  </c:pt>
                  <c:pt idx="21">
                    <c:v>8/31/1990</c:v>
                  </c:pt>
                  <c:pt idx="22">
                    <c:v>9/30/1990</c:v>
                  </c:pt>
                  <c:pt idx="23">
                    <c:v>10/31/1990</c:v>
                  </c:pt>
                  <c:pt idx="24">
                    <c:v>11/30/1990</c:v>
                  </c:pt>
                  <c:pt idx="25">
                    <c:v>12/31/1990</c:v>
                  </c:pt>
                  <c:pt idx="26">
                    <c:v>1/31/1991</c:v>
                  </c:pt>
                  <c:pt idx="27">
                    <c:v>2/28/1991</c:v>
                  </c:pt>
                  <c:pt idx="28">
                    <c:v>3/31/1991</c:v>
                  </c:pt>
                  <c:pt idx="29">
                    <c:v>4/30/1991</c:v>
                  </c:pt>
                  <c:pt idx="30">
                    <c:v>5/31/1991</c:v>
                  </c:pt>
                  <c:pt idx="31">
                    <c:v>6/30/1991</c:v>
                  </c:pt>
                  <c:pt idx="32">
                    <c:v>7/31/1991</c:v>
                  </c:pt>
                  <c:pt idx="33">
                    <c:v>8/31/1991</c:v>
                  </c:pt>
                  <c:pt idx="34">
                    <c:v>9/30/1991</c:v>
                  </c:pt>
                  <c:pt idx="35">
                    <c:v>10/31/1991</c:v>
                  </c:pt>
                  <c:pt idx="36">
                    <c:v>11/30/1991</c:v>
                  </c:pt>
                  <c:pt idx="37">
                    <c:v>12/31/1991</c:v>
                  </c:pt>
                  <c:pt idx="38">
                    <c:v>1/31/1992</c:v>
                  </c:pt>
                  <c:pt idx="39">
                    <c:v>2/29/1992</c:v>
                  </c:pt>
                  <c:pt idx="40">
                    <c:v>3/31/1992</c:v>
                  </c:pt>
                  <c:pt idx="41">
                    <c:v>4/30/1992</c:v>
                  </c:pt>
                  <c:pt idx="42">
                    <c:v>5/31/1992</c:v>
                  </c:pt>
                  <c:pt idx="43">
                    <c:v>6/30/1992</c:v>
                  </c:pt>
                  <c:pt idx="44">
                    <c:v>7/31/1992</c:v>
                  </c:pt>
                  <c:pt idx="45">
                    <c:v>8/31/1992</c:v>
                  </c:pt>
                  <c:pt idx="46">
                    <c:v>9/30/1992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</c:lvl>
              </c:multiLvlStrCache>
            </c:multiLvlStrRef>
          </c:cat>
          <c:val>
            <c:numRef>
              <c:f>Naïve_FC!$C$3:$C$49</c:f>
              <c:numCache>
                <c:formatCode>"$"#,##0.00</c:formatCode>
                <c:ptCount val="47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3-45FE-8C0C-F6B71EAF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38943"/>
        <c:axId val="1"/>
      </c:lineChart>
      <c:catAx>
        <c:axId val="1784438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844389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lang="en-US" sz="1000" b="0" i="0" u="none" strike="noStrike" kern="1200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baseline="0"/>
              <a:t>Core Deposits Naïve FC</a:t>
            </a:r>
            <a:endParaRPr lang="en-US"/>
          </a:p>
        </c:rich>
      </c:tx>
      <c:layout>
        <c:manualLayout>
          <c:xMode val="edge"/>
          <c:yMode val="edge"/>
          <c:x val="0.27439524731241299"/>
          <c:y val="3.5903715258768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8407425138115"/>
          <c:y val="0.2114806745076982"/>
          <c:w val="0.85454254126311291"/>
          <c:h val="0.68103583589937133"/>
        </c:manualLayout>
      </c:layout>
      <c:lineChart>
        <c:grouping val="standard"/>
        <c:varyColors val="0"/>
        <c:ser>
          <c:idx val="0"/>
          <c:order val="0"/>
          <c:tx>
            <c:strRef>
              <c:f>Naïve_FC!$C$2</c:f>
              <c:strCache>
                <c:ptCount val="1"/>
                <c:pt idx="0">
                  <c:v>Total Core Deposits        ($ millions)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Naïve_FC!$B$3:$B$64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  <c:pt idx="59">
                  <c:v>34273</c:v>
                </c:pt>
                <c:pt idx="60">
                  <c:v>34303</c:v>
                </c:pt>
                <c:pt idx="61">
                  <c:v>34334</c:v>
                </c:pt>
              </c:numCache>
            </c:numRef>
          </c:cat>
          <c:val>
            <c:numRef>
              <c:f>Naïve_FC!$C$3:$C$64</c:f>
              <c:numCache>
                <c:formatCode>"$"#,##0.00</c:formatCode>
                <c:ptCount val="62"/>
                <c:pt idx="0">
                  <c:v>3761</c:v>
                </c:pt>
                <c:pt idx="1">
                  <c:v>3770</c:v>
                </c:pt>
                <c:pt idx="2">
                  <c:v>3777</c:v>
                </c:pt>
                <c:pt idx="3">
                  <c:v>3831</c:v>
                </c:pt>
                <c:pt idx="4">
                  <c:v>3916</c:v>
                </c:pt>
                <c:pt idx="5">
                  <c:v>3956</c:v>
                </c:pt>
                <c:pt idx="6">
                  <c:v>3995</c:v>
                </c:pt>
                <c:pt idx="7">
                  <c:v>3949</c:v>
                </c:pt>
                <c:pt idx="8">
                  <c:v>3986</c:v>
                </c:pt>
                <c:pt idx="9">
                  <c:v>4026</c:v>
                </c:pt>
                <c:pt idx="10">
                  <c:v>4050</c:v>
                </c:pt>
                <c:pt idx="11">
                  <c:v>4095</c:v>
                </c:pt>
                <c:pt idx="12">
                  <c:v>4105</c:v>
                </c:pt>
                <c:pt idx="13">
                  <c:v>4126</c:v>
                </c:pt>
                <c:pt idx="14">
                  <c:v>4164</c:v>
                </c:pt>
                <c:pt idx="15">
                  <c:v>4222</c:v>
                </c:pt>
                <c:pt idx="16">
                  <c:v>4321</c:v>
                </c:pt>
                <c:pt idx="17">
                  <c:v>4335</c:v>
                </c:pt>
                <c:pt idx="18">
                  <c:v>4454</c:v>
                </c:pt>
                <c:pt idx="19">
                  <c:v>4536</c:v>
                </c:pt>
                <c:pt idx="20">
                  <c:v>4597</c:v>
                </c:pt>
                <c:pt idx="21">
                  <c:v>4643</c:v>
                </c:pt>
                <c:pt idx="22">
                  <c:v>4701</c:v>
                </c:pt>
                <c:pt idx="23">
                  <c:v>4766</c:v>
                </c:pt>
                <c:pt idx="24">
                  <c:v>4781</c:v>
                </c:pt>
                <c:pt idx="25">
                  <c:v>4808</c:v>
                </c:pt>
                <c:pt idx="26">
                  <c:v>4836</c:v>
                </c:pt>
                <c:pt idx="27">
                  <c:v>4937</c:v>
                </c:pt>
                <c:pt idx="28">
                  <c:v>5054</c:v>
                </c:pt>
                <c:pt idx="29">
                  <c:v>5103</c:v>
                </c:pt>
                <c:pt idx="30">
                  <c:v>5105</c:v>
                </c:pt>
                <c:pt idx="31">
                  <c:v>5704</c:v>
                </c:pt>
                <c:pt idx="32">
                  <c:v>5907</c:v>
                </c:pt>
                <c:pt idx="33">
                  <c:v>5889</c:v>
                </c:pt>
                <c:pt idx="34">
                  <c:v>5887</c:v>
                </c:pt>
                <c:pt idx="35">
                  <c:v>5876</c:v>
                </c:pt>
                <c:pt idx="36">
                  <c:v>5896</c:v>
                </c:pt>
                <c:pt idx="37">
                  <c:v>5900</c:v>
                </c:pt>
                <c:pt idx="38">
                  <c:v>5917</c:v>
                </c:pt>
                <c:pt idx="39">
                  <c:v>5938</c:v>
                </c:pt>
                <c:pt idx="40">
                  <c:v>5987</c:v>
                </c:pt>
                <c:pt idx="41">
                  <c:v>5983</c:v>
                </c:pt>
                <c:pt idx="42">
                  <c:v>5981</c:v>
                </c:pt>
                <c:pt idx="43">
                  <c:v>5975</c:v>
                </c:pt>
                <c:pt idx="44">
                  <c:v>5985</c:v>
                </c:pt>
                <c:pt idx="45">
                  <c:v>6029</c:v>
                </c:pt>
                <c:pt idx="46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E6-4844-B6FC-AFE27309EF84}"/>
            </c:ext>
          </c:extLst>
        </c:ser>
        <c:ser>
          <c:idx val="1"/>
          <c:order val="1"/>
          <c:tx>
            <c:strRef>
              <c:f>Naïve_FC!$D$2</c:f>
              <c:strCache>
                <c:ptCount val="1"/>
                <c:pt idx="0">
                  <c:v>Naïve
Forecast</c:v>
                </c:pt>
              </c:strCache>
            </c:strRef>
          </c:tx>
          <c:spPr>
            <a:ln w="15875">
              <a:prstDash val="sysDash"/>
            </a:ln>
          </c:spPr>
          <c:marker>
            <c:symbol val="none"/>
          </c:marker>
          <c:cat>
            <c:numRef>
              <c:f>Naïve_FC!$B$3:$B$64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  <c:pt idx="59">
                  <c:v>34273</c:v>
                </c:pt>
                <c:pt idx="60">
                  <c:v>34303</c:v>
                </c:pt>
                <c:pt idx="61">
                  <c:v>34334</c:v>
                </c:pt>
              </c:numCache>
            </c:numRef>
          </c:cat>
          <c:val>
            <c:numRef>
              <c:f>Naïve_FC!$D$3:$D$64</c:f>
              <c:numCache>
                <c:formatCode>"$"#,##0.00</c:formatCode>
                <c:ptCount val="62"/>
                <c:pt idx="47">
                  <c:v>6024</c:v>
                </c:pt>
                <c:pt idx="48">
                  <c:v>6024</c:v>
                </c:pt>
                <c:pt idx="49">
                  <c:v>6024</c:v>
                </c:pt>
                <c:pt idx="50">
                  <c:v>6024</c:v>
                </c:pt>
                <c:pt idx="51">
                  <c:v>6024</c:v>
                </c:pt>
                <c:pt idx="52">
                  <c:v>6024</c:v>
                </c:pt>
                <c:pt idx="53">
                  <c:v>6024</c:v>
                </c:pt>
                <c:pt idx="54">
                  <c:v>6024</c:v>
                </c:pt>
                <c:pt idx="55">
                  <c:v>6024</c:v>
                </c:pt>
                <c:pt idx="56">
                  <c:v>6024</c:v>
                </c:pt>
                <c:pt idx="57">
                  <c:v>6024</c:v>
                </c:pt>
                <c:pt idx="58">
                  <c:v>6024</c:v>
                </c:pt>
                <c:pt idx="59">
                  <c:v>6024</c:v>
                </c:pt>
                <c:pt idx="60">
                  <c:v>6024</c:v>
                </c:pt>
                <c:pt idx="61">
                  <c:v>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E6-4844-B6FC-AFE27309EF84}"/>
            </c:ext>
          </c:extLst>
        </c:ser>
        <c:ser>
          <c:idx val="2"/>
          <c:order val="2"/>
          <c:tx>
            <c:strRef>
              <c:f>Naïve_FC!$E$2</c:f>
              <c:strCache>
                <c:ptCount val="1"/>
                <c:pt idx="0">
                  <c:v>Forecast
 Rev. </c:v>
                </c:pt>
              </c:strCache>
            </c:strRef>
          </c:tx>
          <c:spPr>
            <a:ln w="15875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Naïve_FC!$B$3:$B$64</c:f>
              <c:numCache>
                <c:formatCode>m/d/yyyy</c:formatCode>
                <c:ptCount val="62"/>
                <c:pt idx="0">
                  <c:v>32477</c:v>
                </c:pt>
                <c:pt idx="1">
                  <c:v>32508</c:v>
                </c:pt>
                <c:pt idx="2">
                  <c:v>32539</c:v>
                </c:pt>
                <c:pt idx="3">
                  <c:v>32567</c:v>
                </c:pt>
                <c:pt idx="4">
                  <c:v>32598</c:v>
                </c:pt>
                <c:pt idx="5">
                  <c:v>32628</c:v>
                </c:pt>
                <c:pt idx="6">
                  <c:v>32659</c:v>
                </c:pt>
                <c:pt idx="7">
                  <c:v>32689</c:v>
                </c:pt>
                <c:pt idx="8">
                  <c:v>32720</c:v>
                </c:pt>
                <c:pt idx="9">
                  <c:v>32751</c:v>
                </c:pt>
                <c:pt idx="10">
                  <c:v>32781</c:v>
                </c:pt>
                <c:pt idx="11">
                  <c:v>32812</c:v>
                </c:pt>
                <c:pt idx="12">
                  <c:v>32842</c:v>
                </c:pt>
                <c:pt idx="13">
                  <c:v>32873</c:v>
                </c:pt>
                <c:pt idx="14">
                  <c:v>32904</c:v>
                </c:pt>
                <c:pt idx="15">
                  <c:v>32932</c:v>
                </c:pt>
                <c:pt idx="16">
                  <c:v>32963</c:v>
                </c:pt>
                <c:pt idx="17">
                  <c:v>32993</c:v>
                </c:pt>
                <c:pt idx="18">
                  <c:v>33024</c:v>
                </c:pt>
                <c:pt idx="19">
                  <c:v>33054</c:v>
                </c:pt>
                <c:pt idx="20">
                  <c:v>33085</c:v>
                </c:pt>
                <c:pt idx="21">
                  <c:v>33116</c:v>
                </c:pt>
                <c:pt idx="22">
                  <c:v>33146</c:v>
                </c:pt>
                <c:pt idx="23">
                  <c:v>33177</c:v>
                </c:pt>
                <c:pt idx="24">
                  <c:v>33207</c:v>
                </c:pt>
                <c:pt idx="25">
                  <c:v>33238</c:v>
                </c:pt>
                <c:pt idx="26">
                  <c:v>33269</c:v>
                </c:pt>
                <c:pt idx="27">
                  <c:v>33297</c:v>
                </c:pt>
                <c:pt idx="28">
                  <c:v>33328</c:v>
                </c:pt>
                <c:pt idx="29">
                  <c:v>33358</c:v>
                </c:pt>
                <c:pt idx="30">
                  <c:v>33389</c:v>
                </c:pt>
                <c:pt idx="31">
                  <c:v>33419</c:v>
                </c:pt>
                <c:pt idx="32">
                  <c:v>33450</c:v>
                </c:pt>
                <c:pt idx="33">
                  <c:v>33481</c:v>
                </c:pt>
                <c:pt idx="34">
                  <c:v>33511</c:v>
                </c:pt>
                <c:pt idx="35">
                  <c:v>33542</c:v>
                </c:pt>
                <c:pt idx="36">
                  <c:v>33572</c:v>
                </c:pt>
                <c:pt idx="37">
                  <c:v>33603</c:v>
                </c:pt>
                <c:pt idx="38">
                  <c:v>33634</c:v>
                </c:pt>
                <c:pt idx="39">
                  <c:v>33663</c:v>
                </c:pt>
                <c:pt idx="40">
                  <c:v>33694</c:v>
                </c:pt>
                <c:pt idx="41">
                  <c:v>33724</c:v>
                </c:pt>
                <c:pt idx="42">
                  <c:v>33755</c:v>
                </c:pt>
                <c:pt idx="43">
                  <c:v>33785</c:v>
                </c:pt>
                <c:pt idx="44">
                  <c:v>33816</c:v>
                </c:pt>
                <c:pt idx="45">
                  <c:v>33847</c:v>
                </c:pt>
                <c:pt idx="46">
                  <c:v>33877</c:v>
                </c:pt>
                <c:pt idx="47">
                  <c:v>33908</c:v>
                </c:pt>
                <c:pt idx="48">
                  <c:v>33938</c:v>
                </c:pt>
                <c:pt idx="49">
                  <c:v>33969</c:v>
                </c:pt>
                <c:pt idx="50">
                  <c:v>34000</c:v>
                </c:pt>
                <c:pt idx="51">
                  <c:v>34028</c:v>
                </c:pt>
                <c:pt idx="52">
                  <c:v>34059</c:v>
                </c:pt>
                <c:pt idx="53">
                  <c:v>34089</c:v>
                </c:pt>
                <c:pt idx="54">
                  <c:v>34120</c:v>
                </c:pt>
                <c:pt idx="55">
                  <c:v>34150</c:v>
                </c:pt>
                <c:pt idx="56">
                  <c:v>34181</c:v>
                </c:pt>
                <c:pt idx="57">
                  <c:v>34212</c:v>
                </c:pt>
                <c:pt idx="58">
                  <c:v>34242</c:v>
                </c:pt>
                <c:pt idx="59">
                  <c:v>34273</c:v>
                </c:pt>
                <c:pt idx="60">
                  <c:v>34303</c:v>
                </c:pt>
                <c:pt idx="61">
                  <c:v>34334</c:v>
                </c:pt>
              </c:numCache>
            </c:numRef>
          </c:cat>
          <c:val>
            <c:numRef>
              <c:f>Naïve_FC!$E$3:$E$64</c:f>
              <c:numCache>
                <c:formatCode>"$"#,##0.00</c:formatCode>
                <c:ptCount val="62"/>
                <c:pt idx="47">
                  <c:v>6019</c:v>
                </c:pt>
                <c:pt idx="48">
                  <c:v>6014</c:v>
                </c:pt>
                <c:pt idx="49">
                  <c:v>6009</c:v>
                </c:pt>
                <c:pt idx="50">
                  <c:v>6004</c:v>
                </c:pt>
                <c:pt idx="51">
                  <c:v>5999</c:v>
                </c:pt>
                <c:pt idx="52">
                  <c:v>5994</c:v>
                </c:pt>
                <c:pt idx="53">
                  <c:v>5989</c:v>
                </c:pt>
                <c:pt idx="54">
                  <c:v>5984</c:v>
                </c:pt>
                <c:pt idx="55">
                  <c:v>5979</c:v>
                </c:pt>
                <c:pt idx="56">
                  <c:v>5974</c:v>
                </c:pt>
                <c:pt idx="57">
                  <c:v>5969</c:v>
                </c:pt>
                <c:pt idx="58">
                  <c:v>5964</c:v>
                </c:pt>
                <c:pt idx="59">
                  <c:v>5959</c:v>
                </c:pt>
                <c:pt idx="60">
                  <c:v>5954</c:v>
                </c:pt>
                <c:pt idx="61">
                  <c:v>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E6-4844-B6FC-AFE27309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37679"/>
        <c:axId val="1"/>
        <c:extLst/>
      </c:lineChart>
      <c:dateAx>
        <c:axId val="5587376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5"/>
        <c:minorUnit val="1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7376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869897428219202"/>
          <c:y val="3.6624580785164729E-2"/>
          <c:w val="0.24384015781090929"/>
          <c:h val="0.144533267002324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607784</xdr:colOff>
      <xdr:row>16</xdr:row>
      <xdr:rowOff>18144</xdr:rowOff>
    </xdr:from>
    <xdr:to>
      <xdr:col>20</xdr:col>
      <xdr:colOff>326570</xdr:colOff>
      <xdr:row>31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181427</xdr:rowOff>
    </xdr:from>
    <xdr:to>
      <xdr:col>20</xdr:col>
      <xdr:colOff>317500</xdr:colOff>
      <xdr:row>15</xdr:row>
      <xdr:rowOff>99786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607785</xdr:colOff>
      <xdr:row>31</xdr:row>
      <xdr:rowOff>181428</xdr:rowOff>
    </xdr:from>
    <xdr:to>
      <xdr:col>20</xdr:col>
      <xdr:colOff>408214</xdr:colOff>
      <xdr:row>46</xdr:row>
      <xdr:rowOff>54428</xdr:rowOff>
    </xdr:to>
    <xdr:graphicFrame macro="">
      <xdr:nvGraphicFramePr>
        <xdr:cNvPr id="7" name="Chart 1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598714</xdr:colOff>
      <xdr:row>47</xdr:row>
      <xdr:rowOff>54429</xdr:rowOff>
    </xdr:from>
    <xdr:to>
      <xdr:col>20</xdr:col>
      <xdr:colOff>471714</xdr:colOff>
      <xdr:row>62</xdr:row>
      <xdr:rowOff>81643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177800</xdr:colOff>
      <xdr:row>1</xdr:row>
      <xdr:rowOff>66675</xdr:rowOff>
    </xdr:from>
    <xdr:to>
      <xdr:col>24</xdr:col>
      <xdr:colOff>57150</xdr:colOff>
      <xdr:row>21</xdr:row>
      <xdr:rowOff>73025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21</xdr:row>
      <xdr:rowOff>133349</xdr:rowOff>
    </xdr:from>
    <xdr:to>
      <xdr:col>23</xdr:col>
      <xdr:colOff>257175</xdr:colOff>
      <xdr:row>47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48</xdr:row>
      <xdr:rowOff>25401</xdr:rowOff>
    </xdr:from>
    <xdr:to>
      <xdr:col>23</xdr:col>
      <xdr:colOff>333375</xdr:colOff>
      <xdr:row>68</xdr:row>
      <xdr:rowOff>149226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152027</xdr:colOff>
      <xdr:row>0</xdr:row>
      <xdr:rowOff>77321</xdr:rowOff>
    </xdr:from>
    <xdr:to>
      <xdr:col>9</xdr:col>
      <xdr:colOff>144770</xdr:colOff>
      <xdr:row>5</xdr:row>
      <xdr:rowOff>115762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7380" y="77321"/>
          <a:ext cx="1430271" cy="934912"/>
        </a:xfrm>
        <a:prstGeom prst="rect">
          <a:avLst/>
        </a:prstGeom>
        <a:solidFill>
          <a:srgbClr val="FF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525688</xdr:colOff>
      <xdr:row>2</xdr:row>
      <xdr:rowOff>114308</xdr:rowOff>
    </xdr:from>
    <xdr:to>
      <xdr:col>20</xdr:col>
      <xdr:colOff>1095375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620485</xdr:colOff>
      <xdr:row>30</xdr:row>
      <xdr:rowOff>18595</xdr:rowOff>
    </xdr:from>
    <xdr:to>
      <xdr:col>20</xdr:col>
      <xdr:colOff>911225</xdr:colOff>
      <xdr:row>52</xdr:row>
      <xdr:rowOff>67582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534706</xdr:colOff>
      <xdr:row>53</xdr:row>
      <xdr:rowOff>6537</xdr:rowOff>
    </xdr:from>
    <xdr:to>
      <xdr:col>21</xdr:col>
      <xdr:colOff>1066799</xdr:colOff>
      <xdr:row>75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37</xdr:row>
      <xdr:rowOff>111131</xdr:rowOff>
    </xdr:from>
    <xdr:to>
      <xdr:col>25</xdr:col>
      <xdr:colOff>254000</xdr:colOff>
      <xdr:row>67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0</xdr:row>
      <xdr:rowOff>143104</xdr:rowOff>
    </xdr:from>
    <xdr:to>
      <xdr:col>14</xdr:col>
      <xdr:colOff>290346</xdr:colOff>
      <xdr:row>18</xdr:row>
      <xdr:rowOff>404157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0800" y="143104"/>
          <a:ext cx="5452896" cy="3575753"/>
        </a:xfrm>
        <a:prstGeom prst="rect">
          <a:avLst/>
        </a:prstGeom>
      </xdr:spPr>
    </xdr:pic>
    <xdr:clientData/>
  </xdr:twoCellAnchor>
  <xdr:twoCellAnchor>
    <xdr:from>
      <xdr:col>5</xdr:col>
      <xdr:colOff>73024</xdr:colOff>
      <xdr:row>19</xdr:row>
      <xdr:rowOff>76200</xdr:rowOff>
    </xdr:from>
    <xdr:to>
      <xdr:col>15</xdr:col>
      <xdr:colOff>228599</xdr:colOff>
      <xdr:row>48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590550</xdr:colOff>
          <xdr:row>1</xdr:row>
          <xdr:rowOff>6350</xdr:rowOff>
        </xdr:from>
        <xdr:to>
          <xdr:col>11</xdr:col>
          <xdr:colOff>19050</xdr:colOff>
          <xdr:row>6</xdr:row>
          <xdr:rowOff>234950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D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381000</xdr:colOff>
          <xdr:row>4</xdr:row>
          <xdr:rowOff>12700</xdr:rowOff>
        </xdr:from>
        <xdr:to>
          <xdr:col>17</xdr:col>
          <xdr:colOff>127000</xdr:colOff>
          <xdr:row>7</xdr:row>
          <xdr:rowOff>44450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D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438150</xdr:colOff>
          <xdr:row>5</xdr:row>
          <xdr:rowOff>184150</xdr:rowOff>
        </xdr:from>
        <xdr:to>
          <xdr:col>13</xdr:col>
          <xdr:colOff>590550</xdr:colOff>
          <xdr:row>7</xdr:row>
          <xdr:rowOff>152400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D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476250</xdr:colOff>
          <xdr:row>1</xdr:row>
          <xdr:rowOff>31750</xdr:rowOff>
        </xdr:from>
        <xdr:to>
          <xdr:col>20</xdr:col>
          <xdr:colOff>476250</xdr:colOff>
          <xdr:row>3</xdr:row>
          <xdr:rowOff>69850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D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298450</xdr:colOff>
          <xdr:row>2</xdr:row>
          <xdr:rowOff>19050</xdr:rowOff>
        </xdr:from>
        <xdr:to>
          <xdr:col>15</xdr:col>
          <xdr:colOff>571500</xdr:colOff>
          <xdr:row>4</xdr:row>
          <xdr:rowOff>38100</xdr:rowOff>
        </xdr:to>
        <xdr:sp macro="" textlink="">
          <xdr:nvSpPr>
            <xdr:cNvPr id="13318" name="Object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D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</xdr:spPr>
        </xdr:sp>
        <xdr:clientData/>
      </xdr:twoCellAnchor>
    </mc:Choice>
    <mc:Fallback/>
  </mc:AlternateContent>
  <xdr:twoCellAnchor>
    <xdr:from>
      <xdr:col>12</xdr:col>
      <xdr:colOff>47624</xdr:colOff>
      <xdr:row>44</xdr:row>
      <xdr:rowOff>6351</xdr:rowOff>
    </xdr:from>
    <xdr:to>
      <xdr:col>23</xdr:col>
      <xdr:colOff>577850</xdr:colOff>
      <xdr:row>76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263525</xdr:colOff>
      <xdr:row>1</xdr:row>
      <xdr:rowOff>104775</xdr:rowOff>
    </xdr:from>
    <xdr:to>
      <xdr:col>23</xdr:col>
      <xdr:colOff>371475</xdr:colOff>
      <xdr:row>25</xdr:row>
      <xdr:rowOff>63500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230187</xdr:colOff>
      <xdr:row>43</xdr:row>
      <xdr:rowOff>123825</xdr:rowOff>
    </xdr:from>
    <xdr:to>
      <xdr:col>21</xdr:col>
      <xdr:colOff>415925</xdr:colOff>
      <xdr:row>66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0</xdr:row>
          <xdr:rowOff>152400</xdr:rowOff>
        </xdr:from>
        <xdr:to>
          <xdr:col>14</xdr:col>
          <xdr:colOff>260350</xdr:colOff>
          <xdr:row>4</xdr:row>
          <xdr:rowOff>88900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F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0</xdr:row>
          <xdr:rowOff>69850</xdr:rowOff>
        </xdr:from>
        <xdr:to>
          <xdr:col>17</xdr:col>
          <xdr:colOff>69850</xdr:colOff>
          <xdr:row>5</xdr:row>
          <xdr:rowOff>476250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F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114300</xdr:colOff>
          <xdr:row>57</xdr:row>
          <xdr:rowOff>0</xdr:rowOff>
        </xdr:from>
        <xdr:to>
          <xdr:col>14</xdr:col>
          <xdr:colOff>146050</xdr:colOff>
          <xdr:row>62</xdr:row>
          <xdr:rowOff>12700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F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274637</xdr:colOff>
      <xdr:row>34</xdr:row>
      <xdr:rowOff>120655</xdr:rowOff>
    </xdr:from>
    <xdr:to>
      <xdr:col>26</xdr:col>
      <xdr:colOff>85725</xdr:colOff>
      <xdr:row>66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86271</xdr:colOff>
      <xdr:row>61</xdr:row>
      <xdr:rowOff>28760</xdr:rowOff>
    </xdr:from>
    <xdr:to>
      <xdr:col>14</xdr:col>
      <xdr:colOff>342900</xdr:colOff>
      <xdr:row>99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571630</xdr:colOff>
      <xdr:row>63</xdr:row>
      <xdr:rowOff>139794</xdr:rowOff>
    </xdr:from>
    <xdr:to>
      <xdr:col>28</xdr:col>
      <xdr:colOff>633761</xdr:colOff>
      <xdr:row>96</xdr:row>
      <xdr:rowOff>65079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160057</xdr:colOff>
      <xdr:row>65</xdr:row>
      <xdr:rowOff>163233</xdr:rowOff>
    </xdr:from>
    <xdr:to>
      <xdr:col>46</xdr:col>
      <xdr:colOff>115234</xdr:colOff>
      <xdr:row>96</xdr:row>
      <xdr:rowOff>67235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193277</xdr:colOff>
      <xdr:row>28</xdr:row>
      <xdr:rowOff>163909</xdr:rowOff>
    </xdr:from>
    <xdr:to>
      <xdr:col>13</xdr:col>
      <xdr:colOff>1428749</xdr:colOff>
      <xdr:row>48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599280</xdr:colOff>
      <xdr:row>40</xdr:row>
      <xdr:rowOff>112712</xdr:rowOff>
    </xdr:from>
    <xdr:to>
      <xdr:col>6</xdr:col>
      <xdr:colOff>-1</xdr:colOff>
      <xdr:row>57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1D6EF-519E-4EAA-9F18-0F6ED87DB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30443</xdr:rowOff>
    </xdr:from>
    <xdr:to>
      <xdr:col>13</xdr:col>
      <xdr:colOff>134471</xdr:colOff>
      <xdr:row>43</xdr:row>
      <xdr:rowOff>22412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161925</xdr:rowOff>
    </xdr:from>
    <xdr:to>
      <xdr:col>20</xdr:col>
      <xdr:colOff>247650</xdr:colOff>
      <xdr:row>18</xdr:row>
      <xdr:rowOff>142875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20</xdr:row>
      <xdr:rowOff>152486</xdr:rowOff>
    </xdr:from>
    <xdr:to>
      <xdr:col>19</xdr:col>
      <xdr:colOff>141061</xdr:colOff>
      <xdr:row>35</xdr:row>
      <xdr:rowOff>139826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283525</xdr:colOff>
      <xdr:row>2</xdr:row>
      <xdr:rowOff>88034</xdr:rowOff>
    </xdr:from>
    <xdr:to>
      <xdr:col>19</xdr:col>
      <xdr:colOff>16825</xdr:colOff>
      <xdr:row>18</xdr:row>
      <xdr:rowOff>18804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704597</xdr:colOff>
      <xdr:row>39</xdr:row>
      <xdr:rowOff>122686</xdr:rowOff>
    </xdr:from>
    <xdr:to>
      <xdr:col>20</xdr:col>
      <xdr:colOff>520700</xdr:colOff>
      <xdr:row>65</xdr:row>
      <xdr:rowOff>87166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272438</xdr:colOff>
      <xdr:row>7</xdr:row>
      <xdr:rowOff>61121</xdr:rowOff>
    </xdr:from>
    <xdr:to>
      <xdr:col>23</xdr:col>
      <xdr:colOff>310249</xdr:colOff>
      <xdr:row>44</xdr:row>
      <xdr:rowOff>56030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61</xdr:row>
      <xdr:rowOff>38098</xdr:rowOff>
    </xdr:from>
    <xdr:to>
      <xdr:col>16</xdr:col>
      <xdr:colOff>111125</xdr:colOff>
      <xdr:row>101</xdr:row>
      <xdr:rowOff>168275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1</xdr:row>
      <xdr:rowOff>82734</xdr:rowOff>
    </xdr:from>
    <xdr:to>
      <xdr:col>20</xdr:col>
      <xdr:colOff>315447</xdr:colOff>
      <xdr:row>32</xdr:row>
      <xdr:rowOff>66860</xdr:rowOff>
    </xdr:to>
    <xdr:graphicFrame macro="">
      <xdr:nvGraphicFramePr>
        <xdr:cNvPr id="2" name="Chart 2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141943</xdr:colOff>
      <xdr:row>19</xdr:row>
      <xdr:rowOff>14995</xdr:rowOff>
    </xdr:from>
    <xdr:to>
      <xdr:col>29</xdr:col>
      <xdr:colOff>75774</xdr:colOff>
      <xdr:row>34</xdr:row>
      <xdr:rowOff>191515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1</xdr:row>
      <xdr:rowOff>82734</xdr:rowOff>
    </xdr:from>
    <xdr:to>
      <xdr:col>20</xdr:col>
      <xdr:colOff>315447</xdr:colOff>
      <xdr:row>32</xdr:row>
      <xdr:rowOff>66860</xdr:rowOff>
    </xdr:to>
    <xdr:graphicFrame macro="">
      <xdr:nvGraphicFramePr>
        <xdr:cNvPr id="2" name="Chart 2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141943</xdr:colOff>
      <xdr:row>19</xdr:row>
      <xdr:rowOff>14995</xdr:rowOff>
    </xdr:from>
    <xdr:to>
      <xdr:col>29</xdr:col>
      <xdr:colOff>75774</xdr:colOff>
      <xdr:row>34</xdr:row>
      <xdr:rowOff>191515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710828</xdr:colOff>
      <xdr:row>2</xdr:row>
      <xdr:rowOff>133908</xdr:rowOff>
    </xdr:from>
    <xdr:to>
      <xdr:col>21</xdr:col>
      <xdr:colOff>197039</xdr:colOff>
      <xdr:row>33</xdr:row>
      <xdr:rowOff>130921</xdr:rowOff>
    </xdr:to>
    <xdr:graphicFrame macro="">
      <xdr:nvGraphicFramePr>
        <xdr:cNvPr id="2" name="Chart 2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509042</xdr:colOff>
      <xdr:row>20</xdr:row>
      <xdr:rowOff>7550</xdr:rowOff>
    </xdr:from>
    <xdr:to>
      <xdr:col>29</xdr:col>
      <xdr:colOff>436523</xdr:colOff>
      <xdr:row>35</xdr:row>
      <xdr:rowOff>163793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yce" id="{6E8ECB98-B295-4258-88A4-FF9B4A78945D}" userId="Bryce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.My_Forecast_Test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 Bowles" refreshedDate="44307.324999537035" createdVersion="6" refreshedVersion="6" minRefreshableVersion="3" recordCount="47" xr:uid="{5BF4D34F-A46B-4550-A901-A259FF7C8F1D}">
  <cacheSource type="worksheet">
    <worksheetSource ref="B1:E48" sheet="6m CMA Naïve w Seasonals_FC"/>
  </cacheSource>
  <cacheFields count="6">
    <cacheField name="Month/Year" numFmtId="14">
      <sharedItems containsSemiMixedTypes="0" containsNonDate="0" containsDate="1" containsString="0" minDate="1988-11-30T00:00:00" maxDate="1992-10-01T00:00:00" count="47">
        <d v="1988-11-30T00:00:00"/>
        <d v="1988-12-31T00:00:00"/>
        <d v="1989-01-31T00:00:00"/>
        <d v="1989-02-28T00:00:00"/>
        <d v="1989-03-31T00:00:00"/>
        <d v="1989-04-30T00:00:00"/>
        <d v="1989-05-31T00:00:00"/>
        <d v="1989-06-30T00:00:00"/>
        <d v="1989-07-31T00:00:00"/>
        <d v="1989-08-31T00:00:00"/>
        <d v="1989-09-30T00:00:00"/>
        <d v="1989-10-31T00:00:00"/>
        <d v="1989-11-30T00:00:00"/>
        <d v="1989-12-31T00:00:00"/>
        <d v="1990-01-31T00:00:00"/>
        <d v="1990-02-28T00:00:00"/>
        <d v="1990-03-31T00:00:00"/>
        <d v="1990-04-30T00:00:00"/>
        <d v="1990-05-31T00:00:00"/>
        <d v="1990-06-30T00:00:00"/>
        <d v="1990-07-31T00:00:00"/>
        <d v="1990-08-31T00:00:00"/>
        <d v="1990-09-30T00:00:00"/>
        <d v="1990-10-31T00:00:00"/>
        <d v="1990-11-30T00:00:00"/>
        <d v="1990-12-31T00:00:00"/>
        <d v="1991-01-31T00:00:00"/>
        <d v="1991-02-28T00:00:00"/>
        <d v="1991-03-31T00:00:00"/>
        <d v="1991-04-30T00:00:00"/>
        <d v="1991-05-31T00:00:00"/>
        <d v="1991-06-30T00:00:00"/>
        <d v="1991-07-31T00:00:00"/>
        <d v="1991-08-31T00:00:00"/>
        <d v="1991-09-30T00:00:00"/>
        <d v="1991-10-31T00:00:00"/>
        <d v="1991-11-30T00:00:00"/>
        <d v="1991-12-31T00:00:00"/>
        <d v="1992-01-31T00:00:00"/>
        <d v="1992-02-29T00:00:00"/>
        <d v="1992-03-31T00:00:00"/>
        <d v="1992-04-30T00:00:00"/>
        <d v="1992-05-31T00:00:00"/>
        <d v="1992-06-30T00:00:00"/>
        <d v="1992-07-31T00:00:00"/>
        <d v="1992-08-31T00:00:00"/>
        <d v="1992-09-30T00:00:00"/>
      </sharedItems>
      <fieldGroup par="5" base="0">
        <rangePr groupBy="months" startDate="1988-11-30T00:00:00" endDate="1992-10-01T00:00:00"/>
        <groupItems count="14">
          <s v="&lt;11/30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1992"/>
        </groupItems>
      </fieldGroup>
    </cacheField>
    <cacheField name="Total Core Deposits        ($ millions)" numFmtId="164">
      <sharedItems containsSemiMixedTypes="0" containsString="0" containsNumber="1" containsInteger="1" minValue="3761" maxValue="6029"/>
    </cacheField>
    <cacheField name="CMA (6)_x000a_Adj" numFmtId="0">
      <sharedItems containsString="0" containsBlank="1" containsNumber="1" minValue="3854.6666666666665" maxValue="5993.083333333333"/>
    </cacheField>
    <cacheField name="Season_x000a_ Ratio" numFmtId="0">
      <sharedItems containsString="0" containsBlank="1" containsNumber="1" minValue="0.92318820923188205" maxValue="1.0195175974801156"/>
    </cacheField>
    <cacheField name="Quarters" numFmtId="0" databaseField="0">
      <fieldGroup base="0">
        <rangePr groupBy="quarters" startDate="1988-11-30T00:00:00" endDate="1992-10-01T00:00:00"/>
        <groupItems count="6">
          <s v="&lt;11/30/1988"/>
          <s v="Qtr1"/>
          <s v="Qtr2"/>
          <s v="Qtr3"/>
          <s v="Qtr4"/>
          <s v="&gt;10/1/1992"/>
        </groupItems>
      </fieldGroup>
    </cacheField>
    <cacheField name="Years" numFmtId="0" databaseField="0">
      <fieldGroup base="0">
        <rangePr groupBy="years" startDate="1988-11-30T00:00:00" endDate="1992-10-01T00:00:00"/>
        <groupItems count="7">
          <s v="&lt;11/30/1988"/>
          <s v="1988"/>
          <s v="1989"/>
          <s v="1990"/>
          <s v="1991"/>
          <s v="1992"/>
          <s v="&gt;10/1/199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 Bowles" refreshedDate="44307.339592129632" createdVersion="6" refreshedVersion="6" minRefreshableVersion="3" recordCount="47" xr:uid="{3BED3D8D-5950-4D9B-8011-DF1F91592D90}">
  <cacheSource type="worksheet">
    <worksheetSource ref="A1:F48" sheet="Moving Averages"/>
  </cacheSource>
  <cacheFields count="8">
    <cacheField name="t" numFmtId="0">
      <sharedItems containsSemiMixedTypes="0" containsString="0" containsNumber="1" containsInteger="1" minValue="1" maxValue="47"/>
    </cacheField>
    <cacheField name="Month/Year" numFmtId="14">
      <sharedItems containsSemiMixedTypes="0" containsNonDate="0" containsDate="1" containsString="0" minDate="1988-11-30T00:00:00" maxDate="1992-10-01T00:00:00" count="47">
        <d v="1988-11-30T00:00:00"/>
        <d v="1988-12-31T00:00:00"/>
        <d v="1989-01-31T00:00:00"/>
        <d v="1989-02-28T00:00:00"/>
        <d v="1989-03-31T00:00:00"/>
        <d v="1989-04-30T00:00:00"/>
        <d v="1989-05-31T00:00:00"/>
        <d v="1989-06-30T00:00:00"/>
        <d v="1989-07-31T00:00:00"/>
        <d v="1989-08-31T00:00:00"/>
        <d v="1989-09-30T00:00:00"/>
        <d v="1989-10-31T00:00:00"/>
        <d v="1989-11-30T00:00:00"/>
        <d v="1989-12-31T00:00:00"/>
        <d v="1990-01-31T00:00:00"/>
        <d v="1990-02-28T00:00:00"/>
        <d v="1990-03-31T00:00:00"/>
        <d v="1990-04-30T00:00:00"/>
        <d v="1990-05-31T00:00:00"/>
        <d v="1990-06-30T00:00:00"/>
        <d v="1990-07-31T00:00:00"/>
        <d v="1990-08-31T00:00:00"/>
        <d v="1990-09-30T00:00:00"/>
        <d v="1990-10-31T00:00:00"/>
        <d v="1990-11-30T00:00:00"/>
        <d v="1990-12-31T00:00:00"/>
        <d v="1991-01-31T00:00:00"/>
        <d v="1991-02-28T00:00:00"/>
        <d v="1991-03-31T00:00:00"/>
        <d v="1991-04-30T00:00:00"/>
        <d v="1991-05-31T00:00:00"/>
        <d v="1991-06-30T00:00:00"/>
        <d v="1991-07-31T00:00:00"/>
        <d v="1991-08-31T00:00:00"/>
        <d v="1991-09-30T00:00:00"/>
        <d v="1991-10-31T00:00:00"/>
        <d v="1991-11-30T00:00:00"/>
        <d v="1991-12-31T00:00:00"/>
        <d v="1992-01-31T00:00:00"/>
        <d v="1992-02-29T00:00:00"/>
        <d v="1992-03-31T00:00:00"/>
        <d v="1992-04-30T00:00:00"/>
        <d v="1992-05-31T00:00:00"/>
        <d v="1992-06-30T00:00:00"/>
        <d v="1992-07-31T00:00:00"/>
        <d v="1992-08-31T00:00:00"/>
        <d v="1992-09-30T00:00:00"/>
      </sharedItems>
      <fieldGroup par="7" base="1">
        <rangePr groupBy="months" startDate="1988-11-30T00:00:00" endDate="1992-10-01T00:00:00"/>
        <groupItems count="14">
          <s v="&lt;11/30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1992"/>
        </groupItems>
      </fieldGroup>
    </cacheField>
    <cacheField name="Total Core Deposits        ($ millions)" numFmtId="164">
      <sharedItems containsSemiMixedTypes="0" containsString="0" containsNumber="1" containsInteger="1" minValue="3761" maxValue="6029"/>
    </cacheField>
    <cacheField name="Naïve_x000a_Forecast" numFmtId="164">
      <sharedItems containsString="0" containsBlank="1" containsNumber="1" containsInteger="1" minValue="3761" maxValue="6029"/>
    </cacheField>
    <cacheField name="3 Mo. Avg" numFmtId="0">
      <sharedItems containsString="0" containsBlank="1" containsNumber="1" minValue="3769.3333333333335" maxValue="5996.333333333333"/>
    </cacheField>
    <cacheField name="Season Ratio" numFmtId="173">
      <sharedItems containsString="0" containsBlank="1" containsNumber="1" minValue="0.99688966804275303" maxValue="1.1212160922552745"/>
    </cacheField>
    <cacheField name="Quarters" numFmtId="0" databaseField="0">
      <fieldGroup base="1">
        <rangePr groupBy="quarters" startDate="1988-11-30T00:00:00" endDate="1992-10-01T00:00:00"/>
        <groupItems count="6">
          <s v="&lt;11/30/1988"/>
          <s v="Qtr1"/>
          <s v="Qtr2"/>
          <s v="Qtr3"/>
          <s v="Qtr4"/>
          <s v="&gt;10/1/1992"/>
        </groupItems>
      </fieldGroup>
    </cacheField>
    <cacheField name="Years" numFmtId="0" databaseField="0">
      <fieldGroup base="1">
        <rangePr groupBy="years" startDate="1988-11-30T00:00:00" endDate="1992-10-01T00:00:00"/>
        <groupItems count="7">
          <s v="&lt;11/30/1988"/>
          <s v="1988"/>
          <s v="1989"/>
          <s v="1990"/>
          <s v="1991"/>
          <s v="1992"/>
          <s v="&gt;10/1/199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 Bowles" refreshedDate="44307.360344907407" createdVersion="6" refreshedVersion="6" minRefreshableVersion="3" recordCount="59" xr:uid="{ADBCF32D-10B8-4573-8A0B-873BD818D5FE}">
  <cacheSource type="worksheet">
    <worksheetSource ref="A1:P60" sheet="Moving Averages"/>
  </cacheSource>
  <cacheFields count="18">
    <cacheField name="t" numFmtId="0">
      <sharedItems containsSemiMixedTypes="0" containsString="0" containsNumber="1" containsInteger="1" minValue="1" maxValue="59"/>
    </cacheField>
    <cacheField name="Month/Year" numFmtId="14">
      <sharedItems containsSemiMixedTypes="0" containsNonDate="0" containsDate="1" containsString="0" minDate="1988-11-30T00:00:00" maxDate="1993-10-01T00:00:00" count="59">
        <d v="1988-11-30T00:00:00"/>
        <d v="1988-12-31T00:00:00"/>
        <d v="1989-01-31T00:00:00"/>
        <d v="1989-02-28T00:00:00"/>
        <d v="1989-03-31T00:00:00"/>
        <d v="1989-04-30T00:00:00"/>
        <d v="1989-05-31T00:00:00"/>
        <d v="1989-06-30T00:00:00"/>
        <d v="1989-07-31T00:00:00"/>
        <d v="1989-08-31T00:00:00"/>
        <d v="1989-09-30T00:00:00"/>
        <d v="1989-10-31T00:00:00"/>
        <d v="1989-11-30T00:00:00"/>
        <d v="1989-12-31T00:00:00"/>
        <d v="1990-01-31T00:00:00"/>
        <d v="1990-02-28T00:00:00"/>
        <d v="1990-03-31T00:00:00"/>
        <d v="1990-04-30T00:00:00"/>
        <d v="1990-05-31T00:00:00"/>
        <d v="1990-06-30T00:00:00"/>
        <d v="1990-07-31T00:00:00"/>
        <d v="1990-08-31T00:00:00"/>
        <d v="1990-09-30T00:00:00"/>
        <d v="1990-10-31T00:00:00"/>
        <d v="1990-11-30T00:00:00"/>
        <d v="1990-12-31T00:00:00"/>
        <d v="1991-01-31T00:00:00"/>
        <d v="1991-02-28T00:00:00"/>
        <d v="1991-03-31T00:00:00"/>
        <d v="1991-04-30T00:00:00"/>
        <d v="1991-05-31T00:00:00"/>
        <d v="1991-06-30T00:00:00"/>
        <d v="1991-07-31T00:00:00"/>
        <d v="1991-08-31T00:00:00"/>
        <d v="1991-09-30T00:00:00"/>
        <d v="1991-10-31T00:00:00"/>
        <d v="1991-11-30T00:00:00"/>
        <d v="1991-12-31T00:00:00"/>
        <d v="1992-01-31T00:00:00"/>
        <d v="1992-02-29T00:00:00"/>
        <d v="1992-03-31T00:00:00"/>
        <d v="1992-04-30T00:00:00"/>
        <d v="1992-05-31T00:00:00"/>
        <d v="1992-06-30T00:00:00"/>
        <d v="1992-07-31T00:00:00"/>
        <d v="1992-08-31T00:00:00"/>
        <d v="1992-09-30T00:00:00"/>
        <d v="1992-10-31T00:00:00"/>
        <d v="1992-11-30T00:00:00"/>
        <d v="1992-12-31T00:00:00"/>
        <d v="1993-01-31T00:00:00"/>
        <d v="1993-02-28T00:00:00"/>
        <d v="1993-03-31T00:00:00"/>
        <d v="1993-04-30T00:00:00"/>
        <d v="1993-05-31T00:00:00"/>
        <d v="1993-06-30T00:00:00"/>
        <d v="1993-07-31T00:00:00"/>
        <d v="1993-08-31T00:00:00"/>
        <d v="1993-09-30T00:00:00"/>
      </sharedItems>
      <fieldGroup par="17" base="1">
        <rangePr groupBy="months" startDate="1988-11-30T00:00:00" endDate="1993-10-01T00:00:00"/>
        <groupItems count="14">
          <s v="&lt;11/30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1993"/>
        </groupItems>
      </fieldGroup>
    </cacheField>
    <cacheField name="Total Core Deposits        ($ millions)" numFmtId="164">
      <sharedItems containsString="0" containsBlank="1" containsNumber="1" containsInteger="1" minValue="3761" maxValue="6029"/>
    </cacheField>
    <cacheField name="Naïve_x000a_Forecast" numFmtId="164">
      <sharedItems containsString="0" containsBlank="1" containsNumber="1" containsInteger="1" minValue="3761" maxValue="6029"/>
    </cacheField>
    <cacheField name="3 Mo. Avg" numFmtId="0">
      <sharedItems containsString="0" containsBlank="1" containsNumber="1" minValue="3769.3333333333335" maxValue="6012.666666666667"/>
    </cacheField>
    <cacheField name="Season Ratio" numFmtId="173">
      <sharedItems containsString="0" containsBlank="1" containsNumber="1" minValue="0.99688966804275303" maxValue="1.1212160922552745"/>
    </cacheField>
    <cacheField name="Seasonal Adj Ratio" numFmtId="173">
      <sharedItems containsString="0" containsBlank="1" containsNumber="1" minValue="0.98791596334468756" maxValue="1.0179369726405254"/>
    </cacheField>
    <cacheField name="FC" numFmtId="44">
      <sharedItems containsString="0" containsBlank="1" containsNumber="1" minValue="3873.4136175010526" maxValue="6004.8698080467866"/>
    </cacheField>
    <cacheField name="3M Naïve Sea Adj_x000a_Forecast" numFmtId="44">
      <sharedItems containsString="0" containsBlank="1" containsNumber="1" minValue="5994.9691469381205" maxValue="5994.9691469381205"/>
    </cacheField>
    <cacheField name="3M Naïve w/Seasonals_x000a_Forecast" numFmtId="44">
      <sharedItems containsString="0" containsBlank="1" containsNumber="1" minValue="5922.5257200190536" maxValue="6102.5007445075435"/>
    </cacheField>
    <cacheField name="6 Mo. Avg" numFmtId="0">
      <sharedItems containsString="0" containsBlank="1" containsNumber="1" minValue="3835.1666666666665" maxValue="5996.166666666667"/>
    </cacheField>
    <cacheField name="Season Ratio2" numFmtId="0">
      <sharedItems containsString="0" containsBlank="1" containsNumber="1" minValue="1.0036052653642995" maxValue="1.1529978203585021"/>
    </cacheField>
    <cacheField name="Seasonal Adj Ratio2" numFmtId="173">
      <sharedItems containsString="0" containsBlank="1" containsNumber="1" containsInteger="1" minValue="0" maxValue="0"/>
    </cacheField>
    <cacheField name="FC2" numFmtId="44">
      <sharedItems containsBlank="1"/>
    </cacheField>
    <cacheField name="6M Naïve Sea Adj_x000a_Forecast" numFmtId="44">
      <sharedItems containsBlank="1"/>
    </cacheField>
    <cacheField name="6M Naïve w/Seasonals_x000a_Forecast" numFmtId="44">
      <sharedItems containsBlank="1"/>
    </cacheField>
    <cacheField name="Quarters" numFmtId="0" databaseField="0">
      <fieldGroup base="1">
        <rangePr groupBy="quarters" startDate="1988-11-30T00:00:00" endDate="1993-10-01T00:00:00"/>
        <groupItems count="6">
          <s v="&lt;11/30/1988"/>
          <s v="Qtr1"/>
          <s v="Qtr2"/>
          <s v="Qtr3"/>
          <s v="Qtr4"/>
          <s v="&gt;10/1/1993"/>
        </groupItems>
      </fieldGroup>
    </cacheField>
    <cacheField name="Years" numFmtId="0" databaseField="0">
      <fieldGroup base="1">
        <rangePr groupBy="years" startDate="1988-11-30T00:00:00" endDate="1993-10-01T00:00:00"/>
        <groupItems count="8">
          <s v="&lt;11/30/1988"/>
          <s v="1988"/>
          <s v="1989"/>
          <s v="1990"/>
          <s v="1991"/>
          <s v="1992"/>
          <s v="1993"/>
          <s v="&gt;10/1/199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ce Bowles" refreshedDate="44307.324999537035" createdVersion="6" refreshedVersion="6" minRefreshableVersion="3" recordCount="47" xr:uid="{5B864F6F-FA12-4ACB-874A-0473406F218E}">
  <cacheSource type="worksheet">
    <worksheetSource ref="B1:E48" sheet="6m CMA Naïve w Seasonals_FC" r:id="rId2"/>
  </cacheSource>
  <cacheFields count="6">
    <cacheField name="Month/Year" numFmtId="14">
      <sharedItems containsSemiMixedTypes="0" containsNonDate="0" containsDate="1" containsString="0" minDate="1988-11-30T00:00:00" maxDate="1992-10-01T00:00:00" count="47">
        <d v="1988-11-30T00:00:00"/>
        <d v="1988-12-31T00:00:00"/>
        <d v="1989-01-31T00:00:00"/>
        <d v="1989-02-28T00:00:00"/>
        <d v="1989-03-31T00:00:00"/>
        <d v="1989-04-30T00:00:00"/>
        <d v="1989-05-31T00:00:00"/>
        <d v="1989-06-30T00:00:00"/>
        <d v="1989-07-31T00:00:00"/>
        <d v="1989-08-31T00:00:00"/>
        <d v="1989-09-30T00:00:00"/>
        <d v="1989-10-31T00:00:00"/>
        <d v="1989-11-30T00:00:00"/>
        <d v="1989-12-31T00:00:00"/>
        <d v="1990-01-31T00:00:00"/>
        <d v="1990-02-28T00:00:00"/>
        <d v="1990-03-31T00:00:00"/>
        <d v="1990-04-30T00:00:00"/>
        <d v="1990-05-31T00:00:00"/>
        <d v="1990-06-30T00:00:00"/>
        <d v="1990-07-31T00:00:00"/>
        <d v="1990-08-31T00:00:00"/>
        <d v="1990-09-30T00:00:00"/>
        <d v="1990-10-31T00:00:00"/>
        <d v="1990-11-30T00:00:00"/>
        <d v="1990-12-31T00:00:00"/>
        <d v="1991-01-31T00:00:00"/>
        <d v="1991-02-28T00:00:00"/>
        <d v="1991-03-31T00:00:00"/>
        <d v="1991-04-30T00:00:00"/>
        <d v="1991-05-31T00:00:00"/>
        <d v="1991-06-30T00:00:00"/>
        <d v="1991-07-31T00:00:00"/>
        <d v="1991-08-31T00:00:00"/>
        <d v="1991-09-30T00:00:00"/>
        <d v="1991-10-31T00:00:00"/>
        <d v="1991-11-30T00:00:00"/>
        <d v="1991-12-31T00:00:00"/>
        <d v="1992-01-31T00:00:00"/>
        <d v="1992-02-29T00:00:00"/>
        <d v="1992-03-31T00:00:00"/>
        <d v="1992-04-30T00:00:00"/>
        <d v="1992-05-31T00:00:00"/>
        <d v="1992-06-30T00:00:00"/>
        <d v="1992-07-31T00:00:00"/>
        <d v="1992-08-31T00:00:00"/>
        <d v="1992-09-30T00:00:00"/>
      </sharedItems>
      <fieldGroup par="5" base="0">
        <rangePr groupBy="months" startDate="1988-11-30T00:00:00" endDate="1992-10-01T00:00:00"/>
        <groupItems count="14">
          <s v="&lt;11/30/198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1992"/>
        </groupItems>
      </fieldGroup>
    </cacheField>
    <cacheField name="Total Core Deposits        ($ millions)" numFmtId="164">
      <sharedItems containsSemiMixedTypes="0" containsString="0" containsNumber="1" containsInteger="1" minValue="3761" maxValue="6029"/>
    </cacheField>
    <cacheField name="CMA (6)_x000a_Adj" numFmtId="0">
      <sharedItems containsString="0" containsBlank="1" containsNumber="1" minValue="3854.6666666666665" maxValue="5993.083333333333"/>
    </cacheField>
    <cacheField name="Season_x000a_ Ratio" numFmtId="0">
      <sharedItems containsString="0" containsBlank="1" containsNumber="1" minValue="0.92318820923188205" maxValue="1.0195175974801156"/>
    </cacheField>
    <cacheField name="Quarters" numFmtId="0" databaseField="0">
      <fieldGroup base="0">
        <rangePr groupBy="quarters" startDate="1988-11-30T00:00:00" endDate="1992-10-01T00:00:00"/>
        <groupItems count="6">
          <s v="&lt;11/30/1988"/>
          <s v="Qtr1"/>
          <s v="Qtr2"/>
          <s v="Qtr3"/>
          <s v="Qtr4"/>
          <s v="&gt;10/1/1992"/>
        </groupItems>
      </fieldGroup>
    </cacheField>
    <cacheField name="Years" numFmtId="0" databaseField="0">
      <fieldGroup base="0">
        <rangePr groupBy="years" startDate="1988-11-30T00:00:00" endDate="1992-10-01T00:00:00"/>
        <groupItems count="7">
          <s v="&lt;11/30/1988"/>
          <s v="1988"/>
          <s v="1989"/>
          <s v="1990"/>
          <s v="1991"/>
          <s v="1992"/>
          <s v="&gt;10/1/199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3761"/>
    <m/>
    <m/>
  </r>
  <r>
    <x v="1"/>
    <n v="3770"/>
    <m/>
    <m/>
  </r>
  <r>
    <x v="2"/>
    <n v="3777"/>
    <n v="3854.6666666666665"/>
    <n v="0.97985126253891386"/>
  </r>
  <r>
    <x v="3"/>
    <n v="3831"/>
    <n v="3889.0833333333335"/>
    <n v="0.98506503246266253"/>
  </r>
  <r>
    <x v="4"/>
    <n v="3916"/>
    <n v="3921.4166666666665"/>
    <n v="0.99861869647448842"/>
  </r>
  <r>
    <x v="5"/>
    <n v="3956"/>
    <n v="3955.0833333333335"/>
    <n v="1.0002317692421145"/>
  </r>
  <r>
    <x v="6"/>
    <n v="3995"/>
    <n v="3982.5"/>
    <n v="1.0031387319522913"/>
  </r>
  <r>
    <x v="7"/>
    <n v="3949"/>
    <n v="4005.25"/>
    <n v="0.98595593283814997"/>
  </r>
  <r>
    <x v="8"/>
    <n v="3986"/>
    <n v="4026"/>
    <n v="0.99006458022851462"/>
  </r>
  <r>
    <x v="9"/>
    <n v="4026"/>
    <n v="4049.9166666666665"/>
    <n v="0.99409452869400605"/>
  </r>
  <r>
    <x v="10"/>
    <n v="4050"/>
    <n v="4079.5"/>
    <n v="0.99276872165706587"/>
  </r>
  <r>
    <x v="11"/>
    <n v="4095"/>
    <n v="4110.666666666667"/>
    <n v="0.9961887771650989"/>
  </r>
  <r>
    <x v="12"/>
    <n v="4105"/>
    <n v="4149.583333333333"/>
    <n v="0.98925594939250938"/>
  </r>
  <r>
    <x v="13"/>
    <n v="4126"/>
    <n v="4192.166666666667"/>
    <n v="0.98421659444201481"/>
  </r>
  <r>
    <x v="14"/>
    <n v="4164"/>
    <n v="4241.25"/>
    <n v="0.98178603006189213"/>
  </r>
  <r>
    <x v="15"/>
    <n v="4222"/>
    <n v="4304.5"/>
    <n v="0.98083401091880595"/>
  </r>
  <r>
    <x v="16"/>
    <n v="4321"/>
    <n v="4374.75"/>
    <n v="0.98771358363335049"/>
  </r>
  <r>
    <x v="17"/>
    <n v="4335"/>
    <n v="4445.916666666667"/>
    <n v="0.97505201402035568"/>
  </r>
  <r>
    <x v="18"/>
    <n v="4454"/>
    <n v="4512.666666666667"/>
    <n v="0.98699955680307272"/>
  </r>
  <r>
    <x v="19"/>
    <n v="4536"/>
    <n v="4580.25"/>
    <n v="0.99033895529719995"/>
  </r>
  <r>
    <x v="20"/>
    <n v="4597"/>
    <n v="4643.416666666667"/>
    <n v="0.99000376877658325"/>
  </r>
  <r>
    <x v="21"/>
    <n v="4643"/>
    <n v="4693.333333333333"/>
    <n v="0.98927556818181828"/>
  </r>
  <r>
    <x v="22"/>
    <n v="4701"/>
    <n v="4735.916666666667"/>
    <n v="0.99262726328940187"/>
  </r>
  <r>
    <x v="23"/>
    <n v="4766"/>
    <n v="4780.333333333333"/>
    <n v="0.99700160379331992"/>
  </r>
  <r>
    <x v="24"/>
    <n v="4781"/>
    <n v="4834.25"/>
    <n v="0.98898484770129802"/>
  </r>
  <r>
    <x v="25"/>
    <n v="4808"/>
    <n v="4891.75"/>
    <n v="0.98287933766034652"/>
  </r>
  <r>
    <x v="26"/>
    <n v="4836"/>
    <n v="4946.833333333333"/>
    <n v="0.97759509450490223"/>
  </r>
  <r>
    <x v="27"/>
    <n v="4937"/>
    <n v="5048.5"/>
    <n v="0.9779142319500842"/>
  </r>
  <r>
    <x v="28"/>
    <n v="5054"/>
    <n v="5212.416666666667"/>
    <n v="0.96960782746326879"/>
  </r>
  <r>
    <x v="29"/>
    <n v="5103"/>
    <n v="5381"/>
    <n v="0.94833674038282845"/>
  </r>
  <r>
    <x v="30"/>
    <n v="5105"/>
    <n v="5529.75"/>
    <n v="0.92318820923188205"/>
  </r>
  <r>
    <x v="31"/>
    <n v="5704"/>
    <n v="5663.583333333333"/>
    <n v="1.0071362358930596"/>
  </r>
  <r>
    <x v="32"/>
    <n v="5907"/>
    <n v="5793.916666666667"/>
    <n v="1.0195175974801156"/>
  </r>
  <r>
    <x v="33"/>
    <n v="5889"/>
    <n v="5876.166666666667"/>
    <n v="1.0021839634682475"/>
  </r>
  <r>
    <x v="34"/>
    <n v="5887"/>
    <n v="5893.333333333333"/>
    <n v="0.99892533936651584"/>
  </r>
  <r>
    <x v="35"/>
    <n v="5876"/>
    <n v="5898.25"/>
    <n v="0.99622769465519434"/>
  </r>
  <r>
    <x v="36"/>
    <n v="5896"/>
    <n v="5910.666666666667"/>
    <n v="0.9975186104218362"/>
  </r>
  <r>
    <x v="37"/>
    <n v="5900"/>
    <n v="5927.916666666667"/>
    <n v="0.99529064454909677"/>
  </r>
  <r>
    <x v="38"/>
    <n v="5917"/>
    <n v="5943.916666666667"/>
    <n v="0.99547156055911501"/>
  </r>
  <r>
    <x v="39"/>
    <n v="5938"/>
    <n v="5957.25"/>
    <n v="0.99676864324982162"/>
  </r>
  <r>
    <x v="40"/>
    <n v="5987"/>
    <n v="5969.166666666667"/>
    <n v="1.0029875750383916"/>
  </r>
  <r>
    <x v="41"/>
    <n v="5983"/>
    <n v="5982.416666666667"/>
    <n v="1.0000975079747594"/>
  </r>
  <r>
    <x v="42"/>
    <n v="5981"/>
    <n v="5993.083333333333"/>
    <n v="0.99798378686541434"/>
  </r>
  <r>
    <x v="43"/>
    <n v="5975"/>
    <m/>
    <m/>
  </r>
  <r>
    <x v="44"/>
    <n v="5985"/>
    <m/>
    <m/>
  </r>
  <r>
    <x v="45"/>
    <n v="6029"/>
    <m/>
    <m/>
  </r>
  <r>
    <x v="46"/>
    <n v="60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n v="1"/>
    <x v="0"/>
    <n v="3761"/>
    <m/>
    <m/>
    <m/>
  </r>
  <r>
    <n v="2"/>
    <x v="1"/>
    <n v="3770"/>
    <n v="3761"/>
    <m/>
    <m/>
  </r>
  <r>
    <n v="3"/>
    <x v="2"/>
    <n v="3777"/>
    <n v="3770"/>
    <m/>
    <m/>
  </r>
  <r>
    <n v="4"/>
    <x v="3"/>
    <n v="3831"/>
    <n v="3777"/>
    <n v="3769.3333333333335"/>
    <n v="1.016360099044924"/>
  </r>
  <r>
    <n v="5"/>
    <x v="4"/>
    <n v="3916"/>
    <n v="3831"/>
    <n v="3792.6666666666665"/>
    <n v="1.0325188961153102"/>
  </r>
  <r>
    <n v="6"/>
    <x v="5"/>
    <n v="3956"/>
    <n v="3916"/>
    <n v="3841.3333333333335"/>
    <n v="1.0298507462686566"/>
  </r>
  <r>
    <n v="7"/>
    <x v="6"/>
    <n v="3995"/>
    <n v="3956"/>
    <n v="3901"/>
    <n v="1.0240963855421688"/>
  </r>
  <r>
    <n v="8"/>
    <x v="7"/>
    <n v="3949"/>
    <n v="3995"/>
    <n v="3955.6666666666665"/>
    <n v="0.99831465408275055"/>
  </r>
  <r>
    <n v="9"/>
    <x v="8"/>
    <n v="3986"/>
    <n v="3949"/>
    <n v="3966.6666666666665"/>
    <n v="1.004873949579832"/>
  </r>
  <r>
    <n v="10"/>
    <x v="9"/>
    <n v="4026"/>
    <n v="3986"/>
    <n v="3976.6666666666665"/>
    <n v="1.0124056999161777"/>
  </r>
  <r>
    <n v="11"/>
    <x v="10"/>
    <n v="4050"/>
    <n v="4026"/>
    <n v="3987"/>
    <n v="1.0158013544018059"/>
  </r>
  <r>
    <n v="12"/>
    <x v="11"/>
    <n v="4095"/>
    <n v="4050"/>
    <n v="4020.6666666666665"/>
    <n v="1.0184878129663406"/>
  </r>
  <r>
    <n v="13"/>
    <x v="12"/>
    <n v="4105"/>
    <n v="4095"/>
    <n v="4057"/>
    <n v="1.011831402514173"/>
  </r>
  <r>
    <n v="14"/>
    <x v="13"/>
    <n v="4126"/>
    <n v="4105"/>
    <n v="4083.3333333333335"/>
    <n v="1.0104489795918368"/>
  </r>
  <r>
    <n v="15"/>
    <x v="14"/>
    <n v="4164"/>
    <n v="4126"/>
    <n v="4108.666666666667"/>
    <n v="1.0134674671426254"/>
  </r>
  <r>
    <n v="16"/>
    <x v="15"/>
    <n v="4222"/>
    <n v="4164"/>
    <n v="4131.666666666667"/>
    <n v="1.0218636546994755"/>
  </r>
  <r>
    <n v="17"/>
    <x v="16"/>
    <n v="4321"/>
    <n v="4222"/>
    <n v="4170.666666666667"/>
    <n v="1.0360453964194372"/>
  </r>
  <r>
    <n v="18"/>
    <x v="17"/>
    <n v="4335"/>
    <n v="4321"/>
    <n v="4235.666666666667"/>
    <n v="1.02345164082789"/>
  </r>
  <r>
    <n v="19"/>
    <x v="18"/>
    <n v="4454"/>
    <n v="4335"/>
    <n v="4292.666666666667"/>
    <n v="1.0375834756949835"/>
  </r>
  <r>
    <n v="20"/>
    <x v="19"/>
    <n v="4536"/>
    <n v="4454"/>
    <n v="4370"/>
    <n v="1.0379862700228832"/>
  </r>
  <r>
    <n v="21"/>
    <x v="20"/>
    <n v="4597"/>
    <n v="4536"/>
    <n v="4441.666666666667"/>
    <n v="1.0349718574108817"/>
  </r>
  <r>
    <n v="22"/>
    <x v="21"/>
    <n v="4643"/>
    <n v="4597"/>
    <n v="4529"/>
    <n v="1.0251711194524178"/>
  </r>
  <r>
    <n v="23"/>
    <x v="22"/>
    <n v="4701"/>
    <n v="4643"/>
    <n v="4592"/>
    <n v="1.0237369337979094"/>
  </r>
  <r>
    <n v="24"/>
    <x v="23"/>
    <n v="4766"/>
    <n v="4701"/>
    <n v="4647"/>
    <n v="1.0256079190875833"/>
  </r>
  <r>
    <n v="25"/>
    <x v="24"/>
    <n v="4781"/>
    <n v="4766"/>
    <n v="4703.333333333333"/>
    <n v="1.0165131112686039"/>
  </r>
  <r>
    <n v="26"/>
    <x v="25"/>
    <n v="4808"/>
    <n v="4781"/>
    <n v="4749.333333333333"/>
    <n v="1.012352610892757"/>
  </r>
  <r>
    <n v="27"/>
    <x v="26"/>
    <n v="4836"/>
    <n v="4808"/>
    <n v="4785"/>
    <n v="1.0106583072100312"/>
  </r>
  <r>
    <n v="28"/>
    <x v="27"/>
    <n v="4937"/>
    <n v="4836"/>
    <n v="4808.333333333333"/>
    <n v="1.0267590987868285"/>
  </r>
  <r>
    <n v="29"/>
    <x v="28"/>
    <n v="5054"/>
    <n v="4937"/>
    <n v="4860.333333333333"/>
    <n v="1.0398463754200673"/>
  </r>
  <r>
    <n v="30"/>
    <x v="29"/>
    <n v="5103"/>
    <n v="5054"/>
    <n v="4942.333333333333"/>
    <n v="1.0325082619545425"/>
  </r>
  <r>
    <n v="31"/>
    <x v="30"/>
    <n v="5105"/>
    <n v="5103"/>
    <n v="5031.333333333333"/>
    <n v="1.0146415794355375"/>
  </r>
  <r>
    <n v="32"/>
    <x v="31"/>
    <n v="5704"/>
    <n v="5105"/>
    <n v="5087.333333333333"/>
    <n v="1.1212160922552745"/>
  </r>
  <r>
    <n v="33"/>
    <x v="32"/>
    <n v="5907"/>
    <n v="5704"/>
    <n v="5304"/>
    <n v="1.1136877828054299"/>
  </r>
  <r>
    <n v="34"/>
    <x v="33"/>
    <n v="5889"/>
    <n v="5907"/>
    <n v="5572"/>
    <n v="1.0568916008614502"/>
  </r>
  <r>
    <n v="35"/>
    <x v="34"/>
    <n v="5887"/>
    <n v="5889"/>
    <n v="5833.333333333333"/>
    <n v="1.0092000000000001"/>
  </r>
  <r>
    <n v="36"/>
    <x v="35"/>
    <n v="5876"/>
    <n v="5887"/>
    <n v="5894.333333333333"/>
    <n v="0.99688966804275303"/>
  </r>
  <r>
    <n v="37"/>
    <x v="36"/>
    <n v="5896"/>
    <n v="5876"/>
    <n v="5884"/>
    <n v="1.0020394289598913"/>
  </r>
  <r>
    <n v="38"/>
    <x v="37"/>
    <n v="5900"/>
    <n v="5896"/>
    <n v="5886.333333333333"/>
    <n v="1.0023217622741944"/>
  </r>
  <r>
    <n v="39"/>
    <x v="38"/>
    <n v="5917"/>
    <n v="5900"/>
    <n v="5890.666666666667"/>
    <n v="1.0044703485740154"/>
  </r>
  <r>
    <n v="40"/>
    <x v="39"/>
    <n v="5938"/>
    <n v="5917"/>
    <n v="5904.333333333333"/>
    <n v="1.0057020267600068"/>
  </r>
  <r>
    <n v="41"/>
    <x v="40"/>
    <n v="5987"/>
    <n v="5938"/>
    <n v="5918.333333333333"/>
    <n v="1.0116023655308364"/>
  </r>
  <r>
    <n v="42"/>
    <x v="41"/>
    <n v="5983"/>
    <n v="5987"/>
    <n v="5947.333333333333"/>
    <n v="1.0059970855285283"/>
  </r>
  <r>
    <n v="43"/>
    <x v="42"/>
    <n v="5981"/>
    <n v="5983"/>
    <n v="5969.333333333333"/>
    <n v="1.0019544337726156"/>
  </r>
  <r>
    <n v="44"/>
    <x v="43"/>
    <n v="5975"/>
    <n v="5981"/>
    <n v="5983.666666666667"/>
    <n v="0.99855161272352511"/>
  </r>
  <r>
    <n v="45"/>
    <x v="44"/>
    <n v="5985"/>
    <n v="5975"/>
    <n v="5979.666666666667"/>
    <n v="1.0008919114777859"/>
  </r>
  <r>
    <n v="46"/>
    <x v="45"/>
    <n v="6029"/>
    <n v="5985"/>
    <n v="5980.333333333333"/>
    <n v="1.0081377849618194"/>
  </r>
  <r>
    <n v="47"/>
    <x v="46"/>
    <n v="6024"/>
    <n v="6029"/>
    <n v="5996.333333333333"/>
    <n v="1.00461393073544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x v="0"/>
    <n v="3761"/>
    <m/>
    <m/>
    <m/>
    <m/>
    <m/>
    <m/>
    <m/>
    <m/>
    <m/>
    <m/>
    <m/>
    <m/>
    <m/>
  </r>
  <r>
    <n v="2"/>
    <x v="1"/>
    <n v="3770"/>
    <n v="3761"/>
    <m/>
    <m/>
    <m/>
    <m/>
    <m/>
    <m/>
    <m/>
    <m/>
    <m/>
    <m/>
    <m/>
    <m/>
  </r>
  <r>
    <n v="3"/>
    <x v="2"/>
    <n v="3777"/>
    <n v="3770"/>
    <m/>
    <m/>
    <m/>
    <m/>
    <m/>
    <m/>
    <m/>
    <m/>
    <m/>
    <m/>
    <m/>
    <m/>
  </r>
  <r>
    <n v="4"/>
    <x v="3"/>
    <n v="3831"/>
    <n v="3777"/>
    <n v="3769.3333333333335"/>
    <n v="1.016360099044924"/>
    <n v="0.98905006754005886"/>
    <n v="3873.4136175010526"/>
    <m/>
    <m/>
    <m/>
    <m/>
    <n v="0"/>
    <e v="#DIV/0!"/>
    <m/>
    <m/>
  </r>
  <r>
    <n v="5"/>
    <x v="4"/>
    <n v="3916"/>
    <n v="3831"/>
    <n v="3792.6666666666665"/>
    <n v="1.0325188961153102"/>
    <n v="0.99702411399114099"/>
    <n v="3927.6883528163044"/>
    <m/>
    <m/>
    <m/>
    <m/>
    <n v="0"/>
    <e v="#DIV/0!"/>
    <m/>
    <m/>
  </r>
  <r>
    <n v="6"/>
    <x v="5"/>
    <n v="3956"/>
    <n v="3916"/>
    <n v="3841.3333333333335"/>
    <n v="1.0298507462686566"/>
    <n v="1.0091059529663722"/>
    <n v="3920.3019151466956"/>
    <m/>
    <m/>
    <m/>
    <m/>
    <n v="0"/>
    <e v="#DIV/0!"/>
    <m/>
    <m/>
  </r>
  <r>
    <n v="7"/>
    <x v="6"/>
    <n v="3995"/>
    <n v="3956"/>
    <n v="3901"/>
    <n v="1.0240963855421688"/>
    <n v="1.0021976896186724"/>
    <n v="3986.2394828709525"/>
    <m/>
    <m/>
    <n v="3835.1666666666665"/>
    <n v="1.041675720307679"/>
    <n v="0"/>
    <e v="#DIV/0!"/>
    <m/>
    <m/>
  </r>
  <r>
    <n v="8"/>
    <x v="7"/>
    <n v="3949"/>
    <n v="3995"/>
    <n v="3955.6666666666665"/>
    <n v="0.99831465408275055"/>
    <n v="0.99888336014804691"/>
    <n v="3953.4145402269082"/>
    <m/>
    <m/>
    <n v="3874.1666666666665"/>
    <n v="1.0193159819315982"/>
    <n v="0"/>
    <e v="#DIV/0!"/>
    <m/>
    <m/>
  </r>
  <r>
    <n v="9"/>
    <x v="8"/>
    <n v="3986"/>
    <n v="3949"/>
    <n v="3966.6666666666665"/>
    <n v="1.004873949579832"/>
    <n v="1.0179369726405254"/>
    <n v="3915.763065035675"/>
    <m/>
    <m/>
    <n v="3904"/>
    <n v="1.0210040983606556"/>
    <n v="0"/>
    <e v="#DIV/0!"/>
    <m/>
    <m/>
  </r>
  <r>
    <n v="10"/>
    <x v="9"/>
    <n v="4026"/>
    <n v="3986"/>
    <n v="3976.6666666666665"/>
    <n v="1.0124056999161777"/>
    <n v="1.0175345248711647"/>
    <n v="3956.6225042926703"/>
    <m/>
    <m/>
    <n v="3938.8333333333335"/>
    <n v="1.0221300723564506"/>
    <n v="0"/>
    <e v="#DIV/0!"/>
    <m/>
    <m/>
  </r>
  <r>
    <n v="11"/>
    <x v="10"/>
    <n v="4050"/>
    <n v="4026"/>
    <n v="3987"/>
    <n v="1.0158013544018059"/>
    <n v="1.004842535858038"/>
    <n v="4030.4822452024218"/>
    <m/>
    <m/>
    <n v="3971.3333333333335"/>
    <n v="1.0198086285042807"/>
    <n v="0"/>
    <e v="#DIV/0!"/>
    <m/>
    <m/>
  </r>
  <r>
    <n v="12"/>
    <x v="11"/>
    <n v="4095"/>
    <n v="4050"/>
    <n v="4020.6666666666665"/>
    <n v="1.0184878129663406"/>
    <n v="0.99277886267666682"/>
    <n v="4124.7856435614704"/>
    <m/>
    <m/>
    <n v="3993.6666666666665"/>
    <n v="1.0253735080544195"/>
    <n v="0"/>
    <e v="#DIV/0!"/>
    <m/>
    <m/>
  </r>
  <r>
    <n v="13"/>
    <x v="12"/>
    <n v="4105"/>
    <n v="4095"/>
    <n v="4057"/>
    <n v="1.011831402514173"/>
    <n v="0.99309603964211801"/>
    <n v="4133.5377809776774"/>
    <m/>
    <m/>
    <n v="4016.8333333333335"/>
    <n v="1.0219492967096802"/>
    <n v="0"/>
    <e v="#DIV/0!"/>
    <m/>
    <m/>
  </r>
  <r>
    <n v="14"/>
    <x v="13"/>
    <n v="4126"/>
    <n v="4105"/>
    <n v="4083.3333333333335"/>
    <n v="1.0104489795918368"/>
    <n v="0.98963391670250578"/>
    <n v="4169.2184659030017"/>
    <m/>
    <m/>
    <n v="4035.1666666666665"/>
    <n v="1.0225104291437777"/>
    <n v="0"/>
    <e v="#DIV/0!"/>
    <m/>
    <m/>
  </r>
  <r>
    <n v="15"/>
    <x v="14"/>
    <n v="4164"/>
    <n v="4126"/>
    <n v="4108.666666666667"/>
    <n v="1.0134674671426254"/>
    <n v="0.98791596334468756"/>
    <n v="4214.9334098240142"/>
    <m/>
    <m/>
    <n v="4064.6666666666665"/>
    <n v="1.0244382483188454"/>
    <n v="0"/>
    <e v="#DIV/0!"/>
    <m/>
    <m/>
  </r>
  <r>
    <n v="16"/>
    <x v="15"/>
    <n v="4222"/>
    <n v="4164"/>
    <n v="4131.666666666667"/>
    <n v="1.0218636546994755"/>
    <n v="0.98905006754005886"/>
    <n v="4268.7424414224606"/>
    <m/>
    <m/>
    <n v="4094.3333333333335"/>
    <n v="1.0311813074981682"/>
    <n v="0"/>
    <e v="#DIV/0!"/>
    <m/>
    <m/>
  </r>
  <r>
    <n v="17"/>
    <x v="16"/>
    <n v="4321"/>
    <n v="4222"/>
    <n v="4170.666666666667"/>
    <n v="1.0360453964194372"/>
    <n v="0.99702411399114099"/>
    <n v="4333.8971839936803"/>
    <m/>
    <m/>
    <n v="4127"/>
    <n v="1.0470075115095712"/>
    <n v="0"/>
    <e v="#DIV/0!"/>
    <m/>
    <m/>
  </r>
  <r>
    <n v="18"/>
    <x v="17"/>
    <n v="4335"/>
    <n v="4321"/>
    <n v="4235.666666666667"/>
    <n v="1.02345164082789"/>
    <n v="1.0091059529663722"/>
    <n v="4295.8819014562496"/>
    <m/>
    <m/>
    <n v="4172.166666666667"/>
    <n v="1.0390284824032276"/>
    <n v="0"/>
    <e v="#DIV/0!"/>
    <m/>
    <m/>
  </r>
  <r>
    <n v="19"/>
    <x v="18"/>
    <n v="4454"/>
    <n v="4335"/>
    <n v="4292.666666666667"/>
    <n v="1.0375834756949835"/>
    <n v="1.0021976896186724"/>
    <n v="4444.2329553710197"/>
    <m/>
    <m/>
    <n v="4212.166666666667"/>
    <n v="1.0574130494994658"/>
    <n v="0"/>
    <e v="#DIV/0!"/>
    <m/>
    <m/>
  </r>
  <r>
    <n v="20"/>
    <x v="19"/>
    <n v="4536"/>
    <n v="4454"/>
    <n v="4370"/>
    <n v="1.0379862700228832"/>
    <n v="0.99888336014804691"/>
    <n v="4541.0707405594467"/>
    <m/>
    <m/>
    <n v="4270.333333333333"/>
    <n v="1.0622121614237765"/>
    <n v="0"/>
    <e v="#DIV/0!"/>
    <m/>
    <m/>
  </r>
  <r>
    <n v="21"/>
    <x v="20"/>
    <n v="4597"/>
    <n v="4536"/>
    <n v="4441.666666666667"/>
    <n v="1.0349718574108817"/>
    <n v="1.0179369726405254"/>
    <n v="4515.996690910436"/>
    <m/>
    <m/>
    <n v="4338.666666666667"/>
    <n v="1.0595421020282729"/>
    <n v="0"/>
    <e v="#DIV/0!"/>
    <m/>
    <m/>
  </r>
  <r>
    <n v="22"/>
    <x v="21"/>
    <n v="4643"/>
    <n v="4597"/>
    <n v="4529"/>
    <n v="1.0251711194524178"/>
    <n v="1.0175345248711647"/>
    <n v="4562.9901359738869"/>
    <m/>
    <m/>
    <n v="4410.833333333333"/>
    <n v="1.052635556395239"/>
    <n v="0"/>
    <e v="#DIV/0!"/>
    <m/>
    <m/>
  </r>
  <r>
    <n v="23"/>
    <x v="22"/>
    <n v="4701"/>
    <n v="4643"/>
    <n v="4592"/>
    <n v="1.0237369337979094"/>
    <n v="1.004842535858038"/>
    <n v="4678.3449468386634"/>
    <m/>
    <m/>
    <n v="4481"/>
    <n v="1.049096183887525"/>
    <n v="0"/>
    <e v="#DIV/0!"/>
    <m/>
    <m/>
  </r>
  <r>
    <n v="24"/>
    <x v="23"/>
    <n v="4766"/>
    <n v="4701"/>
    <n v="4647"/>
    <n v="1.0256079190875833"/>
    <n v="0.99277886267666682"/>
    <n v="4800.666270381922"/>
    <m/>
    <m/>
    <n v="4544.333333333333"/>
    <n v="1.0487786987456906"/>
    <n v="0"/>
    <e v="#DIV/0!"/>
    <m/>
    <m/>
  </r>
  <r>
    <n v="25"/>
    <x v="24"/>
    <n v="4781"/>
    <n v="4766"/>
    <n v="4703.333333333333"/>
    <n v="1.0165131112686039"/>
    <n v="0.99309603964211801"/>
    <n v="4814.2373034967786"/>
    <m/>
    <m/>
    <n v="4616.166666666667"/>
    <n v="1.0357078383940499"/>
    <n v="0"/>
    <e v="#DIV/0!"/>
    <m/>
    <m/>
  </r>
  <r>
    <n v="26"/>
    <x v="25"/>
    <n v="4808"/>
    <n v="4781"/>
    <n v="4749.333333333333"/>
    <n v="1.012352610892757"/>
    <n v="0.98963391670250578"/>
    <n v="4858.3621871210935"/>
    <m/>
    <m/>
    <n v="4670.666666666667"/>
    <n v="1.0294033685412503"/>
    <n v="0"/>
    <e v="#DIV/0!"/>
    <m/>
    <m/>
  </r>
  <r>
    <n v="27"/>
    <x v="26"/>
    <n v="4836"/>
    <n v="4808"/>
    <n v="4785"/>
    <n v="1.0106583072100312"/>
    <n v="0.98791596334468756"/>
    <n v="4895.1532108330775"/>
    <m/>
    <m/>
    <n v="4716"/>
    <n v="1.025445292620865"/>
    <n v="0"/>
    <e v="#DIV/0!"/>
    <m/>
    <m/>
  </r>
  <r>
    <n v="28"/>
    <x v="27"/>
    <n v="4937"/>
    <n v="4836"/>
    <n v="4808.333333333333"/>
    <n v="1.0267590987868285"/>
    <n v="0.98905006754005886"/>
    <n v="4991.6583214833454"/>
    <m/>
    <m/>
    <n v="4755.833333333333"/>
    <n v="1.0380935693008586"/>
    <n v="0"/>
    <e v="#DIV/0!"/>
    <m/>
    <m/>
  </r>
  <r>
    <n v="29"/>
    <x v="28"/>
    <n v="5054"/>
    <n v="4937"/>
    <n v="4860.333333333333"/>
    <n v="1.0398463754200673"/>
    <n v="0.99702411399114099"/>
    <n v="5069.0850191863137"/>
    <m/>
    <m/>
    <n v="4804.833333333333"/>
    <n v="1.0518575045960665"/>
    <n v="0"/>
    <e v="#DIV/0!"/>
    <m/>
    <m/>
  </r>
  <r>
    <n v="30"/>
    <x v="29"/>
    <n v="5103"/>
    <n v="5054"/>
    <n v="4942.333333333333"/>
    <n v="1.0325082619545425"/>
    <n v="1.0091059529663722"/>
    <n v="5056.9516362471149"/>
    <m/>
    <m/>
    <n v="4863.666666666667"/>
    <n v="1.0492084161469399"/>
    <n v="0"/>
    <e v="#DIV/0!"/>
    <m/>
    <m/>
  </r>
  <r>
    <n v="31"/>
    <x v="30"/>
    <n v="5105"/>
    <n v="5103"/>
    <n v="5031.333333333333"/>
    <n v="1.0146415794355375"/>
    <n v="1.0021976896186724"/>
    <n v="5093.8053967600035"/>
    <m/>
    <m/>
    <n v="4919.833333333333"/>
    <n v="1.0376367763135608"/>
    <n v="0"/>
    <e v="#DIV/0!"/>
    <m/>
    <m/>
  </r>
  <r>
    <n v="32"/>
    <x v="31"/>
    <n v="5704"/>
    <n v="5105"/>
    <n v="5087.333333333333"/>
    <n v="1.1212160922552745"/>
    <n v="0.99888336014804691"/>
    <n v="5710.3764338957417"/>
    <m/>
    <m/>
    <n v="4973.833333333333"/>
    <n v="1.1468015950139061"/>
    <n v="0"/>
    <e v="#DIV/0!"/>
    <m/>
    <m/>
  </r>
  <r>
    <n v="33"/>
    <x v="32"/>
    <n v="5907"/>
    <n v="5704"/>
    <n v="5304"/>
    <n v="1.1136877828054299"/>
    <n v="1.0179369726405254"/>
    <n v="5802.9133028514134"/>
    <m/>
    <m/>
    <n v="5123.166666666667"/>
    <n v="1.1529978203585021"/>
    <n v="0"/>
    <e v="#DIV/0!"/>
    <m/>
    <m/>
  </r>
  <r>
    <n v="34"/>
    <x v="33"/>
    <n v="5889"/>
    <n v="5907"/>
    <n v="5572"/>
    <n v="1.0568916008614502"/>
    <n v="1.0175345248711647"/>
    <n v="5787.518610973556"/>
    <m/>
    <m/>
    <n v="5301.666666666667"/>
    <n v="1.1107827727129833"/>
    <n v="0"/>
    <e v="#DIV/0!"/>
    <m/>
    <m/>
  </r>
  <r>
    <n v="35"/>
    <x v="34"/>
    <n v="5887"/>
    <n v="5889"/>
    <n v="5833.333333333333"/>
    <n v="1.0092000000000001"/>
    <n v="1.004842535858038"/>
    <n v="5858.6293771621376"/>
    <m/>
    <m/>
    <n v="5460.333333333333"/>
    <n v="1.0781393077345707"/>
    <n v="0"/>
    <e v="#DIV/0!"/>
    <m/>
    <m/>
  </r>
  <r>
    <n v="36"/>
    <x v="35"/>
    <n v="5876"/>
    <n v="5887"/>
    <n v="5894.333333333333"/>
    <n v="0.99688966804275303"/>
    <n v="0.99277886267666682"/>
    <n v="5918.7400345707447"/>
    <m/>
    <m/>
    <n v="5599.166666666667"/>
    <n v="1.0494418812323263"/>
    <n v="0"/>
    <e v="#DIV/0!"/>
    <m/>
    <m/>
  </r>
  <r>
    <n v="37"/>
    <x v="36"/>
    <n v="5896"/>
    <n v="5876"/>
    <n v="5884"/>
    <n v="1.0020394289598913"/>
    <n v="0.99309603964211801"/>
    <n v="5936.9887348707398"/>
    <m/>
    <m/>
    <n v="5728"/>
    <n v="1.0293296089385475"/>
    <n v="0"/>
    <e v="#DIV/0!"/>
    <m/>
    <m/>
  </r>
  <r>
    <n v="38"/>
    <x v="37"/>
    <n v="5900"/>
    <n v="5896"/>
    <n v="5886.333333333333"/>
    <n v="1.0023217622741944"/>
    <n v="0.98963391670250578"/>
    <n v="5961.8005208016748"/>
    <m/>
    <m/>
    <n v="5859.833333333333"/>
    <n v="1.0068545749310276"/>
    <n v="0"/>
    <e v="#DIV/0!"/>
    <m/>
    <m/>
  </r>
  <r>
    <n v="39"/>
    <x v="38"/>
    <n v="5917"/>
    <n v="5900"/>
    <n v="5890.666666666667"/>
    <n v="1.0044703485740154"/>
    <n v="0.98791596334468756"/>
    <n v="5989.3758371586682"/>
    <m/>
    <m/>
    <n v="5892.5"/>
    <n v="1.0041578277471361"/>
    <n v="0"/>
    <e v="#DIV/0!"/>
    <m/>
    <m/>
  </r>
  <r>
    <n v="40"/>
    <x v="39"/>
    <n v="5938"/>
    <n v="5917"/>
    <n v="5904.333333333333"/>
    <n v="1.0057020267600068"/>
    <n v="0.98905006754005886"/>
    <n v="6003.7405535685857"/>
    <m/>
    <m/>
    <n v="5894.166666666667"/>
    <n v="1.0074367312314434"/>
    <n v="0"/>
    <e v="#DIV/0!"/>
    <m/>
    <m/>
  </r>
  <r>
    <n v="41"/>
    <x v="40"/>
    <n v="5987"/>
    <n v="5938"/>
    <n v="5918.333333333333"/>
    <n v="1.0116023655308364"/>
    <n v="0.99702411399114099"/>
    <n v="6004.8698080467866"/>
    <m/>
    <m/>
    <n v="5902.333333333333"/>
    <n v="1.0143446094764783"/>
    <n v="0"/>
    <e v="#DIV/0!"/>
    <m/>
    <m/>
  </r>
  <r>
    <n v="42"/>
    <x v="41"/>
    <n v="5983"/>
    <n v="5987"/>
    <n v="5947.333333333333"/>
    <n v="1.0059970855285283"/>
    <n v="1.0091059529663722"/>
    <n v="5929.0107073616482"/>
    <m/>
    <m/>
    <n v="5919"/>
    <n v="1.0108126372698092"/>
    <n v="0"/>
    <e v="#DIV/0!"/>
    <m/>
    <m/>
  </r>
  <r>
    <n v="43"/>
    <x v="42"/>
    <n v="5981"/>
    <n v="5983"/>
    <n v="5969.333333333333"/>
    <n v="1.0019544337726156"/>
    <n v="1.0021976896186724"/>
    <n v="5967.8844423156861"/>
    <m/>
    <m/>
    <n v="5936.833333333333"/>
    <n v="1.0074394317958508"/>
    <n v="0"/>
    <e v="#DIV/0!"/>
    <m/>
    <m/>
  </r>
  <r>
    <n v="44"/>
    <x v="43"/>
    <n v="5975"/>
    <n v="5981"/>
    <n v="5983.666666666667"/>
    <n v="0.99855161272352511"/>
    <n v="0.99888336014804691"/>
    <n v="5981.679381579077"/>
    <m/>
    <m/>
    <n v="5951"/>
    <n v="1.0040329356410687"/>
    <n v="0"/>
    <e v="#DIV/0!"/>
    <m/>
    <m/>
  </r>
  <r>
    <n v="45"/>
    <x v="44"/>
    <n v="5985"/>
    <n v="5975"/>
    <n v="5979.666666666667"/>
    <n v="1.0008919114777859"/>
    <n v="1.0179369726405254"/>
    <n v="5879.5388721120207"/>
    <m/>
    <m/>
    <n v="5963.5"/>
    <n v="1.0036052653642995"/>
    <n v="0"/>
    <e v="#DIV/0!"/>
    <m/>
    <m/>
  </r>
  <r>
    <n v="46"/>
    <x v="45"/>
    <n v="6029"/>
    <n v="5985"/>
    <n v="5980.333333333333"/>
    <n v="1.0081377849618194"/>
    <n v="1.0175345248711647"/>
    <n v="5925.1060800746418"/>
    <m/>
    <m/>
    <n v="5974.833333333333"/>
    <n v="1.0090658037881113"/>
    <n v="0"/>
    <e v="#DIV/0!"/>
    <m/>
    <m/>
  </r>
  <r>
    <n v="47"/>
    <x v="46"/>
    <n v="6024"/>
    <n v="6029"/>
    <n v="5996.333333333333"/>
    <n v="1.0046139307354496"/>
    <n v="1.004842535858038"/>
    <n v="5994.9691469381205"/>
    <m/>
    <m/>
    <n v="5990"/>
    <n v="1.0056761268781302"/>
    <n v="0"/>
    <e v="#DIV/0!"/>
    <m/>
    <m/>
  </r>
  <r>
    <n v="48"/>
    <x v="47"/>
    <m/>
    <n v="6024"/>
    <n v="6012.666666666667"/>
    <m/>
    <n v="0.99277886267666682"/>
    <m/>
    <n v="5994.9691469381205"/>
    <n v="5951.6786514789346"/>
    <n v="5996.166666666667"/>
    <m/>
    <n v="0"/>
    <m/>
    <e v="#DIV/0!"/>
    <e v="#DIV/0!"/>
  </r>
  <r>
    <n v="49"/>
    <x v="48"/>
    <m/>
    <n v="6024"/>
    <n v="6012.666666666667"/>
    <m/>
    <n v="0.99309603964211801"/>
    <m/>
    <n v="5994.9691469381205"/>
    <n v="5953.5801176009345"/>
    <n v="5996.166666666667"/>
    <m/>
    <n v="0"/>
    <m/>
    <e v="#DIV/0!"/>
    <e v="#DIV/0!"/>
  </r>
  <r>
    <n v="50"/>
    <x v="49"/>
    <m/>
    <n v="6024"/>
    <n v="6012.666666666667"/>
    <m/>
    <n v="0.98963391670250578"/>
    <m/>
    <n v="5994.9691469381205"/>
    <n v="5932.824797395052"/>
    <n v="5996.166666666667"/>
    <m/>
    <n v="0"/>
    <m/>
    <e v="#DIV/0!"/>
    <e v="#DIV/0!"/>
  </r>
  <r>
    <n v="51"/>
    <x v="50"/>
    <m/>
    <n v="6024"/>
    <n v="6012.666666666667"/>
    <m/>
    <n v="0.98791596334468756"/>
    <m/>
    <n v="5994.9691469381205"/>
    <n v="5922.5257200190536"/>
    <n v="5996.166666666667"/>
    <m/>
    <n v="0"/>
    <m/>
    <e v="#DIV/0!"/>
    <e v="#DIV/0!"/>
  </r>
  <r>
    <n v="52"/>
    <x v="51"/>
    <m/>
    <n v="6024"/>
    <n v="6012.666666666667"/>
    <m/>
    <n v="0.98905006754005886"/>
    <m/>
    <n v="5994.9691469381205"/>
    <n v="5929.3246396797167"/>
    <n v="5996.166666666667"/>
    <m/>
    <n v="0"/>
    <m/>
    <e v="#DIV/0!"/>
    <e v="#DIV/0!"/>
  </r>
  <r>
    <n v="53"/>
    <x v="52"/>
    <m/>
    <n v="6024"/>
    <n v="6012.666666666667"/>
    <m/>
    <n v="0.99702411399114099"/>
    <m/>
    <n v="5994.9691469381205"/>
    <n v="5977.1288021302062"/>
    <n v="5996.166666666667"/>
    <m/>
    <n v="0"/>
    <m/>
    <e v="#DIV/0!"/>
    <e v="#DIV/0!"/>
  </r>
  <r>
    <n v="54"/>
    <x v="53"/>
    <m/>
    <n v="6024"/>
    <n v="6012.666666666667"/>
    <m/>
    <n v="1.0091059529663722"/>
    <m/>
    <n v="5994.9691469381205"/>
    <n v="6049.5590540249914"/>
    <n v="5996.166666666667"/>
    <m/>
    <n v="0"/>
    <m/>
    <e v="#DIV/0!"/>
    <e v="#DIV/0!"/>
  </r>
  <r>
    <n v="55"/>
    <x v="54"/>
    <m/>
    <n v="6024"/>
    <n v="6012.666666666667"/>
    <m/>
    <n v="1.0021976896186724"/>
    <m/>
    <n v="5994.9691469381205"/>
    <n v="6008.144228396608"/>
    <n v="5996.166666666667"/>
    <m/>
    <n v="0"/>
    <m/>
    <e v="#DIV/0!"/>
    <e v="#DIV/0!"/>
  </r>
  <r>
    <n v="56"/>
    <x v="55"/>
    <m/>
    <n v="6024"/>
    <n v="6012.666666666667"/>
    <m/>
    <n v="0.99888336014804691"/>
    <m/>
    <n v="5994.9691469381205"/>
    <n v="5988.2749254774199"/>
    <n v="5996.166666666667"/>
    <m/>
    <n v="0"/>
    <m/>
    <e v="#DIV/0!"/>
    <e v="#DIV/0!"/>
  </r>
  <r>
    <n v="57"/>
    <x v="56"/>
    <m/>
    <n v="6024"/>
    <n v="6012.666666666667"/>
    <m/>
    <n v="1.0179369726405254"/>
    <m/>
    <n v="5994.9691469381205"/>
    <n v="6102.5007445075435"/>
    <n v="5996.166666666667"/>
    <m/>
    <n v="0"/>
    <m/>
    <e v="#DIV/0!"/>
    <e v="#DIV/0!"/>
  </r>
  <r>
    <n v="58"/>
    <x v="57"/>
    <m/>
    <n v="6024"/>
    <n v="6012.666666666667"/>
    <m/>
    <n v="1.0175345248711647"/>
    <m/>
    <n v="5994.9691469381205"/>
    <n v="6100.0880825469721"/>
    <n v="5996.166666666667"/>
    <m/>
    <n v="0"/>
    <m/>
    <e v="#DIV/0!"/>
    <e v="#DIV/0!"/>
  </r>
  <r>
    <n v="59"/>
    <x v="58"/>
    <m/>
    <n v="6024"/>
    <n v="6012.666666666667"/>
    <m/>
    <n v="1.004842535858038"/>
    <m/>
    <n v="5994.9691469381205"/>
    <n v="6024"/>
    <n v="5996.166666666667"/>
    <m/>
    <n v="0"/>
    <m/>
    <e v="#DIV/0!"/>
    <e v="#DIV/0!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3761"/>
    <m/>
    <m/>
  </r>
  <r>
    <x v="1"/>
    <n v="3770"/>
    <m/>
    <m/>
  </r>
  <r>
    <x v="2"/>
    <n v="3777"/>
    <n v="3854.6666666666665"/>
    <n v="0.97985126253891386"/>
  </r>
  <r>
    <x v="3"/>
    <n v="3831"/>
    <n v="3889.0833333333335"/>
    <n v="0.98506503246266253"/>
  </r>
  <r>
    <x v="4"/>
    <n v="3916"/>
    <n v="3921.4166666666665"/>
    <n v="0.99861869647448842"/>
  </r>
  <r>
    <x v="5"/>
    <n v="3956"/>
    <n v="3955.0833333333335"/>
    <n v="1.0002317692421145"/>
  </r>
  <r>
    <x v="6"/>
    <n v="3995"/>
    <n v="3982.5"/>
    <n v="1.0031387319522913"/>
  </r>
  <r>
    <x v="7"/>
    <n v="3949"/>
    <n v="4005.25"/>
    <n v="0.98595593283814997"/>
  </r>
  <r>
    <x v="8"/>
    <n v="3986"/>
    <n v="4026"/>
    <n v="0.99006458022851462"/>
  </r>
  <r>
    <x v="9"/>
    <n v="4026"/>
    <n v="4049.9166666666665"/>
    <n v="0.99409452869400605"/>
  </r>
  <r>
    <x v="10"/>
    <n v="4050"/>
    <n v="4079.5"/>
    <n v="0.99276872165706587"/>
  </r>
  <r>
    <x v="11"/>
    <n v="4095"/>
    <n v="4110.666666666667"/>
    <n v="0.9961887771650989"/>
  </r>
  <r>
    <x v="12"/>
    <n v="4105"/>
    <n v="4149.583333333333"/>
    <n v="0.98925594939250938"/>
  </r>
  <r>
    <x v="13"/>
    <n v="4126"/>
    <n v="4192.166666666667"/>
    <n v="0.98421659444201481"/>
  </r>
  <r>
    <x v="14"/>
    <n v="4164"/>
    <n v="4241.25"/>
    <n v="0.98178603006189213"/>
  </r>
  <r>
    <x v="15"/>
    <n v="4222"/>
    <n v="4304.5"/>
    <n v="0.98083401091880595"/>
  </r>
  <r>
    <x v="16"/>
    <n v="4321"/>
    <n v="4374.75"/>
    <n v="0.98771358363335049"/>
  </r>
  <r>
    <x v="17"/>
    <n v="4335"/>
    <n v="4445.916666666667"/>
    <n v="0.97505201402035568"/>
  </r>
  <r>
    <x v="18"/>
    <n v="4454"/>
    <n v="4512.666666666667"/>
    <n v="0.98699955680307272"/>
  </r>
  <r>
    <x v="19"/>
    <n v="4536"/>
    <n v="4580.25"/>
    <n v="0.99033895529719995"/>
  </r>
  <r>
    <x v="20"/>
    <n v="4597"/>
    <n v="4643.416666666667"/>
    <n v="0.99000376877658325"/>
  </r>
  <r>
    <x v="21"/>
    <n v="4643"/>
    <n v="4693.333333333333"/>
    <n v="0.98927556818181828"/>
  </r>
  <r>
    <x v="22"/>
    <n v="4701"/>
    <n v="4735.916666666667"/>
    <n v="0.99262726328940187"/>
  </r>
  <r>
    <x v="23"/>
    <n v="4766"/>
    <n v="4780.333333333333"/>
    <n v="0.99700160379331992"/>
  </r>
  <r>
    <x v="24"/>
    <n v="4781"/>
    <n v="4834.25"/>
    <n v="0.98898484770129802"/>
  </r>
  <r>
    <x v="25"/>
    <n v="4808"/>
    <n v="4891.75"/>
    <n v="0.98287933766034652"/>
  </r>
  <r>
    <x v="26"/>
    <n v="4836"/>
    <n v="4946.833333333333"/>
    <n v="0.97759509450490223"/>
  </r>
  <r>
    <x v="27"/>
    <n v="4937"/>
    <n v="5048.5"/>
    <n v="0.9779142319500842"/>
  </r>
  <r>
    <x v="28"/>
    <n v="5054"/>
    <n v="5212.416666666667"/>
    <n v="0.96960782746326879"/>
  </r>
  <r>
    <x v="29"/>
    <n v="5103"/>
    <n v="5381"/>
    <n v="0.94833674038282845"/>
  </r>
  <r>
    <x v="30"/>
    <n v="5105"/>
    <n v="5529.75"/>
    <n v="0.92318820923188205"/>
  </r>
  <r>
    <x v="31"/>
    <n v="5704"/>
    <n v="5663.583333333333"/>
    <n v="1.0071362358930596"/>
  </r>
  <r>
    <x v="32"/>
    <n v="5907"/>
    <n v="5793.916666666667"/>
    <n v="1.0195175974801156"/>
  </r>
  <r>
    <x v="33"/>
    <n v="5889"/>
    <n v="5876.166666666667"/>
    <n v="1.0021839634682475"/>
  </r>
  <r>
    <x v="34"/>
    <n v="5887"/>
    <n v="5893.333333333333"/>
    <n v="0.99892533936651584"/>
  </r>
  <r>
    <x v="35"/>
    <n v="5876"/>
    <n v="5898.25"/>
    <n v="0.99622769465519434"/>
  </r>
  <r>
    <x v="36"/>
    <n v="5896"/>
    <n v="5910.666666666667"/>
    <n v="0.9975186104218362"/>
  </r>
  <r>
    <x v="37"/>
    <n v="5900"/>
    <n v="5927.916666666667"/>
    <n v="0.99529064454909677"/>
  </r>
  <r>
    <x v="38"/>
    <n v="5917"/>
    <n v="5943.916666666667"/>
    <n v="0.99547156055911501"/>
  </r>
  <r>
    <x v="39"/>
    <n v="5938"/>
    <n v="5957.25"/>
    <n v="0.99676864324982162"/>
  </r>
  <r>
    <x v="40"/>
    <n v="5987"/>
    <n v="5969.166666666667"/>
    <n v="1.0029875750383916"/>
  </r>
  <r>
    <x v="41"/>
    <n v="5983"/>
    <n v="5982.416666666667"/>
    <n v="1.0000975079747594"/>
  </r>
  <r>
    <x v="42"/>
    <n v="5981"/>
    <n v="5993.083333333333"/>
    <n v="0.99798378686541434"/>
  </r>
  <r>
    <x v="43"/>
    <n v="5975"/>
    <m/>
    <m/>
  </r>
  <r>
    <x v="44"/>
    <n v="5985"/>
    <m/>
    <m/>
  </r>
  <r>
    <x v="45"/>
    <n v="6029"/>
    <m/>
    <m/>
  </r>
  <r>
    <x v="46"/>
    <n v="602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345A5-5A67-4F4E-B007-DAB61E250E1F}" name="PivotTable4" cacheId="89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54:Y68" firstHeaderRow="1" firstDataRow="2" firstDataCol="1"/>
  <pivotFields count="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eason Ratio" fld="5" subtotal="average" baseField="1" baseItem="1"/>
  </dataFields>
  <formats count="4">
    <format dxfId="12">
      <pivotArea collapsedLevelsAreSubtotals="1" fieldPosition="0">
        <references count="2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4" selected="0">
            <x v="2"/>
            <x v="3"/>
            <x v="4"/>
            <x v="5"/>
          </reference>
        </references>
      </pivotArea>
    </format>
    <format dxfId="13">
      <pivotArea field="1" grandCol="1" collapsedLevelsAreSubtotals="1" axis="axisRow" fieldPosition="0">
        <references count="1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">
      <pivotArea field="7" grandRow="1" outline="0" collapsedLevelsAreSubtotals="1" axis="axisCol" fieldPosition="0">
        <references count="1">
          <reference field="7" count="4" selected="0">
            <x v="2"/>
            <x v="3"/>
            <x v="4"/>
            <x v="5"/>
          </reference>
        </references>
      </pivotArea>
    </format>
    <format dxfId="15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BB984-0039-43F4-A6FF-6C729AF62D8D}" name="PivotTable5" cacheId="89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74:Z88" firstHeaderRow="1" firstDataRow="2" firstDataCol="1"/>
  <pivotFields count="18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7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Season Ratio2" fld="11" subtotal="average" baseField="1" baseItem="1"/>
  </dataFields>
  <formats count="2">
    <format dxfId="10">
      <pivotArea outline="0" collapsedLevelsAreSubtotals="1" fieldPosition="0">
        <references count="1">
          <reference field="17" count="5" selected="0">
            <x v="2"/>
            <x v="3"/>
            <x v="4"/>
            <x v="5"/>
            <x v="6"/>
          </reference>
        </references>
      </pivotArea>
    </format>
    <format dxfId="11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5EDBA-FFD6-4C62-A47E-BC9A32881C01}" name="PivotTable3" cacheId="89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9:S54" firstHeaderRow="1" firstDataRow="3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5"/>
    <field x="4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Season_x000a_ Ratio" fld="3" baseField="0" baseItem="0"/>
  </dataFields>
  <formats count="2">
    <format dxfId="8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4" selected="0">
            <x v="2"/>
            <x v="3"/>
            <x v="4"/>
            <x v="5"/>
          </reference>
        </references>
      </pivotArea>
    </format>
    <format dxfId="9">
      <pivotArea field="0" grandCol="1" collapsedLevelsAreSubtotals="1" axis="axisRow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50C93-ED7A-4DB2-A2B5-ECABECB990C8}" name="PivotTable3" cacheId="89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9:S54" firstHeaderRow="1" firstDataRow="3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5"/>
    <field x="4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Season_x000a_ Ratio" fld="3" baseField="0" baseItem="0"/>
  </dataFields>
  <formats count="2">
    <format dxfId="6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4" selected="0">
            <x v="2"/>
            <x v="3"/>
            <x v="4"/>
            <x v="5"/>
          </reference>
        </references>
      </pivotArea>
    </format>
    <format dxfId="7">
      <pivotArea field="0" grandCol="1" collapsedLevelsAreSubtotals="1" axis="axisRow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9" dT="2021-03-15T15:25:32.92" personId="{6E8ECB98-B295-4258-88A4-FF9B4A78945D}" id="{FB634E78-B324-4192-A517-63CED11C8DC1}">
    <text>Naïve w/Seasonals
Forecast: From "Seasonal_Adj" tab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7.e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4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wmf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Document2.doc"/><Relationship Id="rId3" Type="http://schemas.openxmlformats.org/officeDocument/2006/relationships/vmlDrawing" Target="../drawings/vmlDrawing5.vml"/><Relationship Id="rId7" Type="http://schemas.openxmlformats.org/officeDocument/2006/relationships/image" Target="../media/image9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Microsoft_Word_97_-_2003_Document1.doc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_-_2003_Document.doc"/><Relationship Id="rId9" Type="http://schemas.openxmlformats.org/officeDocument/2006/relationships/image" Target="../media/image10.emf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4D76-E023-4993-8D6C-967BFF9C9703}">
  <dimension ref="A1:H53"/>
  <sheetViews>
    <sheetView zoomScaleNormal="100" workbookViewId="0">
      <pane ySplit="3" topLeftCell="A4" activePane="bottomLeft" state="frozen"/>
      <selection pane="bottomLeft" activeCell="I8" sqref="I8"/>
    </sheetView>
  </sheetViews>
  <sheetFormatPr defaultRowHeight="14.45"/>
  <cols>
    <col min="1" max="1" width="17" bestFit="1" customWidth="1"/>
    <col min="2" max="2" width="13.140625" bestFit="1" customWidth="1"/>
    <col min="3" max="3" width="10.42578125" style="11" bestFit="1" customWidth="1"/>
    <col min="4" max="4" width="8.85546875" style="11" bestFit="1" customWidth="1"/>
  </cols>
  <sheetData>
    <row r="1" spans="1:7">
      <c r="A1" s="2" t="s">
        <v>0</v>
      </c>
      <c r="B1" s="5"/>
      <c r="C1" s="8"/>
      <c r="D1" s="8"/>
    </row>
    <row r="2" spans="1:7">
      <c r="B2" s="5"/>
      <c r="C2" s="8"/>
      <c r="D2" s="8"/>
      <c r="E2" t="str">
        <f ca="1">_xlfn.FORMULATEXT(E5)</f>
        <v>=C5-C4</v>
      </c>
      <c r="F2" t="str">
        <f t="shared" ref="F2:G2" ca="1" si="0">_xlfn.FORMULATEXT(F5)</f>
        <v>=LN(C5)</v>
      </c>
      <c r="G2" t="str">
        <f t="shared" ca="1" si="0"/>
        <v>=F4-F5</v>
      </c>
    </row>
    <row r="3" spans="1:7" ht="43.5">
      <c r="A3" s="3" t="s">
        <v>1</v>
      </c>
      <c r="B3" s="6" t="s">
        <v>2</v>
      </c>
      <c r="C3" s="9" t="s">
        <v>3</v>
      </c>
      <c r="D3" s="16" t="s">
        <v>4</v>
      </c>
      <c r="E3" s="14" t="s">
        <v>5</v>
      </c>
      <c r="F3" t="s">
        <v>6</v>
      </c>
      <c r="G3" t="s">
        <v>7</v>
      </c>
    </row>
    <row r="4" spans="1:7">
      <c r="A4" s="4">
        <v>1</v>
      </c>
      <c r="B4" s="7">
        <v>32477</v>
      </c>
      <c r="C4" s="10">
        <v>3761</v>
      </c>
      <c r="D4" s="10"/>
      <c r="E4" s="15"/>
      <c r="F4">
        <f>LN(C4)</f>
        <v>8.2324401584703359</v>
      </c>
    </row>
    <row r="5" spans="1:7">
      <c r="A5" s="4">
        <f>1+A4</f>
        <v>2</v>
      </c>
      <c r="B5" s="7">
        <v>32508</v>
      </c>
      <c r="C5" s="10">
        <v>3770</v>
      </c>
      <c r="D5" s="10"/>
      <c r="E5" s="15">
        <f>C5-C4</f>
        <v>9</v>
      </c>
      <c r="F5">
        <f t="shared" ref="F5:F50" si="1">LN(C5)</f>
        <v>8.2348302804420559</v>
      </c>
      <c r="G5">
        <f>F4-F5</f>
        <v>-2.3901219717199496E-3</v>
      </c>
    </row>
    <row r="6" spans="1:7">
      <c r="A6" s="4">
        <f t="shared" ref="A6:A50" si="2">1+A5</f>
        <v>3</v>
      </c>
      <c r="B6" s="7">
        <v>32539</v>
      </c>
      <c r="C6" s="10">
        <v>3777</v>
      </c>
      <c r="D6" s="10"/>
      <c r="E6" s="15">
        <f t="shared" ref="E6:E50" si="3">C6-C5</f>
        <v>7</v>
      </c>
      <c r="F6">
        <f t="shared" si="1"/>
        <v>8.2366853227124572</v>
      </c>
      <c r="G6">
        <f t="shared" ref="G6:G50" si="4">F5-F6</f>
        <v>-1.8550422704013414E-3</v>
      </c>
    </row>
    <row r="7" spans="1:7">
      <c r="A7" s="4">
        <f t="shared" si="2"/>
        <v>4</v>
      </c>
      <c r="B7" s="7">
        <v>32567</v>
      </c>
      <c r="C7" s="10">
        <v>3831</v>
      </c>
      <c r="D7" s="10"/>
      <c r="E7" s="15">
        <f t="shared" si="3"/>
        <v>54</v>
      </c>
      <c r="F7">
        <f t="shared" si="1"/>
        <v>8.2508811447006494</v>
      </c>
      <c r="G7">
        <f t="shared" si="4"/>
        <v>-1.4195821988192137E-2</v>
      </c>
    </row>
    <row r="8" spans="1:7">
      <c r="A8" s="4">
        <f t="shared" si="2"/>
        <v>5</v>
      </c>
      <c r="B8" s="7">
        <v>32598</v>
      </c>
      <c r="C8" s="10">
        <v>3916</v>
      </c>
      <c r="D8" s="10"/>
      <c r="E8" s="15">
        <f t="shared" si="3"/>
        <v>85</v>
      </c>
      <c r="F8">
        <f t="shared" si="1"/>
        <v>8.2728260036504011</v>
      </c>
      <c r="G8">
        <f t="shared" si="4"/>
        <v>-2.1944858949751733E-2</v>
      </c>
    </row>
    <row r="9" spans="1:7">
      <c r="A9" s="4">
        <f t="shared" si="2"/>
        <v>6</v>
      </c>
      <c r="B9" s="7">
        <v>32628</v>
      </c>
      <c r="C9" s="10">
        <v>3956</v>
      </c>
      <c r="D9" s="10"/>
      <c r="E9" s="15">
        <f t="shared" si="3"/>
        <v>40</v>
      </c>
      <c r="F9">
        <f t="shared" si="1"/>
        <v>8.2829886927426024</v>
      </c>
      <c r="G9">
        <f t="shared" si="4"/>
        <v>-1.0162689092201305E-2</v>
      </c>
    </row>
    <row r="10" spans="1:7">
      <c r="A10" s="4">
        <f t="shared" si="2"/>
        <v>7</v>
      </c>
      <c r="B10" s="7">
        <v>32659</v>
      </c>
      <c r="C10" s="10">
        <v>3995</v>
      </c>
      <c r="D10" s="10"/>
      <c r="E10" s="15">
        <f t="shared" si="3"/>
        <v>39</v>
      </c>
      <c r="F10">
        <f>LN(C10)</f>
        <v>8.2927988582003742</v>
      </c>
      <c r="G10">
        <f t="shared" si="4"/>
        <v>-9.8101654577718023E-3</v>
      </c>
    </row>
    <row r="11" spans="1:7">
      <c r="A11" s="4">
        <f t="shared" si="2"/>
        <v>8</v>
      </c>
      <c r="B11" s="7">
        <v>32689</v>
      </c>
      <c r="C11" s="10">
        <v>3949</v>
      </c>
      <c r="D11" s="10"/>
      <c r="E11" s="15">
        <f t="shared" si="3"/>
        <v>-46</v>
      </c>
      <c r="F11">
        <f t="shared" si="1"/>
        <v>8.2812176612866502</v>
      </c>
      <c r="G11">
        <f t="shared" si="4"/>
        <v>1.1581196913724057E-2</v>
      </c>
    </row>
    <row r="12" spans="1:7">
      <c r="A12" s="4">
        <f t="shared" si="2"/>
        <v>9</v>
      </c>
      <c r="B12" s="7">
        <v>32720</v>
      </c>
      <c r="C12" s="10">
        <v>3986</v>
      </c>
      <c r="D12" s="10"/>
      <c r="E12" s="15">
        <f t="shared" si="3"/>
        <v>37</v>
      </c>
      <c r="F12">
        <f t="shared" si="1"/>
        <v>8.2905435007727402</v>
      </c>
      <c r="G12">
        <f t="shared" si="4"/>
        <v>-9.325839486090004E-3</v>
      </c>
    </row>
    <row r="13" spans="1:7">
      <c r="A13" s="4">
        <f t="shared" si="2"/>
        <v>10</v>
      </c>
      <c r="B13" s="7">
        <v>32751</v>
      </c>
      <c r="C13" s="10">
        <v>4026</v>
      </c>
      <c r="D13" s="10"/>
      <c r="E13" s="15">
        <f t="shared" si="3"/>
        <v>40</v>
      </c>
      <c r="F13">
        <f t="shared" si="1"/>
        <v>8.3005286061997374</v>
      </c>
      <c r="G13">
        <f t="shared" si="4"/>
        <v>-9.985105426997265E-3</v>
      </c>
    </row>
    <row r="14" spans="1:7">
      <c r="A14" s="4">
        <f t="shared" si="2"/>
        <v>11</v>
      </c>
      <c r="B14" s="7">
        <v>32781</v>
      </c>
      <c r="C14" s="10">
        <v>4050</v>
      </c>
      <c r="D14" s="10"/>
      <c r="E14" s="15">
        <f t="shared" si="3"/>
        <v>24</v>
      </c>
      <c r="F14">
        <f t="shared" si="1"/>
        <v>8.3064721601005846</v>
      </c>
      <c r="G14">
        <f t="shared" si="4"/>
        <v>-5.9435539008472205E-3</v>
      </c>
    </row>
    <row r="15" spans="1:7">
      <c r="A15" s="4">
        <f t="shared" si="2"/>
        <v>12</v>
      </c>
      <c r="B15" s="7">
        <v>32812</v>
      </c>
      <c r="C15" s="10">
        <v>4095</v>
      </c>
      <c r="D15" s="10"/>
      <c r="E15" s="15">
        <f t="shared" si="3"/>
        <v>45</v>
      </c>
      <c r="F15">
        <f t="shared" si="1"/>
        <v>8.3175219962871694</v>
      </c>
      <c r="G15">
        <f t="shared" si="4"/>
        <v>-1.1049836186584727E-2</v>
      </c>
    </row>
    <row r="16" spans="1:7">
      <c r="A16" s="4">
        <f t="shared" si="2"/>
        <v>13</v>
      </c>
      <c r="B16" s="7">
        <v>32842</v>
      </c>
      <c r="C16" s="10">
        <v>4105</v>
      </c>
      <c r="D16" s="10"/>
      <c r="E16" s="15">
        <f t="shared" si="3"/>
        <v>10</v>
      </c>
      <c r="F16">
        <f t="shared" si="1"/>
        <v>8.3199610218865292</v>
      </c>
      <c r="G16">
        <f t="shared" si="4"/>
        <v>-2.4390255993598231E-3</v>
      </c>
    </row>
    <row r="17" spans="1:7">
      <c r="A17" s="4">
        <f t="shared" si="2"/>
        <v>14</v>
      </c>
      <c r="B17" s="7">
        <v>32873</v>
      </c>
      <c r="C17" s="10">
        <v>4126</v>
      </c>
      <c r="D17" s="10"/>
      <c r="E17" s="15">
        <f t="shared" si="3"/>
        <v>21</v>
      </c>
      <c r="F17">
        <f t="shared" si="1"/>
        <v>8.325063693631197</v>
      </c>
      <c r="G17">
        <f t="shared" si="4"/>
        <v>-5.1026717446678305E-3</v>
      </c>
    </row>
    <row r="18" spans="1:7">
      <c r="A18" s="4">
        <f t="shared" si="2"/>
        <v>15</v>
      </c>
      <c r="B18" s="7">
        <v>32904</v>
      </c>
      <c r="C18" s="10">
        <v>4164</v>
      </c>
      <c r="D18" s="10"/>
      <c r="E18" s="15">
        <f t="shared" si="3"/>
        <v>38</v>
      </c>
      <c r="F18">
        <f t="shared" si="1"/>
        <v>8.3342314297348601</v>
      </c>
      <c r="G18">
        <f t="shared" si="4"/>
        <v>-9.16773610366306E-3</v>
      </c>
    </row>
    <row r="19" spans="1:7">
      <c r="A19" s="4">
        <f t="shared" si="2"/>
        <v>16</v>
      </c>
      <c r="B19" s="7">
        <v>32932</v>
      </c>
      <c r="C19" s="10">
        <v>4222</v>
      </c>
      <c r="D19" s="10"/>
      <c r="E19" s="15">
        <f t="shared" si="3"/>
        <v>58</v>
      </c>
      <c r="F19">
        <f t="shared" si="1"/>
        <v>8.3480642284082656</v>
      </c>
      <c r="G19">
        <f t="shared" si="4"/>
        <v>-1.3832798673405478E-2</v>
      </c>
    </row>
    <row r="20" spans="1:7">
      <c r="A20" s="4">
        <f t="shared" si="2"/>
        <v>17</v>
      </c>
      <c r="B20" s="7">
        <v>32963</v>
      </c>
      <c r="C20" s="10">
        <v>4321</v>
      </c>
      <c r="D20" s="10"/>
      <c r="E20" s="15">
        <f t="shared" si="3"/>
        <v>99</v>
      </c>
      <c r="F20">
        <f t="shared" si="1"/>
        <v>8.3712421359319329</v>
      </c>
      <c r="G20">
        <f t="shared" si="4"/>
        <v>-2.3177907523667329E-2</v>
      </c>
    </row>
    <row r="21" spans="1:7">
      <c r="A21" s="4">
        <f t="shared" si="2"/>
        <v>18</v>
      </c>
      <c r="B21" s="7">
        <v>32993</v>
      </c>
      <c r="C21" s="10">
        <v>4335</v>
      </c>
      <c r="D21" s="10"/>
      <c r="E21" s="15">
        <f t="shared" si="3"/>
        <v>14</v>
      </c>
      <c r="F21">
        <f t="shared" si="1"/>
        <v>8.3744768892146428</v>
      </c>
      <c r="G21">
        <f t="shared" si="4"/>
        <v>-3.2347532827099457E-3</v>
      </c>
    </row>
    <row r="22" spans="1:7">
      <c r="A22" s="4">
        <f t="shared" si="2"/>
        <v>19</v>
      </c>
      <c r="B22" s="7">
        <v>33024</v>
      </c>
      <c r="C22" s="10">
        <v>4454</v>
      </c>
      <c r="D22" s="10"/>
      <c r="E22" s="15">
        <f t="shared" si="3"/>
        <v>119</v>
      </c>
      <c r="F22">
        <f t="shared" si="1"/>
        <v>8.4015578478173136</v>
      </c>
      <c r="G22">
        <f t="shared" si="4"/>
        <v>-2.708095860267079E-2</v>
      </c>
    </row>
    <row r="23" spans="1:7">
      <c r="A23" s="4">
        <f t="shared" si="2"/>
        <v>20</v>
      </c>
      <c r="B23" s="7">
        <v>33054</v>
      </c>
      <c r="C23" s="10">
        <v>4536</v>
      </c>
      <c r="D23" s="10"/>
      <c r="E23" s="15">
        <f t="shared" si="3"/>
        <v>82</v>
      </c>
      <c r="F23">
        <f t="shared" si="1"/>
        <v>8.4198008454075879</v>
      </c>
      <c r="G23">
        <f t="shared" si="4"/>
        <v>-1.8242997590274257E-2</v>
      </c>
    </row>
    <row r="24" spans="1:7">
      <c r="A24" s="4">
        <f t="shared" si="2"/>
        <v>21</v>
      </c>
      <c r="B24" s="7">
        <v>33085</v>
      </c>
      <c r="C24" s="10">
        <v>4597</v>
      </c>
      <c r="D24" s="10"/>
      <c r="E24" s="15">
        <f t="shared" si="3"/>
        <v>61</v>
      </c>
      <c r="F24">
        <f t="shared" si="1"/>
        <v>8.433159195806228</v>
      </c>
      <c r="G24">
        <f t="shared" si="4"/>
        <v>-1.3358350398640084E-2</v>
      </c>
    </row>
    <row r="25" spans="1:7">
      <c r="A25" s="4">
        <f t="shared" si="2"/>
        <v>22</v>
      </c>
      <c r="B25" s="7">
        <v>33116</v>
      </c>
      <c r="C25" s="10">
        <v>4643</v>
      </c>
      <c r="D25" s="10"/>
      <c r="E25" s="15">
        <f t="shared" si="3"/>
        <v>46</v>
      </c>
      <c r="F25">
        <f t="shared" si="1"/>
        <v>8.4431159880199225</v>
      </c>
      <c r="G25">
        <f t="shared" si="4"/>
        <v>-9.9567922136944986E-3</v>
      </c>
    </row>
    <row r="26" spans="1:7">
      <c r="A26" s="4">
        <f t="shared" si="2"/>
        <v>23</v>
      </c>
      <c r="B26" s="7">
        <v>33146</v>
      </c>
      <c r="C26" s="10">
        <v>4701</v>
      </c>
      <c r="D26" s="10"/>
      <c r="E26" s="15">
        <f t="shared" si="3"/>
        <v>58</v>
      </c>
      <c r="F26">
        <f t="shared" si="1"/>
        <v>8.4555305310241309</v>
      </c>
      <c r="G26">
        <f t="shared" si="4"/>
        <v>-1.2414543004208412E-2</v>
      </c>
    </row>
    <row r="27" spans="1:7">
      <c r="A27" s="4">
        <f t="shared" si="2"/>
        <v>24</v>
      </c>
      <c r="B27" s="7">
        <v>33177</v>
      </c>
      <c r="C27" s="10">
        <v>4766</v>
      </c>
      <c r="D27" s="10"/>
      <c r="E27" s="15">
        <f t="shared" si="3"/>
        <v>65</v>
      </c>
      <c r="F27">
        <f t="shared" si="1"/>
        <v>8.4692626576586871</v>
      </c>
      <c r="G27">
        <f t="shared" si="4"/>
        <v>-1.3732126634556252E-2</v>
      </c>
    </row>
    <row r="28" spans="1:7">
      <c r="A28" s="4">
        <f t="shared" si="2"/>
        <v>25</v>
      </c>
      <c r="B28" s="7">
        <v>33207</v>
      </c>
      <c r="C28" s="10">
        <v>4781</v>
      </c>
      <c r="D28" s="10"/>
      <c r="E28" s="15">
        <f t="shared" si="3"/>
        <v>15</v>
      </c>
      <c r="F28">
        <f t="shared" si="1"/>
        <v>8.4724050086261027</v>
      </c>
      <c r="G28">
        <f t="shared" si="4"/>
        <v>-3.1423509674155525E-3</v>
      </c>
    </row>
    <row r="29" spans="1:7">
      <c r="A29" s="4">
        <f t="shared" si="2"/>
        <v>26</v>
      </c>
      <c r="B29" s="7">
        <v>33238</v>
      </c>
      <c r="C29" s="10">
        <v>4808</v>
      </c>
      <c r="D29" s="10"/>
      <c r="E29" s="15">
        <f t="shared" si="3"/>
        <v>27</v>
      </c>
      <c r="F29">
        <f t="shared" si="1"/>
        <v>8.4780364762150437</v>
      </c>
      <c r="G29">
        <f t="shared" si="4"/>
        <v>-5.6314675889410637E-3</v>
      </c>
    </row>
    <row r="30" spans="1:7">
      <c r="A30" s="4">
        <f t="shared" si="2"/>
        <v>27</v>
      </c>
      <c r="B30" s="7">
        <v>33269</v>
      </c>
      <c r="C30" s="10">
        <v>4836</v>
      </c>
      <c r="D30" s="10"/>
      <c r="E30" s="15">
        <f t="shared" si="3"/>
        <v>28</v>
      </c>
      <c r="F30">
        <f t="shared" si="1"/>
        <v>8.4838432117346834</v>
      </c>
      <c r="G30">
        <f t="shared" si="4"/>
        <v>-5.8067355196396164E-3</v>
      </c>
    </row>
    <row r="31" spans="1:7">
      <c r="A31" s="4">
        <f t="shared" si="2"/>
        <v>28</v>
      </c>
      <c r="B31" s="7">
        <v>33297</v>
      </c>
      <c r="C31" s="10">
        <v>4937</v>
      </c>
      <c r="D31" s="10"/>
      <c r="E31" s="15">
        <f t="shared" si="3"/>
        <v>101</v>
      </c>
      <c r="F31">
        <f t="shared" si="1"/>
        <v>8.5045131382588632</v>
      </c>
      <c r="G31">
        <f t="shared" si="4"/>
        <v>-2.0669926524179871E-2</v>
      </c>
    </row>
    <row r="32" spans="1:7">
      <c r="A32" s="4">
        <f t="shared" si="2"/>
        <v>29</v>
      </c>
      <c r="B32" s="7">
        <v>33328</v>
      </c>
      <c r="C32" s="10">
        <v>5054</v>
      </c>
      <c r="D32" s="10"/>
      <c r="E32" s="15">
        <f t="shared" si="3"/>
        <v>117</v>
      </c>
      <c r="F32">
        <f t="shared" si="1"/>
        <v>8.5279352879481394</v>
      </c>
      <c r="G32">
        <f t="shared" si="4"/>
        <v>-2.3422149689276139E-2</v>
      </c>
    </row>
    <row r="33" spans="1:7">
      <c r="A33" s="4">
        <f t="shared" si="2"/>
        <v>30</v>
      </c>
      <c r="B33" s="7">
        <v>33358</v>
      </c>
      <c r="C33" s="10">
        <v>5103</v>
      </c>
      <c r="D33" s="10"/>
      <c r="E33" s="15">
        <f t="shared" si="3"/>
        <v>49</v>
      </c>
      <c r="F33">
        <f t="shared" si="1"/>
        <v>8.5375838810639717</v>
      </c>
      <c r="G33">
        <f t="shared" si="4"/>
        <v>-9.6485931158323268E-3</v>
      </c>
    </row>
    <row r="34" spans="1:7">
      <c r="A34" s="4">
        <f t="shared" si="2"/>
        <v>31</v>
      </c>
      <c r="B34" s="7">
        <v>33389</v>
      </c>
      <c r="C34" s="10">
        <v>5105</v>
      </c>
      <c r="D34" s="10"/>
      <c r="E34" s="15">
        <f t="shared" si="3"/>
        <v>2</v>
      </c>
      <c r="F34">
        <f t="shared" si="1"/>
        <v>8.5379757305987667</v>
      </c>
      <c r="G34">
        <f t="shared" si="4"/>
        <v>-3.9184953479498574E-4</v>
      </c>
    </row>
    <row r="35" spans="1:7">
      <c r="A35" s="1">
        <f t="shared" si="2"/>
        <v>32</v>
      </c>
      <c r="B35" s="12">
        <v>33419</v>
      </c>
      <c r="C35" s="13">
        <v>5704</v>
      </c>
      <c r="D35" s="10"/>
      <c r="E35" s="15">
        <f t="shared" si="3"/>
        <v>599</v>
      </c>
      <c r="F35">
        <f t="shared" si="1"/>
        <v>8.6489229620941313</v>
      </c>
      <c r="G35">
        <f t="shared" si="4"/>
        <v>-0.11094723149536456</v>
      </c>
    </row>
    <row r="36" spans="1:7">
      <c r="A36" s="1">
        <f t="shared" si="2"/>
        <v>33</v>
      </c>
      <c r="B36" s="12">
        <v>33450</v>
      </c>
      <c r="C36" s="13">
        <v>5907</v>
      </c>
      <c r="D36" s="10"/>
      <c r="E36" s="15">
        <f t="shared" si="3"/>
        <v>203</v>
      </c>
      <c r="F36">
        <f t="shared" si="1"/>
        <v>8.6838933673072347</v>
      </c>
      <c r="G36">
        <f t="shared" si="4"/>
        <v>-3.4970405213103462E-2</v>
      </c>
    </row>
    <row r="37" spans="1:7">
      <c r="A37" s="4">
        <f t="shared" si="2"/>
        <v>34</v>
      </c>
      <c r="B37" s="7">
        <v>33481</v>
      </c>
      <c r="C37" s="10">
        <v>5889</v>
      </c>
      <c r="D37" s="10"/>
      <c r="E37" s="15">
        <f t="shared" si="3"/>
        <v>-18</v>
      </c>
      <c r="F37">
        <f t="shared" si="1"/>
        <v>8.6808414829445706</v>
      </c>
      <c r="G37">
        <f t="shared" si="4"/>
        <v>3.0518843626641257E-3</v>
      </c>
    </row>
    <row r="38" spans="1:7">
      <c r="A38" s="4">
        <f t="shared" si="2"/>
        <v>35</v>
      </c>
      <c r="B38" s="7">
        <v>33511</v>
      </c>
      <c r="C38" s="10">
        <v>5887</v>
      </c>
      <c r="D38" s="10"/>
      <c r="E38" s="15">
        <f t="shared" si="3"/>
        <v>-2</v>
      </c>
      <c r="F38">
        <f t="shared" si="1"/>
        <v>8.6805018090282609</v>
      </c>
      <c r="G38">
        <f t="shared" si="4"/>
        <v>3.3967391630973509E-4</v>
      </c>
    </row>
    <row r="39" spans="1:7">
      <c r="A39" s="4">
        <f t="shared" si="2"/>
        <v>36</v>
      </c>
      <c r="B39" s="7">
        <v>33542</v>
      </c>
      <c r="C39" s="10">
        <v>5876</v>
      </c>
      <c r="D39" s="10"/>
      <c r="E39" s="15">
        <f t="shared" si="3"/>
        <v>-11</v>
      </c>
      <c r="F39">
        <f t="shared" si="1"/>
        <v>8.6786315372937679</v>
      </c>
      <c r="G39">
        <f t="shared" si="4"/>
        <v>1.8702717344929454E-3</v>
      </c>
    </row>
    <row r="40" spans="1:7">
      <c r="A40" s="4">
        <f t="shared" si="2"/>
        <v>37</v>
      </c>
      <c r="B40" s="7">
        <v>33572</v>
      </c>
      <c r="C40" s="10">
        <v>5896</v>
      </c>
      <c r="D40" s="10"/>
      <c r="E40" s="15">
        <f t="shared" si="3"/>
        <v>20</v>
      </c>
      <c r="F40">
        <f t="shared" si="1"/>
        <v>8.6820294338691717</v>
      </c>
      <c r="G40">
        <f t="shared" si="4"/>
        <v>-3.3978965754037915E-3</v>
      </c>
    </row>
    <row r="41" spans="1:7">
      <c r="A41" s="4">
        <f t="shared" si="2"/>
        <v>38</v>
      </c>
      <c r="B41" s="7">
        <v>33603</v>
      </c>
      <c r="C41" s="10">
        <v>5900</v>
      </c>
      <c r="D41" s="10"/>
      <c r="E41" s="15">
        <f t="shared" si="3"/>
        <v>4</v>
      </c>
      <c r="F41">
        <f t="shared" si="1"/>
        <v>8.6827076298938106</v>
      </c>
      <c r="G41">
        <f t="shared" si="4"/>
        <v>-6.7819602463892181E-4</v>
      </c>
    </row>
    <row r="42" spans="1:7">
      <c r="A42" s="4">
        <f t="shared" si="2"/>
        <v>39</v>
      </c>
      <c r="B42" s="7">
        <v>33634</v>
      </c>
      <c r="C42" s="10">
        <v>5917</v>
      </c>
      <c r="D42" s="10"/>
      <c r="E42" s="15">
        <f t="shared" si="3"/>
        <v>17</v>
      </c>
      <c r="F42">
        <f t="shared" si="1"/>
        <v>8.6855848426766933</v>
      </c>
      <c r="G42">
        <f t="shared" si="4"/>
        <v>-2.8772127828826655E-3</v>
      </c>
    </row>
    <row r="43" spans="1:7">
      <c r="A43" s="4">
        <f t="shared" si="2"/>
        <v>40</v>
      </c>
      <c r="B43" s="7">
        <v>33663</v>
      </c>
      <c r="C43" s="10">
        <v>5938</v>
      </c>
      <c r="D43" s="10"/>
      <c r="E43" s="15">
        <f t="shared" si="3"/>
        <v>21</v>
      </c>
      <c r="F43">
        <f t="shared" si="1"/>
        <v>8.6891276553237056</v>
      </c>
      <c r="G43">
        <f t="shared" si="4"/>
        <v>-3.5428126470122834E-3</v>
      </c>
    </row>
    <row r="44" spans="1:7">
      <c r="A44" s="4">
        <f t="shared" si="2"/>
        <v>41</v>
      </c>
      <c r="B44" s="7">
        <v>33694</v>
      </c>
      <c r="C44" s="10">
        <v>5987</v>
      </c>
      <c r="D44" s="10"/>
      <c r="E44" s="15">
        <f t="shared" si="3"/>
        <v>49</v>
      </c>
      <c r="F44">
        <f t="shared" si="1"/>
        <v>8.6973457309253526</v>
      </c>
      <c r="G44">
        <f t="shared" si="4"/>
        <v>-8.2180756016470013E-3</v>
      </c>
    </row>
    <row r="45" spans="1:7">
      <c r="A45" s="4">
        <f t="shared" si="2"/>
        <v>42</v>
      </c>
      <c r="B45" s="7">
        <v>33724</v>
      </c>
      <c r="C45" s="10">
        <v>5983</v>
      </c>
      <c r="D45" s="10"/>
      <c r="E45" s="15">
        <f t="shared" si="3"/>
        <v>-4</v>
      </c>
      <c r="F45">
        <f t="shared" si="1"/>
        <v>8.696677393390031</v>
      </c>
      <c r="G45">
        <f t="shared" si="4"/>
        <v>6.6833753532158369E-4</v>
      </c>
    </row>
    <row r="46" spans="1:7">
      <c r="A46" s="4">
        <f t="shared" si="2"/>
        <v>43</v>
      </c>
      <c r="B46" s="7">
        <v>33755</v>
      </c>
      <c r="C46" s="10">
        <v>5981</v>
      </c>
      <c r="D46" s="10"/>
      <c r="E46" s="15">
        <f t="shared" si="3"/>
        <v>-2</v>
      </c>
      <c r="F46">
        <f t="shared" si="1"/>
        <v>8.6963430570445563</v>
      </c>
      <c r="G46">
        <f t="shared" si="4"/>
        <v>3.3433634547463953E-4</v>
      </c>
    </row>
    <row r="47" spans="1:7">
      <c r="A47" s="4">
        <f t="shared" si="2"/>
        <v>44</v>
      </c>
      <c r="B47" s="7">
        <v>33785</v>
      </c>
      <c r="C47" s="10">
        <v>5975</v>
      </c>
      <c r="D47" s="10"/>
      <c r="E47" s="15">
        <f t="shared" si="3"/>
        <v>-6</v>
      </c>
      <c r="F47">
        <f t="shared" si="1"/>
        <v>8.695339376799712</v>
      </c>
      <c r="G47">
        <f t="shared" si="4"/>
        <v>1.0036802448443183E-3</v>
      </c>
    </row>
    <row r="48" spans="1:7">
      <c r="A48" s="4">
        <f t="shared" si="2"/>
        <v>45</v>
      </c>
      <c r="B48" s="7">
        <v>33816</v>
      </c>
      <c r="C48" s="10">
        <v>5985</v>
      </c>
      <c r="D48" s="10"/>
      <c r="E48" s="15">
        <f t="shared" si="3"/>
        <v>10</v>
      </c>
      <c r="F48">
        <f t="shared" si="1"/>
        <v>8.6970116179920733</v>
      </c>
      <c r="G48">
        <f t="shared" si="4"/>
        <v>-1.6722411923613123E-3</v>
      </c>
    </row>
    <row r="49" spans="1:8">
      <c r="A49" s="4">
        <f t="shared" si="2"/>
        <v>46</v>
      </c>
      <c r="B49" s="7">
        <v>33847</v>
      </c>
      <c r="C49" s="10">
        <v>6029</v>
      </c>
      <c r="D49" s="10"/>
      <c r="E49" s="15">
        <f t="shared" si="3"/>
        <v>44</v>
      </c>
      <c r="F49">
        <f t="shared" si="1"/>
        <v>8.7043364384894062</v>
      </c>
      <c r="G49">
        <f t="shared" si="4"/>
        <v>-7.3248204973328512E-3</v>
      </c>
    </row>
    <row r="50" spans="1:8">
      <c r="A50" s="4">
        <f t="shared" si="2"/>
        <v>47</v>
      </c>
      <c r="B50" s="7">
        <v>33877</v>
      </c>
      <c r="C50" s="10">
        <v>6024</v>
      </c>
      <c r="D50" s="10"/>
      <c r="E50" s="15">
        <f t="shared" si="3"/>
        <v>-5</v>
      </c>
      <c r="F50">
        <f t="shared" si="1"/>
        <v>8.7035067694797288</v>
      </c>
      <c r="G50">
        <f t="shared" si="4"/>
        <v>8.2966900967740287E-4</v>
      </c>
    </row>
    <row r="52" spans="1:8">
      <c r="A52" s="4" t="str">
        <f ca="1">_xlfn.FORMULATEXT(C52)</f>
        <v>=AVERAGE(C4:C50)</v>
      </c>
      <c r="B52" t="s">
        <v>8</v>
      </c>
      <c r="C52" s="11">
        <f>AVERAGE(C4:C50)</f>
        <v>4884.7659574468089</v>
      </c>
      <c r="E52" s="11">
        <f t="shared" ref="E52:G52" si="5">AVERAGE(E4:E50)</f>
        <v>49.195652173913047</v>
      </c>
      <c r="F52" s="11">
        <f t="shared" si="5"/>
        <v>8.4795807380660584</v>
      </c>
      <c r="G52" s="11">
        <f t="shared" si="5"/>
        <v>-1.0240578500204192E-2</v>
      </c>
      <c r="H52" s="11"/>
    </row>
    <row r="53" spans="1:8">
      <c r="A53" s="4" t="str">
        <f ca="1">_xlfn.FORMULATEXT(C53)</f>
        <v>=STDEV(C4:C50)</v>
      </c>
      <c r="B53" t="s">
        <v>9</v>
      </c>
      <c r="C53" s="11">
        <f>STDEV(C4:C50)</f>
        <v>836.03097541860757</v>
      </c>
      <c r="E53" s="11">
        <f t="shared" ref="E53:G53" si="6">STDEV(E4:E50)</f>
        <v>93.519010441779486</v>
      </c>
      <c r="F53" s="11">
        <f t="shared" si="6"/>
        <v>0.1707828163225581</v>
      </c>
      <c r="G53" s="11">
        <f t="shared" si="6"/>
        <v>1.7598066449288394E-2</v>
      </c>
      <c r="H53" s="1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6AB-0C2F-48D0-B8DE-9A3D67212DE7}">
  <dimension ref="A1:L63"/>
  <sheetViews>
    <sheetView workbookViewId="0">
      <pane ySplit="1" topLeftCell="A29" activePane="bottomLeft" state="frozen"/>
      <selection pane="bottomLeft" activeCell="L57" sqref="L57"/>
    </sheetView>
  </sheetViews>
  <sheetFormatPr defaultRowHeight="14.45"/>
  <cols>
    <col min="2" max="2" width="10.85546875" customWidth="1"/>
    <col min="3" max="3" width="9.42578125" customWidth="1"/>
    <col min="8" max="8" width="9.85546875" customWidth="1"/>
    <col min="11" max="12" width="11.5703125" bestFit="1" customWidth="1"/>
  </cols>
  <sheetData>
    <row r="1" spans="1:12" ht="57.95">
      <c r="A1" s="3" t="s">
        <v>1</v>
      </c>
      <c r="B1" s="6" t="s">
        <v>2</v>
      </c>
      <c r="C1" s="9" t="s">
        <v>3</v>
      </c>
      <c r="D1" s="14" t="s">
        <v>71</v>
      </c>
      <c r="E1" s="14" t="s">
        <v>59</v>
      </c>
      <c r="F1" s="14" t="s">
        <v>60</v>
      </c>
      <c r="G1" s="26" t="s">
        <v>61</v>
      </c>
      <c r="H1" s="14" t="s">
        <v>5</v>
      </c>
      <c r="I1" s="14" t="s">
        <v>73</v>
      </c>
      <c r="J1" s="14" t="s">
        <v>74</v>
      </c>
      <c r="K1" s="14" t="s">
        <v>75</v>
      </c>
      <c r="L1" s="14" t="s">
        <v>76</v>
      </c>
    </row>
    <row r="2" spans="1:12">
      <c r="A2" s="4">
        <v>1</v>
      </c>
      <c r="B2" s="7">
        <v>32477</v>
      </c>
      <c r="C2" s="10">
        <v>3761</v>
      </c>
      <c r="D2" s="19"/>
      <c r="F2" s="22">
        <f>F14</f>
        <v>0.99895296976377324</v>
      </c>
      <c r="G2" s="27">
        <f>C2/F2</f>
        <v>3764.942008120142</v>
      </c>
    </row>
    <row r="3" spans="1:12">
      <c r="A3" s="4">
        <f>1+A2</f>
        <v>2</v>
      </c>
      <c r="B3" s="7">
        <v>32508</v>
      </c>
      <c r="C3" s="10">
        <v>3770</v>
      </c>
      <c r="D3" s="19"/>
      <c r="F3" s="22">
        <f>F15</f>
        <v>0.99136634823865966</v>
      </c>
      <c r="G3" s="27">
        <f t="shared" ref="G3:G47" si="0">C3/F3</f>
        <v>3802.8323300443694</v>
      </c>
      <c r="H3" s="15">
        <f>G3-G2</f>
        <v>37.890321924227464</v>
      </c>
    </row>
    <row r="4" spans="1:12">
      <c r="A4" s="4">
        <f t="shared" ref="A4:A60" si="1">1+A3</f>
        <v>3</v>
      </c>
      <c r="B4" s="7">
        <v>32539</v>
      </c>
      <c r="C4" s="10">
        <v>3777</v>
      </c>
      <c r="D4" s="19"/>
      <c r="F4" s="22">
        <v>0.98565799233532947</v>
      </c>
      <c r="G4" s="27">
        <f t="shared" si="0"/>
        <v>3831.9579705848228</v>
      </c>
      <c r="H4" s="15">
        <f t="shared" ref="H4:H48" si="2">G4-G3</f>
        <v>29.125640540453333</v>
      </c>
    </row>
    <row r="5" spans="1:12">
      <c r="A5" s="4">
        <f t="shared" si="1"/>
        <v>4</v>
      </c>
      <c r="B5" s="7">
        <v>32567</v>
      </c>
      <c r="C5" s="10">
        <v>3831</v>
      </c>
      <c r="D5" s="19"/>
      <c r="F5" s="22">
        <v>0.9867538520861826</v>
      </c>
      <c r="G5" s="27">
        <f t="shared" si="0"/>
        <v>3882.4272050223549</v>
      </c>
      <c r="H5" s="15">
        <f t="shared" si="2"/>
        <v>50.469234437532123</v>
      </c>
    </row>
    <row r="6" spans="1:12">
      <c r="A6" s="4">
        <f t="shared" si="1"/>
        <v>5</v>
      </c>
      <c r="B6" s="7">
        <v>32598</v>
      </c>
      <c r="C6" s="10">
        <v>3916</v>
      </c>
      <c r="D6" s="19"/>
      <c r="F6" s="22">
        <v>0.99365549523408958</v>
      </c>
      <c r="G6" s="27">
        <f t="shared" si="0"/>
        <v>3941.0037168641152</v>
      </c>
      <c r="H6" s="15">
        <f t="shared" si="2"/>
        <v>58.576511841760293</v>
      </c>
    </row>
    <row r="7" spans="1:12">
      <c r="A7" s="4">
        <f t="shared" si="1"/>
        <v>6</v>
      </c>
      <c r="B7" s="7">
        <v>32628</v>
      </c>
      <c r="C7" s="10">
        <v>3956</v>
      </c>
      <c r="D7" s="19"/>
      <c r="F7" s="22">
        <v>0.97830522536246467</v>
      </c>
      <c r="G7" s="27">
        <f t="shared" si="0"/>
        <v>4043.7277625030488</v>
      </c>
      <c r="H7" s="15">
        <f t="shared" si="2"/>
        <v>102.7240456389336</v>
      </c>
    </row>
    <row r="8" spans="1:12">
      <c r="A8" s="4">
        <f t="shared" si="1"/>
        <v>7</v>
      </c>
      <c r="B8" s="7">
        <v>32659</v>
      </c>
      <c r="C8" s="10">
        <v>3995</v>
      </c>
      <c r="D8" s="15">
        <f t="shared" ref="D8:D42" si="3">(SUM(C3:C13)+((C2+C14)/2))/12</f>
        <v>3940.3333333333335</v>
      </c>
      <c r="E8" s="24">
        <f>C8/D8</f>
        <v>1.0138736147534049</v>
      </c>
      <c r="F8" s="22">
        <v>0.98972684471052097</v>
      </c>
      <c r="G8" s="27">
        <f>C8/E8</f>
        <v>3940.3333333333335</v>
      </c>
      <c r="H8" s="15">
        <f>G8-G7</f>
        <v>-103.39442916971529</v>
      </c>
    </row>
    <row r="9" spans="1:12">
      <c r="A9" s="4">
        <f t="shared" si="1"/>
        <v>8</v>
      </c>
      <c r="B9" s="7">
        <v>32689</v>
      </c>
      <c r="C9" s="10">
        <v>3949</v>
      </c>
      <c r="D9" s="15">
        <f t="shared" si="3"/>
        <v>3969.5</v>
      </c>
      <c r="E9" s="25">
        <f>C9/D9</f>
        <v>0.99483562161481298</v>
      </c>
      <c r="F9" s="22">
        <v>1.0164908929445178</v>
      </c>
      <c r="G9" s="27">
        <f t="shared" si="0"/>
        <v>3884.9339698073859</v>
      </c>
      <c r="H9" s="15">
        <f t="shared" si="2"/>
        <v>-55.399363525947592</v>
      </c>
    </row>
    <row r="10" spans="1:12">
      <c r="A10" s="4">
        <f t="shared" si="1"/>
        <v>9</v>
      </c>
      <c r="B10" s="7">
        <v>32720</v>
      </c>
      <c r="C10" s="10">
        <v>3986</v>
      </c>
      <c r="D10" s="15">
        <f t="shared" si="3"/>
        <v>4000.4583333333335</v>
      </c>
      <c r="E10" s="23">
        <f t="shared" ref="E10:E42" si="4">C10/D10</f>
        <v>0.99638583079022192</v>
      </c>
      <c r="F10" s="22">
        <v>1.023824453097022</v>
      </c>
      <c r="G10" s="27">
        <f t="shared" si="0"/>
        <v>3893.2455539057823</v>
      </c>
      <c r="H10" s="15">
        <f t="shared" si="2"/>
        <v>8.3115840983964517</v>
      </c>
    </row>
    <row r="11" spans="1:12">
      <c r="A11" s="4">
        <f t="shared" si="1"/>
        <v>10</v>
      </c>
      <c r="B11" s="7">
        <v>32751</v>
      </c>
      <c r="C11" s="10">
        <v>4026</v>
      </c>
      <c r="D11" s="15">
        <f t="shared" si="3"/>
        <v>4032.875</v>
      </c>
      <c r="E11" s="23">
        <f t="shared" si="4"/>
        <v>0.99829526082509379</v>
      </c>
      <c r="F11" s="22">
        <v>1.0170476123708239</v>
      </c>
      <c r="G11" s="27">
        <f t="shared" si="0"/>
        <v>3958.5167410354115</v>
      </c>
      <c r="H11" s="15">
        <f t="shared" si="2"/>
        <v>65.271187129629197</v>
      </c>
    </row>
    <row r="12" spans="1:12">
      <c r="A12" s="4">
        <f t="shared" si="1"/>
        <v>11</v>
      </c>
      <c r="B12" s="7">
        <v>32781</v>
      </c>
      <c r="C12" s="10">
        <v>4050</v>
      </c>
      <c r="D12" s="15">
        <f t="shared" si="3"/>
        <v>4066.0416666666665</v>
      </c>
      <c r="E12" s="23">
        <f t="shared" si="4"/>
        <v>0.99605472152482455</v>
      </c>
      <c r="F12" s="22">
        <v>1.0110822484595425</v>
      </c>
      <c r="G12" s="27">
        <f t="shared" si="0"/>
        <v>4005.6088475200413</v>
      </c>
      <c r="H12" s="15">
        <f t="shared" si="2"/>
        <v>47.092106484629767</v>
      </c>
    </row>
    <row r="13" spans="1:12">
      <c r="A13" s="4">
        <f t="shared" si="1"/>
        <v>12</v>
      </c>
      <c r="B13" s="7">
        <v>32812</v>
      </c>
      <c r="C13" s="10">
        <v>4095</v>
      </c>
      <c r="D13" s="15">
        <f t="shared" si="3"/>
        <v>4098.708333333333</v>
      </c>
      <c r="E13" s="23">
        <f t="shared" si="4"/>
        <v>0.9990952434201833</v>
      </c>
      <c r="F13" s="22">
        <v>1.0071360653970747</v>
      </c>
      <c r="G13" s="27">
        <f t="shared" si="0"/>
        <v>4065.9848660920511</v>
      </c>
      <c r="H13" s="15">
        <f t="shared" si="2"/>
        <v>60.376018572009798</v>
      </c>
    </row>
    <row r="14" spans="1:12">
      <c r="A14" s="4">
        <f t="shared" si="1"/>
        <v>13</v>
      </c>
      <c r="B14" s="7">
        <v>32842</v>
      </c>
      <c r="C14" s="10">
        <v>4105</v>
      </c>
      <c r="D14" s="15">
        <f t="shared" si="3"/>
        <v>4133.625</v>
      </c>
      <c r="E14" s="23">
        <f t="shared" si="4"/>
        <v>0.99307508542743961</v>
      </c>
      <c r="F14" s="22">
        <v>0.99895296976377324</v>
      </c>
      <c r="G14" s="27">
        <f t="shared" si="0"/>
        <v>4109.3025640343485</v>
      </c>
      <c r="H14" s="15">
        <f t="shared" si="2"/>
        <v>43.3176979422974</v>
      </c>
    </row>
    <row r="15" spans="1:12">
      <c r="A15" s="4">
        <f t="shared" si="1"/>
        <v>14</v>
      </c>
      <c r="B15" s="7">
        <v>32873</v>
      </c>
      <c r="C15" s="10">
        <v>4126</v>
      </c>
      <c r="D15" s="15">
        <f t="shared" si="3"/>
        <v>4177.208333333333</v>
      </c>
      <c r="E15" s="23">
        <f t="shared" si="4"/>
        <v>0.98774101523146451</v>
      </c>
      <c r="F15" s="22">
        <v>0.99136634823865966</v>
      </c>
      <c r="G15" s="27">
        <f t="shared" si="0"/>
        <v>4161.9326773907342</v>
      </c>
      <c r="H15" s="15">
        <f t="shared" si="2"/>
        <v>52.630113356385664</v>
      </c>
    </row>
    <row r="16" spans="1:12">
      <c r="A16" s="4">
        <f t="shared" si="1"/>
        <v>15</v>
      </c>
      <c r="B16" s="7">
        <v>32904</v>
      </c>
      <c r="C16" s="10">
        <v>4164</v>
      </c>
      <c r="D16" s="15">
        <f t="shared" si="3"/>
        <v>4227.125</v>
      </c>
      <c r="E16" s="23">
        <f t="shared" si="4"/>
        <v>0.98506668243782713</v>
      </c>
      <c r="F16" s="22">
        <f>F4</f>
        <v>0.98565799233532947</v>
      </c>
      <c r="G16" s="27">
        <f t="shared" si="0"/>
        <v>4224.5890890958972</v>
      </c>
      <c r="H16" s="15">
        <f t="shared" si="2"/>
        <v>62.656411705163009</v>
      </c>
    </row>
    <row r="17" spans="1:8">
      <c r="A17" s="4">
        <f t="shared" si="1"/>
        <v>16</v>
      </c>
      <c r="B17" s="7">
        <v>32932</v>
      </c>
      <c r="C17" s="10">
        <v>4222</v>
      </c>
      <c r="D17" s="15">
        <f t="shared" si="3"/>
        <v>4278.291666666667</v>
      </c>
      <c r="E17" s="23">
        <f t="shared" si="4"/>
        <v>0.98684248970091248</v>
      </c>
      <c r="F17" s="22">
        <f t="shared" ref="F17:F60" si="5">F5</f>
        <v>0.9867538520861826</v>
      </c>
      <c r="G17" s="27">
        <f t="shared" si="0"/>
        <v>4278.6759748380009</v>
      </c>
      <c r="H17" s="15">
        <f t="shared" si="2"/>
        <v>54.086885742103732</v>
      </c>
    </row>
    <row r="18" spans="1:8">
      <c r="A18" s="4">
        <f t="shared" si="1"/>
        <v>17</v>
      </c>
      <c r="B18" s="7">
        <v>32963</v>
      </c>
      <c r="C18" s="10">
        <v>4321</v>
      </c>
      <c r="D18" s="15">
        <f t="shared" si="3"/>
        <v>4331.125</v>
      </c>
      <c r="E18" s="23">
        <f t="shared" si="4"/>
        <v>0.997662270195388</v>
      </c>
      <c r="F18" s="22">
        <f t="shared" si="5"/>
        <v>0.99365549523408958</v>
      </c>
      <c r="G18" s="27">
        <f t="shared" si="0"/>
        <v>4348.5896477451079</v>
      </c>
      <c r="H18" s="15">
        <f t="shared" si="2"/>
        <v>69.913672907106957</v>
      </c>
    </row>
    <row r="19" spans="1:8">
      <c r="A19" s="4">
        <f t="shared" si="1"/>
        <v>18</v>
      </c>
      <c r="B19" s="7">
        <v>32993</v>
      </c>
      <c r="C19" s="10">
        <v>4335</v>
      </c>
      <c r="D19" s="15">
        <f t="shared" si="3"/>
        <v>4386.208333333333</v>
      </c>
      <c r="E19" s="23">
        <f t="shared" si="4"/>
        <v>0.98832514795428861</v>
      </c>
      <c r="F19" s="22">
        <f t="shared" si="5"/>
        <v>0.97830522536246467</v>
      </c>
      <c r="G19" s="27">
        <f t="shared" si="0"/>
        <v>4431.1324192241445</v>
      </c>
      <c r="H19" s="15">
        <f t="shared" si="2"/>
        <v>82.542771479036674</v>
      </c>
    </row>
    <row r="20" spans="1:8">
      <c r="A20" s="4">
        <f t="shared" si="1"/>
        <v>19</v>
      </c>
      <c r="B20" s="7">
        <v>33024</v>
      </c>
      <c r="C20" s="10">
        <v>4454</v>
      </c>
      <c r="D20" s="15">
        <f t="shared" si="3"/>
        <v>4442.333333333333</v>
      </c>
      <c r="E20" s="24">
        <f t="shared" si="4"/>
        <v>1.0026262474675471</v>
      </c>
      <c r="F20" s="22">
        <f t="shared" si="5"/>
        <v>0.98972684471052097</v>
      </c>
      <c r="G20" s="27">
        <f t="shared" si="0"/>
        <v>4500.2315778377442</v>
      </c>
      <c r="H20" s="15">
        <f t="shared" si="2"/>
        <v>69.099158613599684</v>
      </c>
    </row>
    <row r="21" spans="1:8">
      <c r="A21" s="4">
        <f t="shared" si="1"/>
        <v>20</v>
      </c>
      <c r="B21" s="7">
        <v>33054</v>
      </c>
      <c r="C21" s="10">
        <v>4536</v>
      </c>
      <c r="D21" s="15">
        <f t="shared" si="3"/>
        <v>4498.916666666667</v>
      </c>
      <c r="E21" s="25">
        <f t="shared" si="4"/>
        <v>1.0082427251004871</v>
      </c>
      <c r="F21" s="22">
        <f t="shared" si="5"/>
        <v>1.0164908929445178</v>
      </c>
      <c r="G21" s="27">
        <f t="shared" si="0"/>
        <v>4462.4108602295018</v>
      </c>
      <c r="H21" s="15">
        <f t="shared" si="2"/>
        <v>-37.820717608242376</v>
      </c>
    </row>
    <row r="22" spans="1:8">
      <c r="A22" s="4">
        <f t="shared" si="1"/>
        <v>21</v>
      </c>
      <c r="B22" s="7">
        <v>33085</v>
      </c>
      <c r="C22" s="10">
        <v>4597</v>
      </c>
      <c r="D22" s="15">
        <f t="shared" si="3"/>
        <v>4555.333333333333</v>
      </c>
      <c r="E22" s="23">
        <f t="shared" si="4"/>
        <v>1.0091467876481781</v>
      </c>
      <c r="F22" s="22">
        <f t="shared" si="5"/>
        <v>1.023824453097022</v>
      </c>
      <c r="G22" s="27">
        <f t="shared" si="0"/>
        <v>4490.0275492485907</v>
      </c>
      <c r="H22" s="15">
        <f t="shared" si="2"/>
        <v>27.616689019088881</v>
      </c>
    </row>
    <row r="23" spans="1:8">
      <c r="A23" s="4">
        <f t="shared" si="1"/>
        <v>22</v>
      </c>
      <c r="B23" s="7">
        <v>33116</v>
      </c>
      <c r="C23" s="10">
        <v>4643</v>
      </c>
      <c r="D23" s="15">
        <f t="shared" si="3"/>
        <v>4613.125</v>
      </c>
      <c r="E23" s="23">
        <f t="shared" si="4"/>
        <v>1.0064760872510501</v>
      </c>
      <c r="F23" s="22">
        <f t="shared" si="5"/>
        <v>1.0170476123708239</v>
      </c>
      <c r="G23" s="27">
        <f t="shared" si="0"/>
        <v>4565.174671790217</v>
      </c>
      <c r="H23" s="15">
        <f t="shared" si="2"/>
        <v>75.147122541626231</v>
      </c>
    </row>
    <row r="24" spans="1:8">
      <c r="A24" s="4">
        <f t="shared" si="1"/>
        <v>23</v>
      </c>
      <c r="B24" s="7">
        <v>33146</v>
      </c>
      <c r="C24" s="10">
        <v>4701</v>
      </c>
      <c r="D24" s="15">
        <f t="shared" si="3"/>
        <v>4673.458333333333</v>
      </c>
      <c r="E24" s="23">
        <f t="shared" si="4"/>
        <v>1.0058932089904871</v>
      </c>
      <c r="F24" s="22">
        <f t="shared" si="5"/>
        <v>1.0110822484595425</v>
      </c>
      <c r="G24" s="27">
        <f t="shared" si="0"/>
        <v>4649.4733807880775</v>
      </c>
      <c r="H24" s="15">
        <f t="shared" si="2"/>
        <v>84.298708997860558</v>
      </c>
    </row>
    <row r="25" spans="1:8">
      <c r="A25" s="4">
        <f t="shared" si="1"/>
        <v>24</v>
      </c>
      <c r="B25" s="7">
        <v>33177</v>
      </c>
      <c r="C25" s="10">
        <v>4766</v>
      </c>
      <c r="D25" s="15">
        <f t="shared" si="3"/>
        <v>4736</v>
      </c>
      <c r="E25" s="23">
        <f t="shared" si="4"/>
        <v>1.0063344594594594</v>
      </c>
      <c r="F25" s="22">
        <f t="shared" si="5"/>
        <v>1.0071360653970747</v>
      </c>
      <c r="G25" s="27">
        <f t="shared" si="0"/>
        <v>4732.2304937227636</v>
      </c>
      <c r="H25" s="15">
        <f t="shared" si="2"/>
        <v>82.75711293468612</v>
      </c>
    </row>
    <row r="26" spans="1:8">
      <c r="A26" s="4">
        <f t="shared" si="1"/>
        <v>25</v>
      </c>
      <c r="B26" s="7">
        <v>33207</v>
      </c>
      <c r="C26" s="10">
        <v>4781</v>
      </c>
      <c r="D26" s="15">
        <f t="shared" si="3"/>
        <v>4795.125</v>
      </c>
      <c r="E26" s="23">
        <f t="shared" si="4"/>
        <v>0.99705429994004324</v>
      </c>
      <c r="F26" s="22">
        <f t="shared" si="5"/>
        <v>0.99895296976377324</v>
      </c>
      <c r="G26" s="27">
        <f t="shared" si="0"/>
        <v>4786.0110983308696</v>
      </c>
      <c r="H26" s="15">
        <f t="shared" si="2"/>
        <v>53.780604608105932</v>
      </c>
    </row>
    <row r="27" spans="1:8">
      <c r="A27" s="4">
        <f t="shared" si="1"/>
        <v>26</v>
      </c>
      <c r="B27" s="7">
        <v>33238</v>
      </c>
      <c r="C27" s="10">
        <v>4808</v>
      </c>
      <c r="D27" s="15">
        <f t="shared" si="3"/>
        <v>4870.916666666667</v>
      </c>
      <c r="E27" s="23">
        <f t="shared" si="4"/>
        <v>0.98708319789225152</v>
      </c>
      <c r="F27" s="22">
        <f t="shared" si="5"/>
        <v>0.99136634823865966</v>
      </c>
      <c r="G27" s="27">
        <f t="shared" si="0"/>
        <v>4849.8721068576469</v>
      </c>
      <c r="H27" s="15">
        <f t="shared" si="2"/>
        <v>63.861008526777368</v>
      </c>
    </row>
    <row r="28" spans="1:8">
      <c r="A28" s="4">
        <f t="shared" si="1"/>
        <v>27</v>
      </c>
      <c r="B28" s="7">
        <v>33269</v>
      </c>
      <c r="C28" s="10">
        <v>4836</v>
      </c>
      <c r="D28" s="15">
        <f t="shared" si="3"/>
        <v>4974.166666666667</v>
      </c>
      <c r="E28" s="23">
        <f t="shared" si="4"/>
        <v>0.97222315295694417</v>
      </c>
      <c r="F28" s="22">
        <f t="shared" si="5"/>
        <v>0.98565799233532947</v>
      </c>
      <c r="G28" s="27">
        <f t="shared" si="0"/>
        <v>4906.3671553476843</v>
      </c>
      <c r="H28" s="15">
        <f t="shared" si="2"/>
        <v>56.495048490037334</v>
      </c>
    </row>
    <row r="29" spans="1:8">
      <c r="A29" s="4">
        <f t="shared" si="1"/>
        <v>28</v>
      </c>
      <c r="B29" s="7">
        <v>33297</v>
      </c>
      <c r="C29" s="10">
        <v>4937</v>
      </c>
      <c r="D29" s="15">
        <f t="shared" si="3"/>
        <v>5080.666666666667</v>
      </c>
      <c r="E29" s="23">
        <f t="shared" si="4"/>
        <v>0.97172287101430255</v>
      </c>
      <c r="F29" s="22">
        <f t="shared" si="5"/>
        <v>0.9867538520861826</v>
      </c>
      <c r="G29" s="27">
        <f t="shared" si="0"/>
        <v>5003.27410889986</v>
      </c>
      <c r="H29" s="15">
        <f t="shared" si="2"/>
        <v>96.906953552175764</v>
      </c>
    </row>
    <row r="30" spans="1:8">
      <c r="A30" s="4">
        <f t="shared" si="1"/>
        <v>29</v>
      </c>
      <c r="B30" s="7">
        <v>33328</v>
      </c>
      <c r="C30" s="10">
        <v>5054</v>
      </c>
      <c r="D30" s="15">
        <f t="shared" si="3"/>
        <v>5182</v>
      </c>
      <c r="E30" s="23">
        <f t="shared" si="4"/>
        <v>0.97529911231184874</v>
      </c>
      <c r="F30" s="22">
        <f t="shared" si="5"/>
        <v>0.99365549523408958</v>
      </c>
      <c r="G30" s="27">
        <f t="shared" si="0"/>
        <v>5086.2698633889777</v>
      </c>
      <c r="H30" s="15">
        <f t="shared" si="2"/>
        <v>82.995754489117644</v>
      </c>
    </row>
    <row r="31" spans="1:8">
      <c r="A31" s="4">
        <f t="shared" si="1"/>
        <v>30</v>
      </c>
      <c r="B31" s="7">
        <v>33358</v>
      </c>
      <c r="C31" s="10">
        <v>5103</v>
      </c>
      <c r="D31" s="15">
        <f t="shared" si="3"/>
        <v>5277.666666666667</v>
      </c>
      <c r="E31" s="23">
        <f t="shared" si="4"/>
        <v>0.96690456641192446</v>
      </c>
      <c r="F31" s="22">
        <f t="shared" si="5"/>
        <v>0.97830522536246467</v>
      </c>
      <c r="G31" s="27">
        <f t="shared" si="0"/>
        <v>5216.1634914188717</v>
      </c>
      <c r="H31" s="15">
        <f t="shared" si="2"/>
        <v>129.89362802989399</v>
      </c>
    </row>
    <row r="32" spans="1:8">
      <c r="A32" s="4">
        <f t="shared" si="1"/>
        <v>31</v>
      </c>
      <c r="B32" s="7">
        <v>33389</v>
      </c>
      <c r="C32" s="10">
        <v>5105</v>
      </c>
      <c r="D32" s="15">
        <f t="shared" si="3"/>
        <v>5370.375</v>
      </c>
      <c r="E32" s="24">
        <f t="shared" si="4"/>
        <v>0.9505853874263902</v>
      </c>
      <c r="F32" s="22">
        <f>F20</f>
        <v>0.98972684471052097</v>
      </c>
      <c r="G32" s="27">
        <f>C32/F32</f>
        <v>5157.9888201305985</v>
      </c>
      <c r="H32" s="15">
        <f t="shared" si="2"/>
        <v>-58.174671288273203</v>
      </c>
    </row>
    <row r="33" spans="1:8">
      <c r="A33" s="1">
        <f t="shared" si="1"/>
        <v>32</v>
      </c>
      <c r="B33" s="12">
        <v>33419</v>
      </c>
      <c r="C33" s="13">
        <v>5704</v>
      </c>
      <c r="D33" s="15">
        <f t="shared" si="3"/>
        <v>5462.333333333333</v>
      </c>
      <c r="E33" s="25">
        <f t="shared" si="4"/>
        <v>1.0442423872581925</v>
      </c>
      <c r="F33" s="22">
        <f t="shared" si="5"/>
        <v>1.0164908929445178</v>
      </c>
      <c r="G33" s="27">
        <f t="shared" si="0"/>
        <v>5611.4619812057053</v>
      </c>
      <c r="H33" s="15">
        <f>G33-G32</f>
        <v>453.47316107510687</v>
      </c>
    </row>
    <row r="34" spans="1:8">
      <c r="A34" s="1">
        <f t="shared" si="1"/>
        <v>33</v>
      </c>
      <c r="B34" s="12">
        <v>33450</v>
      </c>
      <c r="C34" s="13">
        <v>5907</v>
      </c>
      <c r="D34" s="15">
        <f t="shared" si="3"/>
        <v>5552.875</v>
      </c>
      <c r="E34" s="23">
        <f t="shared" si="4"/>
        <v>1.063773270603066</v>
      </c>
      <c r="F34" s="22">
        <f>F22</f>
        <v>1.023824453097022</v>
      </c>
      <c r="G34" s="27">
        <f t="shared" si="0"/>
        <v>5769.5437749426637</v>
      </c>
      <c r="H34" s="15">
        <f t="shared" si="2"/>
        <v>158.08179373695839</v>
      </c>
    </row>
    <row r="35" spans="1:8">
      <c r="A35" s="4">
        <f t="shared" si="1"/>
        <v>34</v>
      </c>
      <c r="B35" s="7">
        <v>33481</v>
      </c>
      <c r="C35" s="10">
        <v>5889</v>
      </c>
      <c r="D35" s="15">
        <f t="shared" si="3"/>
        <v>5639.625</v>
      </c>
      <c r="E35" s="23">
        <f t="shared" si="4"/>
        <v>1.0442183655828181</v>
      </c>
      <c r="F35" s="22">
        <f t="shared" si="5"/>
        <v>1.0170476123708239</v>
      </c>
      <c r="G35" s="27">
        <f t="shared" si="0"/>
        <v>5790.2893909482209</v>
      </c>
      <c r="H35" s="15">
        <f t="shared" si="2"/>
        <v>20.745616005557167</v>
      </c>
    </row>
    <row r="36" spans="1:8">
      <c r="A36" s="4">
        <f t="shared" si="1"/>
        <v>35</v>
      </c>
      <c r="B36" s="7">
        <v>33511</v>
      </c>
      <c r="C36" s="10">
        <v>5887</v>
      </c>
      <c r="D36" s="15">
        <f t="shared" si="3"/>
        <v>5720.208333333333</v>
      </c>
      <c r="E36" s="23">
        <f t="shared" si="4"/>
        <v>1.0291583202826238</v>
      </c>
      <c r="F36" s="22">
        <f t="shared" si="5"/>
        <v>1.0110822484595425</v>
      </c>
      <c r="G36" s="27">
        <f t="shared" si="0"/>
        <v>5822.4738976174031</v>
      </c>
      <c r="H36" s="15">
        <f t="shared" si="2"/>
        <v>32.184506669182156</v>
      </c>
    </row>
    <row r="37" spans="1:8">
      <c r="A37" s="4">
        <f t="shared" si="1"/>
        <v>36</v>
      </c>
      <c r="B37" s="7">
        <v>33542</v>
      </c>
      <c r="C37" s="10">
        <v>5876</v>
      </c>
      <c r="D37" s="15">
        <f t="shared" si="3"/>
        <v>5795.75</v>
      </c>
      <c r="E37" s="23">
        <f t="shared" si="4"/>
        <v>1.0138463529310271</v>
      </c>
      <c r="F37" s="22">
        <f t="shared" si="5"/>
        <v>1.0071360653970747</v>
      </c>
      <c r="G37" s="27">
        <f t="shared" si="0"/>
        <v>5834.3655856304986</v>
      </c>
      <c r="H37" s="15">
        <f t="shared" si="2"/>
        <v>11.891688013095518</v>
      </c>
    </row>
    <row r="38" spans="1:8">
      <c r="A38" s="4">
        <f t="shared" si="1"/>
        <v>37</v>
      </c>
      <c r="B38" s="7">
        <v>33572</v>
      </c>
      <c r="C38" s="10">
        <v>5896</v>
      </c>
      <c r="D38" s="15">
        <f t="shared" si="3"/>
        <v>5868.916666666667</v>
      </c>
      <c r="E38" s="23">
        <f t="shared" si="4"/>
        <v>1.0046147074275491</v>
      </c>
      <c r="F38" s="22">
        <f t="shared" si="5"/>
        <v>0.99895296976377324</v>
      </c>
      <c r="G38" s="27">
        <f t="shared" si="0"/>
        <v>5902.1797606690661</v>
      </c>
      <c r="H38" s="15">
        <f t="shared" si="2"/>
        <v>67.814175038567555</v>
      </c>
    </row>
    <row r="39" spans="1:8">
      <c r="A39" s="4">
        <f t="shared" si="1"/>
        <v>38</v>
      </c>
      <c r="B39" s="7">
        <v>33603</v>
      </c>
      <c r="C39" s="10">
        <v>5900</v>
      </c>
      <c r="D39" s="15">
        <f t="shared" si="3"/>
        <v>5916.708333333333</v>
      </c>
      <c r="E39" s="23">
        <f t="shared" si="4"/>
        <v>0.99717607622481541</v>
      </c>
      <c r="F39" s="22">
        <f t="shared" si="5"/>
        <v>0.99136634823865966</v>
      </c>
      <c r="G39" s="27">
        <f t="shared" si="0"/>
        <v>5951.3821610773957</v>
      </c>
      <c r="H39" s="15">
        <f t="shared" si="2"/>
        <v>49.202400408329595</v>
      </c>
    </row>
    <row r="40" spans="1:8">
      <c r="A40" s="4">
        <f t="shared" si="1"/>
        <v>39</v>
      </c>
      <c r="B40" s="7">
        <v>33634</v>
      </c>
      <c r="C40" s="10">
        <v>5917</v>
      </c>
      <c r="D40" s="15">
        <f t="shared" si="3"/>
        <v>5931.25</v>
      </c>
      <c r="E40" s="23">
        <f t="shared" si="4"/>
        <v>0.99759747102212859</v>
      </c>
      <c r="F40" s="22">
        <f t="shared" si="5"/>
        <v>0.98565799233532947</v>
      </c>
      <c r="G40" s="27">
        <f t="shared" si="0"/>
        <v>6003.0964553747408</v>
      </c>
      <c r="H40" s="15">
        <f t="shared" si="2"/>
        <v>51.714294297345077</v>
      </c>
    </row>
    <row r="41" spans="1:8">
      <c r="A41" s="4">
        <f t="shared" si="1"/>
        <v>40</v>
      </c>
      <c r="B41" s="7">
        <v>33663</v>
      </c>
      <c r="C41" s="10">
        <v>5938</v>
      </c>
      <c r="D41" s="15">
        <f t="shared" si="3"/>
        <v>5940.333333333333</v>
      </c>
      <c r="E41" s="23">
        <f t="shared" si="4"/>
        <v>0.99960720498288536</v>
      </c>
      <c r="F41" s="22">
        <f>F29</f>
        <v>0.9867538520861826</v>
      </c>
      <c r="G41" s="27">
        <f t="shared" si="0"/>
        <v>6017.7114965864639</v>
      </c>
      <c r="H41" s="15">
        <f t="shared" si="2"/>
        <v>14.61504121172311</v>
      </c>
    </row>
    <row r="42" spans="1:8">
      <c r="A42" s="4">
        <f t="shared" si="1"/>
        <v>41</v>
      </c>
      <c r="B42" s="7">
        <v>33694</v>
      </c>
      <c r="C42" s="10">
        <v>5987</v>
      </c>
      <c r="D42" s="15">
        <f t="shared" si="3"/>
        <v>5951.875</v>
      </c>
      <c r="E42" s="23">
        <f t="shared" si="4"/>
        <v>1.0059015016276383</v>
      </c>
      <c r="F42" s="22">
        <f t="shared" si="5"/>
        <v>0.99365549523408958</v>
      </c>
      <c r="G42" s="27">
        <f t="shared" si="0"/>
        <v>6025.2270819370424</v>
      </c>
      <c r="H42" s="15">
        <f t="shared" si="2"/>
        <v>7.5155853505784762</v>
      </c>
    </row>
    <row r="43" spans="1:8">
      <c r="A43" s="4">
        <f t="shared" si="1"/>
        <v>42</v>
      </c>
      <c r="B43" s="7">
        <v>33724</v>
      </c>
      <c r="C43" s="10">
        <v>5983</v>
      </c>
      <c r="D43" s="20"/>
      <c r="E43" s="23"/>
      <c r="F43" s="22">
        <f>F31</f>
        <v>0.97830522536246467</v>
      </c>
      <c r="G43" s="27">
        <f t="shared" si="0"/>
        <v>6115.6782616419969</v>
      </c>
      <c r="H43" s="15">
        <f t="shared" si="2"/>
        <v>90.451179704954484</v>
      </c>
    </row>
    <row r="44" spans="1:8">
      <c r="A44" s="4">
        <f t="shared" si="1"/>
        <v>43</v>
      </c>
      <c r="B44" s="7">
        <v>33755</v>
      </c>
      <c r="C44" s="10">
        <v>5981</v>
      </c>
      <c r="D44" s="20"/>
      <c r="E44" s="23"/>
      <c r="F44" s="22">
        <f t="shared" si="5"/>
        <v>0.98972684471052097</v>
      </c>
      <c r="G44" s="27">
        <f t="shared" si="0"/>
        <v>6043.0815148288166</v>
      </c>
      <c r="H44" s="15">
        <f t="shared" si="2"/>
        <v>-72.596746813180289</v>
      </c>
    </row>
    <row r="45" spans="1:8">
      <c r="A45" s="4">
        <f t="shared" si="1"/>
        <v>44</v>
      </c>
      <c r="B45" s="7">
        <v>33785</v>
      </c>
      <c r="C45" s="10">
        <v>5975</v>
      </c>
      <c r="D45" s="20"/>
      <c r="E45" s="23"/>
      <c r="F45" s="22">
        <f t="shared" si="5"/>
        <v>1.0164908929445178</v>
      </c>
      <c r="G45" s="27">
        <f t="shared" si="0"/>
        <v>5878.0654519116561</v>
      </c>
      <c r="H45" s="15">
        <f t="shared" si="2"/>
        <v>-165.01606291716053</v>
      </c>
    </row>
    <row r="46" spans="1:8">
      <c r="A46" s="4">
        <f t="shared" si="1"/>
        <v>45</v>
      </c>
      <c r="B46" s="7">
        <v>33816</v>
      </c>
      <c r="C46" s="10">
        <v>5985</v>
      </c>
      <c r="D46" s="20"/>
      <c r="E46" s="23"/>
      <c r="F46" s="22">
        <f t="shared" si="5"/>
        <v>1.023824453097022</v>
      </c>
      <c r="G46" s="27">
        <f t="shared" si="0"/>
        <v>5845.7287105183414</v>
      </c>
      <c r="H46" s="15">
        <f t="shared" si="2"/>
        <v>-32.336741393314696</v>
      </c>
    </row>
    <row r="47" spans="1:8">
      <c r="A47" s="4">
        <f t="shared" si="1"/>
        <v>46</v>
      </c>
      <c r="B47" s="7">
        <v>33847</v>
      </c>
      <c r="C47" s="18">
        <v>6029</v>
      </c>
      <c r="D47" s="20"/>
      <c r="E47" s="23"/>
      <c r="F47" s="22">
        <f t="shared" si="5"/>
        <v>1.0170476123708239</v>
      </c>
      <c r="G47" s="27">
        <f t="shared" si="0"/>
        <v>5927.9427301794576</v>
      </c>
      <c r="H47" s="15">
        <f t="shared" si="2"/>
        <v>82.214019661116254</v>
      </c>
    </row>
    <row r="48" spans="1:8">
      <c r="A48" s="4">
        <f t="shared" si="1"/>
        <v>47</v>
      </c>
      <c r="B48" s="7">
        <v>33877</v>
      </c>
      <c r="C48" s="17">
        <v>6024</v>
      </c>
      <c r="D48" s="20"/>
      <c r="E48" s="23"/>
      <c r="F48" s="22">
        <f t="shared" si="5"/>
        <v>1.0110822484595425</v>
      </c>
      <c r="G48" s="27">
        <f>C48/F48</f>
        <v>5957.9722709779571</v>
      </c>
      <c r="H48" s="15">
        <f t="shared" si="2"/>
        <v>30.029540798499511</v>
      </c>
    </row>
    <row r="49" spans="1:12">
      <c r="A49" s="4">
        <f t="shared" si="1"/>
        <v>48</v>
      </c>
      <c r="B49" s="7">
        <v>33908</v>
      </c>
      <c r="C49" s="10"/>
      <c r="D49" s="15"/>
      <c r="E49" s="23"/>
      <c r="F49" s="22">
        <f t="shared" si="5"/>
        <v>1.0071360653970747</v>
      </c>
      <c r="G49" s="15"/>
      <c r="H49" s="15"/>
      <c r="I49" s="15">
        <f>H48</f>
        <v>30.029540798499511</v>
      </c>
      <c r="J49" s="15">
        <f>G48+I49</f>
        <v>5988.0018117764566</v>
      </c>
      <c r="K49" s="15">
        <f>F49*J49</f>
        <v>6030.7325843030949</v>
      </c>
      <c r="L49" s="35">
        <v>6000.4887507376097</v>
      </c>
    </row>
    <row r="50" spans="1:12">
      <c r="A50" s="4">
        <f t="shared" si="1"/>
        <v>49</v>
      </c>
      <c r="B50" s="7">
        <v>33938</v>
      </c>
      <c r="C50" s="10"/>
      <c r="D50" s="15"/>
      <c r="E50" s="23"/>
      <c r="F50" s="22">
        <f t="shared" si="5"/>
        <v>0.99895296976377324</v>
      </c>
      <c r="G50" s="15"/>
      <c r="H50" s="15"/>
      <c r="I50" s="15">
        <f>I49</f>
        <v>30.029540798499511</v>
      </c>
      <c r="J50" s="15">
        <f>J49+I50</f>
        <v>6018.0313525749561</v>
      </c>
      <c r="K50" s="15">
        <f>F50*J50</f>
        <v>6011.7302917862498</v>
      </c>
      <c r="L50" s="35">
        <v>5951.7340938636426</v>
      </c>
    </row>
    <row r="51" spans="1:12">
      <c r="A51" s="4">
        <f t="shared" si="1"/>
        <v>50</v>
      </c>
      <c r="B51" s="7">
        <v>33969</v>
      </c>
      <c r="C51" s="10"/>
      <c r="D51" s="15"/>
      <c r="E51" s="23"/>
      <c r="F51" s="22">
        <f t="shared" si="5"/>
        <v>0.99136634823865966</v>
      </c>
      <c r="G51" s="15"/>
      <c r="H51" s="15"/>
      <c r="I51" s="15">
        <f t="shared" ref="I51:I60" si="6">I50</f>
        <v>30.029540798499511</v>
      </c>
      <c r="J51" s="15">
        <f>J50+I51</f>
        <v>6048.0608933734557</v>
      </c>
      <c r="K51" s="15">
        <f t="shared" ref="K51:K60" si="7">F51*J51</f>
        <v>5995.8440417886886</v>
      </c>
      <c r="L51" s="35">
        <v>5906.5332131866098</v>
      </c>
    </row>
    <row r="52" spans="1:12">
      <c r="A52" s="4">
        <f t="shared" si="1"/>
        <v>51</v>
      </c>
      <c r="B52" s="7">
        <v>34000</v>
      </c>
      <c r="C52" s="10"/>
      <c r="D52" s="15"/>
      <c r="E52" s="23"/>
      <c r="F52" s="22">
        <f t="shared" si="5"/>
        <v>0.98565799233532947</v>
      </c>
      <c r="G52" s="15"/>
      <c r="H52" s="15"/>
      <c r="I52" s="15">
        <f t="shared" si="6"/>
        <v>30.029540798499511</v>
      </c>
      <c r="J52" s="15">
        <f t="shared" ref="J52:J60" si="8">J51+I52</f>
        <v>6078.0904341719552</v>
      </c>
      <c r="K52" s="15">
        <f t="shared" si="7"/>
        <v>5990.9184145785002</v>
      </c>
      <c r="L52" s="35">
        <v>5872.5229870016965</v>
      </c>
    </row>
    <row r="53" spans="1:12">
      <c r="A53" s="4">
        <f t="shared" si="1"/>
        <v>52</v>
      </c>
      <c r="B53" s="7">
        <v>34028</v>
      </c>
      <c r="C53" s="10"/>
      <c r="D53" s="15"/>
      <c r="E53" s="23"/>
      <c r="F53" s="22">
        <f t="shared" si="5"/>
        <v>0.9867538520861826</v>
      </c>
      <c r="G53" s="15"/>
      <c r="H53" s="15"/>
      <c r="I53" s="15">
        <f t="shared" si="6"/>
        <v>30.029540798499511</v>
      </c>
      <c r="J53" s="15">
        <f t="shared" si="8"/>
        <v>6108.1199749704547</v>
      </c>
      <c r="K53" s="15">
        <f t="shared" si="7"/>
        <v>6027.2109143066536</v>
      </c>
      <c r="L53" s="35">
        <v>5879.0520890101598</v>
      </c>
    </row>
    <row r="54" spans="1:12">
      <c r="A54" s="4">
        <f t="shared" si="1"/>
        <v>53</v>
      </c>
      <c r="B54" s="7">
        <v>34059</v>
      </c>
      <c r="C54" s="10"/>
      <c r="D54" s="15"/>
      <c r="E54" s="23"/>
      <c r="F54" s="22">
        <f t="shared" si="5"/>
        <v>0.99365549523408958</v>
      </c>
      <c r="G54" s="15"/>
      <c r="H54" s="15"/>
      <c r="I54" s="15">
        <f t="shared" si="6"/>
        <v>30.029540798499511</v>
      </c>
      <c r="J54" s="15">
        <f t="shared" si="8"/>
        <v>6138.1495157689542</v>
      </c>
      <c r="K54" s="15">
        <f>F54*J54</f>
        <v>6099.2059969122874</v>
      </c>
      <c r="L54" s="35">
        <v>5920.1718875095758</v>
      </c>
    </row>
    <row r="55" spans="1:12">
      <c r="A55" s="4">
        <f t="shared" si="1"/>
        <v>54</v>
      </c>
      <c r="B55" s="7">
        <v>34089</v>
      </c>
      <c r="C55" s="10"/>
      <c r="D55" s="15"/>
      <c r="E55" s="23"/>
      <c r="F55" s="22">
        <f t="shared" si="5"/>
        <v>0.97830522536246467</v>
      </c>
      <c r="G55" s="15"/>
      <c r="H55" s="15"/>
      <c r="I55" s="15">
        <f t="shared" si="6"/>
        <v>30.029540798499511</v>
      </c>
      <c r="J55" s="15">
        <f>J54+I55</f>
        <v>6168.1790565674537</v>
      </c>
      <c r="K55" s="15">
        <f t="shared" si="7"/>
        <v>6034.3618020112572</v>
      </c>
      <c r="L55" s="35">
        <v>5828.7154052624055</v>
      </c>
    </row>
    <row r="56" spans="1:12">
      <c r="A56" s="4">
        <f t="shared" si="1"/>
        <v>55</v>
      </c>
      <c r="B56" s="7">
        <v>34120</v>
      </c>
      <c r="C56" s="10"/>
      <c r="D56" s="15"/>
      <c r="E56" s="23"/>
      <c r="F56" s="22">
        <f t="shared" si="5"/>
        <v>0.98972684471052097</v>
      </c>
      <c r="G56" s="15"/>
      <c r="H56" s="15"/>
      <c r="I56" s="15">
        <f t="shared" si="6"/>
        <v>30.029540798499511</v>
      </c>
      <c r="J56" s="15">
        <f t="shared" si="8"/>
        <v>6198.2085973659532</v>
      </c>
      <c r="K56" s="15">
        <f t="shared" si="7"/>
        <v>6134.5334379286287</v>
      </c>
      <c r="L56" s="35">
        <v>5896.7650966277915</v>
      </c>
    </row>
    <row r="57" spans="1:12">
      <c r="A57" s="4">
        <f t="shared" si="1"/>
        <v>56</v>
      </c>
      <c r="B57" s="7">
        <v>34150</v>
      </c>
      <c r="C57" s="10"/>
      <c r="D57" s="15"/>
      <c r="E57" s="23"/>
      <c r="F57" s="22">
        <f t="shared" si="5"/>
        <v>1.0164908929445178</v>
      </c>
      <c r="G57" s="15"/>
      <c r="H57" s="15"/>
      <c r="I57" s="15">
        <f t="shared" si="6"/>
        <v>30.029540798499511</v>
      </c>
      <c r="J57" s="15">
        <f t="shared" si="8"/>
        <v>6228.2381381644527</v>
      </c>
      <c r="K57" s="15">
        <f t="shared" si="7"/>
        <v>6330.9473465338851</v>
      </c>
      <c r="L57" s="35">
        <v>6056.2245538650604</v>
      </c>
    </row>
    <row r="58" spans="1:12">
      <c r="A58" s="4">
        <f t="shared" si="1"/>
        <v>57</v>
      </c>
      <c r="B58" s="7">
        <v>34181</v>
      </c>
      <c r="C58" s="10"/>
      <c r="D58" s="15"/>
      <c r="E58" s="23"/>
      <c r="F58" s="22">
        <f t="shared" si="5"/>
        <v>1.023824453097022</v>
      </c>
      <c r="G58" s="15"/>
      <c r="H58" s="15"/>
      <c r="I58" s="15">
        <f t="shared" si="6"/>
        <v>30.029540798499511</v>
      </c>
      <c r="J58" s="15">
        <f t="shared" si="8"/>
        <v>6258.2676789629522</v>
      </c>
      <c r="K58" s="15">
        <f t="shared" si="7"/>
        <v>6407.3674837490134</v>
      </c>
      <c r="L58" s="35">
        <v>6099.9177019012286</v>
      </c>
    </row>
    <row r="59" spans="1:12">
      <c r="A59" s="4">
        <f t="shared" si="1"/>
        <v>58</v>
      </c>
      <c r="B59" s="7">
        <v>34212</v>
      </c>
      <c r="C59" s="10"/>
      <c r="D59" s="15"/>
      <c r="E59" s="23"/>
      <c r="F59" s="22">
        <f t="shared" si="5"/>
        <v>1.0170476123708239</v>
      </c>
      <c r="G59" s="15"/>
      <c r="H59" s="15"/>
      <c r="I59" s="15">
        <f t="shared" si="6"/>
        <v>30.029540798499511</v>
      </c>
      <c r="J59" s="15">
        <f t="shared" si="8"/>
        <v>6288.2972197614517</v>
      </c>
      <c r="K59" s="15">
        <f t="shared" si="7"/>
        <v>6395.4976732364739</v>
      </c>
      <c r="L59" s="35">
        <v>6059.5414727697062</v>
      </c>
    </row>
    <row r="60" spans="1:12">
      <c r="A60" s="4">
        <f t="shared" si="1"/>
        <v>59</v>
      </c>
      <c r="B60" s="7">
        <v>34242</v>
      </c>
      <c r="C60" s="10"/>
      <c r="D60" s="15"/>
      <c r="E60" s="23"/>
      <c r="F60" s="22">
        <f t="shared" si="5"/>
        <v>1.0110822484595425</v>
      </c>
      <c r="G60" s="15"/>
      <c r="H60" s="15"/>
      <c r="I60" s="15">
        <f t="shared" si="6"/>
        <v>30.029540798499511</v>
      </c>
      <c r="J60" s="15">
        <f t="shared" si="8"/>
        <v>6318.3267605599513</v>
      </c>
      <c r="K60" s="15">
        <f t="shared" si="7"/>
        <v>6388.3480275690536</v>
      </c>
      <c r="L60" s="35">
        <v>6024</v>
      </c>
    </row>
    <row r="61" spans="1:12">
      <c r="A61" s="4"/>
      <c r="B61" s="7"/>
      <c r="C61" s="10"/>
      <c r="D61" s="15"/>
      <c r="E61" s="23"/>
      <c r="F61" s="22"/>
      <c r="G61" s="15"/>
      <c r="H61" s="15"/>
      <c r="I61" s="15"/>
      <c r="J61" s="15"/>
      <c r="K61" s="15"/>
    </row>
    <row r="62" spans="1:12">
      <c r="A62" s="4"/>
      <c r="B62" s="7"/>
      <c r="C62" s="10"/>
      <c r="D62" s="15"/>
      <c r="E62" s="23"/>
      <c r="F62" s="22"/>
      <c r="G62" s="15"/>
      <c r="H62" s="15"/>
      <c r="I62" s="15"/>
      <c r="J62" s="15"/>
      <c r="K62" s="15"/>
    </row>
    <row r="63" spans="1:12">
      <c r="A63" s="4"/>
      <c r="B63" s="7"/>
      <c r="C63" s="10"/>
      <c r="D63" s="15"/>
      <c r="E63" s="23"/>
      <c r="F63" s="22"/>
      <c r="G63" s="15"/>
      <c r="H63" s="15"/>
      <c r="I63" s="15"/>
      <c r="J63" s="15"/>
      <c r="K63" s="15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4823-C52D-4FB7-A27D-66D4DE98AE4D}">
  <dimension ref="A3:P77"/>
  <sheetViews>
    <sheetView topLeftCell="I1" zoomScale="85" zoomScaleNormal="85" workbookViewId="0">
      <pane ySplit="7" topLeftCell="A8" activePane="bottomLeft" state="frozen"/>
      <selection pane="bottomLeft" activeCell="P7" sqref="P7"/>
      <selection activeCell="B1" sqref="B1"/>
    </sheetView>
  </sheetViews>
  <sheetFormatPr defaultColWidth="21.5703125" defaultRowHeight="14.45"/>
  <cols>
    <col min="1" max="1" width="2.85546875" bestFit="1" customWidth="1"/>
    <col min="2" max="2" width="11" bestFit="1" customWidth="1"/>
    <col min="3" max="3" width="17.5703125" customWidth="1"/>
    <col min="4" max="4" width="9.42578125" bestFit="1" customWidth="1"/>
    <col min="5" max="5" width="17.5703125" customWidth="1"/>
    <col min="6" max="6" width="11" bestFit="1" customWidth="1"/>
    <col min="7" max="7" width="10.7109375" bestFit="1" customWidth="1"/>
    <col min="8" max="8" width="11.7109375" bestFit="1" customWidth="1"/>
    <col min="9" max="9" width="8.85546875" bestFit="1" customWidth="1"/>
    <col min="10" max="10" width="8.85546875" customWidth="1"/>
    <col min="11" max="11" width="10.42578125" bestFit="1" customWidth="1"/>
    <col min="12" max="15" width="9" customWidth="1"/>
    <col min="16" max="16" width="11" bestFit="1" customWidth="1"/>
  </cols>
  <sheetData>
    <row r="3" spans="1:16">
      <c r="C3" s="45" t="s">
        <v>77</v>
      </c>
      <c r="F3" s="36" t="s">
        <v>78</v>
      </c>
      <c r="G3" s="43">
        <v>1</v>
      </c>
    </row>
    <row r="7" spans="1:16" ht="29.1">
      <c r="A7" s="3" t="s">
        <v>1</v>
      </c>
      <c r="B7" s="6" t="s">
        <v>2</v>
      </c>
      <c r="C7" s="9" t="s">
        <v>3</v>
      </c>
      <c r="D7" s="14" t="s">
        <v>79</v>
      </c>
      <c r="E7" s="26" t="s">
        <v>61</v>
      </c>
      <c r="F7" t="s">
        <v>80</v>
      </c>
      <c r="G7" t="s">
        <v>81</v>
      </c>
      <c r="H7" t="s">
        <v>82</v>
      </c>
      <c r="I7" t="s">
        <v>83</v>
      </c>
      <c r="J7" s="21" t="s">
        <v>84</v>
      </c>
      <c r="K7" t="s">
        <v>85</v>
      </c>
      <c r="L7" t="s">
        <v>86</v>
      </c>
      <c r="M7" t="s">
        <v>87</v>
      </c>
      <c r="N7" t="s">
        <v>88</v>
      </c>
      <c r="O7" t="s">
        <v>89</v>
      </c>
      <c r="P7" t="s">
        <v>90</v>
      </c>
    </row>
    <row r="8" spans="1:16">
      <c r="A8" s="4">
        <v>1</v>
      </c>
      <c r="B8" s="7">
        <v>32477</v>
      </c>
      <c r="C8" s="37">
        <v>3761</v>
      </c>
      <c r="D8" s="22">
        <f>D20</f>
        <v>0.99895296976377324</v>
      </c>
      <c r="E8" s="27">
        <f>C8/D8</f>
        <v>3764.942008120142</v>
      </c>
      <c r="F8" s="38">
        <f>E8</f>
        <v>3764.942008120142</v>
      </c>
      <c r="G8" s="38">
        <f>AVERAGE(E8:E10)</f>
        <v>3799.9107695831117</v>
      </c>
      <c r="H8" s="38">
        <f>AVERAGE(F8:F31)</f>
        <v>3640.0597659176779</v>
      </c>
      <c r="I8" s="38">
        <v>0</v>
      </c>
      <c r="J8" s="38">
        <f>AVERAGE(E8:E13)</f>
        <v>3877.8151655231418</v>
      </c>
      <c r="K8" s="38"/>
      <c r="M8" s="39">
        <f>J8-E8</f>
        <v>112.87315740299982</v>
      </c>
    </row>
    <row r="9" spans="1:16">
      <c r="A9" s="4">
        <f>1+A8</f>
        <v>2</v>
      </c>
      <c r="B9" s="7">
        <v>32508</v>
      </c>
      <c r="C9" s="37">
        <v>3770</v>
      </c>
      <c r="D9" s="22">
        <f>D21</f>
        <v>0.99136634823865966</v>
      </c>
      <c r="E9" s="27">
        <f t="shared" ref="E9:E54" si="0">C9/D9</f>
        <v>3802.8323300443694</v>
      </c>
      <c r="F9" s="38">
        <f>$G$3*E8+(1-$G$3)*F8</f>
        <v>3764.942008120142</v>
      </c>
      <c r="G9" s="38">
        <f>$G$3*E8+(1-$G$3)*G8</f>
        <v>3764.942008120142</v>
      </c>
      <c r="H9" s="38">
        <f>$G$3*E8+(1-$G$3)*H8</f>
        <v>3764.942008120142</v>
      </c>
      <c r="I9" s="38">
        <f>$G$3*G8+(1-$G$3)*I8</f>
        <v>3799.9107695831117</v>
      </c>
      <c r="J9" s="38">
        <f>$G$3*E8+(1-$G$3)*J8</f>
        <v>3764.942008120142</v>
      </c>
      <c r="K9" s="38"/>
      <c r="M9" s="39">
        <f t="shared" ref="M9:M54" si="1">J9-E9</f>
        <v>-37.890321924227464</v>
      </c>
      <c r="N9" s="38">
        <f>ABS(M9)</f>
        <v>37.890321924227464</v>
      </c>
      <c r="O9" s="41">
        <f>N9/E9</f>
        <v>9.9637108964479061E-3</v>
      </c>
      <c r="P9" s="40">
        <f>M9^2</f>
        <v>1435.6764955215924</v>
      </c>
    </row>
    <row r="10" spans="1:16">
      <c r="A10" s="4">
        <f t="shared" ref="A10:A66" si="2">1+A9</f>
        <v>3</v>
      </c>
      <c r="B10" s="7">
        <v>32539</v>
      </c>
      <c r="C10" s="37">
        <v>3777</v>
      </c>
      <c r="D10" s="22">
        <v>0.98565799233532947</v>
      </c>
      <c r="E10" s="27">
        <f t="shared" si="0"/>
        <v>3831.9579705848228</v>
      </c>
      <c r="F10" s="38">
        <f>$G$3*E9+(1-$G$3)*F9</f>
        <v>3802.8323300443694</v>
      </c>
      <c r="G10" s="38">
        <f t="shared" ref="G10:G55" si="3">$G$3*E9+(1-$G$3)*G9</f>
        <v>3802.8323300443694</v>
      </c>
      <c r="H10" s="38">
        <f t="shared" ref="H10:H55" si="4">$G$3*E9+(1-$G$3)*H9</f>
        <v>3802.8323300443694</v>
      </c>
      <c r="I10" s="38">
        <f t="shared" ref="I10:I55" si="5">$G$3*G9+(1-$G$3)*I9</f>
        <v>3764.942008120142</v>
      </c>
      <c r="J10" s="38">
        <f t="shared" ref="J10:J52" si="6">$G$3*E9+(1-$G$3)*J9</f>
        <v>3802.8323300443694</v>
      </c>
      <c r="K10" s="38"/>
      <c r="M10" s="39">
        <f t="shared" si="1"/>
        <v>-29.125640540453333</v>
      </c>
      <c r="N10" s="38">
        <f t="shared" ref="N10:N54" si="7">ABS(M10)</f>
        <v>29.125640540453333</v>
      </c>
      <c r="O10" s="41">
        <f t="shared" ref="O10:O54" si="8">N10/E10</f>
        <v>7.600720249029312E-3</v>
      </c>
      <c r="P10" s="40">
        <f t="shared" ref="P10:P54" si="9">M10^2</f>
        <v>848.30293689169866</v>
      </c>
    </row>
    <row r="11" spans="1:16">
      <c r="A11" s="4">
        <f t="shared" si="2"/>
        <v>4</v>
      </c>
      <c r="B11" s="7">
        <v>32567</v>
      </c>
      <c r="C11" s="37">
        <v>3831</v>
      </c>
      <c r="D11" s="22">
        <v>0.9867538520861826</v>
      </c>
      <c r="E11" s="27">
        <f t="shared" si="0"/>
        <v>3882.4272050223549</v>
      </c>
      <c r="F11" s="38">
        <f t="shared" ref="F11:F55" si="10">$G$3*E10+(1-$G$3)*F10</f>
        <v>3831.9579705848228</v>
      </c>
      <c r="G11" s="38">
        <f t="shared" si="3"/>
        <v>3831.9579705848228</v>
      </c>
      <c r="H11" s="38">
        <f t="shared" si="4"/>
        <v>3831.9579705848228</v>
      </c>
      <c r="I11" s="38">
        <f t="shared" si="5"/>
        <v>3802.8323300443694</v>
      </c>
      <c r="J11" s="38">
        <f t="shared" si="6"/>
        <v>3831.9579705848228</v>
      </c>
      <c r="K11" s="38"/>
      <c r="M11" s="39">
        <f t="shared" si="1"/>
        <v>-50.469234437532123</v>
      </c>
      <c r="N11" s="38">
        <f t="shared" si="7"/>
        <v>50.469234437532123</v>
      </c>
      <c r="O11" s="41">
        <f t="shared" si="8"/>
        <v>1.2999402634579859E-2</v>
      </c>
      <c r="P11" s="40">
        <f t="shared" si="9"/>
        <v>2547.1436247105785</v>
      </c>
    </row>
    <row r="12" spans="1:16">
      <c r="A12" s="4">
        <f t="shared" si="2"/>
        <v>5</v>
      </c>
      <c r="B12" s="7">
        <v>32598</v>
      </c>
      <c r="C12" s="37">
        <v>3916</v>
      </c>
      <c r="D12" s="22">
        <v>0.99365549523408958</v>
      </c>
      <c r="E12" s="27">
        <f t="shared" si="0"/>
        <v>3941.0037168641152</v>
      </c>
      <c r="F12" s="38">
        <f t="shared" si="10"/>
        <v>3882.4272050223549</v>
      </c>
      <c r="G12" s="38">
        <f t="shared" si="3"/>
        <v>3882.4272050223549</v>
      </c>
      <c r="H12" s="38">
        <f t="shared" si="4"/>
        <v>3882.4272050223549</v>
      </c>
      <c r="I12" s="38">
        <f t="shared" si="5"/>
        <v>3831.9579705848228</v>
      </c>
      <c r="J12" s="38">
        <f t="shared" si="6"/>
        <v>3882.4272050223549</v>
      </c>
      <c r="K12" s="38"/>
      <c r="M12" s="39">
        <f t="shared" si="1"/>
        <v>-58.576511841760293</v>
      </c>
      <c r="N12" s="38">
        <f t="shared" si="7"/>
        <v>58.576511841760293</v>
      </c>
      <c r="O12" s="41">
        <f t="shared" si="8"/>
        <v>1.4863348540145515E-2</v>
      </c>
      <c r="P12" s="40">
        <f t="shared" si="9"/>
        <v>3431.2077395478841</v>
      </c>
    </row>
    <row r="13" spans="1:16">
      <c r="A13" s="4">
        <f t="shared" si="2"/>
        <v>6</v>
      </c>
      <c r="B13" s="7">
        <v>32628</v>
      </c>
      <c r="C13" s="37">
        <v>3956</v>
      </c>
      <c r="D13" s="22">
        <v>0.97830522536246467</v>
      </c>
      <c r="E13" s="27">
        <f t="shared" si="0"/>
        <v>4043.7277625030488</v>
      </c>
      <c r="F13" s="38">
        <f t="shared" si="10"/>
        <v>3941.0037168641152</v>
      </c>
      <c r="G13" s="38">
        <f t="shared" si="3"/>
        <v>3941.0037168641152</v>
      </c>
      <c r="H13" s="38">
        <f t="shared" si="4"/>
        <v>3941.0037168641152</v>
      </c>
      <c r="I13" s="38">
        <f t="shared" si="5"/>
        <v>3882.4272050223549</v>
      </c>
      <c r="J13" s="38">
        <f t="shared" si="6"/>
        <v>3941.0037168641152</v>
      </c>
      <c r="K13" s="38"/>
      <c r="M13" s="39">
        <f t="shared" si="1"/>
        <v>-102.7240456389336</v>
      </c>
      <c r="N13" s="38">
        <f t="shared" si="7"/>
        <v>102.7240456389336</v>
      </c>
      <c r="O13" s="41">
        <f t="shared" si="8"/>
        <v>2.5403303998721195E-2</v>
      </c>
      <c r="P13" s="40">
        <f t="shared" si="9"/>
        <v>10552.229552429713</v>
      </c>
    </row>
    <row r="14" spans="1:16">
      <c r="A14" s="4">
        <f t="shared" si="2"/>
        <v>7</v>
      </c>
      <c r="B14" s="7">
        <v>32659</v>
      </c>
      <c r="C14" s="37">
        <v>3995</v>
      </c>
      <c r="D14" s="22">
        <v>0.98972684471052108</v>
      </c>
      <c r="E14" s="27">
        <f t="shared" si="0"/>
        <v>4036.4672549308007</v>
      </c>
      <c r="F14" s="38">
        <f t="shared" si="10"/>
        <v>4043.7277625030488</v>
      </c>
      <c r="G14" s="38">
        <f t="shared" si="3"/>
        <v>4043.7277625030488</v>
      </c>
      <c r="H14" s="38">
        <f t="shared" si="4"/>
        <v>4043.7277625030488</v>
      </c>
      <c r="I14" s="38">
        <f t="shared" si="5"/>
        <v>3941.0037168641152</v>
      </c>
      <c r="J14" s="38">
        <f t="shared" si="6"/>
        <v>4043.7277625030488</v>
      </c>
      <c r="K14" s="38"/>
      <c r="M14" s="39">
        <f t="shared" si="1"/>
        <v>7.260507572248116</v>
      </c>
      <c r="N14" s="38">
        <f t="shared" si="7"/>
        <v>7.260507572248116</v>
      </c>
      <c r="O14" s="41">
        <f t="shared" si="8"/>
        <v>1.7987282228981161E-3</v>
      </c>
      <c r="P14" s="40">
        <f t="shared" si="9"/>
        <v>52.714970206672234</v>
      </c>
    </row>
    <row r="15" spans="1:16">
      <c r="A15" s="4">
        <f t="shared" si="2"/>
        <v>8</v>
      </c>
      <c r="B15" s="7">
        <v>32689</v>
      </c>
      <c r="C15" s="37"/>
      <c r="D15" s="22">
        <v>1.0164908929445178</v>
      </c>
      <c r="E15" s="27">
        <f t="shared" si="0"/>
        <v>0</v>
      </c>
      <c r="F15" s="38">
        <f t="shared" si="10"/>
        <v>4036.4672549308007</v>
      </c>
      <c r="G15" s="38">
        <f t="shared" si="3"/>
        <v>4036.4672549308007</v>
      </c>
      <c r="H15" s="38">
        <f t="shared" si="4"/>
        <v>4036.4672549308007</v>
      </c>
      <c r="I15" s="38">
        <f t="shared" si="5"/>
        <v>4043.7277625030488</v>
      </c>
      <c r="J15" s="38">
        <f t="shared" si="6"/>
        <v>4036.4672549308007</v>
      </c>
      <c r="K15" s="38"/>
      <c r="M15" s="39">
        <f t="shared" si="1"/>
        <v>4036.4672549308007</v>
      </c>
      <c r="N15" s="38">
        <f t="shared" si="7"/>
        <v>4036.4672549308007</v>
      </c>
      <c r="O15" s="41" t="e">
        <f t="shared" si="8"/>
        <v>#DIV/0!</v>
      </c>
      <c r="P15" s="40">
        <f t="shared" si="9"/>
        <v>16293067.900128594</v>
      </c>
    </row>
    <row r="16" spans="1:16">
      <c r="A16" s="4">
        <f t="shared" si="2"/>
        <v>9</v>
      </c>
      <c r="B16" s="7">
        <v>32720</v>
      </c>
      <c r="C16" s="37"/>
      <c r="D16" s="22">
        <v>1.023824453097022</v>
      </c>
      <c r="E16" s="27">
        <f t="shared" si="0"/>
        <v>0</v>
      </c>
      <c r="F16" s="38">
        <f t="shared" si="10"/>
        <v>0</v>
      </c>
      <c r="G16" s="38">
        <f t="shared" si="3"/>
        <v>0</v>
      </c>
      <c r="H16" s="38">
        <f t="shared" si="4"/>
        <v>0</v>
      </c>
      <c r="I16" s="38">
        <f t="shared" si="5"/>
        <v>4036.4672549308007</v>
      </c>
      <c r="J16" s="38">
        <f t="shared" si="6"/>
        <v>0</v>
      </c>
      <c r="K16" s="38"/>
      <c r="M16" s="39">
        <f t="shared" si="1"/>
        <v>0</v>
      </c>
      <c r="N16" s="38">
        <f t="shared" si="7"/>
        <v>0</v>
      </c>
      <c r="O16" s="41" t="e">
        <f t="shared" si="8"/>
        <v>#DIV/0!</v>
      </c>
      <c r="P16" s="40">
        <f t="shared" si="9"/>
        <v>0</v>
      </c>
    </row>
    <row r="17" spans="1:16">
      <c r="A17" s="4">
        <f t="shared" si="2"/>
        <v>10</v>
      </c>
      <c r="B17" s="7">
        <v>32751</v>
      </c>
      <c r="C17" s="37"/>
      <c r="D17" s="22">
        <v>1.0170476123708239</v>
      </c>
      <c r="E17" s="27">
        <f t="shared" si="0"/>
        <v>0</v>
      </c>
      <c r="F17" s="38">
        <f t="shared" si="10"/>
        <v>0</v>
      </c>
      <c r="G17" s="38">
        <f t="shared" si="3"/>
        <v>0</v>
      </c>
      <c r="H17" s="38">
        <f t="shared" si="4"/>
        <v>0</v>
      </c>
      <c r="I17" s="38">
        <f t="shared" si="5"/>
        <v>0</v>
      </c>
      <c r="J17" s="38">
        <f t="shared" si="6"/>
        <v>0</v>
      </c>
      <c r="K17" s="38"/>
      <c r="M17" s="39">
        <f t="shared" si="1"/>
        <v>0</v>
      </c>
      <c r="N17" s="38">
        <f t="shared" si="7"/>
        <v>0</v>
      </c>
      <c r="O17" s="41" t="e">
        <f t="shared" si="8"/>
        <v>#DIV/0!</v>
      </c>
      <c r="P17" s="40">
        <f t="shared" si="9"/>
        <v>0</v>
      </c>
    </row>
    <row r="18" spans="1:16">
      <c r="A18" s="4">
        <f t="shared" si="2"/>
        <v>11</v>
      </c>
      <c r="B18" s="7">
        <v>32781</v>
      </c>
      <c r="C18" s="37">
        <v>4050</v>
      </c>
      <c r="D18" s="22">
        <v>1.0110822484595425</v>
      </c>
      <c r="E18" s="27">
        <f t="shared" si="0"/>
        <v>4005.6088475200413</v>
      </c>
      <c r="F18" s="38">
        <f t="shared" si="10"/>
        <v>0</v>
      </c>
      <c r="G18" s="38">
        <f t="shared" si="3"/>
        <v>0</v>
      </c>
      <c r="H18" s="38">
        <f t="shared" si="4"/>
        <v>0</v>
      </c>
      <c r="I18" s="38">
        <f t="shared" si="5"/>
        <v>0</v>
      </c>
      <c r="J18" s="38">
        <f t="shared" si="6"/>
        <v>0</v>
      </c>
      <c r="K18" s="38"/>
      <c r="M18" s="39">
        <f t="shared" si="1"/>
        <v>-4005.6088475200413</v>
      </c>
      <c r="N18" s="38">
        <f t="shared" si="7"/>
        <v>4005.6088475200413</v>
      </c>
      <c r="O18" s="41">
        <f t="shared" si="8"/>
        <v>1</v>
      </c>
      <c r="P18" s="40">
        <f t="shared" si="9"/>
        <v>16044902.239330834</v>
      </c>
    </row>
    <row r="19" spans="1:16">
      <c r="A19" s="4">
        <f t="shared" si="2"/>
        <v>12</v>
      </c>
      <c r="B19" s="7">
        <v>32812</v>
      </c>
      <c r="C19" s="37">
        <v>4095</v>
      </c>
      <c r="D19" s="22">
        <v>1.0071360653970747</v>
      </c>
      <c r="E19" s="27">
        <f t="shared" si="0"/>
        <v>4065.9848660920511</v>
      </c>
      <c r="F19" s="38">
        <f t="shared" si="10"/>
        <v>4005.6088475200413</v>
      </c>
      <c r="G19" s="38">
        <f t="shared" si="3"/>
        <v>4005.6088475200413</v>
      </c>
      <c r="H19" s="38">
        <f t="shared" si="4"/>
        <v>4005.6088475200413</v>
      </c>
      <c r="I19" s="38">
        <f t="shared" si="5"/>
        <v>0</v>
      </c>
      <c r="J19" s="38">
        <f t="shared" si="6"/>
        <v>4005.6088475200413</v>
      </c>
      <c r="K19" s="38"/>
      <c r="M19" s="39">
        <f t="shared" si="1"/>
        <v>-60.376018572009798</v>
      </c>
      <c r="N19" s="38">
        <f t="shared" si="7"/>
        <v>60.376018572009798</v>
      </c>
      <c r="O19" s="41">
        <f t="shared" si="8"/>
        <v>1.4849051474714202E-2</v>
      </c>
      <c r="P19" s="40">
        <f t="shared" si="9"/>
        <v>3645.263618607672</v>
      </c>
    </row>
    <row r="20" spans="1:16">
      <c r="A20" s="4">
        <f t="shared" si="2"/>
        <v>13</v>
      </c>
      <c r="B20" s="7">
        <v>32842</v>
      </c>
      <c r="C20" s="37">
        <v>4105</v>
      </c>
      <c r="D20" s="22">
        <v>0.99895296976377324</v>
      </c>
      <c r="E20" s="27">
        <f t="shared" si="0"/>
        <v>4109.3025640343485</v>
      </c>
      <c r="F20" s="38">
        <f t="shared" si="10"/>
        <v>4065.9848660920511</v>
      </c>
      <c r="G20" s="38">
        <f t="shared" si="3"/>
        <v>4065.9848660920511</v>
      </c>
      <c r="H20" s="38">
        <f t="shared" si="4"/>
        <v>4065.9848660920511</v>
      </c>
      <c r="I20" s="38">
        <f t="shared" si="5"/>
        <v>4005.6088475200413</v>
      </c>
      <c r="J20" s="38">
        <f t="shared" si="6"/>
        <v>4065.9848660920511</v>
      </c>
      <c r="K20" s="38"/>
      <c r="M20" s="39">
        <f t="shared" si="1"/>
        <v>-43.3176979422974</v>
      </c>
      <c r="N20" s="38">
        <f t="shared" si="7"/>
        <v>43.3176979422974</v>
      </c>
      <c r="O20" s="41">
        <f t="shared" si="8"/>
        <v>1.0541374665721821E-2</v>
      </c>
      <c r="P20" s="40">
        <f t="shared" si="9"/>
        <v>1876.4229550201164</v>
      </c>
    </row>
    <row r="21" spans="1:16">
      <c r="A21" s="4">
        <f t="shared" si="2"/>
        <v>14</v>
      </c>
      <c r="B21" s="7">
        <v>32873</v>
      </c>
      <c r="C21" s="37">
        <v>4126</v>
      </c>
      <c r="D21" s="22">
        <v>0.99136634823865966</v>
      </c>
      <c r="E21" s="27">
        <f t="shared" si="0"/>
        <v>4161.9326773907342</v>
      </c>
      <c r="F21" s="38">
        <f t="shared" si="10"/>
        <v>4109.3025640343485</v>
      </c>
      <c r="G21" s="38">
        <f t="shared" si="3"/>
        <v>4109.3025640343485</v>
      </c>
      <c r="H21" s="38">
        <f t="shared" si="4"/>
        <v>4109.3025640343485</v>
      </c>
      <c r="I21" s="38">
        <f t="shared" si="5"/>
        <v>4065.9848660920511</v>
      </c>
      <c r="J21" s="38">
        <f t="shared" si="6"/>
        <v>4109.3025640343485</v>
      </c>
      <c r="K21" s="38"/>
      <c r="M21" s="39">
        <f t="shared" si="1"/>
        <v>-52.630113356385664</v>
      </c>
      <c r="N21" s="38">
        <f t="shared" si="7"/>
        <v>52.630113356385664</v>
      </c>
      <c r="O21" s="41">
        <f t="shared" si="8"/>
        <v>1.2645594591736977E-2</v>
      </c>
      <c r="P21" s="40">
        <f t="shared" si="9"/>
        <v>2769.9288319060047</v>
      </c>
    </row>
    <row r="22" spans="1:16">
      <c r="A22" s="4">
        <f t="shared" si="2"/>
        <v>15</v>
      </c>
      <c r="B22" s="7">
        <v>32904</v>
      </c>
      <c r="C22" s="37">
        <v>4164</v>
      </c>
      <c r="D22" s="22">
        <f>D10</f>
        <v>0.98565799233532947</v>
      </c>
      <c r="E22" s="27">
        <f t="shared" si="0"/>
        <v>4224.5890890958972</v>
      </c>
      <c r="F22" s="38">
        <f t="shared" si="10"/>
        <v>4161.9326773907342</v>
      </c>
      <c r="G22" s="38">
        <f t="shared" si="3"/>
        <v>4161.9326773907342</v>
      </c>
      <c r="H22" s="38">
        <f t="shared" si="4"/>
        <v>4161.9326773907342</v>
      </c>
      <c r="I22" s="38">
        <f t="shared" si="5"/>
        <v>4109.3025640343485</v>
      </c>
      <c r="J22" s="38">
        <f t="shared" si="6"/>
        <v>4161.9326773907342</v>
      </c>
      <c r="K22" s="38"/>
      <c r="M22" s="39">
        <f t="shared" si="1"/>
        <v>-62.656411705163009</v>
      </c>
      <c r="N22" s="38">
        <f t="shared" si="7"/>
        <v>62.656411705163009</v>
      </c>
      <c r="O22" s="41">
        <f t="shared" si="8"/>
        <v>1.4831362384305189E-2</v>
      </c>
      <c r="P22" s="40">
        <f t="shared" si="9"/>
        <v>3925.8259277668881</v>
      </c>
    </row>
    <row r="23" spans="1:16">
      <c r="A23" s="4">
        <f t="shared" si="2"/>
        <v>16</v>
      </c>
      <c r="B23" s="7">
        <v>32932</v>
      </c>
      <c r="C23" s="37">
        <v>4222</v>
      </c>
      <c r="D23" s="22">
        <f t="shared" ref="D23:D66" si="11">D11</f>
        <v>0.9867538520861826</v>
      </c>
      <c r="E23" s="27">
        <f t="shared" si="0"/>
        <v>4278.6759748380009</v>
      </c>
      <c r="F23" s="38">
        <f t="shared" si="10"/>
        <v>4224.5890890958972</v>
      </c>
      <c r="G23" s="38">
        <f t="shared" si="3"/>
        <v>4224.5890890958972</v>
      </c>
      <c r="H23" s="38">
        <f t="shared" si="4"/>
        <v>4224.5890890958972</v>
      </c>
      <c r="I23" s="38">
        <f t="shared" si="5"/>
        <v>4161.9326773907342</v>
      </c>
      <c r="J23" s="38">
        <f t="shared" si="6"/>
        <v>4224.5890890958972</v>
      </c>
      <c r="K23" s="38"/>
      <c r="M23" s="39">
        <f t="shared" si="1"/>
        <v>-54.086885742103732</v>
      </c>
      <c r="N23" s="38">
        <f t="shared" si="7"/>
        <v>54.086885742103732</v>
      </c>
      <c r="O23" s="41">
        <f t="shared" si="8"/>
        <v>1.2641033361763639E-2</v>
      </c>
      <c r="P23" s="40">
        <f t="shared" si="9"/>
        <v>2925.3912092793839</v>
      </c>
    </row>
    <row r="24" spans="1:16">
      <c r="A24" s="4">
        <f t="shared" si="2"/>
        <v>17</v>
      </c>
      <c r="B24" s="7">
        <v>32963</v>
      </c>
      <c r="C24" s="37">
        <v>4321</v>
      </c>
      <c r="D24" s="22">
        <f t="shared" si="11"/>
        <v>0.99365549523408958</v>
      </c>
      <c r="E24" s="27">
        <f t="shared" si="0"/>
        <v>4348.5896477451079</v>
      </c>
      <c r="F24" s="38">
        <f t="shared" si="10"/>
        <v>4278.6759748380009</v>
      </c>
      <c r="G24" s="38">
        <f t="shared" si="3"/>
        <v>4278.6759748380009</v>
      </c>
      <c r="H24" s="38">
        <f t="shared" si="4"/>
        <v>4278.6759748380009</v>
      </c>
      <c r="I24" s="38">
        <f t="shared" si="5"/>
        <v>4224.5890890958972</v>
      </c>
      <c r="J24" s="38">
        <f t="shared" si="6"/>
        <v>4278.6759748380009</v>
      </c>
      <c r="K24" s="38"/>
      <c r="M24" s="39">
        <f t="shared" si="1"/>
        <v>-69.913672907106957</v>
      </c>
      <c r="N24" s="38">
        <f t="shared" si="7"/>
        <v>69.913672907106957</v>
      </c>
      <c r="O24" s="41">
        <f t="shared" si="8"/>
        <v>1.6077321285847143E-2</v>
      </c>
      <c r="P24" s="40">
        <f t="shared" si="9"/>
        <v>4887.9216593619412</v>
      </c>
    </row>
    <row r="25" spans="1:16">
      <c r="A25" s="4">
        <f t="shared" si="2"/>
        <v>18</v>
      </c>
      <c r="B25" s="7">
        <v>32993</v>
      </c>
      <c r="C25" s="37">
        <v>4335</v>
      </c>
      <c r="D25" s="22">
        <f t="shared" si="11"/>
        <v>0.97830522536246467</v>
      </c>
      <c r="E25" s="27">
        <f t="shared" si="0"/>
        <v>4431.1324192241445</v>
      </c>
      <c r="F25" s="38">
        <f t="shared" si="10"/>
        <v>4348.5896477451079</v>
      </c>
      <c r="G25" s="38">
        <f t="shared" si="3"/>
        <v>4348.5896477451079</v>
      </c>
      <c r="H25" s="38">
        <f t="shared" si="4"/>
        <v>4348.5896477451079</v>
      </c>
      <c r="I25" s="38">
        <f t="shared" si="5"/>
        <v>4278.6759748380009</v>
      </c>
      <c r="J25" s="38">
        <f t="shared" si="6"/>
        <v>4348.5896477451079</v>
      </c>
      <c r="K25" s="38"/>
      <c r="M25" s="39">
        <f t="shared" si="1"/>
        <v>-82.542771479036674</v>
      </c>
      <c r="N25" s="38">
        <f t="shared" si="7"/>
        <v>82.542771479036674</v>
      </c>
      <c r="O25" s="41">
        <f t="shared" si="8"/>
        <v>1.8627918028567794E-2</v>
      </c>
      <c r="P25" s="40">
        <f t="shared" si="9"/>
        <v>6813.3091234404701</v>
      </c>
    </row>
    <row r="26" spans="1:16">
      <c r="A26" s="4">
        <f t="shared" si="2"/>
        <v>19</v>
      </c>
      <c r="B26" s="7">
        <v>33024</v>
      </c>
      <c r="C26" s="37">
        <v>4454</v>
      </c>
      <c r="D26" s="22">
        <f t="shared" si="11"/>
        <v>0.98972684471052108</v>
      </c>
      <c r="E26" s="27">
        <f t="shared" si="0"/>
        <v>4500.2315778377442</v>
      </c>
      <c r="F26" s="38">
        <f t="shared" si="10"/>
        <v>4431.1324192241445</v>
      </c>
      <c r="G26" s="38">
        <f t="shared" si="3"/>
        <v>4431.1324192241445</v>
      </c>
      <c r="H26" s="38">
        <f t="shared" si="4"/>
        <v>4431.1324192241445</v>
      </c>
      <c r="I26" s="38">
        <f t="shared" si="5"/>
        <v>4348.5896477451079</v>
      </c>
      <c r="J26" s="38">
        <f t="shared" si="6"/>
        <v>4431.1324192241445</v>
      </c>
      <c r="K26" s="38"/>
      <c r="M26" s="39">
        <f t="shared" si="1"/>
        <v>-69.099158613599684</v>
      </c>
      <c r="N26" s="38">
        <f t="shared" si="7"/>
        <v>69.099158613599684</v>
      </c>
      <c r="O26" s="41">
        <f t="shared" si="8"/>
        <v>1.5354578407451691E-2</v>
      </c>
      <c r="P26" s="40">
        <f t="shared" si="9"/>
        <v>4774.6937211074073</v>
      </c>
    </row>
    <row r="27" spans="1:16">
      <c r="A27" s="4">
        <f t="shared" si="2"/>
        <v>20</v>
      </c>
      <c r="B27" s="7">
        <v>33054</v>
      </c>
      <c r="C27" s="37">
        <v>4536</v>
      </c>
      <c r="D27" s="22">
        <f t="shared" si="11"/>
        <v>1.0164908929445178</v>
      </c>
      <c r="E27" s="27">
        <f t="shared" si="0"/>
        <v>4462.4108602295018</v>
      </c>
      <c r="F27" s="38">
        <f t="shared" si="10"/>
        <v>4500.2315778377442</v>
      </c>
      <c r="G27" s="38">
        <f t="shared" si="3"/>
        <v>4500.2315778377442</v>
      </c>
      <c r="H27" s="38">
        <f t="shared" si="4"/>
        <v>4500.2315778377442</v>
      </c>
      <c r="I27" s="38">
        <f t="shared" si="5"/>
        <v>4431.1324192241445</v>
      </c>
      <c r="J27" s="38">
        <f t="shared" si="6"/>
        <v>4500.2315778377442</v>
      </c>
      <c r="K27" s="38"/>
      <c r="M27" s="39">
        <f t="shared" si="1"/>
        <v>37.820717608242376</v>
      </c>
      <c r="N27" s="38">
        <f t="shared" si="7"/>
        <v>37.820717608242376</v>
      </c>
      <c r="O27" s="41">
        <f t="shared" si="8"/>
        <v>8.475400135230321E-3</v>
      </c>
      <c r="P27" s="40">
        <f t="shared" si="9"/>
        <v>1430.4066804024148</v>
      </c>
    </row>
    <row r="28" spans="1:16">
      <c r="A28" s="4">
        <f t="shared" si="2"/>
        <v>21</v>
      </c>
      <c r="B28" s="7">
        <v>33085</v>
      </c>
      <c r="C28" s="37">
        <v>4597</v>
      </c>
      <c r="D28" s="22">
        <f t="shared" si="11"/>
        <v>1.023824453097022</v>
      </c>
      <c r="E28" s="27">
        <f t="shared" si="0"/>
        <v>4490.0275492485907</v>
      </c>
      <c r="F28" s="38">
        <f t="shared" si="10"/>
        <v>4462.4108602295018</v>
      </c>
      <c r="G28" s="38">
        <f t="shared" si="3"/>
        <v>4462.4108602295018</v>
      </c>
      <c r="H28" s="38">
        <f t="shared" si="4"/>
        <v>4462.4108602295018</v>
      </c>
      <c r="I28" s="38">
        <f t="shared" si="5"/>
        <v>4500.2315778377442</v>
      </c>
      <c r="J28" s="38">
        <f t="shared" si="6"/>
        <v>4462.4108602295018</v>
      </c>
      <c r="K28" s="38"/>
      <c r="M28" s="39">
        <f t="shared" si="1"/>
        <v>-27.616689019088881</v>
      </c>
      <c r="N28" s="38">
        <f t="shared" si="7"/>
        <v>27.616689019088881</v>
      </c>
      <c r="O28" s="41">
        <f t="shared" si="8"/>
        <v>6.1506725106197967E-3</v>
      </c>
      <c r="P28" s="40">
        <f t="shared" si="9"/>
        <v>762.68151237706434</v>
      </c>
    </row>
    <row r="29" spans="1:16">
      <c r="A29" s="4">
        <f t="shared" si="2"/>
        <v>22</v>
      </c>
      <c r="B29" s="7">
        <v>33116</v>
      </c>
      <c r="C29" s="37">
        <v>4643</v>
      </c>
      <c r="D29" s="22">
        <f t="shared" si="11"/>
        <v>1.0170476123708239</v>
      </c>
      <c r="E29" s="27">
        <f t="shared" si="0"/>
        <v>4565.174671790217</v>
      </c>
      <c r="F29" s="38">
        <f t="shared" si="10"/>
        <v>4490.0275492485907</v>
      </c>
      <c r="G29" s="38">
        <f t="shared" si="3"/>
        <v>4490.0275492485907</v>
      </c>
      <c r="H29" s="38">
        <f t="shared" si="4"/>
        <v>4490.0275492485907</v>
      </c>
      <c r="I29" s="38">
        <f t="shared" si="5"/>
        <v>4462.4108602295018</v>
      </c>
      <c r="J29" s="38">
        <f t="shared" si="6"/>
        <v>4490.0275492485907</v>
      </c>
      <c r="K29" s="38"/>
      <c r="M29" s="39">
        <f t="shared" si="1"/>
        <v>-75.147122541626231</v>
      </c>
      <c r="N29" s="38">
        <f t="shared" si="7"/>
        <v>75.147122541626231</v>
      </c>
      <c r="O29" s="41">
        <f t="shared" si="8"/>
        <v>1.6460952306159526E-2</v>
      </c>
      <c r="P29" s="40">
        <f t="shared" si="9"/>
        <v>5647.0900262861896</v>
      </c>
    </row>
    <row r="30" spans="1:16">
      <c r="A30" s="4">
        <f t="shared" si="2"/>
        <v>23</v>
      </c>
      <c r="B30" s="7">
        <v>33146</v>
      </c>
      <c r="C30" s="37">
        <v>4701</v>
      </c>
      <c r="D30" s="22">
        <f t="shared" si="11"/>
        <v>1.0110822484595425</v>
      </c>
      <c r="E30" s="27">
        <f t="shared" si="0"/>
        <v>4649.4733807880775</v>
      </c>
      <c r="F30" s="38">
        <f t="shared" si="10"/>
        <v>4565.174671790217</v>
      </c>
      <c r="G30" s="38">
        <f t="shared" si="3"/>
        <v>4565.174671790217</v>
      </c>
      <c r="H30" s="38">
        <f t="shared" si="4"/>
        <v>4565.174671790217</v>
      </c>
      <c r="I30" s="38">
        <f t="shared" si="5"/>
        <v>4490.0275492485907</v>
      </c>
      <c r="J30" s="38">
        <f t="shared" si="6"/>
        <v>4565.174671790217</v>
      </c>
      <c r="K30" s="38"/>
      <c r="M30" s="39">
        <f t="shared" si="1"/>
        <v>-84.298708997860558</v>
      </c>
      <c r="N30" s="38">
        <f t="shared" si="7"/>
        <v>84.298708997860558</v>
      </c>
      <c r="O30" s="41">
        <f t="shared" si="8"/>
        <v>1.8130807963368117E-2</v>
      </c>
      <c r="P30" s="40">
        <f t="shared" si="9"/>
        <v>7106.2723387059768</v>
      </c>
    </row>
    <row r="31" spans="1:16">
      <c r="A31" s="4">
        <f t="shared" si="2"/>
        <v>24</v>
      </c>
      <c r="B31" s="7">
        <v>33177</v>
      </c>
      <c r="C31" s="37">
        <v>4766</v>
      </c>
      <c r="D31" s="22">
        <f t="shared" si="11"/>
        <v>1.0071360653970747</v>
      </c>
      <c r="E31" s="27">
        <f t="shared" si="0"/>
        <v>4732.2304937227636</v>
      </c>
      <c r="F31" s="38">
        <f t="shared" si="10"/>
        <v>4649.4733807880775</v>
      </c>
      <c r="G31" s="38">
        <f t="shared" si="3"/>
        <v>4649.4733807880775</v>
      </c>
      <c r="H31" s="38">
        <f t="shared" si="4"/>
        <v>4649.4733807880775</v>
      </c>
      <c r="I31" s="38">
        <f t="shared" si="5"/>
        <v>4565.174671790217</v>
      </c>
      <c r="J31" s="38">
        <f t="shared" si="6"/>
        <v>4649.4733807880775</v>
      </c>
      <c r="K31" s="38"/>
      <c r="M31" s="39">
        <f t="shared" si="1"/>
        <v>-82.75711293468612</v>
      </c>
      <c r="N31" s="38">
        <f t="shared" si="7"/>
        <v>82.75711293468612</v>
      </c>
      <c r="O31" s="41">
        <f t="shared" si="8"/>
        <v>1.7487971696320003E-2</v>
      </c>
      <c r="P31" s="40">
        <f t="shared" si="9"/>
        <v>6848.7397412843929</v>
      </c>
    </row>
    <row r="32" spans="1:16">
      <c r="A32" s="4">
        <f t="shared" si="2"/>
        <v>25</v>
      </c>
      <c r="B32" s="7">
        <v>33207</v>
      </c>
      <c r="C32" s="37">
        <v>4781</v>
      </c>
      <c r="D32" s="22">
        <f t="shared" si="11"/>
        <v>0.99895296976377324</v>
      </c>
      <c r="E32" s="27">
        <f t="shared" si="0"/>
        <v>4786.0110983308696</v>
      </c>
      <c r="F32" s="38">
        <f>$G$3*E31+(1-$G$3)*F31</f>
        <v>4732.2304937227636</v>
      </c>
      <c r="G32" s="38">
        <f t="shared" si="3"/>
        <v>4732.2304937227636</v>
      </c>
      <c r="H32" s="38">
        <f t="shared" si="4"/>
        <v>4732.2304937227636</v>
      </c>
      <c r="I32" s="38">
        <f t="shared" si="5"/>
        <v>4649.4733807880775</v>
      </c>
      <c r="J32" s="38">
        <f t="shared" si="6"/>
        <v>4732.2304937227636</v>
      </c>
      <c r="K32" s="38"/>
      <c r="M32" s="39">
        <f t="shared" si="1"/>
        <v>-53.780604608105932</v>
      </c>
      <c r="N32" s="38">
        <f t="shared" si="7"/>
        <v>53.780604608105932</v>
      </c>
      <c r="O32" s="41">
        <f t="shared" si="8"/>
        <v>1.1237041348872346E-2</v>
      </c>
      <c r="P32" s="40">
        <f t="shared" si="9"/>
        <v>2892.3534320134249</v>
      </c>
    </row>
    <row r="33" spans="1:16">
      <c r="A33" s="4">
        <f t="shared" si="2"/>
        <v>26</v>
      </c>
      <c r="B33" s="7">
        <v>33238</v>
      </c>
      <c r="C33" s="37">
        <v>4808</v>
      </c>
      <c r="D33" s="22">
        <f t="shared" si="11"/>
        <v>0.99136634823865966</v>
      </c>
      <c r="E33" s="27">
        <f t="shared" si="0"/>
        <v>4849.8721068576469</v>
      </c>
      <c r="F33" s="38">
        <f>$G$3*E32+(1-$G$3)*F32</f>
        <v>4786.0110983308696</v>
      </c>
      <c r="G33" s="38">
        <f>$G$3*E32+(1-$G$3)*G32</f>
        <v>4786.0110983308696</v>
      </c>
      <c r="H33" s="38">
        <f t="shared" si="4"/>
        <v>4786.0110983308696</v>
      </c>
      <c r="I33" s="38">
        <f t="shared" si="5"/>
        <v>4732.2304937227636</v>
      </c>
      <c r="J33" s="38">
        <f t="shared" si="6"/>
        <v>4786.0110983308696</v>
      </c>
      <c r="K33" s="38"/>
      <c r="M33" s="39">
        <f t="shared" si="1"/>
        <v>-63.861008526777368</v>
      </c>
      <c r="N33" s="38">
        <f t="shared" si="7"/>
        <v>63.861008526777368</v>
      </c>
      <c r="O33" s="41">
        <f t="shared" si="8"/>
        <v>1.3167565477959482E-2</v>
      </c>
      <c r="P33" s="40">
        <f t="shared" si="9"/>
        <v>4078.2284100571319</v>
      </c>
    </row>
    <row r="34" spans="1:16">
      <c r="A34" s="4">
        <f t="shared" si="2"/>
        <v>27</v>
      </c>
      <c r="B34" s="7">
        <v>33269</v>
      </c>
      <c r="C34" s="37">
        <v>4836</v>
      </c>
      <c r="D34" s="22">
        <f t="shared" si="11"/>
        <v>0.98565799233532947</v>
      </c>
      <c r="E34" s="27">
        <f t="shared" si="0"/>
        <v>4906.3671553476843</v>
      </c>
      <c r="F34" s="38">
        <f t="shared" si="10"/>
        <v>4849.8721068576469</v>
      </c>
      <c r="G34" s="38">
        <f t="shared" si="3"/>
        <v>4849.8721068576469</v>
      </c>
      <c r="H34" s="38">
        <f t="shared" si="4"/>
        <v>4849.8721068576469</v>
      </c>
      <c r="I34" s="38">
        <f t="shared" si="5"/>
        <v>4786.0110983308696</v>
      </c>
      <c r="J34" s="38">
        <f t="shared" si="6"/>
        <v>4849.8721068576469</v>
      </c>
      <c r="K34" s="38"/>
      <c r="M34" s="39">
        <f t="shared" si="1"/>
        <v>-56.495048490037334</v>
      </c>
      <c r="N34" s="38">
        <f t="shared" si="7"/>
        <v>56.495048490037334</v>
      </c>
      <c r="O34" s="41">
        <f t="shared" si="8"/>
        <v>1.1514639386182234E-2</v>
      </c>
      <c r="P34" s="40">
        <f t="shared" si="9"/>
        <v>3191.6905038916698</v>
      </c>
    </row>
    <row r="35" spans="1:16">
      <c r="A35" s="4">
        <f t="shared" si="2"/>
        <v>28</v>
      </c>
      <c r="B35" s="7">
        <v>33297</v>
      </c>
      <c r="C35" s="37">
        <v>4937</v>
      </c>
      <c r="D35" s="22">
        <f t="shared" si="11"/>
        <v>0.9867538520861826</v>
      </c>
      <c r="E35" s="27">
        <f t="shared" si="0"/>
        <v>5003.27410889986</v>
      </c>
      <c r="F35" s="38">
        <f t="shared" si="10"/>
        <v>4906.3671553476843</v>
      </c>
      <c r="G35" s="38">
        <f t="shared" si="3"/>
        <v>4906.3671553476843</v>
      </c>
      <c r="H35" s="38">
        <f t="shared" si="4"/>
        <v>4906.3671553476843</v>
      </c>
      <c r="I35" s="38">
        <f t="shared" si="5"/>
        <v>4849.8721068576469</v>
      </c>
      <c r="J35" s="38">
        <f t="shared" si="6"/>
        <v>4906.3671553476843</v>
      </c>
      <c r="K35" s="38"/>
      <c r="M35" s="39">
        <f t="shared" si="1"/>
        <v>-96.906953552175764</v>
      </c>
      <c r="N35" s="38">
        <f t="shared" si="7"/>
        <v>96.906953552175764</v>
      </c>
      <c r="O35" s="41">
        <f t="shared" si="8"/>
        <v>1.9368707658810252E-2</v>
      </c>
      <c r="P35" s="40">
        <f>M35^2</f>
        <v>9390.9576467635507</v>
      </c>
    </row>
    <row r="36" spans="1:16">
      <c r="A36" s="4">
        <f t="shared" si="2"/>
        <v>29</v>
      </c>
      <c r="B36" s="7">
        <v>33328</v>
      </c>
      <c r="C36" s="37">
        <v>5054</v>
      </c>
      <c r="D36" s="22">
        <f t="shared" si="11"/>
        <v>0.99365549523408958</v>
      </c>
      <c r="E36" s="27">
        <f t="shared" si="0"/>
        <v>5086.2698633889777</v>
      </c>
      <c r="F36" s="38">
        <f t="shared" si="10"/>
        <v>5003.27410889986</v>
      </c>
      <c r="G36" s="38">
        <f t="shared" si="3"/>
        <v>5003.27410889986</v>
      </c>
      <c r="H36" s="38">
        <f t="shared" si="4"/>
        <v>5003.27410889986</v>
      </c>
      <c r="I36" s="38">
        <f t="shared" si="5"/>
        <v>4906.3671553476843</v>
      </c>
      <c r="J36" s="38">
        <f t="shared" si="6"/>
        <v>5003.27410889986</v>
      </c>
      <c r="K36" s="38"/>
      <c r="M36" s="39">
        <f t="shared" si="1"/>
        <v>-82.995754489117644</v>
      </c>
      <c r="N36" s="38">
        <f t="shared" si="7"/>
        <v>82.995754489117644</v>
      </c>
      <c r="O36" s="41">
        <f t="shared" si="8"/>
        <v>1.6317607346500021E-2</v>
      </c>
      <c r="P36" s="40">
        <f t="shared" si="9"/>
        <v>6888.2952632178913</v>
      </c>
    </row>
    <row r="37" spans="1:16">
      <c r="A37" s="4">
        <f t="shared" si="2"/>
        <v>30</v>
      </c>
      <c r="B37" s="7">
        <v>33358</v>
      </c>
      <c r="C37" s="37">
        <v>5103</v>
      </c>
      <c r="D37" s="22">
        <f t="shared" si="11"/>
        <v>0.97830522536246467</v>
      </c>
      <c r="E37" s="27">
        <f t="shared" si="0"/>
        <v>5216.1634914188717</v>
      </c>
      <c r="F37" s="38">
        <f t="shared" si="10"/>
        <v>5086.2698633889777</v>
      </c>
      <c r="G37" s="38">
        <f t="shared" si="3"/>
        <v>5086.2698633889777</v>
      </c>
      <c r="H37" s="38">
        <f t="shared" si="4"/>
        <v>5086.2698633889777</v>
      </c>
      <c r="I37" s="38">
        <f t="shared" si="5"/>
        <v>5003.27410889986</v>
      </c>
      <c r="J37" s="38">
        <f t="shared" si="6"/>
        <v>5086.2698633889777</v>
      </c>
      <c r="K37" s="38"/>
      <c r="M37" s="39">
        <f t="shared" si="1"/>
        <v>-129.89362802989399</v>
      </c>
      <c r="N37" s="38">
        <f t="shared" si="7"/>
        <v>129.89362802989399</v>
      </c>
      <c r="O37" s="41">
        <f t="shared" si="8"/>
        <v>2.4902138946293083E-2</v>
      </c>
      <c r="P37" s="40">
        <f t="shared" si="9"/>
        <v>16872.354602768461</v>
      </c>
    </row>
    <row r="38" spans="1:16">
      <c r="A38" s="4">
        <f t="shared" si="2"/>
        <v>31</v>
      </c>
      <c r="B38" s="7">
        <v>33389</v>
      </c>
      <c r="C38" s="37">
        <v>5105</v>
      </c>
      <c r="D38" s="22">
        <f t="shared" si="11"/>
        <v>0.98972684471052108</v>
      </c>
      <c r="E38" s="27">
        <f t="shared" si="0"/>
        <v>5157.9888201305976</v>
      </c>
      <c r="F38" s="38">
        <f t="shared" si="10"/>
        <v>5216.1634914188717</v>
      </c>
      <c r="G38" s="38">
        <f t="shared" si="3"/>
        <v>5216.1634914188717</v>
      </c>
      <c r="H38" s="38">
        <f t="shared" si="4"/>
        <v>5216.1634914188717</v>
      </c>
      <c r="I38" s="38">
        <f t="shared" si="5"/>
        <v>5086.2698633889777</v>
      </c>
      <c r="J38" s="38">
        <f>$G$3*E37+(1-$G$3)*J37</f>
        <v>5216.1634914188717</v>
      </c>
      <c r="K38" s="38"/>
      <c r="M38" s="39">
        <f t="shared" si="1"/>
        <v>58.174671288274112</v>
      </c>
      <c r="N38" s="38">
        <f t="shared" si="7"/>
        <v>58.174671288274112</v>
      </c>
      <c r="O38" s="41">
        <f t="shared" si="8"/>
        <v>1.1278557072716021E-2</v>
      </c>
      <c r="P38" s="40">
        <f t="shared" si="9"/>
        <v>3384.2923794987441</v>
      </c>
    </row>
    <row r="39" spans="1:16">
      <c r="A39" s="4">
        <f t="shared" si="2"/>
        <v>32</v>
      </c>
      <c r="B39" s="7">
        <v>33419</v>
      </c>
      <c r="C39" s="37">
        <v>5704</v>
      </c>
      <c r="D39" s="22">
        <f t="shared" si="11"/>
        <v>1.0164908929445178</v>
      </c>
      <c r="E39" s="27">
        <f t="shared" si="0"/>
        <v>5611.4619812057053</v>
      </c>
      <c r="F39" s="38">
        <f t="shared" si="10"/>
        <v>5157.9888201305976</v>
      </c>
      <c r="G39" s="38">
        <f t="shared" si="3"/>
        <v>5157.9888201305976</v>
      </c>
      <c r="H39" s="38">
        <f t="shared" si="4"/>
        <v>5157.9888201305976</v>
      </c>
      <c r="I39" s="38">
        <f t="shared" si="5"/>
        <v>5216.1634914188717</v>
      </c>
      <c r="J39" s="38">
        <f t="shared" si="6"/>
        <v>5157.9888201305976</v>
      </c>
      <c r="K39" s="38"/>
      <c r="M39" s="39">
        <f t="shared" si="1"/>
        <v>-453.47316107510778</v>
      </c>
      <c r="N39" s="38">
        <f t="shared" si="7"/>
        <v>453.47316107510778</v>
      </c>
      <c r="O39" s="41">
        <f t="shared" si="8"/>
        <v>8.0811945727140497E-2</v>
      </c>
      <c r="P39" s="40">
        <f t="shared" si="9"/>
        <v>205637.90781545066</v>
      </c>
    </row>
    <row r="40" spans="1:16">
      <c r="A40" s="4">
        <f t="shared" si="2"/>
        <v>33</v>
      </c>
      <c r="B40" s="7">
        <v>33450</v>
      </c>
      <c r="C40" s="37">
        <v>5907</v>
      </c>
      <c r="D40" s="22">
        <f>D28</f>
        <v>1.023824453097022</v>
      </c>
      <c r="E40" s="27">
        <f t="shared" si="0"/>
        <v>5769.5437749426637</v>
      </c>
      <c r="F40" s="38">
        <f t="shared" si="10"/>
        <v>5611.4619812057053</v>
      </c>
      <c r="G40" s="38">
        <f t="shared" si="3"/>
        <v>5611.4619812057053</v>
      </c>
      <c r="H40" s="38">
        <f t="shared" si="4"/>
        <v>5611.4619812057053</v>
      </c>
      <c r="I40" s="38">
        <f t="shared" si="5"/>
        <v>5157.9888201305976</v>
      </c>
      <c r="J40" s="38">
        <f t="shared" si="6"/>
        <v>5611.4619812057053</v>
      </c>
      <c r="K40" s="38"/>
      <c r="M40" s="39">
        <f t="shared" si="1"/>
        <v>-158.08179373695839</v>
      </c>
      <c r="N40" s="38">
        <f t="shared" si="7"/>
        <v>158.08179373695839</v>
      </c>
      <c r="O40" s="41">
        <f t="shared" si="8"/>
        <v>2.7399357714125216E-2</v>
      </c>
      <c r="P40" s="40">
        <f t="shared" si="9"/>
        <v>24989.853511094258</v>
      </c>
    </row>
    <row r="41" spans="1:16">
      <c r="A41" s="4">
        <f t="shared" si="2"/>
        <v>34</v>
      </c>
      <c r="B41" s="7">
        <v>33481</v>
      </c>
      <c r="C41" s="37">
        <v>5889</v>
      </c>
      <c r="D41" s="22">
        <f t="shared" si="11"/>
        <v>1.0170476123708239</v>
      </c>
      <c r="E41" s="27">
        <f t="shared" si="0"/>
        <v>5790.2893909482209</v>
      </c>
      <c r="F41" s="38">
        <f t="shared" si="10"/>
        <v>5769.5437749426637</v>
      </c>
      <c r="G41" s="38">
        <f t="shared" si="3"/>
        <v>5769.5437749426637</v>
      </c>
      <c r="H41" s="38">
        <f t="shared" si="4"/>
        <v>5769.5437749426637</v>
      </c>
      <c r="I41" s="38">
        <f t="shared" si="5"/>
        <v>5611.4619812057053</v>
      </c>
      <c r="J41" s="38">
        <f t="shared" si="6"/>
        <v>5769.5437749426637</v>
      </c>
      <c r="K41" s="38"/>
      <c r="M41" s="39">
        <f t="shared" si="1"/>
        <v>-20.745616005557167</v>
      </c>
      <c r="N41" s="38">
        <f t="shared" si="7"/>
        <v>20.745616005557167</v>
      </c>
      <c r="O41" s="41">
        <f t="shared" si="8"/>
        <v>3.582828871729303E-3</v>
      </c>
      <c r="P41" s="40">
        <f t="shared" si="9"/>
        <v>430.38058345002969</v>
      </c>
    </row>
    <row r="42" spans="1:16">
      <c r="A42" s="4">
        <f t="shared" si="2"/>
        <v>35</v>
      </c>
      <c r="B42" s="7">
        <v>33511</v>
      </c>
      <c r="C42" s="37">
        <v>5887</v>
      </c>
      <c r="D42" s="22">
        <f t="shared" si="11"/>
        <v>1.0110822484595425</v>
      </c>
      <c r="E42" s="27">
        <f t="shared" si="0"/>
        <v>5822.4738976174031</v>
      </c>
      <c r="F42" s="38">
        <f t="shared" si="10"/>
        <v>5790.2893909482209</v>
      </c>
      <c r="G42" s="38">
        <f t="shared" si="3"/>
        <v>5790.2893909482209</v>
      </c>
      <c r="H42" s="38">
        <f t="shared" si="4"/>
        <v>5790.2893909482209</v>
      </c>
      <c r="I42" s="38">
        <f t="shared" si="5"/>
        <v>5769.5437749426637</v>
      </c>
      <c r="J42" s="38">
        <f t="shared" si="6"/>
        <v>5790.2893909482209</v>
      </c>
      <c r="K42" s="38"/>
      <c r="M42" s="39">
        <f t="shared" si="1"/>
        <v>-32.184506669182156</v>
      </c>
      <c r="N42" s="38">
        <f t="shared" si="7"/>
        <v>32.184506669182156</v>
      </c>
      <c r="O42" s="41">
        <f t="shared" si="8"/>
        <v>5.5276343415386169E-3</v>
      </c>
      <c r="P42" s="40">
        <f t="shared" si="9"/>
        <v>1035.8424695386307</v>
      </c>
    </row>
    <row r="43" spans="1:16">
      <c r="A43" s="4">
        <f t="shared" si="2"/>
        <v>36</v>
      </c>
      <c r="B43" s="7">
        <v>33542</v>
      </c>
      <c r="C43" s="37">
        <v>5876</v>
      </c>
      <c r="D43" s="22">
        <f t="shared" si="11"/>
        <v>1.0071360653970747</v>
      </c>
      <c r="E43" s="27">
        <f t="shared" si="0"/>
        <v>5834.3655856304986</v>
      </c>
      <c r="F43" s="38">
        <f t="shared" si="10"/>
        <v>5822.4738976174031</v>
      </c>
      <c r="G43" s="38">
        <f t="shared" si="3"/>
        <v>5822.4738976174031</v>
      </c>
      <c r="H43" s="38">
        <f t="shared" si="4"/>
        <v>5822.4738976174031</v>
      </c>
      <c r="I43" s="38">
        <f t="shared" si="5"/>
        <v>5790.2893909482209</v>
      </c>
      <c r="J43" s="38">
        <f t="shared" si="6"/>
        <v>5822.4738976174031</v>
      </c>
      <c r="K43" s="38"/>
      <c r="M43" s="39">
        <f t="shared" si="1"/>
        <v>-11.891688013095518</v>
      </c>
      <c r="N43" s="38">
        <f t="shared" si="7"/>
        <v>11.891688013095518</v>
      </c>
      <c r="O43" s="41">
        <f t="shared" si="8"/>
        <v>2.0382144105579609E-3</v>
      </c>
      <c r="P43" s="40">
        <f t="shared" si="9"/>
        <v>141.41224380079962</v>
      </c>
    </row>
    <row r="44" spans="1:16">
      <c r="A44" s="4">
        <f t="shared" si="2"/>
        <v>37</v>
      </c>
      <c r="B44" s="7">
        <v>33572</v>
      </c>
      <c r="C44" s="37">
        <v>5896</v>
      </c>
      <c r="D44" s="22">
        <f t="shared" si="11"/>
        <v>0.99895296976377324</v>
      </c>
      <c r="E44" s="27">
        <f t="shared" si="0"/>
        <v>5902.1797606690661</v>
      </c>
      <c r="F44" s="38">
        <f t="shared" si="10"/>
        <v>5834.3655856304986</v>
      </c>
      <c r="G44" s="38">
        <f t="shared" si="3"/>
        <v>5834.3655856304986</v>
      </c>
      <c r="H44" s="38">
        <f t="shared" si="4"/>
        <v>5834.3655856304986</v>
      </c>
      <c r="I44" s="38">
        <f t="shared" si="5"/>
        <v>5822.4738976174031</v>
      </c>
      <c r="J44" s="38">
        <f t="shared" si="6"/>
        <v>5834.3655856304986</v>
      </c>
      <c r="K44" s="38"/>
      <c r="M44" s="39">
        <f t="shared" si="1"/>
        <v>-67.814175038567555</v>
      </c>
      <c r="N44" s="38">
        <f t="shared" si="7"/>
        <v>67.814175038567555</v>
      </c>
      <c r="O44" s="41">
        <f t="shared" si="8"/>
        <v>1.1489683098177985E-2</v>
      </c>
      <c r="P44" s="40">
        <f t="shared" si="9"/>
        <v>4598.7623361614787</v>
      </c>
    </row>
    <row r="45" spans="1:16">
      <c r="A45" s="4">
        <f t="shared" si="2"/>
        <v>38</v>
      </c>
      <c r="B45" s="7">
        <v>33603</v>
      </c>
      <c r="C45" s="37">
        <v>5900</v>
      </c>
      <c r="D45" s="22">
        <f t="shared" si="11"/>
        <v>0.99136634823865966</v>
      </c>
      <c r="E45" s="27">
        <f t="shared" si="0"/>
        <v>5951.3821610773957</v>
      </c>
      <c r="F45" s="38">
        <f t="shared" si="10"/>
        <v>5902.1797606690661</v>
      </c>
      <c r="G45" s="38">
        <f t="shared" si="3"/>
        <v>5902.1797606690661</v>
      </c>
      <c r="H45" s="38">
        <f t="shared" si="4"/>
        <v>5902.1797606690661</v>
      </c>
      <c r="I45" s="38">
        <f t="shared" si="5"/>
        <v>5834.3655856304986</v>
      </c>
      <c r="J45" s="38">
        <f t="shared" si="6"/>
        <v>5902.1797606690661</v>
      </c>
      <c r="K45" s="38"/>
      <c r="M45" s="39">
        <f t="shared" si="1"/>
        <v>-49.202400408329595</v>
      </c>
      <c r="N45" s="38">
        <f t="shared" si="7"/>
        <v>49.202400408329595</v>
      </c>
      <c r="O45" s="41">
        <f t="shared" si="8"/>
        <v>8.2673905114206848E-3</v>
      </c>
      <c r="P45" s="40">
        <f t="shared" si="9"/>
        <v>2420.8762059415922</v>
      </c>
    </row>
    <row r="46" spans="1:16">
      <c r="A46" s="4">
        <f t="shared" si="2"/>
        <v>39</v>
      </c>
      <c r="B46" s="7">
        <v>33634</v>
      </c>
      <c r="C46" s="37">
        <v>5917</v>
      </c>
      <c r="D46" s="22">
        <f t="shared" si="11"/>
        <v>0.98565799233532947</v>
      </c>
      <c r="E46" s="27">
        <f t="shared" si="0"/>
        <v>6003.0964553747408</v>
      </c>
      <c r="F46" s="38">
        <f t="shared" si="10"/>
        <v>5951.3821610773957</v>
      </c>
      <c r="G46" s="38">
        <f t="shared" si="3"/>
        <v>5951.3821610773957</v>
      </c>
      <c r="H46" s="38">
        <f t="shared" si="4"/>
        <v>5951.3821610773957</v>
      </c>
      <c r="I46" s="38">
        <f t="shared" si="5"/>
        <v>5902.1797606690661</v>
      </c>
      <c r="J46" s="38">
        <f t="shared" si="6"/>
        <v>5951.3821610773957</v>
      </c>
      <c r="K46" s="38"/>
      <c r="M46" s="39">
        <f t="shared" si="1"/>
        <v>-51.714294297345077</v>
      </c>
      <c r="N46" s="38">
        <f t="shared" si="7"/>
        <v>51.714294297345077</v>
      </c>
      <c r="O46" s="41">
        <f t="shared" si="8"/>
        <v>8.6146032604629934E-3</v>
      </c>
      <c r="P46" s="40">
        <f t="shared" si="9"/>
        <v>2674.3682346724177</v>
      </c>
    </row>
    <row r="47" spans="1:16">
      <c r="A47" s="4">
        <f t="shared" si="2"/>
        <v>40</v>
      </c>
      <c r="B47" s="7">
        <v>33663</v>
      </c>
      <c r="C47" s="37">
        <v>5938</v>
      </c>
      <c r="D47" s="22">
        <f t="shared" si="11"/>
        <v>0.9867538520861826</v>
      </c>
      <c r="E47" s="27">
        <f t="shared" si="0"/>
        <v>6017.7114965864639</v>
      </c>
      <c r="F47" s="38">
        <f t="shared" si="10"/>
        <v>6003.0964553747408</v>
      </c>
      <c r="G47" s="38">
        <f t="shared" si="3"/>
        <v>6003.0964553747408</v>
      </c>
      <c r="H47" s="38">
        <f t="shared" si="4"/>
        <v>6003.0964553747408</v>
      </c>
      <c r="I47" s="38">
        <f t="shared" si="5"/>
        <v>5951.3821610773957</v>
      </c>
      <c r="J47" s="38">
        <f t="shared" si="6"/>
        <v>6003.0964553747408</v>
      </c>
      <c r="K47" s="38"/>
      <c r="M47" s="39">
        <f t="shared" si="1"/>
        <v>-14.61504121172311</v>
      </c>
      <c r="N47" s="38">
        <f t="shared" si="7"/>
        <v>14.61504121172311</v>
      </c>
      <c r="O47" s="41">
        <f t="shared" si="8"/>
        <v>2.4286709690242653E-3</v>
      </c>
      <c r="P47" s="40">
        <f t="shared" si="9"/>
        <v>213.5994296203649</v>
      </c>
    </row>
    <row r="48" spans="1:16">
      <c r="A48" s="4">
        <f t="shared" si="2"/>
        <v>41</v>
      </c>
      <c r="B48" s="7">
        <v>33694</v>
      </c>
      <c r="C48" s="37">
        <v>5987</v>
      </c>
      <c r="D48" s="22">
        <f>D36</f>
        <v>0.99365549523408958</v>
      </c>
      <c r="E48" s="27">
        <f t="shared" si="0"/>
        <v>6025.2270819370424</v>
      </c>
      <c r="F48" s="38">
        <f t="shared" si="10"/>
        <v>6017.7114965864639</v>
      </c>
      <c r="G48" s="38">
        <f t="shared" si="3"/>
        <v>6017.7114965864639</v>
      </c>
      <c r="H48" s="38">
        <f t="shared" si="4"/>
        <v>6017.7114965864639</v>
      </c>
      <c r="I48" s="38">
        <f t="shared" si="5"/>
        <v>6003.0964553747408</v>
      </c>
      <c r="J48" s="38">
        <f t="shared" si="6"/>
        <v>6017.7114965864639</v>
      </c>
      <c r="K48" s="38"/>
      <c r="M48" s="39">
        <f t="shared" si="1"/>
        <v>-7.5155853505784762</v>
      </c>
      <c r="N48" s="38">
        <f t="shared" si="7"/>
        <v>7.5155853505784762</v>
      </c>
      <c r="O48" s="41">
        <f t="shared" si="8"/>
        <v>1.247353045515805E-3</v>
      </c>
      <c r="P48" s="40">
        <f t="shared" si="9"/>
        <v>56.484023161829796</v>
      </c>
    </row>
    <row r="49" spans="1:16">
      <c r="A49" s="4">
        <f t="shared" si="2"/>
        <v>42</v>
      </c>
      <c r="B49" s="7">
        <v>33724</v>
      </c>
      <c r="C49" s="37">
        <v>5983</v>
      </c>
      <c r="D49" s="22">
        <f>D37</f>
        <v>0.97830522536246467</v>
      </c>
      <c r="E49" s="27">
        <f t="shared" si="0"/>
        <v>6115.6782616419969</v>
      </c>
      <c r="F49" s="38">
        <f t="shared" si="10"/>
        <v>6025.2270819370424</v>
      </c>
      <c r="G49" s="38">
        <f t="shared" si="3"/>
        <v>6025.2270819370424</v>
      </c>
      <c r="H49" s="38">
        <f t="shared" si="4"/>
        <v>6025.2270819370424</v>
      </c>
      <c r="I49" s="38">
        <f t="shared" si="5"/>
        <v>6017.7114965864639</v>
      </c>
      <c r="J49" s="38">
        <f t="shared" si="6"/>
        <v>6025.2270819370424</v>
      </c>
      <c r="K49" s="38"/>
      <c r="M49" s="39">
        <f t="shared" si="1"/>
        <v>-90.451179704954484</v>
      </c>
      <c r="N49" s="38">
        <f t="shared" si="7"/>
        <v>90.451179704954484</v>
      </c>
      <c r="O49" s="41">
        <f t="shared" si="8"/>
        <v>1.479004876241957E-2</v>
      </c>
      <c r="P49" s="40">
        <f t="shared" si="9"/>
        <v>8181.4159100179695</v>
      </c>
    </row>
    <row r="50" spans="1:16">
      <c r="A50" s="4">
        <f t="shared" si="2"/>
        <v>43</v>
      </c>
      <c r="B50" s="7">
        <v>33755</v>
      </c>
      <c r="C50" s="37">
        <v>5981</v>
      </c>
      <c r="D50" s="22">
        <f t="shared" si="11"/>
        <v>0.98972684471052108</v>
      </c>
      <c r="E50" s="27">
        <f t="shared" si="0"/>
        <v>6043.0815148288157</v>
      </c>
      <c r="F50" s="38">
        <f t="shared" si="10"/>
        <v>6115.6782616419969</v>
      </c>
      <c r="G50" s="38">
        <f t="shared" si="3"/>
        <v>6115.6782616419969</v>
      </c>
      <c r="H50" s="38">
        <f t="shared" si="4"/>
        <v>6115.6782616419969</v>
      </c>
      <c r="I50" s="38">
        <f t="shared" si="5"/>
        <v>6025.2270819370424</v>
      </c>
      <c r="J50" s="38">
        <f t="shared" si="6"/>
        <v>6115.6782616419969</v>
      </c>
      <c r="K50" s="38"/>
      <c r="M50" s="39">
        <f t="shared" si="1"/>
        <v>72.596746813181198</v>
      </c>
      <c r="N50" s="38">
        <f t="shared" si="7"/>
        <v>72.596746813181198</v>
      </c>
      <c r="O50" s="41">
        <f t="shared" si="8"/>
        <v>1.2013199993255043E-2</v>
      </c>
      <c r="P50" s="40">
        <f t="shared" si="9"/>
        <v>5270.2876478571343</v>
      </c>
    </row>
    <row r="51" spans="1:16">
      <c r="A51" s="4">
        <f t="shared" si="2"/>
        <v>44</v>
      </c>
      <c r="B51" s="7">
        <v>33785</v>
      </c>
      <c r="C51" s="37">
        <v>5975</v>
      </c>
      <c r="D51" s="22">
        <f t="shared" si="11"/>
        <v>1.0164908929445178</v>
      </c>
      <c r="E51" s="27">
        <f t="shared" si="0"/>
        <v>5878.0654519116561</v>
      </c>
      <c r="F51" s="38">
        <f t="shared" si="10"/>
        <v>6043.0815148288157</v>
      </c>
      <c r="G51" s="38">
        <f t="shared" si="3"/>
        <v>6043.0815148288157</v>
      </c>
      <c r="H51" s="38">
        <f t="shared" si="4"/>
        <v>6043.0815148288157</v>
      </c>
      <c r="I51" s="38">
        <f t="shared" si="5"/>
        <v>6115.6782616419969</v>
      </c>
      <c r="J51" s="38">
        <f>$G$3*E50+(1-$G$3)*J50</f>
        <v>6043.0815148288157</v>
      </c>
      <c r="K51" s="38"/>
      <c r="M51" s="39">
        <f t="shared" si="1"/>
        <v>165.01606291715962</v>
      </c>
      <c r="N51" s="38">
        <f t="shared" si="7"/>
        <v>165.01606291715962</v>
      </c>
      <c r="O51" s="41">
        <f t="shared" si="8"/>
        <v>2.807319249286231E-2</v>
      </c>
      <c r="P51" s="40">
        <f t="shared" si="9"/>
        <v>27230.301020679981</v>
      </c>
    </row>
    <row r="52" spans="1:16">
      <c r="A52" s="4">
        <f t="shared" si="2"/>
        <v>45</v>
      </c>
      <c r="B52" s="7">
        <v>33816</v>
      </c>
      <c r="C52" s="37">
        <v>5985</v>
      </c>
      <c r="D52" s="22">
        <f t="shared" si="11"/>
        <v>1.023824453097022</v>
      </c>
      <c r="E52" s="27">
        <f t="shared" si="0"/>
        <v>5845.7287105183414</v>
      </c>
      <c r="F52" s="38">
        <f t="shared" si="10"/>
        <v>5878.0654519116561</v>
      </c>
      <c r="G52" s="38">
        <f t="shared" si="3"/>
        <v>5878.0654519116561</v>
      </c>
      <c r="H52" s="38">
        <f t="shared" si="4"/>
        <v>5878.0654519116561</v>
      </c>
      <c r="I52" s="38">
        <f t="shared" si="5"/>
        <v>6043.0815148288157</v>
      </c>
      <c r="J52" s="38">
        <f t="shared" si="6"/>
        <v>5878.0654519116561</v>
      </c>
      <c r="K52" s="38"/>
      <c r="M52" s="39">
        <f t="shared" si="1"/>
        <v>32.336741393314696</v>
      </c>
      <c r="N52" s="38">
        <f t="shared" si="7"/>
        <v>32.336741393314696</v>
      </c>
      <c r="O52" s="41">
        <f t="shared" si="8"/>
        <v>5.5316869794403093E-3</v>
      </c>
      <c r="P52" s="40">
        <f t="shared" si="9"/>
        <v>1045.6648439381122</v>
      </c>
    </row>
    <row r="53" spans="1:16">
      <c r="A53" s="4">
        <f t="shared" si="2"/>
        <v>46</v>
      </c>
      <c r="B53" s="7">
        <v>33847</v>
      </c>
      <c r="C53" s="37">
        <v>6029</v>
      </c>
      <c r="D53" s="22">
        <f t="shared" si="11"/>
        <v>1.0170476123708239</v>
      </c>
      <c r="E53" s="27">
        <f t="shared" si="0"/>
        <v>5927.9427301794576</v>
      </c>
      <c r="F53" s="38">
        <f t="shared" si="10"/>
        <v>5845.7287105183414</v>
      </c>
      <c r="G53" s="38">
        <f t="shared" si="3"/>
        <v>5845.7287105183414</v>
      </c>
      <c r="H53" s="38">
        <f t="shared" si="4"/>
        <v>5845.7287105183414</v>
      </c>
      <c r="I53" s="38">
        <f t="shared" si="5"/>
        <v>5878.0654519116561</v>
      </c>
      <c r="J53" s="38">
        <f>$G$3*E52+(1-$G$3)*J52</f>
        <v>5845.7287105183414</v>
      </c>
      <c r="K53" s="38"/>
      <c r="M53" s="39">
        <f t="shared" si="1"/>
        <v>-82.214019661116254</v>
      </c>
      <c r="N53" s="38">
        <f t="shared" si="7"/>
        <v>82.214019661116254</v>
      </c>
      <c r="O53" s="41">
        <f t="shared" si="8"/>
        <v>1.3868895737227774E-2</v>
      </c>
      <c r="P53" s="40">
        <f t="shared" si="9"/>
        <v>6759.1450288384103</v>
      </c>
    </row>
    <row r="54" spans="1:16">
      <c r="A54" s="4">
        <f t="shared" si="2"/>
        <v>47</v>
      </c>
      <c r="B54" s="7">
        <v>33877</v>
      </c>
      <c r="C54" s="37">
        <v>6024</v>
      </c>
      <c r="D54" s="22">
        <f t="shared" si="11"/>
        <v>1.0110822484595425</v>
      </c>
      <c r="E54" s="27">
        <f t="shared" si="0"/>
        <v>5957.9722709779571</v>
      </c>
      <c r="F54" s="38">
        <f t="shared" si="10"/>
        <v>5927.9427301794576</v>
      </c>
      <c r="G54" s="38">
        <f t="shared" si="3"/>
        <v>5927.9427301794576</v>
      </c>
      <c r="H54" s="38">
        <f t="shared" si="4"/>
        <v>5927.9427301794576</v>
      </c>
      <c r="I54" s="38">
        <f t="shared" si="5"/>
        <v>5845.7287105183414</v>
      </c>
      <c r="J54" s="38">
        <f>$G$3*E53+(1-$G$3)*J53</f>
        <v>5927.9427301794576</v>
      </c>
      <c r="K54" s="38"/>
      <c r="M54" s="39">
        <f t="shared" si="1"/>
        <v>-30.029540798499511</v>
      </c>
      <c r="N54" s="38">
        <f t="shared" si="7"/>
        <v>30.029540798499511</v>
      </c>
      <c r="O54" s="41">
        <f t="shared" si="8"/>
        <v>5.0402283583589726E-3</v>
      </c>
      <c r="P54" s="40">
        <f t="shared" si="9"/>
        <v>901.77332056874661</v>
      </c>
    </row>
    <row r="55" spans="1:16">
      <c r="A55" s="4">
        <f t="shared" si="2"/>
        <v>48</v>
      </c>
      <c r="B55" s="7">
        <v>33908</v>
      </c>
      <c r="C55" s="38"/>
      <c r="D55" s="22">
        <f t="shared" si="11"/>
        <v>1.0071360653970747</v>
      </c>
      <c r="E55" s="15"/>
      <c r="F55" s="38">
        <f t="shared" si="10"/>
        <v>5957.9722709779571</v>
      </c>
      <c r="G55" s="38">
        <f t="shared" si="3"/>
        <v>5957.9722709779571</v>
      </c>
      <c r="H55" s="38">
        <f t="shared" si="4"/>
        <v>5957.9722709779571</v>
      </c>
      <c r="I55" s="38">
        <f t="shared" si="5"/>
        <v>5927.9427301794576</v>
      </c>
      <c r="J55" s="38">
        <f>$G$3*E54+(1-$G$3)*J54</f>
        <v>5957.9722709779571</v>
      </c>
      <c r="K55" s="38">
        <f>J54</f>
        <v>5927.9427301794576</v>
      </c>
      <c r="L55" s="29">
        <f>D55*K55</f>
        <v>5970.2449171721319</v>
      </c>
      <c r="M55" s="39"/>
    </row>
    <row r="56" spans="1:16">
      <c r="A56" s="4">
        <f t="shared" si="2"/>
        <v>49</v>
      </c>
      <c r="B56" s="7">
        <v>33938</v>
      </c>
      <c r="C56" s="38"/>
      <c r="D56" s="22">
        <f t="shared" si="11"/>
        <v>0.99895296976377324</v>
      </c>
      <c r="E56" s="15"/>
      <c r="F56" s="38"/>
      <c r="G56" s="38"/>
      <c r="H56" s="38"/>
      <c r="I56" s="38"/>
      <c r="J56" s="38"/>
      <c r="K56" s="38">
        <f>J55</f>
        <v>5957.9722709779571</v>
      </c>
      <c r="L56" s="29">
        <f>D56*K56</f>
        <v>5951.7340938636426</v>
      </c>
    </row>
    <row r="57" spans="1:16">
      <c r="A57" s="4">
        <f t="shared" si="2"/>
        <v>50</v>
      </c>
      <c r="B57" s="7">
        <v>33969</v>
      </c>
      <c r="C57" s="38"/>
      <c r="D57" s="22">
        <f t="shared" si="11"/>
        <v>0.99136634823865966</v>
      </c>
      <c r="E57" s="15"/>
      <c r="F57" s="38"/>
      <c r="G57" s="38"/>
      <c r="H57" s="38"/>
      <c r="I57" s="38"/>
      <c r="J57" s="38"/>
      <c r="K57" s="38">
        <f>K56</f>
        <v>5957.9722709779571</v>
      </c>
      <c r="L57" s="29">
        <f t="shared" ref="L57:L66" si="12">D57*K57</f>
        <v>5906.5332131866116</v>
      </c>
      <c r="M57" t="s">
        <v>91</v>
      </c>
      <c r="N57" s="45" t="s">
        <v>43</v>
      </c>
      <c r="O57" s="45" t="s">
        <v>92</v>
      </c>
      <c r="P57" s="45" t="s">
        <v>93</v>
      </c>
    </row>
    <row r="58" spans="1:16">
      <c r="A58" s="4">
        <f t="shared" si="2"/>
        <v>51</v>
      </c>
      <c r="B58" s="7">
        <v>34000</v>
      </c>
      <c r="C58" s="38"/>
      <c r="D58" s="22">
        <f t="shared" si="11"/>
        <v>0.98565799233532947</v>
      </c>
      <c r="E58" s="15"/>
      <c r="F58" s="38"/>
      <c r="G58" s="38"/>
      <c r="H58" s="38"/>
      <c r="I58" s="38"/>
      <c r="J58" s="38"/>
      <c r="K58" s="38">
        <f t="shared" ref="K58:K66" si="13">K57</f>
        <v>5957.9722709779571</v>
      </c>
      <c r="L58" s="29">
        <f>D58*K58</f>
        <v>5872.5229870016965</v>
      </c>
      <c r="M58" s="42">
        <f>AVERAGE(M8:M54)</f>
        <v>-44.258661818187562</v>
      </c>
      <c r="N58" s="42">
        <f>AVERAGE(N9:N54)</f>
        <v>239.39947104139691</v>
      </c>
      <c r="O58" s="41" t="e">
        <f>AVERAGE(O9:O54)</f>
        <v>#DIV/0!</v>
      </c>
      <c r="P58" s="42">
        <f>AVERAGE(P38:P54)</f>
        <v>17351.315706134774</v>
      </c>
    </row>
    <row r="59" spans="1:16">
      <c r="A59" s="4">
        <f t="shared" si="2"/>
        <v>52</v>
      </c>
      <c r="B59" s="7">
        <v>34028</v>
      </c>
      <c r="C59" s="38"/>
      <c r="D59" s="22">
        <f t="shared" si="11"/>
        <v>0.9867538520861826</v>
      </c>
      <c r="E59" s="15"/>
      <c r="F59" s="38"/>
      <c r="G59" s="38"/>
      <c r="J59" s="38"/>
      <c r="K59" s="38">
        <f t="shared" si="13"/>
        <v>5957.9722709779571</v>
      </c>
      <c r="L59" s="29">
        <f>D59*K59</f>
        <v>5879.0520890101607</v>
      </c>
    </row>
    <row r="60" spans="1:16">
      <c r="A60" s="4">
        <f t="shared" si="2"/>
        <v>53</v>
      </c>
      <c r="B60" s="7">
        <v>34059</v>
      </c>
      <c r="C60" s="38"/>
      <c r="D60" s="22">
        <f t="shared" si="11"/>
        <v>0.99365549523408958</v>
      </c>
      <c r="E60" s="15"/>
      <c r="F60" s="38"/>
      <c r="G60" s="38"/>
      <c r="J60" s="38"/>
      <c r="K60" s="38">
        <f>K59</f>
        <v>5957.9722709779571</v>
      </c>
      <c r="L60" s="29">
        <f t="shared" si="12"/>
        <v>5920.1718875095758</v>
      </c>
    </row>
    <row r="61" spans="1:16">
      <c r="A61" s="4">
        <f t="shared" si="2"/>
        <v>54</v>
      </c>
      <c r="B61" s="7">
        <v>34089</v>
      </c>
      <c r="C61" s="38"/>
      <c r="D61" s="22">
        <f t="shared" si="11"/>
        <v>0.97830522536246467</v>
      </c>
      <c r="E61" s="15"/>
      <c r="F61" s="38"/>
      <c r="G61" s="38"/>
      <c r="J61" s="38"/>
      <c r="K61" s="38">
        <f t="shared" si="13"/>
        <v>5957.9722709779571</v>
      </c>
      <c r="L61" s="29">
        <f>D61*K61</f>
        <v>5828.7154052624055</v>
      </c>
      <c r="N61" t="s">
        <v>94</v>
      </c>
      <c r="O61" s="45" t="s">
        <v>95</v>
      </c>
      <c r="P61" s="45" t="s">
        <v>96</v>
      </c>
    </row>
    <row r="62" spans="1:16">
      <c r="A62" s="4">
        <f t="shared" si="2"/>
        <v>55</v>
      </c>
      <c r="B62" s="7">
        <v>34120</v>
      </c>
      <c r="C62" s="38"/>
      <c r="D62" s="22">
        <f t="shared" si="11"/>
        <v>0.98972684471052108</v>
      </c>
      <c r="E62" s="15"/>
      <c r="F62" s="38"/>
      <c r="G62" s="38"/>
      <c r="J62" s="38"/>
      <c r="K62" s="38">
        <f t="shared" si="13"/>
        <v>5957.9722709779571</v>
      </c>
      <c r="L62" s="29">
        <f>D62*K62</f>
        <v>5896.7650966277915</v>
      </c>
      <c r="M62" s="44" t="s">
        <v>97</v>
      </c>
      <c r="N62" s="45" t="s">
        <v>43</v>
      </c>
      <c r="O62" s="38">
        <v>1</v>
      </c>
      <c r="P62" s="38">
        <v>5957.9722709779571</v>
      </c>
    </row>
    <row r="63" spans="1:16">
      <c r="A63" s="4">
        <f t="shared" si="2"/>
        <v>56</v>
      </c>
      <c r="B63" s="7">
        <v>34150</v>
      </c>
      <c r="C63" s="38"/>
      <c r="D63" s="22">
        <f t="shared" si="11"/>
        <v>1.0164908929445178</v>
      </c>
      <c r="E63" s="15"/>
      <c r="F63" s="38"/>
      <c r="G63" s="38"/>
      <c r="J63" s="38"/>
      <c r="K63" s="38">
        <f t="shared" si="13"/>
        <v>5957.9722709779571</v>
      </c>
      <c r="L63" s="29">
        <f>D63*K63</f>
        <v>6056.2245538650604</v>
      </c>
      <c r="M63" s="44" t="s">
        <v>97</v>
      </c>
      <c r="N63" s="45" t="s">
        <v>92</v>
      </c>
      <c r="O63" s="38">
        <v>1</v>
      </c>
      <c r="P63" s="38">
        <v>5957.9722709779571</v>
      </c>
    </row>
    <row r="64" spans="1:16">
      <c r="A64" s="4">
        <f t="shared" si="2"/>
        <v>57</v>
      </c>
      <c r="B64" s="7">
        <v>34181</v>
      </c>
      <c r="C64" s="38"/>
      <c r="D64" s="22">
        <f t="shared" si="11"/>
        <v>1.023824453097022</v>
      </c>
      <c r="E64" s="15"/>
      <c r="F64" s="38"/>
      <c r="G64" s="38"/>
      <c r="J64" s="38"/>
      <c r="K64" s="38">
        <f>K63</f>
        <v>5957.9722709779571</v>
      </c>
      <c r="L64" s="29">
        <f t="shared" si="12"/>
        <v>6099.9177019012286</v>
      </c>
      <c r="M64" s="44" t="s">
        <v>97</v>
      </c>
      <c r="N64" s="45" t="s">
        <v>93</v>
      </c>
      <c r="O64" s="38">
        <v>1</v>
      </c>
      <c r="P64" s="38">
        <v>5957.9722709779571</v>
      </c>
    </row>
    <row r="65" spans="1:12">
      <c r="A65" s="4">
        <f t="shared" si="2"/>
        <v>58</v>
      </c>
      <c r="B65" s="7">
        <v>34212</v>
      </c>
      <c r="C65" s="38"/>
      <c r="D65" s="22">
        <f t="shared" si="11"/>
        <v>1.0170476123708239</v>
      </c>
      <c r="E65" s="15"/>
      <c r="F65" s="38"/>
      <c r="G65" s="38"/>
      <c r="J65" s="38"/>
      <c r="K65" s="38">
        <f t="shared" si="13"/>
        <v>5957.9722709779571</v>
      </c>
      <c r="L65" s="29">
        <f t="shared" si="12"/>
        <v>6059.5414727697062</v>
      </c>
    </row>
    <row r="66" spans="1:12">
      <c r="A66" s="4">
        <f t="shared" si="2"/>
        <v>59</v>
      </c>
      <c r="B66" s="7">
        <v>34242</v>
      </c>
      <c r="C66" s="38"/>
      <c r="D66" s="22">
        <f t="shared" si="11"/>
        <v>1.0110822484595425</v>
      </c>
      <c r="E66" s="15"/>
      <c r="F66" s="38"/>
      <c r="G66" s="38"/>
      <c r="H66" s="38"/>
      <c r="I66" s="38"/>
      <c r="J66" s="38"/>
      <c r="K66" s="38">
        <f t="shared" si="13"/>
        <v>5957.9722709779571</v>
      </c>
      <c r="L66" s="29">
        <f t="shared" si="12"/>
        <v>6024</v>
      </c>
    </row>
    <row r="67" spans="1:12">
      <c r="C67" s="38"/>
      <c r="D67" s="38"/>
      <c r="E67" s="38"/>
      <c r="F67" s="38"/>
      <c r="G67" s="38"/>
      <c r="H67" s="38"/>
      <c r="I67" s="38"/>
      <c r="J67" s="38"/>
      <c r="K67" s="38"/>
    </row>
    <row r="68" spans="1:12">
      <c r="C68" s="38"/>
      <c r="D68" s="38"/>
      <c r="E68" s="38"/>
      <c r="F68" s="38"/>
      <c r="G68" s="38"/>
      <c r="H68" s="38"/>
      <c r="I68" s="38"/>
      <c r="J68" s="38"/>
      <c r="K68" s="38"/>
    </row>
    <row r="69" spans="1:12">
      <c r="C69" s="38"/>
      <c r="D69" s="38"/>
      <c r="E69" s="38"/>
      <c r="F69" s="38"/>
      <c r="G69" s="38"/>
      <c r="H69" s="38"/>
      <c r="I69" s="38"/>
      <c r="J69" s="38"/>
      <c r="K69" s="38"/>
    </row>
    <row r="70" spans="1:12">
      <c r="C70" s="38"/>
      <c r="D70" s="38"/>
      <c r="E70" s="38"/>
      <c r="F70" s="38"/>
      <c r="G70" s="38"/>
      <c r="H70" s="38"/>
      <c r="I70" s="38"/>
      <c r="J70" s="38"/>
      <c r="K70" s="38"/>
    </row>
    <row r="71" spans="1:12">
      <c r="C71" s="38"/>
      <c r="D71" s="38"/>
      <c r="E71" s="38"/>
      <c r="F71" s="38"/>
      <c r="G71" s="38"/>
      <c r="H71" s="38"/>
      <c r="I71" s="38"/>
      <c r="J71" s="38"/>
      <c r="K71" s="38"/>
    </row>
    <row r="72" spans="1:12">
      <c r="C72" s="38"/>
      <c r="D72" s="38"/>
      <c r="E72" s="38"/>
      <c r="F72" s="38"/>
      <c r="G72" s="38"/>
      <c r="H72" s="38"/>
      <c r="I72" s="38"/>
      <c r="J72" s="38"/>
      <c r="K72" s="38"/>
    </row>
    <row r="73" spans="1:12">
      <c r="C73" s="38"/>
      <c r="D73" s="38"/>
      <c r="E73" s="38"/>
      <c r="F73" s="38"/>
      <c r="G73" s="38"/>
      <c r="H73" s="38"/>
      <c r="I73" s="38"/>
      <c r="J73" s="38"/>
      <c r="K73" s="38"/>
    </row>
    <row r="74" spans="1:12">
      <c r="C74" s="38"/>
      <c r="D74" s="38"/>
      <c r="E74" s="38"/>
      <c r="F74" s="38"/>
      <c r="G74" s="38"/>
      <c r="H74" s="38"/>
      <c r="I74" s="38"/>
      <c r="J74" s="38"/>
      <c r="K74" s="38"/>
    </row>
    <row r="75" spans="1:12">
      <c r="C75" s="38"/>
      <c r="D75" s="38"/>
      <c r="E75" s="38"/>
      <c r="F75" s="38"/>
      <c r="G75" s="38"/>
      <c r="H75" s="38"/>
      <c r="I75" s="38"/>
      <c r="J75" s="38"/>
      <c r="K75" s="38"/>
    </row>
    <row r="76" spans="1:12">
      <c r="C76" s="38"/>
      <c r="D76" s="38"/>
      <c r="E76" s="38"/>
      <c r="F76" s="38"/>
      <c r="G76" s="38"/>
      <c r="H76" s="38"/>
      <c r="I76" s="38"/>
      <c r="J76" s="38"/>
      <c r="K76" s="38"/>
    </row>
    <row r="77" spans="1:12">
      <c r="C77" s="38"/>
      <c r="D77" s="38"/>
      <c r="E77" s="38"/>
      <c r="F77" s="38"/>
      <c r="G77" s="38"/>
      <c r="H77" s="38"/>
      <c r="I77" s="38"/>
      <c r="J77" s="38"/>
      <c r="K77" s="38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47CC-04BC-4413-A7FF-DAF2593DD2B8}">
  <dimension ref="A1:N65"/>
  <sheetViews>
    <sheetView zoomScaleNormal="100" workbookViewId="0">
      <pane ySplit="6" topLeftCell="A28" activePane="bottomLeft" state="frozen"/>
      <selection pane="bottomLeft" activeCell="M45" sqref="M45"/>
    </sheetView>
  </sheetViews>
  <sheetFormatPr defaultRowHeight="14.45"/>
  <cols>
    <col min="2" max="2" width="10.7109375" bestFit="1" customWidth="1"/>
    <col min="5" max="5" width="9.42578125" bestFit="1" customWidth="1"/>
    <col min="6" max="6" width="9.85546875" bestFit="1" customWidth="1"/>
    <col min="7" max="7" width="10" style="64" customWidth="1"/>
    <col min="8" max="9" width="9.85546875" bestFit="1" customWidth="1"/>
    <col min="13" max="13" width="14.42578125" bestFit="1" customWidth="1"/>
  </cols>
  <sheetData>
    <row r="1" spans="1:13">
      <c r="B1" s="4"/>
    </row>
    <row r="2" spans="1:13" ht="15.6">
      <c r="C2" s="50" t="s">
        <v>98</v>
      </c>
    </row>
    <row r="3" spans="1:13">
      <c r="F3" s="46" t="s">
        <v>95</v>
      </c>
      <c r="G3" s="70" t="s">
        <v>99</v>
      </c>
      <c r="H3" s="46"/>
      <c r="I3" s="46"/>
      <c r="J3" s="47"/>
      <c r="K3" s="46"/>
      <c r="L3" s="46"/>
      <c r="M3" s="48"/>
    </row>
    <row r="4" spans="1:13">
      <c r="F4" s="49">
        <v>1</v>
      </c>
      <c r="G4" s="70">
        <v>0</v>
      </c>
      <c r="H4" s="46"/>
      <c r="I4" s="46"/>
      <c r="J4" s="47"/>
      <c r="K4" s="46"/>
      <c r="L4" s="46"/>
      <c r="M4" s="48"/>
    </row>
    <row r="5" spans="1:13">
      <c r="F5" s="46"/>
      <c r="G5" s="70"/>
      <c r="H5" s="46" t="s">
        <v>100</v>
      </c>
      <c r="I5" s="46" t="s">
        <v>101</v>
      </c>
      <c r="J5" s="47"/>
      <c r="K5" s="46"/>
      <c r="L5" s="46"/>
      <c r="M5" s="48"/>
    </row>
    <row r="6" spans="1:13" ht="44.1">
      <c r="A6" s="3" t="s">
        <v>1</v>
      </c>
      <c r="B6" s="6" t="s">
        <v>2</v>
      </c>
      <c r="C6" s="9" t="s">
        <v>102</v>
      </c>
      <c r="D6" s="14" t="s">
        <v>60</v>
      </c>
      <c r="E6" s="26" t="s">
        <v>61</v>
      </c>
      <c r="F6" s="46" t="s">
        <v>103</v>
      </c>
      <c r="G6" s="46" t="s">
        <v>104</v>
      </c>
      <c r="H6" s="46" t="s">
        <v>105</v>
      </c>
      <c r="I6" s="74" t="s">
        <v>106</v>
      </c>
      <c r="J6" s="47"/>
      <c r="K6" s="46" t="s">
        <v>107</v>
      </c>
      <c r="L6" s="46" t="s">
        <v>88</v>
      </c>
      <c r="M6" s="48" t="s">
        <v>108</v>
      </c>
    </row>
    <row r="7" spans="1:13">
      <c r="A7" s="4">
        <v>1</v>
      </c>
      <c r="B7" s="7">
        <v>32477</v>
      </c>
      <c r="C7" s="37">
        <v>3761</v>
      </c>
      <c r="D7" s="22">
        <f>D19</f>
        <v>0.99895296976377324</v>
      </c>
      <c r="E7" s="27">
        <f>C7/D7</f>
        <v>3764.942008120142</v>
      </c>
      <c r="F7" s="15">
        <f>AVERAGE(E7:E9)</f>
        <v>3799.9107695831117</v>
      </c>
      <c r="G7" s="64">
        <f>(E10-E7)/3</f>
        <v>39.16173230073764</v>
      </c>
    </row>
    <row r="8" spans="1:13">
      <c r="A8" s="4">
        <f>1+A7</f>
        <v>2</v>
      </c>
      <c r="B8" s="7">
        <v>32508</v>
      </c>
      <c r="C8" s="37">
        <v>3770</v>
      </c>
      <c r="D8" s="22">
        <f>D20</f>
        <v>0.99136634823865966</v>
      </c>
      <c r="E8" s="27">
        <f t="shared" ref="E8:E53" si="0">C8/D8</f>
        <v>3802.8323300443694</v>
      </c>
      <c r="F8" s="15">
        <f>$F$4*E8+(1-$F$4)*H8</f>
        <v>3802.8323300443694</v>
      </c>
      <c r="G8" s="64">
        <f>$G$4*(F8-F7)+(1-$G$4)*G7</f>
        <v>39.16173230073764</v>
      </c>
      <c r="H8" s="15">
        <f>F7+G7</f>
        <v>3839.0725018838493</v>
      </c>
    </row>
    <row r="9" spans="1:13">
      <c r="A9" s="4">
        <f t="shared" ref="A9:A65" si="1">1+A8</f>
        <v>3</v>
      </c>
      <c r="B9" s="7">
        <v>32539</v>
      </c>
      <c r="C9" s="37">
        <v>3777</v>
      </c>
      <c r="D9" s="22">
        <v>0.98565799233532947</v>
      </c>
      <c r="E9" s="27">
        <f t="shared" si="0"/>
        <v>3831.9579705848228</v>
      </c>
      <c r="F9" s="15">
        <f t="shared" ref="F9:F53" si="2">$F$4*E9+(1-$F$4)*H9</f>
        <v>3831.9579705848228</v>
      </c>
      <c r="G9" s="64">
        <f>$G$4*(F9-F8)+(1-$G$4)*G8</f>
        <v>39.16173230073764</v>
      </c>
      <c r="H9" s="15">
        <f>F8+G8</f>
        <v>3841.9940623451071</v>
      </c>
      <c r="K9" s="15">
        <f>H9-E9</f>
        <v>10.036091760284307</v>
      </c>
      <c r="L9" s="38">
        <f>ABS(K9)</f>
        <v>10.036091760284307</v>
      </c>
      <c r="M9" s="15">
        <f>K9^2</f>
        <v>100.72313782084657</v>
      </c>
    </row>
    <row r="10" spans="1:13">
      <c r="A10" s="4">
        <f t="shared" si="1"/>
        <v>4</v>
      </c>
      <c r="B10" s="7">
        <v>32567</v>
      </c>
      <c r="C10" s="37">
        <v>3831</v>
      </c>
      <c r="D10" s="22">
        <v>0.9867538520861826</v>
      </c>
      <c r="E10" s="27">
        <f t="shared" si="0"/>
        <v>3882.4272050223549</v>
      </c>
      <c r="F10" s="15">
        <f t="shared" si="2"/>
        <v>3882.4272050223549</v>
      </c>
      <c r="G10" s="64">
        <f t="shared" ref="G10:G26" si="3">$G$4*(F10-F9)+(1-$G$4)*G9</f>
        <v>39.16173230073764</v>
      </c>
      <c r="H10" s="15">
        <f>F9+G9</f>
        <v>3871.1197028855604</v>
      </c>
      <c r="K10" s="15">
        <f t="shared" ref="K10:K53" si="4">H10-E10</f>
        <v>-11.307502136794483</v>
      </c>
      <c r="L10" s="38">
        <f t="shared" ref="L10:L53" si="5">ABS(K10)</f>
        <v>11.307502136794483</v>
      </c>
      <c r="M10" s="15">
        <f t="shared" ref="M10:M53" si="6">K10^2</f>
        <v>127.85960457361179</v>
      </c>
    </row>
    <row r="11" spans="1:13">
      <c r="A11" s="4">
        <f t="shared" si="1"/>
        <v>5</v>
      </c>
      <c r="B11" s="7">
        <v>32598</v>
      </c>
      <c r="C11" s="37">
        <v>3916</v>
      </c>
      <c r="D11" s="22">
        <v>0.99365549523408958</v>
      </c>
      <c r="E11" s="27">
        <f t="shared" si="0"/>
        <v>3941.0037168641152</v>
      </c>
      <c r="F11" s="15">
        <f t="shared" si="2"/>
        <v>3941.0037168641152</v>
      </c>
      <c r="G11" s="64">
        <f>$G$4*(F11-F10)+(1-$G$4)*G10</f>
        <v>39.16173230073764</v>
      </c>
      <c r="H11" s="15">
        <f t="shared" ref="H11:H53" si="7">F10+G10</f>
        <v>3921.5889373230925</v>
      </c>
      <c r="K11" s="15">
        <f t="shared" si="4"/>
        <v>-19.414779541022654</v>
      </c>
      <c r="L11" s="38">
        <f t="shared" si="5"/>
        <v>19.414779541022654</v>
      </c>
      <c r="M11" s="15">
        <f t="shared" si="6"/>
        <v>376.93366462651181</v>
      </c>
    </row>
    <row r="12" spans="1:13">
      <c r="A12" s="4">
        <f t="shared" si="1"/>
        <v>6</v>
      </c>
      <c r="B12" s="7">
        <v>32628</v>
      </c>
      <c r="C12" s="37">
        <v>3956</v>
      </c>
      <c r="D12" s="22">
        <v>0.97830522536246467</v>
      </c>
      <c r="E12" s="27">
        <f t="shared" si="0"/>
        <v>4043.7277625030488</v>
      </c>
      <c r="F12" s="15">
        <f t="shared" si="2"/>
        <v>4043.7277625030488</v>
      </c>
      <c r="G12" s="64">
        <f t="shared" si="3"/>
        <v>39.16173230073764</v>
      </c>
      <c r="H12" s="15">
        <f t="shared" si="7"/>
        <v>3980.1654491648528</v>
      </c>
      <c r="K12" s="15">
        <f t="shared" si="4"/>
        <v>-63.562313338195963</v>
      </c>
      <c r="L12" s="38">
        <f t="shared" si="5"/>
        <v>63.562313338195963</v>
      </c>
      <c r="M12" s="15">
        <f t="shared" si="6"/>
        <v>4040.1676769030046</v>
      </c>
    </row>
    <row r="13" spans="1:13">
      <c r="A13" s="4">
        <f t="shared" si="1"/>
        <v>7</v>
      </c>
      <c r="B13" s="7">
        <v>32659</v>
      </c>
      <c r="C13" s="37">
        <v>3995</v>
      </c>
      <c r="D13" s="22">
        <v>0.98972684471052108</v>
      </c>
      <c r="E13" s="27">
        <f t="shared" si="0"/>
        <v>4036.4672549308007</v>
      </c>
      <c r="F13" s="15">
        <f t="shared" si="2"/>
        <v>4036.4672549308007</v>
      </c>
      <c r="G13" s="64">
        <f t="shared" si="3"/>
        <v>39.16173230073764</v>
      </c>
      <c r="H13" s="15">
        <f t="shared" si="7"/>
        <v>4082.8894948037864</v>
      </c>
      <c r="K13" s="15">
        <f t="shared" si="4"/>
        <v>46.422239872985756</v>
      </c>
      <c r="L13" s="38">
        <f t="shared" si="5"/>
        <v>46.422239872985756</v>
      </c>
      <c r="M13" s="15">
        <f t="shared" si="6"/>
        <v>2155.0243548250287</v>
      </c>
    </row>
    <row r="14" spans="1:13">
      <c r="A14" s="4">
        <f t="shared" si="1"/>
        <v>8</v>
      </c>
      <c r="B14" s="7">
        <v>32689</v>
      </c>
      <c r="C14" s="37">
        <v>3949</v>
      </c>
      <c r="D14" s="22">
        <v>1.0164908929445178</v>
      </c>
      <c r="E14" s="27">
        <f t="shared" si="0"/>
        <v>3884.9339698073859</v>
      </c>
      <c r="F14" s="15">
        <f t="shared" si="2"/>
        <v>3884.9339698073859</v>
      </c>
      <c r="G14" s="64">
        <f t="shared" si="3"/>
        <v>39.16173230073764</v>
      </c>
      <c r="H14" s="15">
        <f t="shared" si="7"/>
        <v>4075.6289872315383</v>
      </c>
      <c r="K14" s="15">
        <f t="shared" si="4"/>
        <v>190.69501742415241</v>
      </c>
      <c r="L14" s="38">
        <f t="shared" si="5"/>
        <v>190.69501742415241</v>
      </c>
      <c r="M14" s="15">
        <f t="shared" si="6"/>
        <v>36364.589670397792</v>
      </c>
    </row>
    <row r="15" spans="1:13">
      <c r="A15" s="4">
        <f t="shared" si="1"/>
        <v>9</v>
      </c>
      <c r="B15" s="7">
        <v>32720</v>
      </c>
      <c r="C15" s="37">
        <v>3986</v>
      </c>
      <c r="D15" s="22">
        <v>1.02382445309702</v>
      </c>
      <c r="E15" s="27">
        <f t="shared" si="0"/>
        <v>3893.2455539057901</v>
      </c>
      <c r="F15" s="15">
        <f t="shared" si="2"/>
        <v>3893.2455539057901</v>
      </c>
      <c r="G15" s="64">
        <f>$G$4*(F15-F14)+(1-$G$4)*G14</f>
        <v>39.16173230073764</v>
      </c>
      <c r="H15" s="15">
        <f t="shared" si="7"/>
        <v>3924.0957021081235</v>
      </c>
      <c r="K15" s="15">
        <f t="shared" si="4"/>
        <v>30.850148202333457</v>
      </c>
      <c r="L15" s="38">
        <f t="shared" si="5"/>
        <v>30.850148202333457</v>
      </c>
      <c r="M15" s="15">
        <f t="shared" si="6"/>
        <v>951.73164410593824</v>
      </c>
    </row>
    <row r="16" spans="1:13">
      <c r="A16" s="4">
        <f t="shared" si="1"/>
        <v>10</v>
      </c>
      <c r="B16" s="7">
        <v>32751</v>
      </c>
      <c r="C16" s="37">
        <v>4026</v>
      </c>
      <c r="D16" s="22">
        <v>1.0170476123708239</v>
      </c>
      <c r="E16" s="27">
        <f t="shared" si="0"/>
        <v>3958.5167410354115</v>
      </c>
      <c r="F16" s="15">
        <f t="shared" si="2"/>
        <v>3958.5167410354115</v>
      </c>
      <c r="G16" s="64">
        <f>$G$4*(F16-F15)+(1-$G$4)*G15</f>
        <v>39.16173230073764</v>
      </c>
      <c r="H16" s="15">
        <f t="shared" si="7"/>
        <v>3932.4072862065277</v>
      </c>
      <c r="K16" s="15">
        <f t="shared" si="4"/>
        <v>-26.109454828883827</v>
      </c>
      <c r="L16" s="38">
        <f t="shared" si="5"/>
        <v>26.109454828883827</v>
      </c>
      <c r="M16" s="15">
        <f t="shared" si="6"/>
        <v>681.70363146152499</v>
      </c>
    </row>
    <row r="17" spans="1:13">
      <c r="A17" s="4">
        <f t="shared" si="1"/>
        <v>11</v>
      </c>
      <c r="B17" s="7">
        <v>32781</v>
      </c>
      <c r="C17" s="37">
        <v>4050</v>
      </c>
      <c r="D17" s="22">
        <v>1.0110822484595425</v>
      </c>
      <c r="E17" s="27">
        <f t="shared" si="0"/>
        <v>4005.6088475200413</v>
      </c>
      <c r="F17" s="15">
        <f t="shared" si="2"/>
        <v>4005.6088475200413</v>
      </c>
      <c r="G17" s="64">
        <f t="shared" si="3"/>
        <v>39.16173230073764</v>
      </c>
      <c r="H17" s="15">
        <f t="shared" si="7"/>
        <v>3997.6784733361492</v>
      </c>
      <c r="K17" s="15">
        <f t="shared" si="4"/>
        <v>-7.9303741838921269</v>
      </c>
      <c r="L17" s="38">
        <f t="shared" si="5"/>
        <v>7.9303741838921269</v>
      </c>
      <c r="M17" s="15">
        <f t="shared" si="6"/>
        <v>62.890834696542719</v>
      </c>
    </row>
    <row r="18" spans="1:13">
      <c r="A18" s="4">
        <f t="shared" si="1"/>
        <v>12</v>
      </c>
      <c r="B18" s="7">
        <v>32812</v>
      </c>
      <c r="C18" s="37">
        <v>4095</v>
      </c>
      <c r="D18" s="22">
        <v>1.00713606539707</v>
      </c>
      <c r="E18" s="27">
        <f t="shared" si="0"/>
        <v>4065.9848660920702</v>
      </c>
      <c r="F18" s="15">
        <f t="shared" si="2"/>
        <v>4065.9848660920702</v>
      </c>
      <c r="G18" s="64">
        <f t="shared" si="3"/>
        <v>39.16173230073764</v>
      </c>
      <c r="H18" s="15">
        <f t="shared" si="7"/>
        <v>4044.7705798207789</v>
      </c>
      <c r="K18" s="15">
        <f t="shared" si="4"/>
        <v>-21.214286271291257</v>
      </c>
      <c r="L18" s="38">
        <f t="shared" si="5"/>
        <v>21.214286271291257</v>
      </c>
      <c r="M18" s="15">
        <f t="shared" si="6"/>
        <v>450.04594200029675</v>
      </c>
    </row>
    <row r="19" spans="1:13">
      <c r="A19" s="4">
        <f t="shared" si="1"/>
        <v>13</v>
      </c>
      <c r="B19" s="7">
        <v>32842</v>
      </c>
      <c r="C19" s="37">
        <v>4105</v>
      </c>
      <c r="D19" s="22">
        <v>0.99895296976377324</v>
      </c>
      <c r="E19" s="27">
        <f t="shared" si="0"/>
        <v>4109.3025640343485</v>
      </c>
      <c r="F19" s="15">
        <f t="shared" si="2"/>
        <v>4109.3025640343485</v>
      </c>
      <c r="G19" s="64">
        <f t="shared" si="3"/>
        <v>39.16173230073764</v>
      </c>
      <c r="H19" s="15">
        <f t="shared" si="7"/>
        <v>4105.1465983928083</v>
      </c>
      <c r="K19" s="15">
        <f t="shared" si="4"/>
        <v>-4.155965641540206</v>
      </c>
      <c r="L19" s="38">
        <f t="shared" si="5"/>
        <v>4.155965641540206</v>
      </c>
      <c r="M19" s="15">
        <f t="shared" si="6"/>
        <v>17.272050413662697</v>
      </c>
    </row>
    <row r="20" spans="1:13">
      <c r="A20" s="4">
        <f t="shared" si="1"/>
        <v>14</v>
      </c>
      <c r="B20" s="7">
        <v>32873</v>
      </c>
      <c r="C20" s="37">
        <v>4126</v>
      </c>
      <c r="D20" s="22">
        <v>0.99136634823865966</v>
      </c>
      <c r="E20" s="27">
        <f t="shared" si="0"/>
        <v>4161.9326773907342</v>
      </c>
      <c r="F20" s="15">
        <f t="shared" si="2"/>
        <v>4161.9326773907342</v>
      </c>
      <c r="G20" s="64">
        <f t="shared" si="3"/>
        <v>39.16173230073764</v>
      </c>
      <c r="H20" s="15">
        <f t="shared" si="7"/>
        <v>4148.4642963350861</v>
      </c>
      <c r="K20" s="15">
        <f t="shared" si="4"/>
        <v>-13.468381055648024</v>
      </c>
      <c r="L20" s="38">
        <f t="shared" si="5"/>
        <v>13.468381055648024</v>
      </c>
      <c r="M20" s="15">
        <f t="shared" si="6"/>
        <v>181.39728826013857</v>
      </c>
    </row>
    <row r="21" spans="1:13">
      <c r="A21" s="4">
        <f t="shared" si="1"/>
        <v>15</v>
      </c>
      <c r="B21" s="7">
        <v>32904</v>
      </c>
      <c r="C21" s="37">
        <v>4164</v>
      </c>
      <c r="D21" s="22">
        <f>D9</f>
        <v>0.98565799233532947</v>
      </c>
      <c r="E21" s="27">
        <f t="shared" si="0"/>
        <v>4224.5890890958972</v>
      </c>
      <c r="F21" s="15">
        <f t="shared" si="2"/>
        <v>4224.5890890958972</v>
      </c>
      <c r="G21" s="64">
        <f t="shared" si="3"/>
        <v>39.16173230073764</v>
      </c>
      <c r="H21" s="15">
        <f t="shared" si="7"/>
        <v>4201.0944096914718</v>
      </c>
      <c r="K21" s="15">
        <f t="shared" si="4"/>
        <v>-23.494679404425369</v>
      </c>
      <c r="L21" s="38">
        <f t="shared" si="5"/>
        <v>23.494679404425369</v>
      </c>
      <c r="M21" s="15">
        <f t="shared" si="6"/>
        <v>551.99996031672958</v>
      </c>
    </row>
    <row r="22" spans="1:13">
      <c r="A22" s="4">
        <f t="shared" si="1"/>
        <v>16</v>
      </c>
      <c r="B22" s="7">
        <v>32932</v>
      </c>
      <c r="C22" s="37">
        <v>4222</v>
      </c>
      <c r="D22" s="22">
        <f t="shared" ref="D22:D65" si="8">D10</f>
        <v>0.9867538520861826</v>
      </c>
      <c r="E22" s="27">
        <f t="shared" si="0"/>
        <v>4278.6759748380009</v>
      </c>
      <c r="F22" s="15">
        <f t="shared" si="2"/>
        <v>4278.6759748380009</v>
      </c>
      <c r="G22" s="64">
        <f t="shared" si="3"/>
        <v>39.16173230073764</v>
      </c>
      <c r="H22" s="15">
        <f t="shared" si="7"/>
        <v>4263.7508213966348</v>
      </c>
      <c r="K22" s="15">
        <f t="shared" si="4"/>
        <v>-14.925153441366092</v>
      </c>
      <c r="L22" s="38">
        <f t="shared" si="5"/>
        <v>14.925153441366092</v>
      </c>
      <c r="M22" s="15">
        <f t="shared" si="6"/>
        <v>222.76020524832211</v>
      </c>
    </row>
    <row r="23" spans="1:13">
      <c r="A23" s="4">
        <f t="shared" si="1"/>
        <v>17</v>
      </c>
      <c r="B23" s="7">
        <v>32963</v>
      </c>
      <c r="C23" s="37">
        <v>4321</v>
      </c>
      <c r="D23" s="22">
        <f t="shared" si="8"/>
        <v>0.99365549523408958</v>
      </c>
      <c r="E23" s="27">
        <f t="shared" si="0"/>
        <v>4348.5896477451079</v>
      </c>
      <c r="F23" s="15">
        <f t="shared" si="2"/>
        <v>4348.5896477451079</v>
      </c>
      <c r="G23" s="64">
        <f t="shared" si="3"/>
        <v>39.16173230073764</v>
      </c>
      <c r="H23" s="15">
        <f t="shared" si="7"/>
        <v>4317.8377071387386</v>
      </c>
      <c r="K23" s="15">
        <f t="shared" si="4"/>
        <v>-30.751940606369317</v>
      </c>
      <c r="L23" s="38">
        <f t="shared" si="5"/>
        <v>30.751940606369317</v>
      </c>
      <c r="M23" s="15">
        <f t="shared" si="6"/>
        <v>945.68185105766611</v>
      </c>
    </row>
    <row r="24" spans="1:13">
      <c r="A24" s="4">
        <f t="shared" si="1"/>
        <v>18</v>
      </c>
      <c r="B24" s="7">
        <v>32993</v>
      </c>
      <c r="C24" s="37">
        <v>4335</v>
      </c>
      <c r="D24" s="22">
        <f t="shared" si="8"/>
        <v>0.97830522536246467</v>
      </c>
      <c r="E24" s="27">
        <f t="shared" si="0"/>
        <v>4431.1324192241445</v>
      </c>
      <c r="F24" s="15">
        <f t="shared" si="2"/>
        <v>4431.1324192241445</v>
      </c>
      <c r="G24" s="64">
        <f t="shared" si="3"/>
        <v>39.16173230073764</v>
      </c>
      <c r="H24" s="15">
        <f t="shared" si="7"/>
        <v>4387.7513800458455</v>
      </c>
      <c r="K24" s="15">
        <f t="shared" si="4"/>
        <v>-43.381039178299034</v>
      </c>
      <c r="L24" s="38">
        <f t="shared" si="5"/>
        <v>43.381039178299034</v>
      </c>
      <c r="M24" s="15">
        <f t="shared" si="6"/>
        <v>1881.9145601891157</v>
      </c>
    </row>
    <row r="25" spans="1:13">
      <c r="A25" s="4">
        <f t="shared" si="1"/>
        <v>19</v>
      </c>
      <c r="B25" s="7">
        <v>33024</v>
      </c>
      <c r="C25" s="37">
        <v>4454</v>
      </c>
      <c r="D25" s="22">
        <f t="shared" si="8"/>
        <v>0.98972684471052108</v>
      </c>
      <c r="E25" s="27">
        <f t="shared" si="0"/>
        <v>4500.2315778377442</v>
      </c>
      <c r="F25" s="15">
        <f t="shared" si="2"/>
        <v>4500.2315778377442</v>
      </c>
      <c r="G25" s="64">
        <f t="shared" si="3"/>
        <v>39.16173230073764</v>
      </c>
      <c r="H25" s="15">
        <f t="shared" si="7"/>
        <v>4470.2941515248822</v>
      </c>
      <c r="K25" s="15">
        <f t="shared" si="4"/>
        <v>-29.937426312862044</v>
      </c>
      <c r="L25" s="38">
        <f t="shared" si="5"/>
        <v>29.937426312862044</v>
      </c>
      <c r="M25" s="15">
        <f t="shared" si="6"/>
        <v>896.24949423804469</v>
      </c>
    </row>
    <row r="26" spans="1:13">
      <c r="A26" s="4">
        <f t="shared" si="1"/>
        <v>20</v>
      </c>
      <c r="B26" s="7">
        <v>33054</v>
      </c>
      <c r="C26" s="37">
        <v>4536</v>
      </c>
      <c r="D26" s="22">
        <f t="shared" si="8"/>
        <v>1.0164908929445178</v>
      </c>
      <c r="E26" s="27">
        <f t="shared" si="0"/>
        <v>4462.4108602295018</v>
      </c>
      <c r="F26" s="15">
        <f t="shared" si="2"/>
        <v>4462.4108602295018</v>
      </c>
      <c r="G26" s="64">
        <f t="shared" si="3"/>
        <v>39.16173230073764</v>
      </c>
      <c r="H26" s="15">
        <f t="shared" si="7"/>
        <v>4539.3933101384819</v>
      </c>
      <c r="K26" s="15">
        <f t="shared" si="4"/>
        <v>76.982449908980016</v>
      </c>
      <c r="L26" s="38">
        <f t="shared" si="5"/>
        <v>76.982449908980016</v>
      </c>
      <c r="M26" s="15">
        <f t="shared" si="6"/>
        <v>5926.2975939886173</v>
      </c>
    </row>
    <row r="27" spans="1:13">
      <c r="A27" s="4">
        <f t="shared" si="1"/>
        <v>21</v>
      </c>
      <c r="B27" s="7">
        <v>33085</v>
      </c>
      <c r="C27" s="37">
        <v>4597</v>
      </c>
      <c r="D27" s="22">
        <f t="shared" si="8"/>
        <v>1.02382445309702</v>
      </c>
      <c r="E27" s="27">
        <f t="shared" si="0"/>
        <v>4490.0275492485989</v>
      </c>
      <c r="F27" s="15">
        <f t="shared" si="2"/>
        <v>4490.0275492485989</v>
      </c>
      <c r="G27" s="64">
        <f t="shared" ref="G27:G53" si="9">$G$4*(F27-F26)+(1-$G$4)*G26</f>
        <v>39.16173230073764</v>
      </c>
      <c r="H27" s="15">
        <f t="shared" si="7"/>
        <v>4501.5725925302395</v>
      </c>
      <c r="K27" s="15">
        <f t="shared" si="4"/>
        <v>11.545043281640574</v>
      </c>
      <c r="L27" s="38">
        <f t="shared" si="5"/>
        <v>11.545043281640574</v>
      </c>
      <c r="M27" s="15">
        <f t="shared" si="6"/>
        <v>133.28802437495415</v>
      </c>
    </row>
    <row r="28" spans="1:13">
      <c r="A28" s="4">
        <f t="shared" si="1"/>
        <v>22</v>
      </c>
      <c r="B28" s="7">
        <v>33116</v>
      </c>
      <c r="C28" s="37">
        <v>4643</v>
      </c>
      <c r="D28" s="22">
        <f t="shared" si="8"/>
        <v>1.0170476123708239</v>
      </c>
      <c r="E28" s="27">
        <f t="shared" si="0"/>
        <v>4565.174671790217</v>
      </c>
      <c r="F28" s="15">
        <f t="shared" si="2"/>
        <v>4565.174671790217</v>
      </c>
      <c r="G28" s="64">
        <f t="shared" si="9"/>
        <v>39.16173230073764</v>
      </c>
      <c r="H28" s="15">
        <f t="shared" si="7"/>
        <v>4529.1892815493366</v>
      </c>
      <c r="K28" s="15">
        <f t="shared" si="4"/>
        <v>-35.985390240880406</v>
      </c>
      <c r="L28" s="38">
        <f t="shared" si="5"/>
        <v>35.985390240880406</v>
      </c>
      <c r="M28" s="15">
        <f t="shared" si="6"/>
        <v>1294.9483107884507</v>
      </c>
    </row>
    <row r="29" spans="1:13">
      <c r="A29" s="4">
        <f t="shared" si="1"/>
        <v>23</v>
      </c>
      <c r="B29" s="7">
        <v>33146</v>
      </c>
      <c r="C29" s="37">
        <v>4701</v>
      </c>
      <c r="D29" s="22">
        <f t="shared" si="8"/>
        <v>1.0110822484595425</v>
      </c>
      <c r="E29" s="27">
        <f t="shared" si="0"/>
        <v>4649.4733807880775</v>
      </c>
      <c r="F29" s="15">
        <f>$F$4*E29+(1-$F$4)*H29</f>
        <v>4649.4733807880775</v>
      </c>
      <c r="G29" s="64">
        <f>$G$4*(F29-F28)+(1-$G$4)*G28</f>
        <v>39.16173230073764</v>
      </c>
      <c r="H29" s="15">
        <f t="shared" si="7"/>
        <v>4604.3364040909546</v>
      </c>
      <c r="K29" s="15">
        <f t="shared" si="4"/>
        <v>-45.136976697122918</v>
      </c>
      <c r="L29" s="38">
        <f t="shared" si="5"/>
        <v>45.136976697122918</v>
      </c>
      <c r="M29" s="15">
        <f t="shared" si="6"/>
        <v>2037.3466653566175</v>
      </c>
    </row>
    <row r="30" spans="1:13">
      <c r="A30" s="4">
        <f t="shared" si="1"/>
        <v>24</v>
      </c>
      <c r="B30" s="7">
        <v>33177</v>
      </c>
      <c r="C30" s="37">
        <v>4766</v>
      </c>
      <c r="D30" s="22">
        <f t="shared" si="8"/>
        <v>1.00713606539707</v>
      </c>
      <c r="E30" s="27">
        <f t="shared" si="0"/>
        <v>4732.2304937227855</v>
      </c>
      <c r="F30" s="15">
        <f t="shared" si="2"/>
        <v>4732.2304937227855</v>
      </c>
      <c r="G30" s="64">
        <f t="shared" si="9"/>
        <v>39.16173230073764</v>
      </c>
      <c r="H30" s="15">
        <f t="shared" si="7"/>
        <v>4688.6351130888152</v>
      </c>
      <c r="K30" s="15">
        <f t="shared" si="4"/>
        <v>-43.595380633970308</v>
      </c>
      <c r="L30" s="38">
        <f t="shared" si="5"/>
        <v>43.595380633970308</v>
      </c>
      <c r="M30" s="15">
        <f t="shared" si="6"/>
        <v>1900.5572126207533</v>
      </c>
    </row>
    <row r="31" spans="1:13">
      <c r="A31" s="4">
        <f t="shared" si="1"/>
        <v>25</v>
      </c>
      <c r="B31" s="7">
        <v>33207</v>
      </c>
      <c r="C31" s="37">
        <v>4781</v>
      </c>
      <c r="D31" s="22">
        <f t="shared" si="8"/>
        <v>0.99895296976377324</v>
      </c>
      <c r="E31" s="27">
        <f t="shared" si="0"/>
        <v>4786.0110983308696</v>
      </c>
      <c r="F31" s="15">
        <f t="shared" si="2"/>
        <v>4786.0110983308696</v>
      </c>
      <c r="G31" s="64">
        <f t="shared" si="9"/>
        <v>39.16173230073764</v>
      </c>
      <c r="H31" s="15">
        <f t="shared" si="7"/>
        <v>4771.3922260235231</v>
      </c>
      <c r="K31" s="15">
        <f t="shared" si="4"/>
        <v>-14.618872307346464</v>
      </c>
      <c r="L31" s="38">
        <f t="shared" si="5"/>
        <v>14.618872307346464</v>
      </c>
      <c r="M31" s="15">
        <f t="shared" si="6"/>
        <v>213.71142753850134</v>
      </c>
    </row>
    <row r="32" spans="1:13">
      <c r="A32" s="4">
        <f t="shared" si="1"/>
        <v>26</v>
      </c>
      <c r="B32" s="7">
        <v>33238</v>
      </c>
      <c r="C32" s="37">
        <v>4808</v>
      </c>
      <c r="D32" s="22">
        <f t="shared" si="8"/>
        <v>0.99136634823865966</v>
      </c>
      <c r="E32" s="27">
        <f t="shared" si="0"/>
        <v>4849.8721068576469</v>
      </c>
      <c r="F32" s="15">
        <f t="shared" si="2"/>
        <v>4849.8721068576469</v>
      </c>
      <c r="G32" s="64">
        <f t="shared" si="9"/>
        <v>39.16173230073764</v>
      </c>
      <c r="H32" s="15">
        <f t="shared" si="7"/>
        <v>4825.1728306316072</v>
      </c>
      <c r="K32" s="15">
        <f t="shared" si="4"/>
        <v>-24.699276226039728</v>
      </c>
      <c r="L32" s="38">
        <f t="shared" si="5"/>
        <v>24.699276226039728</v>
      </c>
      <c r="M32" s="15">
        <f t="shared" si="6"/>
        <v>610.05424609021134</v>
      </c>
    </row>
    <row r="33" spans="1:13">
      <c r="A33" s="4">
        <f t="shared" si="1"/>
        <v>27</v>
      </c>
      <c r="B33" s="7">
        <v>33269</v>
      </c>
      <c r="C33" s="37">
        <v>4836</v>
      </c>
      <c r="D33" s="22">
        <f t="shared" si="8"/>
        <v>0.98565799233532947</v>
      </c>
      <c r="E33" s="27">
        <f t="shared" si="0"/>
        <v>4906.3671553476843</v>
      </c>
      <c r="F33" s="15">
        <f t="shared" si="2"/>
        <v>4906.3671553476843</v>
      </c>
      <c r="G33" s="64">
        <f t="shared" si="9"/>
        <v>39.16173230073764</v>
      </c>
      <c r="H33" s="15">
        <f t="shared" si="7"/>
        <v>4889.0338391583846</v>
      </c>
      <c r="K33" s="15">
        <f t="shared" si="4"/>
        <v>-17.333316189299694</v>
      </c>
      <c r="L33" s="38">
        <f t="shared" si="5"/>
        <v>17.333316189299694</v>
      </c>
      <c r="M33" s="15">
        <f t="shared" si="6"/>
        <v>300.44385011823886</v>
      </c>
    </row>
    <row r="34" spans="1:13">
      <c r="A34" s="4">
        <f t="shared" si="1"/>
        <v>28</v>
      </c>
      <c r="B34" s="7">
        <v>33297</v>
      </c>
      <c r="C34" s="37">
        <v>4937</v>
      </c>
      <c r="D34" s="22">
        <f t="shared" si="8"/>
        <v>0.9867538520861826</v>
      </c>
      <c r="E34" s="27">
        <f t="shared" si="0"/>
        <v>5003.27410889986</v>
      </c>
      <c r="F34" s="15">
        <f t="shared" si="2"/>
        <v>5003.27410889986</v>
      </c>
      <c r="G34" s="64">
        <f t="shared" si="9"/>
        <v>39.16173230073764</v>
      </c>
      <c r="H34" s="15">
        <f t="shared" si="7"/>
        <v>4945.5288876484219</v>
      </c>
      <c r="K34" s="15">
        <f t="shared" si="4"/>
        <v>-57.745221251438124</v>
      </c>
      <c r="L34" s="38">
        <f t="shared" si="5"/>
        <v>57.745221251438124</v>
      </c>
      <c r="M34" s="15">
        <f t="shared" si="6"/>
        <v>3334.5105773775413</v>
      </c>
    </row>
    <row r="35" spans="1:13">
      <c r="A35" s="4">
        <f t="shared" si="1"/>
        <v>29</v>
      </c>
      <c r="B35" s="7">
        <v>33328</v>
      </c>
      <c r="C35" s="37">
        <v>5054</v>
      </c>
      <c r="D35" s="22">
        <f t="shared" si="8"/>
        <v>0.99365549523408958</v>
      </c>
      <c r="E35" s="27">
        <f t="shared" si="0"/>
        <v>5086.2698633889777</v>
      </c>
      <c r="F35" s="15">
        <f t="shared" si="2"/>
        <v>5086.2698633889777</v>
      </c>
      <c r="G35" s="64">
        <f t="shared" si="9"/>
        <v>39.16173230073764</v>
      </c>
      <c r="H35" s="15">
        <f t="shared" si="7"/>
        <v>5042.4358412005977</v>
      </c>
      <c r="K35" s="15">
        <f t="shared" si="4"/>
        <v>-43.834022188380004</v>
      </c>
      <c r="L35" s="38">
        <f t="shared" si="5"/>
        <v>43.834022188380004</v>
      </c>
      <c r="M35" s="15">
        <f t="shared" si="6"/>
        <v>1921.4215012113905</v>
      </c>
    </row>
    <row r="36" spans="1:13">
      <c r="A36" s="4">
        <f t="shared" si="1"/>
        <v>30</v>
      </c>
      <c r="B36" s="7">
        <v>33358</v>
      </c>
      <c r="C36" s="37">
        <v>5103</v>
      </c>
      <c r="D36" s="22">
        <f t="shared" si="8"/>
        <v>0.97830522536246467</v>
      </c>
      <c r="E36" s="27">
        <f t="shared" si="0"/>
        <v>5216.1634914188717</v>
      </c>
      <c r="F36" s="15">
        <f t="shared" si="2"/>
        <v>5216.1634914188717</v>
      </c>
      <c r="G36" s="64">
        <f t="shared" si="9"/>
        <v>39.16173230073764</v>
      </c>
      <c r="H36" s="15">
        <f t="shared" si="7"/>
        <v>5125.4315956897153</v>
      </c>
      <c r="K36" s="15">
        <f t="shared" si="4"/>
        <v>-90.731895729156349</v>
      </c>
      <c r="L36" s="38">
        <f t="shared" si="5"/>
        <v>90.731895729156349</v>
      </c>
      <c r="M36" s="15">
        <f t="shared" si="6"/>
        <v>8232.2769026064998</v>
      </c>
    </row>
    <row r="37" spans="1:13">
      <c r="A37" s="4">
        <f t="shared" si="1"/>
        <v>31</v>
      </c>
      <c r="B37" s="7">
        <v>33389</v>
      </c>
      <c r="C37" s="37">
        <v>5105</v>
      </c>
      <c r="D37" s="22">
        <f t="shared" si="8"/>
        <v>0.98972684471052108</v>
      </c>
      <c r="E37" s="27">
        <f t="shared" si="0"/>
        <v>5157.9888201305976</v>
      </c>
      <c r="F37" s="15">
        <f t="shared" si="2"/>
        <v>5157.9888201305976</v>
      </c>
      <c r="G37" s="64">
        <f t="shared" si="9"/>
        <v>39.16173230073764</v>
      </c>
      <c r="H37" s="15">
        <f t="shared" si="7"/>
        <v>5255.3252237196093</v>
      </c>
      <c r="K37" s="15">
        <f t="shared" si="4"/>
        <v>97.336403589011752</v>
      </c>
      <c r="L37" s="38">
        <f t="shared" si="5"/>
        <v>97.336403589011752</v>
      </c>
      <c r="M37" s="15">
        <f t="shared" si="6"/>
        <v>9474.3754636429803</v>
      </c>
    </row>
    <row r="38" spans="1:13">
      <c r="A38" s="4">
        <f t="shared" si="1"/>
        <v>32</v>
      </c>
      <c r="B38" s="12">
        <v>33419</v>
      </c>
      <c r="C38" s="37">
        <v>5704</v>
      </c>
      <c r="D38" s="22">
        <f t="shared" si="8"/>
        <v>1.0164908929445178</v>
      </c>
      <c r="E38" s="27">
        <f t="shared" si="0"/>
        <v>5611.4619812057053</v>
      </c>
      <c r="F38" s="15">
        <f t="shared" si="2"/>
        <v>5611.4619812057053</v>
      </c>
      <c r="G38" s="64">
        <f t="shared" si="9"/>
        <v>39.16173230073764</v>
      </c>
      <c r="H38" s="15">
        <f t="shared" si="7"/>
        <v>5197.1505524313352</v>
      </c>
      <c r="K38" s="15">
        <f t="shared" si="4"/>
        <v>-414.31142877437014</v>
      </c>
      <c r="L38" s="38">
        <f t="shared" si="5"/>
        <v>414.31142877437014</v>
      </c>
      <c r="M38" s="15">
        <f t="shared" si="6"/>
        <v>171653.96001305999</v>
      </c>
    </row>
    <row r="39" spans="1:13">
      <c r="A39" s="4">
        <f t="shared" si="1"/>
        <v>33</v>
      </c>
      <c r="B39" s="12">
        <v>33450</v>
      </c>
      <c r="C39" s="37">
        <v>5907</v>
      </c>
      <c r="D39" s="22">
        <f>D27</f>
        <v>1.02382445309702</v>
      </c>
      <c r="E39" s="27">
        <f t="shared" si="0"/>
        <v>5769.5437749426746</v>
      </c>
      <c r="F39" s="15">
        <f t="shared" si="2"/>
        <v>5769.5437749426746</v>
      </c>
      <c r="G39" s="64">
        <f t="shared" si="9"/>
        <v>39.16173230073764</v>
      </c>
      <c r="H39" s="15">
        <f t="shared" si="7"/>
        <v>5650.623713506443</v>
      </c>
      <c r="K39" s="15">
        <f t="shared" si="4"/>
        <v>-118.92006143623166</v>
      </c>
      <c r="L39" s="38">
        <f t="shared" si="5"/>
        <v>118.92006143623166</v>
      </c>
      <c r="M39" s="15">
        <f t="shared" si="6"/>
        <v>14141.981011997113</v>
      </c>
    </row>
    <row r="40" spans="1:13">
      <c r="A40" s="4">
        <f t="shared" si="1"/>
        <v>34</v>
      </c>
      <c r="B40" s="7">
        <v>33481</v>
      </c>
      <c r="C40" s="37">
        <v>5889</v>
      </c>
      <c r="D40" s="22">
        <f t="shared" si="8"/>
        <v>1.0170476123708239</v>
      </c>
      <c r="E40" s="27">
        <f t="shared" si="0"/>
        <v>5790.2893909482209</v>
      </c>
      <c r="F40" s="15">
        <f t="shared" si="2"/>
        <v>5790.2893909482209</v>
      </c>
      <c r="G40" s="64">
        <f t="shared" si="9"/>
        <v>39.16173230073764</v>
      </c>
      <c r="H40" s="15">
        <f t="shared" si="7"/>
        <v>5808.7055072434123</v>
      </c>
      <c r="K40" s="15">
        <f t="shared" si="4"/>
        <v>18.416116295191387</v>
      </c>
      <c r="L40" s="38">
        <f t="shared" si="5"/>
        <v>18.416116295191387</v>
      </c>
      <c r="M40" s="15">
        <f t="shared" si="6"/>
        <v>339.15333939801371</v>
      </c>
    </row>
    <row r="41" spans="1:13">
      <c r="A41" s="4">
        <f t="shared" si="1"/>
        <v>35</v>
      </c>
      <c r="B41" s="7">
        <v>33511</v>
      </c>
      <c r="C41" s="37">
        <v>5887</v>
      </c>
      <c r="D41" s="22">
        <f t="shared" si="8"/>
        <v>1.0110822484595425</v>
      </c>
      <c r="E41" s="27">
        <f t="shared" si="0"/>
        <v>5822.4738976174031</v>
      </c>
      <c r="F41" s="15">
        <f t="shared" si="2"/>
        <v>5822.4738976174031</v>
      </c>
      <c r="G41" s="64">
        <f t="shared" si="9"/>
        <v>39.16173230073764</v>
      </c>
      <c r="H41" s="15">
        <f t="shared" si="7"/>
        <v>5829.4511232489585</v>
      </c>
      <c r="K41" s="15">
        <f t="shared" si="4"/>
        <v>6.9772256315554841</v>
      </c>
      <c r="L41" s="38">
        <f t="shared" si="5"/>
        <v>6.9772256315554841</v>
      </c>
      <c r="M41" s="15">
        <f t="shared" si="6"/>
        <v>48.681677513634824</v>
      </c>
    </row>
    <row r="42" spans="1:13">
      <c r="A42" s="4">
        <f t="shared" si="1"/>
        <v>36</v>
      </c>
      <c r="B42" s="7">
        <v>33542</v>
      </c>
      <c r="C42" s="37">
        <v>5876</v>
      </c>
      <c r="D42" s="22">
        <f t="shared" si="8"/>
        <v>1.00713606539707</v>
      </c>
      <c r="E42" s="27">
        <f t="shared" si="0"/>
        <v>5834.3655856305259</v>
      </c>
      <c r="F42" s="15">
        <f t="shared" si="2"/>
        <v>5834.3655856305259</v>
      </c>
      <c r="G42" s="64">
        <f t="shared" si="9"/>
        <v>39.16173230073764</v>
      </c>
      <c r="H42" s="15">
        <f t="shared" si="7"/>
        <v>5861.6356299181407</v>
      </c>
      <c r="K42" s="15">
        <f t="shared" si="4"/>
        <v>27.270044287614837</v>
      </c>
      <c r="L42" s="38">
        <f t="shared" si="5"/>
        <v>27.270044287614837</v>
      </c>
      <c r="M42" s="15">
        <f t="shared" si="6"/>
        <v>743.65531544847465</v>
      </c>
    </row>
    <row r="43" spans="1:13">
      <c r="A43" s="4">
        <f t="shared" si="1"/>
        <v>37</v>
      </c>
      <c r="B43" s="7">
        <v>33572</v>
      </c>
      <c r="C43" s="37">
        <v>5896</v>
      </c>
      <c r="D43" s="22">
        <f t="shared" si="8"/>
        <v>0.99895296976377324</v>
      </c>
      <c r="E43" s="27">
        <f t="shared" si="0"/>
        <v>5902.1797606690661</v>
      </c>
      <c r="F43" s="15">
        <f t="shared" si="2"/>
        <v>5902.1797606690661</v>
      </c>
      <c r="G43" s="64">
        <f t="shared" si="9"/>
        <v>39.16173230073764</v>
      </c>
      <c r="H43" s="15">
        <f t="shared" si="7"/>
        <v>5873.5273179312635</v>
      </c>
      <c r="K43" s="15">
        <f t="shared" si="4"/>
        <v>-28.65244273780263</v>
      </c>
      <c r="L43" s="38">
        <f t="shared" si="5"/>
        <v>28.65244273780263</v>
      </c>
      <c r="M43" s="15">
        <f t="shared" si="6"/>
        <v>820.96247484305866</v>
      </c>
    </row>
    <row r="44" spans="1:13">
      <c r="A44" s="4">
        <f t="shared" si="1"/>
        <v>38</v>
      </c>
      <c r="B44" s="7">
        <v>33603</v>
      </c>
      <c r="C44" s="37">
        <v>5900</v>
      </c>
      <c r="D44" s="22">
        <f t="shared" si="8"/>
        <v>0.99136634823865966</v>
      </c>
      <c r="E44" s="27">
        <f t="shared" si="0"/>
        <v>5951.3821610773957</v>
      </c>
      <c r="F44" s="15">
        <f t="shared" si="2"/>
        <v>5951.3821610773957</v>
      </c>
      <c r="G44" s="64">
        <f t="shared" si="9"/>
        <v>39.16173230073764</v>
      </c>
      <c r="H44" s="15">
        <f t="shared" si="7"/>
        <v>5941.3414929698038</v>
      </c>
      <c r="K44" s="15">
        <f t="shared" si="4"/>
        <v>-10.040668107591955</v>
      </c>
      <c r="L44" s="38">
        <f t="shared" si="5"/>
        <v>10.040668107591955</v>
      </c>
      <c r="M44" s="15">
        <f t="shared" si="6"/>
        <v>100.81501604681421</v>
      </c>
    </row>
    <row r="45" spans="1:13">
      <c r="A45" s="4">
        <f t="shared" si="1"/>
        <v>39</v>
      </c>
      <c r="B45" s="7">
        <v>33634</v>
      </c>
      <c r="C45" s="37">
        <v>5917</v>
      </c>
      <c r="D45" s="22">
        <f t="shared" si="8"/>
        <v>0.98565799233532947</v>
      </c>
      <c r="E45" s="27">
        <f t="shared" si="0"/>
        <v>6003.0964553747408</v>
      </c>
      <c r="F45" s="15">
        <f t="shared" si="2"/>
        <v>6003.0964553747408</v>
      </c>
      <c r="G45" s="64">
        <f t="shared" si="9"/>
        <v>39.16173230073764</v>
      </c>
      <c r="H45" s="15">
        <f t="shared" si="7"/>
        <v>5990.5438933781334</v>
      </c>
      <c r="K45" s="15">
        <f t="shared" si="4"/>
        <v>-12.552561996607437</v>
      </c>
      <c r="L45" s="38">
        <f t="shared" si="5"/>
        <v>12.552561996607437</v>
      </c>
      <c r="M45" s="15">
        <f t="shared" si="6"/>
        <v>157.5668126786733</v>
      </c>
    </row>
    <row r="46" spans="1:13">
      <c r="A46" s="4">
        <f t="shared" si="1"/>
        <v>40</v>
      </c>
      <c r="B46" s="7">
        <v>33663</v>
      </c>
      <c r="C46" s="37">
        <v>5938</v>
      </c>
      <c r="D46" s="22">
        <f t="shared" si="8"/>
        <v>0.9867538520861826</v>
      </c>
      <c r="E46" s="27">
        <f t="shared" si="0"/>
        <v>6017.7114965864639</v>
      </c>
      <c r="F46" s="15">
        <f t="shared" si="2"/>
        <v>6017.7114965864639</v>
      </c>
      <c r="G46" s="64">
        <f t="shared" si="9"/>
        <v>39.16173230073764</v>
      </c>
      <c r="H46" s="15">
        <f t="shared" si="7"/>
        <v>6042.2581876754784</v>
      </c>
      <c r="K46" s="15">
        <f t="shared" si="4"/>
        <v>24.54669108901453</v>
      </c>
      <c r="L46" s="38">
        <f t="shared" si="5"/>
        <v>24.54669108901453</v>
      </c>
      <c r="M46" s="15">
        <f t="shared" si="6"/>
        <v>602.54004341950531</v>
      </c>
    </row>
    <row r="47" spans="1:13">
      <c r="A47" s="4">
        <f t="shared" si="1"/>
        <v>41</v>
      </c>
      <c r="B47" s="7">
        <v>33694</v>
      </c>
      <c r="C47" s="37">
        <v>5987</v>
      </c>
      <c r="D47" s="22">
        <f t="shared" si="8"/>
        <v>0.99365549523408958</v>
      </c>
      <c r="E47" s="27">
        <f t="shared" si="0"/>
        <v>6025.2270819370424</v>
      </c>
      <c r="F47" s="15">
        <f t="shared" si="2"/>
        <v>6025.2270819370424</v>
      </c>
      <c r="G47" s="64">
        <f t="shared" si="9"/>
        <v>39.16173230073764</v>
      </c>
      <c r="H47" s="15">
        <f t="shared" si="7"/>
        <v>6056.8732288872015</v>
      </c>
      <c r="K47" s="15">
        <f t="shared" si="4"/>
        <v>31.646146950159164</v>
      </c>
      <c r="L47" s="38">
        <f t="shared" si="5"/>
        <v>31.646146950159164</v>
      </c>
      <c r="M47" s="15">
        <f t="shared" si="6"/>
        <v>1001.4786167910681</v>
      </c>
    </row>
    <row r="48" spans="1:13">
      <c r="A48" s="4">
        <f t="shared" si="1"/>
        <v>42</v>
      </c>
      <c r="B48" s="7">
        <v>33724</v>
      </c>
      <c r="C48" s="37">
        <v>5983</v>
      </c>
      <c r="D48" s="22">
        <f>D36</f>
        <v>0.97830522536246467</v>
      </c>
      <c r="E48" s="27">
        <f t="shared" si="0"/>
        <v>6115.6782616419969</v>
      </c>
      <c r="F48" s="15">
        <f t="shared" si="2"/>
        <v>6115.6782616419969</v>
      </c>
      <c r="G48" s="64">
        <f t="shared" si="9"/>
        <v>39.16173230073764</v>
      </c>
      <c r="H48" s="15">
        <f t="shared" si="7"/>
        <v>6064.38881423778</v>
      </c>
      <c r="K48" s="15">
        <f t="shared" si="4"/>
        <v>-51.289447404216844</v>
      </c>
      <c r="L48" s="38">
        <f t="shared" si="5"/>
        <v>51.289447404216844</v>
      </c>
      <c r="M48" s="15">
        <f t="shared" si="6"/>
        <v>2630.607415029926</v>
      </c>
    </row>
    <row r="49" spans="1:14">
      <c r="A49" s="4">
        <f t="shared" si="1"/>
        <v>43</v>
      </c>
      <c r="B49" s="7">
        <v>33755</v>
      </c>
      <c r="C49" s="37">
        <v>5981</v>
      </c>
      <c r="D49" s="22">
        <f t="shared" si="8"/>
        <v>0.98972684471052108</v>
      </c>
      <c r="E49" s="27">
        <f t="shared" si="0"/>
        <v>6043.0815148288157</v>
      </c>
      <c r="F49" s="15">
        <f t="shared" si="2"/>
        <v>6043.0815148288157</v>
      </c>
      <c r="G49" s="64">
        <f>$G$4*(F49-F48)+(1-$G$4)*G48</f>
        <v>39.16173230073764</v>
      </c>
      <c r="H49" s="15">
        <f t="shared" si="7"/>
        <v>6154.8399939427345</v>
      </c>
      <c r="K49" s="15">
        <f>H49-E49</f>
        <v>111.75847911391884</v>
      </c>
      <c r="L49" s="38">
        <f t="shared" si="5"/>
        <v>111.75847911391884</v>
      </c>
      <c r="M49" s="15">
        <f>K49^2</f>
        <v>12489.957653856232</v>
      </c>
    </row>
    <row r="50" spans="1:14">
      <c r="A50" s="4">
        <f t="shared" si="1"/>
        <v>44</v>
      </c>
      <c r="B50" s="7">
        <v>33785</v>
      </c>
      <c r="C50" s="37">
        <v>5975</v>
      </c>
      <c r="D50" s="22">
        <f t="shared" si="8"/>
        <v>1.0164908929445178</v>
      </c>
      <c r="E50" s="27">
        <f t="shared" si="0"/>
        <v>5878.0654519116561</v>
      </c>
      <c r="F50" s="15">
        <f>$F$4*E50+(1-$F$4)*H50</f>
        <v>5878.0654519116561</v>
      </c>
      <c r="G50" s="64">
        <f t="shared" si="9"/>
        <v>39.16173230073764</v>
      </c>
      <c r="H50" s="15">
        <f t="shared" si="7"/>
        <v>6082.2432471295533</v>
      </c>
      <c r="K50" s="15">
        <f t="shared" si="4"/>
        <v>204.17779521789726</v>
      </c>
      <c r="L50" s="38">
        <f t="shared" si="5"/>
        <v>204.17779521789726</v>
      </c>
      <c r="M50" s="15">
        <f t="shared" si="6"/>
        <v>41688.572060041588</v>
      </c>
    </row>
    <row r="51" spans="1:14">
      <c r="A51" s="4">
        <f t="shared" si="1"/>
        <v>45</v>
      </c>
      <c r="B51" s="7">
        <v>33816</v>
      </c>
      <c r="C51" s="37">
        <v>5985</v>
      </c>
      <c r="D51" s="22">
        <f t="shared" si="8"/>
        <v>1.02382445309702</v>
      </c>
      <c r="E51" s="27">
        <f t="shared" si="0"/>
        <v>5845.7287105183523</v>
      </c>
      <c r="F51" s="15">
        <f t="shared" si="2"/>
        <v>5845.7287105183523</v>
      </c>
      <c r="G51" s="64">
        <f t="shared" si="9"/>
        <v>39.16173230073764</v>
      </c>
      <c r="H51" s="15">
        <f t="shared" si="7"/>
        <v>5917.2271842123937</v>
      </c>
      <c r="K51" s="15">
        <f t="shared" si="4"/>
        <v>71.498473694041422</v>
      </c>
      <c r="L51" s="38">
        <f t="shared" si="5"/>
        <v>71.498473694041422</v>
      </c>
      <c r="M51" s="15">
        <f t="shared" si="6"/>
        <v>5112.0317405775331</v>
      </c>
    </row>
    <row r="52" spans="1:14">
      <c r="A52" s="4">
        <f t="shared" si="1"/>
        <v>46</v>
      </c>
      <c r="B52" s="7">
        <v>33847</v>
      </c>
      <c r="C52" s="37">
        <v>6029</v>
      </c>
      <c r="D52" s="22">
        <f t="shared" si="8"/>
        <v>1.0170476123708239</v>
      </c>
      <c r="E52" s="27">
        <f t="shared" si="0"/>
        <v>5927.9427301794576</v>
      </c>
      <c r="F52" s="15">
        <f t="shared" si="2"/>
        <v>5927.9427301794576</v>
      </c>
      <c r="G52" s="64">
        <f>$G$4*(F52-F51)+(1-$G$4)*G51</f>
        <v>39.16173230073764</v>
      </c>
      <c r="H52" s="15">
        <f t="shared" si="7"/>
        <v>5884.8904428190899</v>
      </c>
      <c r="K52" s="15">
        <f t="shared" si="4"/>
        <v>-43.0522873603677</v>
      </c>
      <c r="L52" s="38">
        <f t="shared" si="5"/>
        <v>43.0522873603677</v>
      </c>
      <c r="M52" s="15">
        <f t="shared" si="6"/>
        <v>1853.4994469596763</v>
      </c>
    </row>
    <row r="53" spans="1:14">
      <c r="A53" s="4">
        <f t="shared" si="1"/>
        <v>47</v>
      </c>
      <c r="B53" s="7">
        <v>33877</v>
      </c>
      <c r="C53" s="37">
        <v>6024</v>
      </c>
      <c r="D53" s="22">
        <f t="shared" si="8"/>
        <v>1.0110822484595425</v>
      </c>
      <c r="E53" s="27">
        <f t="shared" si="0"/>
        <v>5957.9722709779571</v>
      </c>
      <c r="F53" s="15">
        <f t="shared" si="2"/>
        <v>5957.9722709779571</v>
      </c>
      <c r="G53" s="64">
        <f t="shared" si="9"/>
        <v>39.16173230073764</v>
      </c>
      <c r="H53" s="15">
        <f t="shared" si="7"/>
        <v>5967.1044624801953</v>
      </c>
      <c r="K53" s="15">
        <f t="shared" si="4"/>
        <v>9.132191502238129</v>
      </c>
      <c r="L53" s="38">
        <f t="shared" si="5"/>
        <v>9.132191502238129</v>
      </c>
      <c r="M53" s="15">
        <f t="shared" si="6"/>
        <v>83.396921633550292</v>
      </c>
    </row>
    <row r="54" spans="1:14">
      <c r="A54" s="4">
        <f t="shared" si="1"/>
        <v>48</v>
      </c>
      <c r="B54" s="7">
        <v>33908</v>
      </c>
      <c r="C54" s="38"/>
      <c r="D54" s="22">
        <f t="shared" si="8"/>
        <v>1.00713606539707</v>
      </c>
      <c r="E54" s="15"/>
      <c r="F54" s="15"/>
      <c r="H54" s="57">
        <f>F53+G53</f>
        <v>5997.1340032786948</v>
      </c>
      <c r="I54" s="56">
        <f>H54*D54</f>
        <v>6039.9299437210839</v>
      </c>
      <c r="K54" s="15"/>
    </row>
    <row r="55" spans="1:14">
      <c r="A55" s="4">
        <f t="shared" si="1"/>
        <v>49</v>
      </c>
      <c r="B55" s="7">
        <v>33938</v>
      </c>
      <c r="C55" s="38"/>
      <c r="D55" s="22">
        <f t="shared" si="8"/>
        <v>0.99895296976377324</v>
      </c>
      <c r="E55" s="15"/>
      <c r="F55" s="15"/>
      <c r="H55" s="57">
        <f>H54+$G$53</f>
        <v>6036.2957355794324</v>
      </c>
      <c r="I55" s="56">
        <f t="shared" ref="I55:I65" si="10">H55*D55</f>
        <v>6029.9755514294739</v>
      </c>
      <c r="K55" s="15" t="s">
        <v>91</v>
      </c>
      <c r="L55" t="s">
        <v>43</v>
      </c>
      <c r="M55" t="s">
        <v>93</v>
      </c>
    </row>
    <row r="56" spans="1:14">
      <c r="A56" s="4">
        <f t="shared" si="1"/>
        <v>50</v>
      </c>
      <c r="B56" s="7">
        <v>33969</v>
      </c>
      <c r="C56" s="38"/>
      <c r="D56" s="22">
        <f t="shared" si="8"/>
        <v>0.99136634823865966</v>
      </c>
      <c r="E56" s="15"/>
      <c r="F56" s="15"/>
      <c r="H56" s="57">
        <f>H55+$G$53</f>
        <v>6075.45746788017</v>
      </c>
      <c r="I56" s="56">
        <f>H56*D56</f>
        <v>6023.0040838116583</v>
      </c>
      <c r="K56" s="15">
        <f>AVERAGE(K9:K53)</f>
        <v>-8.7302663866754102</v>
      </c>
      <c r="L56" s="15">
        <f t="shared" ref="L56" si="11">AVERAGE(L9:L53)</f>
        <v>51.80984673427627</v>
      </c>
      <c r="M56" s="15">
        <f>AVERAGE(M33:M53)</f>
        <v>13177.70894544055</v>
      </c>
      <c r="N56" t="str">
        <f ca="1">_xlfn.FORMULATEXT(M56)</f>
        <v>=AVERAGE(M33:M53)</v>
      </c>
    </row>
    <row r="57" spans="1:14">
      <c r="A57" s="4">
        <f t="shared" si="1"/>
        <v>51</v>
      </c>
      <c r="B57" s="7">
        <v>34000</v>
      </c>
      <c r="C57" s="38"/>
      <c r="D57" s="22">
        <f t="shared" si="8"/>
        <v>0.98565799233532947</v>
      </c>
      <c r="E57" s="15"/>
      <c r="F57" s="15"/>
      <c r="H57" s="57">
        <f>H56+$G$53</f>
        <v>6114.6192001809077</v>
      </c>
      <c r="I57" s="56">
        <f>H57*D57</f>
        <v>6026.9232847453713</v>
      </c>
      <c r="K57" s="15"/>
    </row>
    <row r="58" spans="1:14">
      <c r="A58" s="4">
        <f t="shared" si="1"/>
        <v>52</v>
      </c>
      <c r="B58" s="7">
        <v>34028</v>
      </c>
      <c r="C58" s="38"/>
      <c r="D58" s="22">
        <f t="shared" si="8"/>
        <v>0.9867538520861826</v>
      </c>
      <c r="E58" s="15"/>
      <c r="F58" s="15"/>
      <c r="H58" s="57">
        <f>H57+$G$53</f>
        <v>6153.7809324816453</v>
      </c>
      <c r="I58" s="56">
        <f t="shared" si="10"/>
        <v>6072.2670400207644</v>
      </c>
      <c r="K58" s="44"/>
      <c r="L58" s="45"/>
      <c r="M58" s="45"/>
    </row>
    <row r="59" spans="1:14">
      <c r="A59" s="4">
        <f t="shared" si="1"/>
        <v>53</v>
      </c>
      <c r="B59" s="7">
        <v>34059</v>
      </c>
      <c r="C59" s="38"/>
      <c r="D59" s="22">
        <f t="shared" si="8"/>
        <v>0.99365549523408958</v>
      </c>
      <c r="E59" s="15"/>
      <c r="F59" s="15"/>
      <c r="H59" s="57">
        <f>H58+$G$53</f>
        <v>6192.942664782383</v>
      </c>
      <c r="I59" s="56">
        <f t="shared" si="10"/>
        <v>6153.6515105306607</v>
      </c>
      <c r="L59" s="51"/>
      <c r="M59" s="52"/>
      <c r="N59" s="15"/>
    </row>
    <row r="60" spans="1:14">
      <c r="A60" s="4">
        <f t="shared" si="1"/>
        <v>54</v>
      </c>
      <c r="B60" s="7">
        <v>34089</v>
      </c>
      <c r="C60" s="38"/>
      <c r="D60" s="22">
        <f t="shared" si="8"/>
        <v>0.97830522536246467</v>
      </c>
      <c r="E60" s="15"/>
      <c r="F60" s="15"/>
      <c r="H60" s="57">
        <f t="shared" ref="H60:H65" si="12">H59+$G$53</f>
        <v>6232.1043970831206</v>
      </c>
      <c r="I60" s="56">
        <f t="shared" si="10"/>
        <v>6096.9002966708094</v>
      </c>
    </row>
    <row r="61" spans="1:14">
      <c r="A61" s="4">
        <f t="shared" si="1"/>
        <v>55</v>
      </c>
      <c r="B61" s="7">
        <v>34120</v>
      </c>
      <c r="C61" s="38"/>
      <c r="D61" s="22">
        <f t="shared" si="8"/>
        <v>0.98972684471052108</v>
      </c>
      <c r="E61" s="15"/>
      <c r="F61" s="15"/>
      <c r="H61" s="57">
        <f>H60+$G$53</f>
        <v>6271.2661293838582</v>
      </c>
      <c r="I61" s="56">
        <f>H61*D61</f>
        <v>6206.8404385750482</v>
      </c>
      <c r="K61" t="s">
        <v>94</v>
      </c>
      <c r="L61" s="45" t="s">
        <v>95</v>
      </c>
      <c r="M61" s="45" t="s">
        <v>99</v>
      </c>
      <c r="N61" s="45" t="s">
        <v>96</v>
      </c>
    </row>
    <row r="62" spans="1:14">
      <c r="A62" s="4">
        <f t="shared" si="1"/>
        <v>56</v>
      </c>
      <c r="B62" s="7">
        <v>34150</v>
      </c>
      <c r="C62" s="38"/>
      <c r="D62" s="22">
        <f t="shared" si="8"/>
        <v>1.0164908929445178</v>
      </c>
      <c r="E62" s="15"/>
      <c r="F62" s="15"/>
      <c r="H62" s="57">
        <f t="shared" si="12"/>
        <v>6310.4278616845959</v>
      </c>
      <c r="I62" s="56">
        <f t="shared" si="10"/>
        <v>6414.4924519857386</v>
      </c>
      <c r="J62" s="44" t="s">
        <v>97</v>
      </c>
      <c r="K62" s="45" t="s">
        <v>43</v>
      </c>
      <c r="L62" s="38">
        <v>1</v>
      </c>
      <c r="M62" s="22">
        <v>0.435667075494931</v>
      </c>
      <c r="N62" s="38">
        <v>6146.4211062034501</v>
      </c>
    </row>
    <row r="63" spans="1:14">
      <c r="A63" s="4">
        <f t="shared" si="1"/>
        <v>57</v>
      </c>
      <c r="B63" s="7">
        <v>34181</v>
      </c>
      <c r="C63" s="38"/>
      <c r="D63" s="22">
        <f t="shared" si="8"/>
        <v>1.02382445309702</v>
      </c>
      <c r="E63" s="15"/>
      <c r="F63" s="15"/>
      <c r="H63" s="57">
        <f t="shared" si="12"/>
        <v>6349.5895939853335</v>
      </c>
      <c r="I63" s="56">
        <f t="shared" si="10"/>
        <v>6500.8650934525631</v>
      </c>
      <c r="J63" s="44" t="s">
        <v>97</v>
      </c>
      <c r="K63" s="45" t="s">
        <v>93</v>
      </c>
      <c r="L63" s="38">
        <v>1</v>
      </c>
      <c r="M63" s="22">
        <v>0.35222637928012901</v>
      </c>
      <c r="N63" s="38">
        <v>6078.9524701310102</v>
      </c>
    </row>
    <row r="64" spans="1:14">
      <c r="A64" s="4">
        <f t="shared" si="1"/>
        <v>58</v>
      </c>
      <c r="B64" s="7">
        <v>34212</v>
      </c>
      <c r="C64" s="38"/>
      <c r="D64" s="22">
        <f t="shared" si="8"/>
        <v>1.0170476123708239</v>
      </c>
      <c r="E64" s="15"/>
      <c r="F64" s="15"/>
      <c r="H64" s="57">
        <f t="shared" si="12"/>
        <v>6388.7513262860712</v>
      </c>
      <c r="I64" s="56">
        <f>H64*D64</f>
        <v>6497.6642824301825</v>
      </c>
      <c r="K64" s="15"/>
    </row>
    <row r="65" spans="1:9">
      <c r="A65" s="4">
        <f t="shared" si="1"/>
        <v>59</v>
      </c>
      <c r="B65" s="7">
        <v>34242</v>
      </c>
      <c r="C65" s="38"/>
      <c r="D65" s="22">
        <f t="shared" si="8"/>
        <v>1.0110822484595425</v>
      </c>
      <c r="E65" s="15"/>
      <c r="F65" s="15"/>
      <c r="H65" s="57">
        <f t="shared" si="12"/>
        <v>6427.9130585868088</v>
      </c>
      <c r="I65" s="56">
        <f t="shared" si="10"/>
        <v>6499.148788178406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2441-2B87-49C2-A29D-FDFBCE76C771}">
  <dimension ref="A1:D78"/>
  <sheetViews>
    <sheetView workbookViewId="0">
      <selection activeCell="P13" sqref="P13"/>
    </sheetView>
  </sheetViews>
  <sheetFormatPr defaultRowHeight="14.45"/>
  <cols>
    <col min="2" max="2" width="12.42578125" customWidth="1"/>
    <col min="3" max="3" width="12.140625" bestFit="1" customWidth="1"/>
  </cols>
  <sheetData>
    <row r="1" spans="1:1">
      <c r="A1" t="s">
        <v>109</v>
      </c>
    </row>
    <row r="2" spans="1:1">
      <c r="A2" t="s">
        <v>110</v>
      </c>
    </row>
    <row r="3" spans="1:1">
      <c r="A3" t="s">
        <v>111</v>
      </c>
    </row>
    <row r="4" spans="1:1">
      <c r="A4" t="s">
        <v>112</v>
      </c>
    </row>
    <row r="5" spans="1:1">
      <c r="A5" t="s">
        <v>113</v>
      </c>
    </row>
    <row r="6" spans="1:1">
      <c r="A6" t="s">
        <v>114</v>
      </c>
    </row>
    <row r="7" spans="1:1">
      <c r="A7" t="s">
        <v>115</v>
      </c>
    </row>
    <row r="8" spans="1:1">
      <c r="A8" t="s">
        <v>116</v>
      </c>
    </row>
    <row r="9" spans="1:1">
      <c r="A9" t="s">
        <v>117</v>
      </c>
    </row>
    <row r="10" spans="1:1">
      <c r="A10" t="s">
        <v>118</v>
      </c>
    </row>
    <row r="11" spans="1:1">
      <c r="A11" t="s">
        <v>119</v>
      </c>
    </row>
    <row r="12" spans="1:1">
      <c r="A12" t="s">
        <v>120</v>
      </c>
    </row>
    <row r="13" spans="1:1">
      <c r="A13" t="s">
        <v>121</v>
      </c>
    </row>
    <row r="15" spans="1:1">
      <c r="A15" t="s">
        <v>122</v>
      </c>
    </row>
    <row r="16" spans="1:1">
      <c r="A16" s="45" t="s">
        <v>123</v>
      </c>
    </row>
    <row r="19" spans="1:4" ht="43.5">
      <c r="A19" s="3" t="s">
        <v>1</v>
      </c>
      <c r="B19" s="6" t="s">
        <v>2</v>
      </c>
      <c r="C19" s="9" t="s">
        <v>102</v>
      </c>
      <c r="D19" t="s">
        <v>124</v>
      </c>
    </row>
    <row r="20" spans="1:4">
      <c r="A20" s="4">
        <v>1</v>
      </c>
      <c r="B20" s="7">
        <v>32477</v>
      </c>
      <c r="C20" s="37">
        <v>3761</v>
      </c>
    </row>
    <row r="21" spans="1:4">
      <c r="A21" s="4">
        <f>1+A20</f>
        <v>2</v>
      </c>
      <c r="B21" s="7">
        <v>32508</v>
      </c>
      <c r="C21" s="37">
        <v>3770</v>
      </c>
    </row>
    <row r="22" spans="1:4">
      <c r="A22" s="4">
        <f t="shared" ref="A22:A78" si="0">1+A21</f>
        <v>3</v>
      </c>
      <c r="B22" s="7">
        <v>32539</v>
      </c>
      <c r="C22" s="37">
        <v>3777</v>
      </c>
    </row>
    <row r="23" spans="1:4">
      <c r="A23" s="4">
        <f t="shared" si="0"/>
        <v>4</v>
      </c>
      <c r="B23" s="7">
        <v>32567</v>
      </c>
      <c r="C23" s="37">
        <v>3831</v>
      </c>
    </row>
    <row r="24" spans="1:4">
      <c r="A24" s="4">
        <f t="shared" si="0"/>
        <v>5</v>
      </c>
      <c r="B24" s="7">
        <v>32598</v>
      </c>
      <c r="C24" s="37">
        <v>3916</v>
      </c>
    </row>
    <row r="25" spans="1:4">
      <c r="A25" s="4">
        <f t="shared" si="0"/>
        <v>6</v>
      </c>
      <c r="B25" s="7">
        <v>32628</v>
      </c>
      <c r="C25" s="37">
        <v>3956</v>
      </c>
    </row>
    <row r="26" spans="1:4">
      <c r="A26" s="4">
        <f t="shared" si="0"/>
        <v>7</v>
      </c>
      <c r="B26" s="7">
        <v>32659</v>
      </c>
      <c r="C26" s="37">
        <v>3995</v>
      </c>
    </row>
    <row r="27" spans="1:4">
      <c r="A27" s="4">
        <f t="shared" si="0"/>
        <v>8</v>
      </c>
      <c r="B27" s="7">
        <v>32689</v>
      </c>
      <c r="C27" s="37">
        <v>3949</v>
      </c>
    </row>
    <row r="28" spans="1:4">
      <c r="A28" s="4">
        <f t="shared" si="0"/>
        <v>9</v>
      </c>
      <c r="B28" s="7">
        <v>32720</v>
      </c>
      <c r="C28" s="37">
        <v>3986</v>
      </c>
    </row>
    <row r="29" spans="1:4">
      <c r="A29" s="4">
        <f t="shared" si="0"/>
        <v>10</v>
      </c>
      <c r="B29" s="7">
        <v>32751</v>
      </c>
      <c r="C29" s="37">
        <v>4026</v>
      </c>
    </row>
    <row r="30" spans="1:4">
      <c r="A30" s="4">
        <f t="shared" si="0"/>
        <v>11</v>
      </c>
      <c r="B30" s="7">
        <v>32781</v>
      </c>
      <c r="C30" s="37">
        <v>4050</v>
      </c>
    </row>
    <row r="31" spans="1:4">
      <c r="A31" s="4">
        <f t="shared" si="0"/>
        <v>12</v>
      </c>
      <c r="B31" s="7">
        <v>32812</v>
      </c>
      <c r="C31" s="37">
        <v>4095</v>
      </c>
    </row>
    <row r="32" spans="1:4">
      <c r="A32" s="4">
        <f t="shared" si="0"/>
        <v>13</v>
      </c>
      <c r="B32" s="7">
        <v>32842</v>
      </c>
      <c r="C32" s="37">
        <v>4105</v>
      </c>
    </row>
    <row r="33" spans="1:3">
      <c r="A33" s="4">
        <f t="shared" si="0"/>
        <v>14</v>
      </c>
      <c r="B33" s="7">
        <v>32873</v>
      </c>
      <c r="C33" s="37">
        <v>4126</v>
      </c>
    </row>
    <row r="34" spans="1:3">
      <c r="A34" s="4">
        <f t="shared" si="0"/>
        <v>15</v>
      </c>
      <c r="B34" s="7">
        <v>32904</v>
      </c>
      <c r="C34" s="37">
        <v>4164</v>
      </c>
    </row>
    <row r="35" spans="1:3">
      <c r="A35" s="4">
        <f t="shared" si="0"/>
        <v>16</v>
      </c>
      <c r="B35" s="7">
        <v>32932</v>
      </c>
      <c r="C35" s="37">
        <v>4222</v>
      </c>
    </row>
    <row r="36" spans="1:3">
      <c r="A36" s="4">
        <f t="shared" si="0"/>
        <v>17</v>
      </c>
      <c r="B36" s="7">
        <v>32963</v>
      </c>
      <c r="C36" s="37">
        <v>4321</v>
      </c>
    </row>
    <row r="37" spans="1:3">
      <c r="A37" s="4">
        <f t="shared" si="0"/>
        <v>18</v>
      </c>
      <c r="B37" s="7">
        <v>32993</v>
      </c>
      <c r="C37" s="37">
        <v>4335</v>
      </c>
    </row>
    <row r="38" spans="1:3">
      <c r="A38" s="4">
        <f t="shared" si="0"/>
        <v>19</v>
      </c>
      <c r="B38" s="7">
        <v>33024</v>
      </c>
      <c r="C38" s="37">
        <v>4454</v>
      </c>
    </row>
    <row r="39" spans="1:3">
      <c r="A39" s="4">
        <f t="shared" si="0"/>
        <v>20</v>
      </c>
      <c r="B39" s="7">
        <v>33054</v>
      </c>
      <c r="C39" s="37">
        <v>4536</v>
      </c>
    </row>
    <row r="40" spans="1:3">
      <c r="A40" s="4">
        <f t="shared" si="0"/>
        <v>21</v>
      </c>
      <c r="B40" s="7">
        <v>33085</v>
      </c>
      <c r="C40" s="37">
        <v>4597</v>
      </c>
    </row>
    <row r="41" spans="1:3">
      <c r="A41" s="4">
        <f t="shared" si="0"/>
        <v>22</v>
      </c>
      <c r="B41" s="7">
        <v>33116</v>
      </c>
      <c r="C41" s="37">
        <v>4643</v>
      </c>
    </row>
    <row r="42" spans="1:3">
      <c r="A42" s="4">
        <f t="shared" si="0"/>
        <v>23</v>
      </c>
      <c r="B42" s="7">
        <v>33146</v>
      </c>
      <c r="C42" s="37">
        <v>4701</v>
      </c>
    </row>
    <row r="43" spans="1:3">
      <c r="A43" s="4">
        <f t="shared" si="0"/>
        <v>24</v>
      </c>
      <c r="B43" s="7">
        <v>33177</v>
      </c>
      <c r="C43" s="37">
        <v>4766</v>
      </c>
    </row>
    <row r="44" spans="1:3">
      <c r="A44" s="4">
        <f t="shared" si="0"/>
        <v>25</v>
      </c>
      <c r="B44" s="7">
        <v>33207</v>
      </c>
      <c r="C44" s="37">
        <v>4781</v>
      </c>
    </row>
    <row r="45" spans="1:3">
      <c r="A45" s="4">
        <f t="shared" si="0"/>
        <v>26</v>
      </c>
      <c r="B45" s="7">
        <v>33238</v>
      </c>
      <c r="C45" s="37">
        <v>4808</v>
      </c>
    </row>
    <row r="46" spans="1:3">
      <c r="A46" s="4">
        <f t="shared" si="0"/>
        <v>27</v>
      </c>
      <c r="B46" s="7">
        <v>33269</v>
      </c>
      <c r="C46" s="37">
        <v>4836</v>
      </c>
    </row>
    <row r="47" spans="1:3">
      <c r="A47" s="4">
        <f t="shared" si="0"/>
        <v>28</v>
      </c>
      <c r="B47" s="7">
        <v>33297</v>
      </c>
      <c r="C47" s="37">
        <v>4937</v>
      </c>
    </row>
    <row r="48" spans="1:3">
      <c r="A48" s="4">
        <f t="shared" si="0"/>
        <v>29</v>
      </c>
      <c r="B48" s="7">
        <v>33328</v>
      </c>
      <c r="C48" s="37">
        <v>5054</v>
      </c>
    </row>
    <row r="49" spans="1:3">
      <c r="A49" s="4">
        <f t="shared" si="0"/>
        <v>30</v>
      </c>
      <c r="B49" s="7">
        <v>33358</v>
      </c>
      <c r="C49" s="37">
        <v>5103</v>
      </c>
    </row>
    <row r="50" spans="1:3">
      <c r="A50" s="4">
        <f t="shared" si="0"/>
        <v>31</v>
      </c>
      <c r="B50" s="7">
        <v>33389</v>
      </c>
      <c r="C50" s="37">
        <v>5105</v>
      </c>
    </row>
    <row r="51" spans="1:3">
      <c r="A51" s="4">
        <f t="shared" si="0"/>
        <v>32</v>
      </c>
      <c r="B51" s="7">
        <v>33419</v>
      </c>
      <c r="C51" s="37">
        <v>5704</v>
      </c>
    </row>
    <row r="52" spans="1:3">
      <c r="A52" s="4">
        <f t="shared" si="0"/>
        <v>33</v>
      </c>
      <c r="B52" s="7">
        <v>33450</v>
      </c>
      <c r="C52" s="37">
        <v>5907</v>
      </c>
    </row>
    <row r="53" spans="1:3">
      <c r="A53" s="4">
        <f t="shared" si="0"/>
        <v>34</v>
      </c>
      <c r="B53" s="7">
        <v>33481</v>
      </c>
      <c r="C53" s="37">
        <v>5889</v>
      </c>
    </row>
    <row r="54" spans="1:3">
      <c r="A54" s="4">
        <f t="shared" si="0"/>
        <v>35</v>
      </c>
      <c r="B54" s="7">
        <v>33511</v>
      </c>
      <c r="C54" s="37">
        <v>5887</v>
      </c>
    </row>
    <row r="55" spans="1:3">
      <c r="A55" s="4">
        <f t="shared" si="0"/>
        <v>36</v>
      </c>
      <c r="B55" s="7">
        <v>33542</v>
      </c>
      <c r="C55" s="37">
        <v>5876</v>
      </c>
    </row>
    <row r="56" spans="1:3">
      <c r="A56" s="4">
        <f t="shared" si="0"/>
        <v>37</v>
      </c>
      <c r="B56" s="7">
        <v>33572</v>
      </c>
      <c r="C56" s="37">
        <v>5896</v>
      </c>
    </row>
    <row r="57" spans="1:3">
      <c r="A57" s="4">
        <f t="shared" si="0"/>
        <v>38</v>
      </c>
      <c r="B57" s="7">
        <v>33603</v>
      </c>
      <c r="C57" s="37">
        <v>5900</v>
      </c>
    </row>
    <row r="58" spans="1:3">
      <c r="A58" s="4">
        <f t="shared" si="0"/>
        <v>39</v>
      </c>
      <c r="B58" s="7">
        <v>33634</v>
      </c>
      <c r="C58" s="37">
        <v>5917</v>
      </c>
    </row>
    <row r="59" spans="1:3">
      <c r="A59" s="4">
        <f t="shared" si="0"/>
        <v>40</v>
      </c>
      <c r="B59" s="7">
        <v>33663</v>
      </c>
      <c r="C59" s="37">
        <v>5938</v>
      </c>
    </row>
    <row r="60" spans="1:3">
      <c r="A60" s="4">
        <f t="shared" si="0"/>
        <v>41</v>
      </c>
      <c r="B60" s="7">
        <v>33694</v>
      </c>
      <c r="C60" s="37">
        <v>5987</v>
      </c>
    </row>
    <row r="61" spans="1:3">
      <c r="A61" s="4">
        <f t="shared" si="0"/>
        <v>42</v>
      </c>
      <c r="B61" s="7">
        <v>33724</v>
      </c>
      <c r="C61" s="37">
        <v>5983</v>
      </c>
    </row>
    <row r="62" spans="1:3">
      <c r="A62" s="4">
        <f t="shared" si="0"/>
        <v>43</v>
      </c>
      <c r="B62" s="7">
        <v>33755</v>
      </c>
      <c r="C62" s="37">
        <v>5981</v>
      </c>
    </row>
    <row r="63" spans="1:3">
      <c r="A63" s="4">
        <f t="shared" si="0"/>
        <v>44</v>
      </c>
      <c r="B63" s="7">
        <v>33785</v>
      </c>
      <c r="C63" s="37">
        <v>5975</v>
      </c>
    </row>
    <row r="64" spans="1:3">
      <c r="A64" s="4">
        <f t="shared" si="0"/>
        <v>45</v>
      </c>
      <c r="B64" s="7">
        <v>33816</v>
      </c>
      <c r="C64" s="37">
        <v>5985</v>
      </c>
    </row>
    <row r="65" spans="1:4">
      <c r="A65" s="4">
        <f t="shared" si="0"/>
        <v>46</v>
      </c>
      <c r="B65" s="7">
        <v>33847</v>
      </c>
      <c r="C65" s="37">
        <v>6029</v>
      </c>
    </row>
    <row r="66" spans="1:4">
      <c r="A66" s="4">
        <f t="shared" si="0"/>
        <v>47</v>
      </c>
      <c r="B66" s="7">
        <v>33877</v>
      </c>
      <c r="C66" s="37">
        <v>6024</v>
      </c>
    </row>
    <row r="67" spans="1:4">
      <c r="A67" s="4">
        <f t="shared" si="0"/>
        <v>48</v>
      </c>
      <c r="B67" s="7">
        <v>33908</v>
      </c>
      <c r="C67" s="38"/>
      <c r="D67" s="174">
        <v>6071.5</v>
      </c>
    </row>
    <row r="68" spans="1:4">
      <c r="A68" s="4">
        <f t="shared" si="0"/>
        <v>49</v>
      </c>
      <c r="B68" s="7">
        <v>33938</v>
      </c>
      <c r="C68" s="38"/>
      <c r="D68" s="174">
        <v>6118.5</v>
      </c>
    </row>
    <row r="69" spans="1:4">
      <c r="A69" s="4">
        <f t="shared" si="0"/>
        <v>50</v>
      </c>
      <c r="B69" s="7">
        <v>33969</v>
      </c>
      <c r="C69" s="38"/>
      <c r="D69" s="174">
        <v>6165.5</v>
      </c>
    </row>
    <row r="70" spans="1:4">
      <c r="A70" s="4">
        <f t="shared" si="0"/>
        <v>51</v>
      </c>
      <c r="B70" s="7">
        <v>34000</v>
      </c>
      <c r="C70" s="38"/>
      <c r="D70" s="174">
        <v>6212.5</v>
      </c>
    </row>
    <row r="71" spans="1:4">
      <c r="A71" s="4">
        <f t="shared" si="0"/>
        <v>52</v>
      </c>
      <c r="B71" s="7">
        <v>34028</v>
      </c>
      <c r="C71" s="38"/>
      <c r="D71" s="174">
        <v>6259.47</v>
      </c>
    </row>
    <row r="72" spans="1:4">
      <c r="A72" s="4">
        <f t="shared" si="0"/>
        <v>53</v>
      </c>
      <c r="B72" s="7">
        <v>34059</v>
      </c>
      <c r="C72" s="38"/>
      <c r="D72" s="174">
        <v>6306.46</v>
      </c>
    </row>
    <row r="73" spans="1:4">
      <c r="A73" s="4">
        <f t="shared" si="0"/>
        <v>54</v>
      </c>
      <c r="B73" s="7">
        <v>34089</v>
      </c>
      <c r="C73" s="38"/>
      <c r="D73" s="174">
        <v>6353.4</v>
      </c>
    </row>
    <row r="74" spans="1:4">
      <c r="A74" s="4">
        <f t="shared" si="0"/>
        <v>55</v>
      </c>
      <c r="B74" s="7">
        <v>34120</v>
      </c>
      <c r="C74" s="38"/>
      <c r="D74" s="174">
        <v>6400.4</v>
      </c>
    </row>
    <row r="75" spans="1:4">
      <c r="A75" s="4">
        <f t="shared" si="0"/>
        <v>56</v>
      </c>
      <c r="B75" s="7">
        <v>34150</v>
      </c>
      <c r="C75" s="38"/>
      <c r="D75" s="174">
        <v>6447.4</v>
      </c>
    </row>
    <row r="76" spans="1:4">
      <c r="A76" s="4">
        <f t="shared" si="0"/>
        <v>57</v>
      </c>
      <c r="B76" s="7">
        <v>34181</v>
      </c>
      <c r="C76" s="38"/>
      <c r="D76" s="174">
        <v>6494.4</v>
      </c>
    </row>
    <row r="77" spans="1:4">
      <c r="A77" s="4">
        <f t="shared" si="0"/>
        <v>58</v>
      </c>
      <c r="B77" s="7">
        <v>34212</v>
      </c>
      <c r="C77" s="38"/>
      <c r="D77" s="174">
        <v>6541.38</v>
      </c>
    </row>
    <row r="78" spans="1:4">
      <c r="A78" s="4">
        <f t="shared" si="0"/>
        <v>59</v>
      </c>
      <c r="B78" s="7">
        <v>34242</v>
      </c>
      <c r="C78" s="38"/>
      <c r="D78" s="174">
        <v>6588.37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10A9-4775-468C-A643-A45C2693DF46}">
  <dimension ref="A1:S68"/>
  <sheetViews>
    <sheetView workbookViewId="0">
      <pane ySplit="9" topLeftCell="A10" activePane="bottomLeft" state="frozen"/>
      <selection pane="bottomLeft" activeCell="G11" sqref="G11"/>
    </sheetView>
  </sheetViews>
  <sheetFormatPr defaultRowHeight="14.45"/>
  <cols>
    <col min="1" max="1" width="2.85546875" bestFit="1" customWidth="1"/>
    <col min="2" max="2" width="10.42578125" bestFit="1" customWidth="1"/>
    <col min="3" max="3" width="8.28515625" bestFit="1" customWidth="1"/>
    <col min="4" max="4" width="8.42578125" bestFit="1" customWidth="1"/>
    <col min="5" max="5" width="8.85546875" bestFit="1" customWidth="1"/>
    <col min="6" max="6" width="8.85546875" customWidth="1"/>
    <col min="7" max="7" width="8" customWidth="1"/>
    <col min="8" max="8" width="8.85546875" bestFit="1" customWidth="1"/>
    <col min="9" max="9" width="12.5703125" style="63" bestFit="1" customWidth="1"/>
    <col min="10" max="10" width="8.85546875" bestFit="1" customWidth="1"/>
    <col min="14" max="14" width="8.28515625" customWidth="1"/>
    <col min="19" max="19" width="13.42578125" bestFit="1" customWidth="1"/>
  </cols>
  <sheetData>
    <row r="1" spans="1:19" ht="18">
      <c r="D1" s="73" t="s">
        <v>125</v>
      </c>
      <c r="K1" s="54"/>
      <c r="L1" s="71"/>
      <c r="M1" s="71"/>
      <c r="N1" s="72" t="s">
        <v>126</v>
      </c>
      <c r="O1" s="71"/>
      <c r="P1" s="71"/>
      <c r="S1" s="55" t="s">
        <v>127</v>
      </c>
    </row>
    <row r="4" spans="1:19">
      <c r="E4" s="46" t="s">
        <v>95</v>
      </c>
      <c r="F4" s="70">
        <v>1</v>
      </c>
    </row>
    <row r="5" spans="1:19">
      <c r="B5" s="4"/>
      <c r="E5" s="46" t="s">
        <v>99</v>
      </c>
      <c r="F5" s="70">
        <v>0.41734232958285739</v>
      </c>
    </row>
    <row r="6" spans="1:19" ht="20.100000000000001">
      <c r="E6" s="53" t="s">
        <v>128</v>
      </c>
      <c r="F6" s="70">
        <v>0.99</v>
      </c>
    </row>
    <row r="7" spans="1:19">
      <c r="J7" s="46"/>
    </row>
    <row r="8" spans="1:19">
      <c r="H8" s="46" t="s">
        <v>100</v>
      </c>
      <c r="I8" s="69"/>
      <c r="J8" s="46" t="s">
        <v>101</v>
      </c>
    </row>
    <row r="9" spans="1:19" ht="44.1">
      <c r="A9" s="3" t="s">
        <v>1</v>
      </c>
      <c r="B9" s="6" t="s">
        <v>2</v>
      </c>
      <c r="C9" s="9" t="s">
        <v>102</v>
      </c>
      <c r="D9" s="14" t="s">
        <v>60</v>
      </c>
      <c r="E9" s="26" t="s">
        <v>61</v>
      </c>
      <c r="F9" s="46" t="s">
        <v>103</v>
      </c>
      <c r="G9" s="46" t="s">
        <v>104</v>
      </c>
      <c r="H9" s="46" t="s">
        <v>105</v>
      </c>
      <c r="I9" s="69" t="s">
        <v>129</v>
      </c>
      <c r="J9" s="74" t="s">
        <v>130</v>
      </c>
    </row>
    <row r="10" spans="1:19">
      <c r="A10" s="4">
        <v>1</v>
      </c>
      <c r="B10" s="7">
        <v>32477</v>
      </c>
      <c r="C10" s="37">
        <v>3761</v>
      </c>
      <c r="D10" s="22">
        <f>D22</f>
        <v>0.99895296976377324</v>
      </c>
      <c r="E10" s="27">
        <f>C10/D10</f>
        <v>3764.942008120142</v>
      </c>
      <c r="F10" s="15">
        <f>AVERAGE(E10:E12)</f>
        <v>3799.9107695831117</v>
      </c>
      <c r="G10" s="15">
        <f>(E13-E10)/3</f>
        <v>39.16173230073764</v>
      </c>
    </row>
    <row r="11" spans="1:19">
      <c r="A11" s="4">
        <f>1+A10</f>
        <v>2</v>
      </c>
      <c r="B11" s="7">
        <v>32508</v>
      </c>
      <c r="C11" s="37">
        <v>3770</v>
      </c>
      <c r="D11" s="22">
        <f>D23</f>
        <v>0.99136634823865966</v>
      </c>
      <c r="E11" s="27">
        <f t="shared" ref="E11:E56" si="0">C11/D11</f>
        <v>3802.8323300443694</v>
      </c>
      <c r="F11" s="15">
        <f>$F$4*E11+(1-$F$4)*H11</f>
        <v>3802.8323300443694</v>
      </c>
      <c r="G11" s="15">
        <f>$F$5*(F11-F10)+(1-$F$5)*G10*$F$6</f>
        <v>23.808995723647556</v>
      </c>
      <c r="H11" s="15">
        <f>F10+G10</f>
        <v>3839.0725018838493</v>
      </c>
      <c r="I11" s="63">
        <f>(E11-H11)^2</f>
        <v>1313.350054955032</v>
      </c>
    </row>
    <row r="12" spans="1:19">
      <c r="A12" s="4">
        <f t="shared" ref="A12:A68" si="1">1+A11</f>
        <v>3</v>
      </c>
      <c r="B12" s="7">
        <v>32539</v>
      </c>
      <c r="C12" s="37">
        <v>3777</v>
      </c>
      <c r="D12" s="22">
        <v>0.98565799233532947</v>
      </c>
      <c r="E12" s="27">
        <f t="shared" si="0"/>
        <v>3831.9579705848228</v>
      </c>
      <c r="F12" s="15">
        <f>$F$4*E12+(1-$F$4)*H12</f>
        <v>3831.9579705848228</v>
      </c>
      <c r="G12" s="15">
        <f t="shared" ref="G12:G56" si="2">$F$5*(F12-F11)+(1-$F$5)*G11*$F$6</f>
        <v>25.889131717224782</v>
      </c>
      <c r="H12" s="15">
        <f t="shared" ref="H12:H56" si="3">F11+G11</f>
        <v>3826.6413257680169</v>
      </c>
      <c r="I12" s="63">
        <f t="shared" ref="I12:I56" si="4">(E12-H12)^2</f>
        <v>28.266712108068187</v>
      </c>
    </row>
    <row r="13" spans="1:19">
      <c r="A13" s="4">
        <f t="shared" si="1"/>
        <v>4</v>
      </c>
      <c r="B13" s="7">
        <v>32567</v>
      </c>
      <c r="C13" s="37">
        <v>3831</v>
      </c>
      <c r="D13" s="22">
        <v>0.9867538520861826</v>
      </c>
      <c r="E13" s="27">
        <f t="shared" si="0"/>
        <v>3882.4272050223549</v>
      </c>
      <c r="F13" s="15">
        <f t="shared" ref="F13:F56" si="5">$F$4*E13+(1-$F$4)*H13</f>
        <v>3882.4272050223549</v>
      </c>
      <c r="G13" s="15">
        <f t="shared" si="2"/>
        <v>35.996604036148973</v>
      </c>
      <c r="H13" s="15">
        <f t="shared" si="3"/>
        <v>3857.8471023020475</v>
      </c>
      <c r="I13" s="63">
        <f t="shared" si="4"/>
        <v>604.18144974086431</v>
      </c>
    </row>
    <row r="14" spans="1:19">
      <c r="A14" s="4">
        <f t="shared" si="1"/>
        <v>5</v>
      </c>
      <c r="B14" s="7">
        <v>32598</v>
      </c>
      <c r="C14" s="37">
        <v>3916</v>
      </c>
      <c r="D14" s="22">
        <v>0.99365549523408958</v>
      </c>
      <c r="E14" s="27">
        <f t="shared" si="0"/>
        <v>3941.0037168641152</v>
      </c>
      <c r="F14" s="15">
        <f t="shared" si="5"/>
        <v>3941.0037168641152</v>
      </c>
      <c r="G14" s="15">
        <f t="shared" si="2"/>
        <v>45.21041838700264</v>
      </c>
      <c r="H14" s="15">
        <f t="shared" si="3"/>
        <v>3918.423809058504</v>
      </c>
      <c r="I14" s="63">
        <f t="shared" si="4"/>
        <v>509.85223650989838</v>
      </c>
    </row>
    <row r="15" spans="1:19">
      <c r="A15" s="4">
        <f t="shared" si="1"/>
        <v>6</v>
      </c>
      <c r="B15" s="7">
        <v>32628</v>
      </c>
      <c r="C15" s="37">
        <v>3956</v>
      </c>
      <c r="D15" s="22">
        <v>0.97830522536246467</v>
      </c>
      <c r="E15" s="27">
        <f t="shared" si="0"/>
        <v>4043.7277625030488</v>
      </c>
      <c r="F15" s="15">
        <f t="shared" si="5"/>
        <v>4043.7277625030488</v>
      </c>
      <c r="G15" s="15">
        <f t="shared" si="2"/>
        <v>68.949867596524072</v>
      </c>
      <c r="H15" s="15">
        <f t="shared" si="3"/>
        <v>3986.214135251118</v>
      </c>
      <c r="I15" s="63">
        <f t="shared" si="4"/>
        <v>3307.8173196740322</v>
      </c>
    </row>
    <row r="16" spans="1:19">
      <c r="A16" s="4">
        <f t="shared" si="1"/>
        <v>7</v>
      </c>
      <c r="B16" s="7">
        <v>32659</v>
      </c>
      <c r="C16" s="37">
        <v>3995</v>
      </c>
      <c r="D16" s="22">
        <v>0.98972684471052108</v>
      </c>
      <c r="E16" s="27">
        <f t="shared" si="0"/>
        <v>4036.4672549308007</v>
      </c>
      <c r="F16" s="15">
        <f t="shared" si="5"/>
        <v>4036.4672549308007</v>
      </c>
      <c r="G16" s="15">
        <f t="shared" si="2"/>
        <v>36.742310392911534</v>
      </c>
      <c r="H16" s="15">
        <f t="shared" si="3"/>
        <v>4112.6776300995725</v>
      </c>
      <c r="I16" s="63">
        <f t="shared" si="4"/>
        <v>5808.0212833649584</v>
      </c>
    </row>
    <row r="17" spans="1:9">
      <c r="A17" s="4">
        <f t="shared" si="1"/>
        <v>8</v>
      </c>
      <c r="B17" s="7">
        <v>32689</v>
      </c>
      <c r="C17" s="37">
        <v>3949</v>
      </c>
      <c r="D17" s="22">
        <v>1.0164908929445178</v>
      </c>
      <c r="E17" s="27">
        <f t="shared" si="0"/>
        <v>3884.9339698073859</v>
      </c>
      <c r="F17" s="15">
        <f t="shared" si="5"/>
        <v>3884.9339698073859</v>
      </c>
      <c r="G17" s="15">
        <f t="shared" si="2"/>
        <v>-42.047147133264637</v>
      </c>
      <c r="H17" s="15">
        <f t="shared" si="3"/>
        <v>4073.209565323712</v>
      </c>
      <c r="I17" s="63">
        <f t="shared" si="4"/>
        <v>35447.699867027237</v>
      </c>
    </row>
    <row r="18" spans="1:9">
      <c r="A18" s="4">
        <f t="shared" si="1"/>
        <v>9</v>
      </c>
      <c r="B18" s="7">
        <v>32720</v>
      </c>
      <c r="C18" s="37">
        <v>3986</v>
      </c>
      <c r="D18" s="22">
        <v>1.023824453097022</v>
      </c>
      <c r="E18" s="27">
        <f t="shared" si="0"/>
        <v>3893.2455539057823</v>
      </c>
      <c r="F18" s="15">
        <f t="shared" si="5"/>
        <v>3893.2455539057823</v>
      </c>
      <c r="G18" s="15">
        <f t="shared" si="2"/>
        <v>-20.785325998242655</v>
      </c>
      <c r="H18" s="15">
        <f t="shared" si="3"/>
        <v>3842.886822674121</v>
      </c>
      <c r="I18" s="63">
        <f t="shared" si="4"/>
        <v>2536.0018112626985</v>
      </c>
    </row>
    <row r="19" spans="1:9">
      <c r="A19" s="4">
        <f t="shared" si="1"/>
        <v>10</v>
      </c>
      <c r="B19" s="7">
        <v>32751</v>
      </c>
      <c r="C19" s="37">
        <v>4026</v>
      </c>
      <c r="D19" s="22">
        <v>1.0170476123708239</v>
      </c>
      <c r="E19" s="27">
        <f t="shared" si="0"/>
        <v>3958.5167410354115</v>
      </c>
      <c r="F19" s="15">
        <f t="shared" si="5"/>
        <v>3958.5167410354115</v>
      </c>
      <c r="G19" s="15">
        <f t="shared" si="2"/>
        <v>15.250806962571103</v>
      </c>
      <c r="H19" s="15">
        <f t="shared" si="3"/>
        <v>3872.4602279075398</v>
      </c>
      <c r="I19" s="63">
        <f t="shared" si="4"/>
        <v>7405.7234517275656</v>
      </c>
    </row>
    <row r="20" spans="1:9">
      <c r="A20" s="4">
        <f t="shared" si="1"/>
        <v>11</v>
      </c>
      <c r="B20" s="7">
        <v>32781</v>
      </c>
      <c r="C20" s="37">
        <v>4050</v>
      </c>
      <c r="D20" s="22">
        <v>1.0110822484595425</v>
      </c>
      <c r="E20" s="27">
        <f t="shared" si="0"/>
        <v>4005.6088475200413</v>
      </c>
      <c r="F20" s="15">
        <f t="shared" si="5"/>
        <v>4005.6088475200413</v>
      </c>
      <c r="G20" s="15">
        <f t="shared" si="2"/>
        <v>28.450669085484659</v>
      </c>
      <c r="H20" s="15">
        <f t="shared" si="3"/>
        <v>3973.7675479979825</v>
      </c>
      <c r="I20" s="63">
        <f t="shared" si="4"/>
        <v>1013.8683552534595</v>
      </c>
    </row>
    <row r="21" spans="1:9">
      <c r="A21" s="4">
        <f t="shared" si="1"/>
        <v>12</v>
      </c>
      <c r="B21" s="7">
        <v>32812</v>
      </c>
      <c r="C21" s="37">
        <v>4095</v>
      </c>
      <c r="D21" s="22">
        <v>1.0071360653970747</v>
      </c>
      <c r="E21" s="27">
        <f t="shared" si="0"/>
        <v>4065.9848660920511</v>
      </c>
      <c r="F21" s="15">
        <f t="shared" si="5"/>
        <v>4065.9848660920511</v>
      </c>
      <c r="G21" s="15">
        <f t="shared" si="2"/>
        <v>41.608698807226361</v>
      </c>
      <c r="H21" s="15">
        <f t="shared" si="3"/>
        <v>4034.0595166055259</v>
      </c>
      <c r="I21" s="63">
        <f t="shared" si="4"/>
        <v>1019.2279398367743</v>
      </c>
    </row>
    <row r="22" spans="1:9">
      <c r="A22" s="4">
        <f t="shared" si="1"/>
        <v>13</v>
      </c>
      <c r="B22" s="7">
        <v>32842</v>
      </c>
      <c r="C22" s="37">
        <v>4105</v>
      </c>
      <c r="D22" s="22">
        <v>0.99895296976377324</v>
      </c>
      <c r="E22" s="27">
        <f t="shared" si="0"/>
        <v>4109.3025640343485</v>
      </c>
      <c r="F22" s="15">
        <f t="shared" si="5"/>
        <v>4109.3025640343485</v>
      </c>
      <c r="G22" s="15">
        <f t="shared" si="2"/>
        <v>42.079500212350922</v>
      </c>
      <c r="H22" s="15">
        <f t="shared" si="3"/>
        <v>4107.5935648992772</v>
      </c>
      <c r="I22" s="63">
        <f t="shared" si="4"/>
        <v>2.9206780436743855</v>
      </c>
    </row>
    <row r="23" spans="1:9">
      <c r="A23" s="4">
        <f t="shared" si="1"/>
        <v>14</v>
      </c>
      <c r="B23" s="7">
        <v>32873</v>
      </c>
      <c r="C23" s="37">
        <v>4126</v>
      </c>
      <c r="D23" s="22">
        <v>0.99136634823865966</v>
      </c>
      <c r="E23" s="27">
        <f t="shared" si="0"/>
        <v>4161.9326773907342</v>
      </c>
      <c r="F23" s="15">
        <f t="shared" si="5"/>
        <v>4161.9326773907342</v>
      </c>
      <c r="G23" s="15">
        <f t="shared" si="2"/>
        <v>46.237538244749445</v>
      </c>
      <c r="H23" s="15">
        <f t="shared" si="3"/>
        <v>4151.3820642466999</v>
      </c>
      <c r="I23" s="63">
        <f t="shared" si="4"/>
        <v>111.31543771506907</v>
      </c>
    </row>
    <row r="24" spans="1:9">
      <c r="A24" s="4">
        <f t="shared" si="1"/>
        <v>15</v>
      </c>
      <c r="B24" s="7">
        <v>32904</v>
      </c>
      <c r="C24" s="37">
        <v>4164</v>
      </c>
      <c r="D24" s="22">
        <f>D12</f>
        <v>0.98565799233532947</v>
      </c>
      <c r="E24" s="27">
        <f t="shared" si="0"/>
        <v>4224.5890890958972</v>
      </c>
      <c r="F24" s="15">
        <f t="shared" si="5"/>
        <v>4224.5890890958972</v>
      </c>
      <c r="G24" s="15">
        <f t="shared" si="2"/>
        <v>52.820422580649506</v>
      </c>
      <c r="H24" s="15">
        <f t="shared" si="3"/>
        <v>4208.1702156354841</v>
      </c>
      <c r="I24" s="63">
        <f t="shared" si="4"/>
        <v>269.57940570905845</v>
      </c>
    </row>
    <row r="25" spans="1:9">
      <c r="A25" s="4">
        <f t="shared" si="1"/>
        <v>16</v>
      </c>
      <c r="B25" s="7">
        <v>32932</v>
      </c>
      <c r="C25" s="37">
        <v>4222</v>
      </c>
      <c r="D25" s="22">
        <f t="shared" ref="D25:D68" si="6">D13</f>
        <v>0.9867538520861826</v>
      </c>
      <c r="E25" s="27">
        <f t="shared" si="0"/>
        <v>4278.6759748380009</v>
      </c>
      <c r="F25" s="15">
        <f t="shared" si="5"/>
        <v>4278.6759748380009</v>
      </c>
      <c r="G25" s="15">
        <f t="shared" si="2"/>
        <v>53.041209023068781</v>
      </c>
      <c r="H25" s="15">
        <f t="shared" si="3"/>
        <v>4277.4095116765466</v>
      </c>
      <c r="I25" s="63">
        <f t="shared" si="4"/>
        <v>1.6039289393209206</v>
      </c>
    </row>
    <row r="26" spans="1:9">
      <c r="A26" s="4">
        <f t="shared" si="1"/>
        <v>17</v>
      </c>
      <c r="B26" s="7">
        <v>32963</v>
      </c>
      <c r="C26" s="37">
        <v>4321</v>
      </c>
      <c r="D26" s="22">
        <f t="shared" si="6"/>
        <v>0.99365549523408958</v>
      </c>
      <c r="E26" s="27">
        <f t="shared" si="0"/>
        <v>4348.5896477451079</v>
      </c>
      <c r="F26" s="15">
        <f t="shared" si="5"/>
        <v>4348.5896477451079</v>
      </c>
      <c r="G26" s="15">
        <f t="shared" si="2"/>
        <v>59.773753733381</v>
      </c>
      <c r="H26" s="15">
        <f t="shared" si="3"/>
        <v>4331.7171838610693</v>
      </c>
      <c r="I26" s="63">
        <f t="shared" si="4"/>
        <v>284.68003751818532</v>
      </c>
    </row>
    <row r="27" spans="1:9">
      <c r="A27" s="4">
        <f t="shared" si="1"/>
        <v>18</v>
      </c>
      <c r="B27" s="7">
        <v>32993</v>
      </c>
      <c r="C27" s="37">
        <v>4335</v>
      </c>
      <c r="D27" s="22">
        <f t="shared" si="6"/>
        <v>0.97830522536246467</v>
      </c>
      <c r="E27" s="27">
        <f t="shared" si="0"/>
        <v>4431.1324192241445</v>
      </c>
      <c r="F27" s="15">
        <f t="shared" si="5"/>
        <v>4431.1324192241445</v>
      </c>
      <c r="G27" s="15">
        <f t="shared" si="2"/>
        <v>68.927952280642558</v>
      </c>
      <c r="H27" s="15">
        <f t="shared" si="3"/>
        <v>4408.3634014784893</v>
      </c>
      <c r="I27" s="63">
        <f t="shared" si="4"/>
        <v>518.42816910196223</v>
      </c>
    </row>
    <row r="28" spans="1:9">
      <c r="A28" s="4">
        <f t="shared" si="1"/>
        <v>19</v>
      </c>
      <c r="B28" s="7">
        <v>33024</v>
      </c>
      <c r="C28" s="37">
        <v>4454</v>
      </c>
      <c r="D28" s="22">
        <f t="shared" si="6"/>
        <v>0.98972684471052108</v>
      </c>
      <c r="E28" s="27">
        <f t="shared" si="0"/>
        <v>4500.2315778377442</v>
      </c>
      <c r="F28" s="15">
        <f t="shared" si="5"/>
        <v>4500.2315778377442</v>
      </c>
      <c r="G28" s="15">
        <f t="shared" si="2"/>
        <v>68.597789929453597</v>
      </c>
      <c r="H28" s="15">
        <f t="shared" si="3"/>
        <v>4500.0603715047873</v>
      </c>
      <c r="I28" s="63">
        <f t="shared" si="4"/>
        <v>2.9311608444548606E-2</v>
      </c>
    </row>
    <row r="29" spans="1:9">
      <c r="A29" s="4">
        <f t="shared" si="1"/>
        <v>20</v>
      </c>
      <c r="B29" s="7">
        <v>33054</v>
      </c>
      <c r="C29" s="37">
        <v>4536</v>
      </c>
      <c r="D29" s="22">
        <f t="shared" si="6"/>
        <v>1.0164908929445178</v>
      </c>
      <c r="E29" s="27">
        <f t="shared" si="0"/>
        <v>4462.4108602295018</v>
      </c>
      <c r="F29" s="15">
        <f t="shared" si="5"/>
        <v>4462.4108602295018</v>
      </c>
      <c r="G29" s="15">
        <f t="shared" si="2"/>
        <v>23.785151798180092</v>
      </c>
      <c r="H29" s="15">
        <f t="shared" si="3"/>
        <v>4568.8293677671982</v>
      </c>
      <c r="I29" s="63">
        <f t="shared" si="4"/>
        <v>11324.898746550727</v>
      </c>
    </row>
    <row r="30" spans="1:9">
      <c r="A30" s="4">
        <f t="shared" si="1"/>
        <v>21</v>
      </c>
      <c r="B30" s="7">
        <v>33085</v>
      </c>
      <c r="C30" s="37">
        <v>4597</v>
      </c>
      <c r="D30" s="22">
        <f t="shared" si="6"/>
        <v>1.023824453097022</v>
      </c>
      <c r="E30" s="27">
        <f t="shared" si="0"/>
        <v>4490.0275492485907</v>
      </c>
      <c r="F30" s="15">
        <f t="shared" si="5"/>
        <v>4490.0275492485907</v>
      </c>
      <c r="G30" s="15">
        <f t="shared" si="2"/>
        <v>25.245628456465138</v>
      </c>
      <c r="H30" s="15">
        <f t="shared" si="3"/>
        <v>4486.1960120276817</v>
      </c>
      <c r="I30" s="63">
        <f t="shared" si="4"/>
        <v>14.680677475211162</v>
      </c>
    </row>
    <row r="31" spans="1:9">
      <c r="A31" s="4">
        <f t="shared" si="1"/>
        <v>22</v>
      </c>
      <c r="B31" s="7">
        <v>33116</v>
      </c>
      <c r="C31" s="37">
        <v>4643</v>
      </c>
      <c r="D31" s="22">
        <f t="shared" si="6"/>
        <v>1.0170476123708239</v>
      </c>
      <c r="E31" s="27">
        <f t="shared" si="0"/>
        <v>4565.174671790217</v>
      </c>
      <c r="F31" s="15">
        <f t="shared" si="5"/>
        <v>4565.174671790217</v>
      </c>
      <c r="G31" s="15">
        <f>$F$5*(F31-F30)+(1-$F$5)*G30*$F$6</f>
        <v>45.924538656984836</v>
      </c>
      <c r="H31" s="15">
        <f t="shared" si="3"/>
        <v>4515.2731777050558</v>
      </c>
      <c r="I31" s="63">
        <f t="shared" si="4"/>
        <v>2490.1591119313757</v>
      </c>
    </row>
    <row r="32" spans="1:9">
      <c r="A32" s="4">
        <f t="shared" si="1"/>
        <v>23</v>
      </c>
      <c r="B32" s="7">
        <v>33146</v>
      </c>
      <c r="C32" s="37">
        <v>4701</v>
      </c>
      <c r="D32" s="22">
        <f t="shared" si="6"/>
        <v>1.0110822484595425</v>
      </c>
      <c r="E32" s="27">
        <f t="shared" si="0"/>
        <v>4649.4733807880775</v>
      </c>
      <c r="F32" s="15">
        <f t="shared" si="5"/>
        <v>4649.4733807880775</v>
      </c>
      <c r="G32" s="15">
        <f t="shared" si="2"/>
        <v>61.6721214557667</v>
      </c>
      <c r="H32" s="15">
        <f t="shared" si="3"/>
        <v>4611.0992104472016</v>
      </c>
      <c r="I32" s="63">
        <f t="shared" si="4"/>
        <v>1472.5769493505622</v>
      </c>
    </row>
    <row r="33" spans="1:9">
      <c r="A33" s="4">
        <f t="shared" si="1"/>
        <v>24</v>
      </c>
      <c r="B33" s="7">
        <v>33177</v>
      </c>
      <c r="C33" s="37">
        <v>4766</v>
      </c>
      <c r="D33" s="22">
        <f t="shared" si="6"/>
        <v>1.0071360653970747</v>
      </c>
      <c r="E33" s="27">
        <f t="shared" si="0"/>
        <v>4732.2304937227636</v>
      </c>
      <c r="F33" s="15">
        <f t="shared" si="5"/>
        <v>4732.2304937227636</v>
      </c>
      <c r="G33" s="15">
        <f t="shared" si="2"/>
        <v>70.112443572642633</v>
      </c>
      <c r="H33" s="15">
        <f t="shared" si="3"/>
        <v>4711.145502243844</v>
      </c>
      <c r="I33" s="63">
        <f t="shared" si="4"/>
        <v>444.57686566611295</v>
      </c>
    </row>
    <row r="34" spans="1:9">
      <c r="A34" s="4">
        <f t="shared" si="1"/>
        <v>25</v>
      </c>
      <c r="B34" s="7">
        <v>33207</v>
      </c>
      <c r="C34" s="37">
        <v>4781</v>
      </c>
      <c r="D34" s="22">
        <f t="shared" si="6"/>
        <v>0.99895296976377324</v>
      </c>
      <c r="E34" s="27">
        <f t="shared" si="0"/>
        <v>4786.0110983308696</v>
      </c>
      <c r="F34" s="15">
        <f t="shared" si="5"/>
        <v>4786.0110983308696</v>
      </c>
      <c r="G34" s="15">
        <f t="shared" si="2"/>
        <v>62.887960322417911</v>
      </c>
      <c r="H34" s="15">
        <f t="shared" si="3"/>
        <v>4802.342937295406</v>
      </c>
      <c r="I34" s="63">
        <f t="shared" si="4"/>
        <v>266.72896396355179</v>
      </c>
    </row>
    <row r="35" spans="1:9">
      <c r="A35" s="4">
        <f t="shared" si="1"/>
        <v>26</v>
      </c>
      <c r="B35" s="7">
        <v>33238</v>
      </c>
      <c r="C35" s="37">
        <v>4808</v>
      </c>
      <c r="D35" s="22">
        <f t="shared" si="6"/>
        <v>0.99136634823865966</v>
      </c>
      <c r="E35" s="27">
        <f t="shared" si="0"/>
        <v>4849.8721068576469</v>
      </c>
      <c r="F35" s="15">
        <f t="shared" si="5"/>
        <v>4849.8721068576469</v>
      </c>
      <c r="G35" s="15">
        <f>$F$5*(F35-F34)+(1-$F$5)*G34*$F$6</f>
        <v>62.927633002234245</v>
      </c>
      <c r="H35" s="15">
        <f t="shared" si="3"/>
        <v>4848.8990586532873</v>
      </c>
      <c r="I35" s="63">
        <f t="shared" si="4"/>
        <v>0.94682280800755214</v>
      </c>
    </row>
    <row r="36" spans="1:9">
      <c r="A36" s="4">
        <f t="shared" si="1"/>
        <v>27</v>
      </c>
      <c r="B36" s="7">
        <v>33269</v>
      </c>
      <c r="C36" s="37">
        <v>4836</v>
      </c>
      <c r="D36" s="22">
        <f t="shared" si="6"/>
        <v>0.98565799233532947</v>
      </c>
      <c r="E36" s="27">
        <f t="shared" si="0"/>
        <v>4906.3671553476843</v>
      </c>
      <c r="F36" s="15">
        <f t="shared" si="5"/>
        <v>4906.3671553476843</v>
      </c>
      <c r="G36" s="15">
        <f t="shared" si="2"/>
        <v>59.87639051617591</v>
      </c>
      <c r="H36" s="15">
        <f t="shared" si="3"/>
        <v>4912.7997398598809</v>
      </c>
      <c r="I36" s="63">
        <f t="shared" si="4"/>
        <v>41.378143506551915</v>
      </c>
    </row>
    <row r="37" spans="1:9">
      <c r="A37" s="4">
        <f t="shared" si="1"/>
        <v>28</v>
      </c>
      <c r="B37" s="7">
        <v>33297</v>
      </c>
      <c r="C37" s="37">
        <v>4937</v>
      </c>
      <c r="D37" s="22">
        <f t="shared" si="6"/>
        <v>0.9867538520861826</v>
      </c>
      <c r="E37" s="27">
        <f t="shared" si="0"/>
        <v>5003.27410889986</v>
      </c>
      <c r="F37" s="15">
        <f t="shared" si="5"/>
        <v>5003.27410889986</v>
      </c>
      <c r="G37" s="15">
        <f t="shared" si="2"/>
        <v>74.981937577273527</v>
      </c>
      <c r="H37" s="15">
        <f t="shared" si="3"/>
        <v>4966.2435458638602</v>
      </c>
      <c r="I37" s="63">
        <f t="shared" si="4"/>
        <v>1371.2625987631604</v>
      </c>
    </row>
    <row r="38" spans="1:9">
      <c r="A38" s="4">
        <f t="shared" si="1"/>
        <v>29</v>
      </c>
      <c r="B38" s="7">
        <v>33328</v>
      </c>
      <c r="C38" s="37">
        <v>5054</v>
      </c>
      <c r="D38" s="22">
        <f t="shared" si="6"/>
        <v>0.99365549523408958</v>
      </c>
      <c r="E38" s="27">
        <f t="shared" si="0"/>
        <v>5086.2698633889777</v>
      </c>
      <c r="F38" s="15">
        <f t="shared" si="5"/>
        <v>5086.2698633889777</v>
      </c>
      <c r="G38" s="15">
        <f t="shared" si="2"/>
        <v>77.889554585391693</v>
      </c>
      <c r="H38" s="15">
        <f t="shared" si="3"/>
        <v>5078.2560464771332</v>
      </c>
      <c r="I38" s="63">
        <f t="shared" si="4"/>
        <v>64.221261496565162</v>
      </c>
    </row>
    <row r="39" spans="1:9">
      <c r="A39" s="4">
        <f t="shared" si="1"/>
        <v>30</v>
      </c>
      <c r="B39" s="7">
        <v>33358</v>
      </c>
      <c r="C39" s="37">
        <v>5103</v>
      </c>
      <c r="D39" s="22">
        <f t="shared" si="6"/>
        <v>0.97830522536246467</v>
      </c>
      <c r="E39" s="27">
        <f t="shared" si="0"/>
        <v>5216.1634914188717</v>
      </c>
      <c r="F39" s="15">
        <f t="shared" si="5"/>
        <v>5216.1634914188717</v>
      </c>
      <c r="G39" s="15">
        <f t="shared" si="2"/>
        <v>99.139226280272766</v>
      </c>
      <c r="H39" s="15">
        <f t="shared" si="3"/>
        <v>5164.1594179743697</v>
      </c>
      <c r="I39" s="63">
        <f t="shared" si="4"/>
        <v>2704.4236548211534</v>
      </c>
    </row>
    <row r="40" spans="1:9">
      <c r="A40" s="4">
        <f t="shared" si="1"/>
        <v>31</v>
      </c>
      <c r="B40" s="7">
        <v>33389</v>
      </c>
      <c r="C40" s="37">
        <v>5105</v>
      </c>
      <c r="D40" s="22">
        <f t="shared" si="6"/>
        <v>0.98972684471052108</v>
      </c>
      <c r="E40" s="27">
        <f t="shared" si="0"/>
        <v>5157.9888201305976</v>
      </c>
      <c r="F40" s="15">
        <f t="shared" si="5"/>
        <v>5157.9888201305976</v>
      </c>
      <c r="G40" s="15">
        <f t="shared" si="2"/>
        <v>32.90783548694219</v>
      </c>
      <c r="H40" s="15">
        <f t="shared" si="3"/>
        <v>5315.3027176991445</v>
      </c>
      <c r="I40" s="63">
        <f t="shared" si="4"/>
        <v>24747.662368207286</v>
      </c>
    </row>
    <row r="41" spans="1:9">
      <c r="A41" s="4">
        <f t="shared" si="1"/>
        <v>32</v>
      </c>
      <c r="B41" s="7">
        <v>33419</v>
      </c>
      <c r="C41" s="37">
        <v>5704</v>
      </c>
      <c r="D41" s="22">
        <f t="shared" si="6"/>
        <v>1.0164908929445178</v>
      </c>
      <c r="E41" s="27">
        <f t="shared" si="0"/>
        <v>5611.4619812057053</v>
      </c>
      <c r="F41" s="15">
        <f t="shared" si="5"/>
        <v>5611.4619812057053</v>
      </c>
      <c r="G41" s="15">
        <f t="shared" si="2"/>
        <v>208.23580818204721</v>
      </c>
      <c r="H41" s="15">
        <f t="shared" si="3"/>
        <v>5190.8966556175401</v>
      </c>
      <c r="I41" s="63">
        <f t="shared" si="4"/>
        <v>176875.19308707945</v>
      </c>
    </row>
    <row r="42" spans="1:9">
      <c r="A42" s="4">
        <f t="shared" si="1"/>
        <v>33</v>
      </c>
      <c r="B42" s="7">
        <v>33450</v>
      </c>
      <c r="C42" s="37">
        <v>5907</v>
      </c>
      <c r="D42" s="22">
        <f>D30</f>
        <v>1.023824453097022</v>
      </c>
      <c r="E42" s="27">
        <f t="shared" si="0"/>
        <v>5769.5437749426637</v>
      </c>
      <c r="F42" s="15">
        <f t="shared" si="5"/>
        <v>5769.5437749426637</v>
      </c>
      <c r="G42" s="15">
        <f t="shared" si="2"/>
        <v>186.09111304667374</v>
      </c>
      <c r="H42" s="15">
        <f t="shared" si="3"/>
        <v>5819.6977893877529</v>
      </c>
      <c r="I42" s="63">
        <f t="shared" si="4"/>
        <v>2515.425164958212</v>
      </c>
    </row>
    <row r="43" spans="1:9">
      <c r="A43" s="4">
        <f t="shared" si="1"/>
        <v>34</v>
      </c>
      <c r="B43" s="7">
        <v>33481</v>
      </c>
      <c r="C43" s="37">
        <v>5889</v>
      </c>
      <c r="D43" s="22">
        <f t="shared" si="6"/>
        <v>1.0170476123708239</v>
      </c>
      <c r="E43" s="27">
        <f t="shared" si="0"/>
        <v>5790.2893909482209</v>
      </c>
      <c r="F43" s="15">
        <f t="shared" si="5"/>
        <v>5790.2893909482209</v>
      </c>
      <c r="G43" s="15">
        <f t="shared" si="2"/>
        <v>116.00116398136763</v>
      </c>
      <c r="H43" s="15">
        <f t="shared" si="3"/>
        <v>5955.6348879893376</v>
      </c>
      <c r="I43" s="63">
        <f t="shared" si="4"/>
        <v>27339.133391773928</v>
      </c>
    </row>
    <row r="44" spans="1:9">
      <c r="A44" s="4">
        <f t="shared" si="1"/>
        <v>35</v>
      </c>
      <c r="B44" s="7">
        <v>33511</v>
      </c>
      <c r="C44" s="37">
        <v>5887</v>
      </c>
      <c r="D44" s="22">
        <f t="shared" si="6"/>
        <v>1.0110822484595425</v>
      </c>
      <c r="E44" s="27">
        <f t="shared" si="0"/>
        <v>5822.4738976174031</v>
      </c>
      <c r="F44" s="15">
        <f t="shared" si="5"/>
        <v>5822.4738976174031</v>
      </c>
      <c r="G44" s="15">
        <f t="shared" si="2"/>
        <v>80.345035281141506</v>
      </c>
      <c r="H44" s="15">
        <f t="shared" si="3"/>
        <v>5906.2905549295883</v>
      </c>
      <c r="I44" s="63">
        <f t="shared" si="4"/>
        <v>7025.2320429883002</v>
      </c>
    </row>
    <row r="45" spans="1:9">
      <c r="A45" s="4">
        <f t="shared" si="1"/>
        <v>36</v>
      </c>
      <c r="B45" s="7">
        <v>33542</v>
      </c>
      <c r="C45" s="37">
        <v>5876</v>
      </c>
      <c r="D45" s="22">
        <f t="shared" si="6"/>
        <v>1.0071360653970747</v>
      </c>
      <c r="E45" s="27">
        <f t="shared" si="0"/>
        <v>5834.3655856304986</v>
      </c>
      <c r="F45" s="15">
        <f t="shared" si="5"/>
        <v>5834.3655856304986</v>
      </c>
      <c r="G45" s="15">
        <f t="shared" si="2"/>
        <v>51.308419353685942</v>
      </c>
      <c r="H45" s="15">
        <f t="shared" si="3"/>
        <v>5902.8189328985445</v>
      </c>
      <c r="I45" s="63">
        <f t="shared" si="4"/>
        <v>4685.8607521996937</v>
      </c>
    </row>
    <row r="46" spans="1:9">
      <c r="A46" s="4">
        <f t="shared" si="1"/>
        <v>37</v>
      </c>
      <c r="B46" s="7">
        <v>33572</v>
      </c>
      <c r="C46" s="37">
        <v>5896</v>
      </c>
      <c r="D46" s="22">
        <f t="shared" si="6"/>
        <v>0.99895296976377324</v>
      </c>
      <c r="E46" s="27">
        <f t="shared" si="0"/>
        <v>5902.1797606690661</v>
      </c>
      <c r="F46" s="15">
        <f t="shared" si="5"/>
        <v>5902.1797606690661</v>
      </c>
      <c r="G46" s="15">
        <f t="shared" si="2"/>
        <v>57.898017441805891</v>
      </c>
      <c r="H46" s="15">
        <f t="shared" si="3"/>
        <v>5885.6740049841846</v>
      </c>
      <c r="I46" s="63">
        <f t="shared" si="4"/>
        <v>272.43997072899725</v>
      </c>
    </row>
    <row r="47" spans="1:9">
      <c r="A47" s="4">
        <f t="shared" si="1"/>
        <v>38</v>
      </c>
      <c r="B47" s="7">
        <v>33603</v>
      </c>
      <c r="C47" s="37">
        <v>5900</v>
      </c>
      <c r="D47" s="22">
        <f t="shared" si="6"/>
        <v>0.99136634823865966</v>
      </c>
      <c r="E47" s="27">
        <f t="shared" si="0"/>
        <v>5951.3821610773957</v>
      </c>
      <c r="F47" s="15">
        <f t="shared" si="5"/>
        <v>5951.3821610773957</v>
      </c>
      <c r="G47" s="15">
        <f t="shared" si="2"/>
        <v>53.931621132250385</v>
      </c>
      <c r="H47" s="15">
        <f t="shared" si="3"/>
        <v>5960.0777781108718</v>
      </c>
      <c r="I47" s="63">
        <f t="shared" si="4"/>
        <v>75.613755592879386</v>
      </c>
    </row>
    <row r="48" spans="1:9">
      <c r="A48" s="4">
        <f t="shared" si="1"/>
        <v>39</v>
      </c>
      <c r="B48" s="7">
        <v>33634</v>
      </c>
      <c r="C48" s="37">
        <v>5917</v>
      </c>
      <c r="D48" s="22">
        <f t="shared" si="6"/>
        <v>0.98565799233532947</v>
      </c>
      <c r="E48" s="27">
        <f t="shared" si="0"/>
        <v>6003.0964553747408</v>
      </c>
      <c r="F48" s="15">
        <f t="shared" si="5"/>
        <v>6003.0964553747408</v>
      </c>
      <c r="G48" s="15">
        <f t="shared" si="2"/>
        <v>52.692000058217047</v>
      </c>
      <c r="H48" s="15">
        <f t="shared" si="3"/>
        <v>6005.313782209646</v>
      </c>
      <c r="I48" s="63">
        <f t="shared" si="4"/>
        <v>4.9165382927906212</v>
      </c>
    </row>
    <row r="49" spans="1:11">
      <c r="A49" s="4">
        <f t="shared" si="1"/>
        <v>40</v>
      </c>
      <c r="B49" s="7">
        <v>33663</v>
      </c>
      <c r="C49" s="37">
        <v>5938</v>
      </c>
      <c r="D49" s="22">
        <f t="shared" si="6"/>
        <v>0.9867538520861826</v>
      </c>
      <c r="E49" s="27">
        <f t="shared" si="0"/>
        <v>6017.7114965864639</v>
      </c>
      <c r="F49" s="15">
        <f t="shared" si="5"/>
        <v>6017.7114965864639</v>
      </c>
      <c r="G49" s="15">
        <f t="shared" si="2"/>
        <v>36.493859369755278</v>
      </c>
      <c r="H49" s="15">
        <f>F48+G48</f>
        <v>6055.7884554329576</v>
      </c>
      <c r="I49" s="63">
        <f>(E49-H49)^2</f>
        <v>1449.8547949975714</v>
      </c>
    </row>
    <row r="50" spans="1:11">
      <c r="A50" s="4">
        <f t="shared" si="1"/>
        <v>41</v>
      </c>
      <c r="B50" s="7">
        <v>33694</v>
      </c>
      <c r="C50" s="37">
        <v>5987</v>
      </c>
      <c r="D50" s="22">
        <f t="shared" si="6"/>
        <v>0.99365549523408958</v>
      </c>
      <c r="E50" s="27">
        <f t="shared" si="0"/>
        <v>6025.2270819370424</v>
      </c>
      <c r="F50" s="15">
        <f t="shared" si="5"/>
        <v>6025.2270819370424</v>
      </c>
      <c r="G50" s="15">
        <f t="shared" si="2"/>
        <v>24.187364712452517</v>
      </c>
      <c r="H50" s="15">
        <f t="shared" si="3"/>
        <v>6054.2053559562191</v>
      </c>
      <c r="I50" s="63">
        <f t="shared" si="4"/>
        <v>839.7403651304943</v>
      </c>
    </row>
    <row r="51" spans="1:11">
      <c r="A51" s="4">
        <f t="shared" si="1"/>
        <v>42</v>
      </c>
      <c r="B51" s="7">
        <v>33724</v>
      </c>
      <c r="C51" s="37">
        <v>5983</v>
      </c>
      <c r="D51" s="22">
        <f>D39</f>
        <v>0.97830522536246467</v>
      </c>
      <c r="E51" s="27">
        <f t="shared" si="0"/>
        <v>6115.6782616419969</v>
      </c>
      <c r="F51" s="15">
        <f t="shared" si="5"/>
        <v>6115.6782616419969</v>
      </c>
      <c r="G51" s="15">
        <f>$F$5*(F51-F50)+(1-$F$5)*G50*$F$6</f>
        <v>51.701130092701888</v>
      </c>
      <c r="H51" s="15">
        <f>F50+G50</f>
        <v>6049.4144466494945</v>
      </c>
      <c r="I51" s="63">
        <f t="shared" si="4"/>
        <v>4390.8931773605827</v>
      </c>
    </row>
    <row r="52" spans="1:11">
      <c r="A52" s="4">
        <f t="shared" si="1"/>
        <v>43</v>
      </c>
      <c r="B52" s="7">
        <v>33755</v>
      </c>
      <c r="C52" s="37">
        <v>5981</v>
      </c>
      <c r="D52" s="22">
        <f t="shared" si="6"/>
        <v>0.98972684471052108</v>
      </c>
      <c r="E52" s="27">
        <f t="shared" si="0"/>
        <v>6043.0815148288157</v>
      </c>
      <c r="F52" s="15">
        <f t="shared" si="5"/>
        <v>6043.0815148288157</v>
      </c>
      <c r="G52" s="15">
        <f t="shared" si="2"/>
        <v>-0.47487601758007614</v>
      </c>
      <c r="H52" s="15">
        <f t="shared" si="3"/>
        <v>6167.3793917346984</v>
      </c>
      <c r="I52" s="63">
        <f t="shared" si="4"/>
        <v>15449.962203309975</v>
      </c>
    </row>
    <row r="53" spans="1:11">
      <c r="A53" s="4">
        <f t="shared" si="1"/>
        <v>44</v>
      </c>
      <c r="B53" s="7">
        <v>33785</v>
      </c>
      <c r="C53" s="37">
        <v>5975</v>
      </c>
      <c r="D53" s="22">
        <f t="shared" si="6"/>
        <v>1.0164908929445178</v>
      </c>
      <c r="E53" s="27">
        <f t="shared" si="0"/>
        <v>5878.0654519116561</v>
      </c>
      <c r="F53" s="15">
        <f t="shared" si="5"/>
        <v>5878.0654519116561</v>
      </c>
      <c r="G53" s="15">
        <f t="shared" si="2"/>
        <v>-69.142111369037536</v>
      </c>
      <c r="H53" s="15">
        <f t="shared" si="3"/>
        <v>6042.6066388112358</v>
      </c>
      <c r="I53" s="63">
        <f t="shared" si="4"/>
        <v>27073.802186322442</v>
      </c>
    </row>
    <row r="54" spans="1:11">
      <c r="A54" s="4">
        <f t="shared" si="1"/>
        <v>45</v>
      </c>
      <c r="B54" s="7">
        <v>33816</v>
      </c>
      <c r="C54" s="37">
        <v>5985</v>
      </c>
      <c r="D54" s="22">
        <f t="shared" si="6"/>
        <v>1.023824453097022</v>
      </c>
      <c r="E54" s="27">
        <f t="shared" si="0"/>
        <v>5845.7287105183414</v>
      </c>
      <c r="F54" s="15">
        <f t="shared" si="5"/>
        <v>5845.7287105183414</v>
      </c>
      <c r="G54" s="15">
        <f t="shared" si="2"/>
        <v>-53.37881070683035</v>
      </c>
      <c r="H54" s="15">
        <f t="shared" si="3"/>
        <v>5808.9233405426185</v>
      </c>
      <c r="I54" s="63">
        <f t="shared" si="4"/>
        <v>1354.6352590498445</v>
      </c>
    </row>
    <row r="55" spans="1:11">
      <c r="A55" s="4">
        <f t="shared" si="1"/>
        <v>46</v>
      </c>
      <c r="B55" s="7">
        <v>33847</v>
      </c>
      <c r="C55" s="37">
        <v>6029</v>
      </c>
      <c r="D55" s="22">
        <f t="shared" si="6"/>
        <v>1.0170476123708239</v>
      </c>
      <c r="E55" s="27">
        <f t="shared" si="0"/>
        <v>5927.9427301794576</v>
      </c>
      <c r="F55" s="15">
        <f t="shared" si="5"/>
        <v>5927.9427301794576</v>
      </c>
      <c r="G55" s="15">
        <f t="shared" si="2"/>
        <v>3.5208327286224836</v>
      </c>
      <c r="H55" s="15">
        <f>F54+G54</f>
        <v>5792.349899811511</v>
      </c>
      <c r="I55" s="63">
        <f t="shared" si="4"/>
        <v>18385.415647190737</v>
      </c>
    </row>
    <row r="56" spans="1:11">
      <c r="A56" s="4">
        <f t="shared" si="1"/>
        <v>47</v>
      </c>
      <c r="B56" s="7">
        <v>33877</v>
      </c>
      <c r="C56" s="37">
        <v>6024</v>
      </c>
      <c r="D56" s="22">
        <f t="shared" si="6"/>
        <v>1.0110822484595425</v>
      </c>
      <c r="E56" s="27">
        <f t="shared" si="0"/>
        <v>5957.9722709779571</v>
      </c>
      <c r="F56" s="15">
        <f t="shared" si="5"/>
        <v>5957.9722709779571</v>
      </c>
      <c r="G56" s="15">
        <f t="shared" si="2"/>
        <v>14.563524306780979</v>
      </c>
      <c r="H56" s="15">
        <f t="shared" si="3"/>
        <v>5931.4635629080803</v>
      </c>
      <c r="I56" s="63">
        <f t="shared" si="4"/>
        <v>702.7116035339501</v>
      </c>
    </row>
    <row r="57" spans="1:11">
      <c r="A57" s="4">
        <f t="shared" si="1"/>
        <v>48</v>
      </c>
      <c r="B57" s="7">
        <v>33908</v>
      </c>
      <c r="C57" s="38"/>
      <c r="D57" s="22">
        <f t="shared" si="6"/>
        <v>1.0071360653970747</v>
      </c>
      <c r="E57" s="15"/>
      <c r="F57" s="15"/>
      <c r="G57" s="15"/>
      <c r="H57" s="15">
        <f>F56+G56</f>
        <v>5972.535795284738</v>
      </c>
      <c r="J57" s="15">
        <f>F56+G56*F6</f>
        <v>5972.3901600416702</v>
      </c>
      <c r="K57" s="27">
        <f>J57*D57</f>
        <v>6015.0095268005725</v>
      </c>
    </row>
    <row r="58" spans="1:11">
      <c r="A58" s="4">
        <f t="shared" si="1"/>
        <v>49</v>
      </c>
      <c r="B58" s="7">
        <v>33938</v>
      </c>
      <c r="C58" s="38"/>
      <c r="D58" s="22">
        <f t="shared" si="6"/>
        <v>0.99895296976377324</v>
      </c>
      <c r="E58" s="15"/>
      <c r="F58" s="15"/>
      <c r="G58" s="15"/>
      <c r="H58" s="15"/>
      <c r="I58" s="63" t="s">
        <v>93</v>
      </c>
      <c r="J58" s="15">
        <f>J57+$G$56*$F$6^(A58-$A$56)</f>
        <v>5986.6638702147466</v>
      </c>
      <c r="K58" s="27">
        <f t="shared" ref="K58:K68" si="7">J58*D58</f>
        <v>5980.3956521285054</v>
      </c>
    </row>
    <row r="59" spans="1:11">
      <c r="A59" s="4">
        <f t="shared" si="1"/>
        <v>50</v>
      </c>
      <c r="B59" s="7">
        <v>33969</v>
      </c>
      <c r="C59" s="38"/>
      <c r="D59" s="22">
        <f t="shared" si="6"/>
        <v>0.99136634823865966</v>
      </c>
      <c r="E59" s="15"/>
      <c r="F59" s="15"/>
      <c r="G59" s="15"/>
      <c r="H59" s="15"/>
      <c r="I59" s="63">
        <f>AVERAGE(I45:I56)</f>
        <v>6223.8205211424975</v>
      </c>
      <c r="J59" s="15">
        <f t="shared" ref="J59:J68" si="8">J58+$G$56*$F$6^(A59-$A$56)</f>
        <v>6000.7948432860921</v>
      </c>
      <c r="K59" s="27">
        <f t="shared" si="7"/>
        <v>5948.9860703179129</v>
      </c>
    </row>
    <row r="60" spans="1:11">
      <c r="A60" s="4">
        <f t="shared" si="1"/>
        <v>51</v>
      </c>
      <c r="B60" s="7">
        <v>34000</v>
      </c>
      <c r="C60" s="38"/>
      <c r="D60" s="22">
        <f t="shared" si="6"/>
        <v>0.98565799233532947</v>
      </c>
      <c r="E60" s="15"/>
      <c r="F60" s="15"/>
      <c r="G60" s="15"/>
      <c r="H60" s="15"/>
      <c r="J60" s="15">
        <f>J59+$G$56*$F$6^(A60-$A$56)</f>
        <v>6014.7845066267237</v>
      </c>
      <c r="K60" s="27">
        <f t="shared" si="7"/>
        <v>5928.5204211313412</v>
      </c>
    </row>
    <row r="61" spans="1:11">
      <c r="A61" s="4">
        <f t="shared" si="1"/>
        <v>52</v>
      </c>
      <c r="B61" s="7">
        <v>34028</v>
      </c>
      <c r="C61" s="38"/>
      <c r="D61" s="22">
        <f t="shared" si="6"/>
        <v>0.9867538520861826</v>
      </c>
      <c r="E61" s="15"/>
      <c r="F61" s="15"/>
      <c r="G61" s="15"/>
      <c r="H61" s="15"/>
      <c r="J61" s="15">
        <f t="shared" si="8"/>
        <v>6028.6342733339488</v>
      </c>
      <c r="K61" s="27">
        <f t="shared" si="7"/>
        <v>5948.7780920310579</v>
      </c>
    </row>
    <row r="62" spans="1:11">
      <c r="A62" s="4">
        <f t="shared" si="1"/>
        <v>53</v>
      </c>
      <c r="B62" s="7">
        <v>34059</v>
      </c>
      <c r="C62" s="38"/>
      <c r="D62" s="22">
        <f t="shared" si="6"/>
        <v>0.99365549523408958</v>
      </c>
      <c r="E62" s="15"/>
      <c r="F62" s="15"/>
      <c r="G62" s="15"/>
      <c r="H62" s="15"/>
      <c r="J62" s="15">
        <f t="shared" si="8"/>
        <v>6042.3455423741025</v>
      </c>
      <c r="K62" s="27">
        <f t="shared" si="7"/>
        <v>6004.0098522832322</v>
      </c>
    </row>
    <row r="63" spans="1:11">
      <c r="A63" s="4">
        <f t="shared" si="1"/>
        <v>54</v>
      </c>
      <c r="B63" s="7">
        <v>34089</v>
      </c>
      <c r="C63" s="38"/>
      <c r="D63" s="22">
        <f t="shared" si="6"/>
        <v>0.97830522536246467</v>
      </c>
      <c r="E63" s="15"/>
      <c r="F63" s="15"/>
      <c r="G63" s="15"/>
      <c r="H63" s="15"/>
      <c r="J63" s="15">
        <f t="shared" si="8"/>
        <v>6055.9196987238538</v>
      </c>
      <c r="K63" s="27">
        <f t="shared" si="7"/>
        <v>5924.5378856370289</v>
      </c>
    </row>
    <row r="64" spans="1:11">
      <c r="A64" s="4">
        <f t="shared" si="1"/>
        <v>55</v>
      </c>
      <c r="B64" s="7">
        <v>34120</v>
      </c>
      <c r="C64" s="38"/>
      <c r="D64" s="22">
        <f t="shared" si="6"/>
        <v>0.98972684471052108</v>
      </c>
      <c r="E64" s="15"/>
      <c r="F64" s="15"/>
      <c r="G64" s="15"/>
      <c r="H64" s="15"/>
      <c r="J64" s="15">
        <f t="shared" si="8"/>
        <v>6069.3581135101076</v>
      </c>
      <c r="K64" s="27">
        <f t="shared" si="7"/>
        <v>6007.0066551025593</v>
      </c>
    </row>
    <row r="65" spans="1:11">
      <c r="A65" s="4">
        <f t="shared" si="1"/>
        <v>56</v>
      </c>
      <c r="B65" s="7">
        <v>34150</v>
      </c>
      <c r="C65" s="38"/>
      <c r="D65" s="22">
        <f t="shared" si="6"/>
        <v>1.0164908929445178</v>
      </c>
      <c r="E65" s="15"/>
      <c r="F65" s="15"/>
      <c r="G65" s="15"/>
      <c r="H65" s="15"/>
      <c r="J65" s="15">
        <f t="shared" si="8"/>
        <v>6082.6621441484995</v>
      </c>
      <c r="K65" s="27">
        <f t="shared" si="7"/>
        <v>6182.970674385323</v>
      </c>
    </row>
    <row r="66" spans="1:11">
      <c r="A66" s="4">
        <f t="shared" si="1"/>
        <v>57</v>
      </c>
      <c r="B66" s="7">
        <v>34181</v>
      </c>
      <c r="C66" s="38"/>
      <c r="D66" s="22">
        <f t="shared" si="6"/>
        <v>1.023824453097022</v>
      </c>
      <c r="E66" s="15"/>
      <c r="F66" s="15"/>
      <c r="G66" s="15"/>
      <c r="H66" s="15"/>
      <c r="J66" s="15">
        <f t="shared" si="8"/>
        <v>6095.8331344805074</v>
      </c>
      <c r="K66" s="27">
        <f t="shared" si="7"/>
        <v>6241.0630250802105</v>
      </c>
    </row>
    <row r="67" spans="1:11">
      <c r="A67" s="4">
        <f t="shared" si="1"/>
        <v>58</v>
      </c>
      <c r="B67" s="7">
        <v>34212</v>
      </c>
      <c r="C67" s="38"/>
      <c r="D67" s="22">
        <f t="shared" si="6"/>
        <v>1.0170476123708239</v>
      </c>
      <c r="E67" s="15"/>
      <c r="F67" s="15"/>
      <c r="G67" s="15"/>
      <c r="H67" s="15"/>
      <c r="J67" s="15">
        <f t="shared" si="8"/>
        <v>6108.872414909195</v>
      </c>
      <c r="K67" s="27">
        <f t="shared" si="7"/>
        <v>6213.0141038613856</v>
      </c>
    </row>
    <row r="68" spans="1:11">
      <c r="A68" s="4">
        <f t="shared" si="1"/>
        <v>59</v>
      </c>
      <c r="B68" s="7">
        <v>34242</v>
      </c>
      <c r="C68" s="38"/>
      <c r="D68" s="22">
        <f t="shared" si="6"/>
        <v>1.0110822484595425</v>
      </c>
      <c r="E68" s="15"/>
      <c r="F68" s="15"/>
      <c r="G68" s="15"/>
      <c r="H68" s="15"/>
      <c r="J68" s="15">
        <f t="shared" si="8"/>
        <v>6121.7813025335954</v>
      </c>
      <c r="K68" s="27">
        <f t="shared" si="7"/>
        <v>6189.6244039432549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3313" r:id="rId4">
          <objectPr defaultSize="0" autoPict="0" r:id="rId5">
            <anchor moveWithCells="1" sizeWithCells="1">
              <from>
                <xdr:col>6</xdr:col>
                <xdr:colOff>590550</xdr:colOff>
                <xdr:row>1</xdr:row>
                <xdr:rowOff>6350</xdr:rowOff>
              </from>
              <to>
                <xdr:col>11</xdr:col>
                <xdr:colOff>19050</xdr:colOff>
                <xdr:row>6</xdr:row>
                <xdr:rowOff>234950</xdr:rowOff>
              </to>
            </anchor>
          </objectPr>
        </oleObject>
      </mc:Choice>
      <mc:Fallback>
        <oleObject progId="Equation.3" shapeId="13313" r:id="rId4"/>
      </mc:Fallback>
    </mc:AlternateContent>
    <mc:AlternateContent xmlns:mc="http://schemas.openxmlformats.org/markup-compatibility/2006">
      <mc:Choice Requires="x14">
        <oleObject progId="Equation.3" shapeId="13314" r:id="rId6">
          <objectPr defaultSize="0" autoPict="0" r:id="rId7">
            <anchor moveWithCells="1" sizeWithCells="1">
              <from>
                <xdr:col>11</xdr:col>
                <xdr:colOff>381000</xdr:colOff>
                <xdr:row>4</xdr:row>
                <xdr:rowOff>12700</xdr:rowOff>
              </from>
              <to>
                <xdr:col>17</xdr:col>
                <xdr:colOff>127000</xdr:colOff>
                <xdr:row>7</xdr:row>
                <xdr:rowOff>44450</xdr:rowOff>
              </to>
            </anchor>
          </objectPr>
        </oleObject>
      </mc:Choice>
      <mc:Fallback>
        <oleObject progId="Equation.3" shapeId="13314" r:id="rId6"/>
      </mc:Fallback>
    </mc:AlternateContent>
    <mc:AlternateContent xmlns:mc="http://schemas.openxmlformats.org/markup-compatibility/2006">
      <mc:Choice Requires="x14">
        <oleObject progId="Equation.3" shapeId="13316" r:id="rId8">
          <objectPr defaultSize="0" autoPict="0" r:id="rId9">
            <anchor moveWithCells="1" sizeWithCells="1">
              <from>
                <xdr:col>11</xdr:col>
                <xdr:colOff>438150</xdr:colOff>
                <xdr:row>5</xdr:row>
                <xdr:rowOff>184150</xdr:rowOff>
              </from>
              <to>
                <xdr:col>13</xdr:col>
                <xdr:colOff>590550</xdr:colOff>
                <xdr:row>7</xdr:row>
                <xdr:rowOff>152400</xdr:rowOff>
              </to>
            </anchor>
          </objectPr>
        </oleObject>
      </mc:Choice>
      <mc:Fallback>
        <oleObject progId="Equation.3" shapeId="13316" r:id="rId8"/>
      </mc:Fallback>
    </mc:AlternateContent>
    <mc:AlternateContent xmlns:mc="http://schemas.openxmlformats.org/markup-compatibility/2006">
      <mc:Choice Requires="x14">
        <oleObject progId="Equation.3" shapeId="13317" r:id="rId10">
          <objectPr defaultSize="0" autoPict="0" r:id="rId11">
            <anchor moveWithCells="1" sizeWithCells="1">
              <from>
                <xdr:col>17</xdr:col>
                <xdr:colOff>476250</xdr:colOff>
                <xdr:row>1</xdr:row>
                <xdr:rowOff>31750</xdr:rowOff>
              </from>
              <to>
                <xdr:col>20</xdr:col>
                <xdr:colOff>476250</xdr:colOff>
                <xdr:row>3</xdr:row>
                <xdr:rowOff>69850</xdr:rowOff>
              </to>
            </anchor>
          </objectPr>
        </oleObject>
      </mc:Choice>
      <mc:Fallback>
        <oleObject progId="Equation.3" shapeId="13317" r:id="rId10"/>
      </mc:Fallback>
    </mc:AlternateContent>
    <mc:AlternateContent xmlns:mc="http://schemas.openxmlformats.org/markup-compatibility/2006">
      <mc:Choice Requires="x14">
        <oleObject progId="Equation.3" shapeId="13318" r:id="rId12">
          <objectPr defaultSize="0" autoPict="0" r:id="rId13">
            <anchor moveWithCells="1" sizeWithCells="1">
              <from>
                <xdr:col>11</xdr:col>
                <xdr:colOff>298450</xdr:colOff>
                <xdr:row>2</xdr:row>
                <xdr:rowOff>19050</xdr:rowOff>
              </from>
              <to>
                <xdr:col>15</xdr:col>
                <xdr:colOff>571500</xdr:colOff>
                <xdr:row>4</xdr:row>
                <xdr:rowOff>38100</xdr:rowOff>
              </to>
            </anchor>
          </objectPr>
        </oleObject>
      </mc:Choice>
      <mc:Fallback>
        <oleObject progId="Equation.3" shapeId="13318" r:id="rId12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69E1-346D-4C7F-9988-65682743DFF8}">
  <dimension ref="A1:K63"/>
  <sheetViews>
    <sheetView topLeftCell="F1" workbookViewId="0">
      <pane ySplit="4" topLeftCell="A5" activePane="bottomLeft" state="frozen"/>
      <selection pane="bottomLeft" activeCell="C2" sqref="C2"/>
    </sheetView>
  </sheetViews>
  <sheetFormatPr defaultRowHeight="14.45"/>
  <cols>
    <col min="2" max="2" width="10.7109375" bestFit="1" customWidth="1"/>
    <col min="5" max="5" width="9.42578125" bestFit="1" customWidth="1"/>
    <col min="6" max="6" width="9.42578125" customWidth="1"/>
    <col min="9" max="9" width="9.42578125" bestFit="1" customWidth="1"/>
    <col min="11" max="11" width="11.85546875" bestFit="1" customWidth="1"/>
  </cols>
  <sheetData>
    <row r="1" spans="1:11">
      <c r="B1" s="4"/>
    </row>
    <row r="2" spans="1:11" ht="15.6">
      <c r="C2" s="50"/>
      <c r="D2" s="50"/>
    </row>
    <row r="4" spans="1:11" ht="43.5">
      <c r="A4" s="3" t="s">
        <v>1</v>
      </c>
      <c r="B4" s="6" t="s">
        <v>2</v>
      </c>
      <c r="C4" s="9" t="s">
        <v>102</v>
      </c>
      <c r="D4" s="16"/>
      <c r="E4" s="26" t="s">
        <v>61</v>
      </c>
      <c r="F4" s="26"/>
      <c r="H4" s="14" t="s">
        <v>131</v>
      </c>
      <c r="I4" t="s">
        <v>96</v>
      </c>
    </row>
    <row r="5" spans="1:11">
      <c r="A5" s="4">
        <v>1</v>
      </c>
      <c r="B5" s="7">
        <v>32477</v>
      </c>
      <c r="C5" s="37">
        <v>3761</v>
      </c>
      <c r="D5" s="37"/>
      <c r="E5" s="27">
        <f t="shared" ref="E5:E51" si="0">C5/H5</f>
        <v>3764.942008120142</v>
      </c>
      <c r="F5" s="27"/>
      <c r="G5">
        <v>0</v>
      </c>
      <c r="H5" s="22">
        <f>H17</f>
        <v>0.99895296976377324</v>
      </c>
    </row>
    <row r="6" spans="1:11">
      <c r="A6" s="4">
        <f>1+A5</f>
        <v>2</v>
      </c>
      <c r="B6" s="7">
        <v>32508</v>
      </c>
      <c r="C6" s="37">
        <v>3770</v>
      </c>
      <c r="D6" s="37"/>
      <c r="E6" s="27">
        <f t="shared" si="0"/>
        <v>3802.8323300443694</v>
      </c>
      <c r="F6" s="27"/>
      <c r="G6">
        <v>0</v>
      </c>
      <c r="H6" s="22">
        <f>H18</f>
        <v>0.99136634823865966</v>
      </c>
    </row>
    <row r="7" spans="1:11">
      <c r="A7" s="4">
        <f t="shared" ref="A7:A63" si="1">1+A6</f>
        <v>3</v>
      </c>
      <c r="B7" s="7">
        <v>32539</v>
      </c>
      <c r="C7" s="37">
        <v>3777</v>
      </c>
      <c r="D7" s="37"/>
      <c r="E7" s="27">
        <f t="shared" si="0"/>
        <v>3831.9579705848228</v>
      </c>
      <c r="F7" s="27"/>
      <c r="G7">
        <v>0</v>
      </c>
      <c r="H7" s="22">
        <v>0.98565799233532947</v>
      </c>
    </row>
    <row r="8" spans="1:11">
      <c r="A8" s="4">
        <f t="shared" si="1"/>
        <v>4</v>
      </c>
      <c r="B8" s="7">
        <v>32567</v>
      </c>
      <c r="C8" s="37">
        <v>3831</v>
      </c>
      <c r="D8" s="37"/>
      <c r="E8" s="27">
        <f t="shared" si="0"/>
        <v>3882.4272050223549</v>
      </c>
      <c r="F8" s="27"/>
      <c r="G8">
        <v>0</v>
      </c>
      <c r="H8" s="22">
        <v>0.9867538520861826</v>
      </c>
    </row>
    <row r="9" spans="1:11">
      <c r="A9" s="4">
        <f t="shared" si="1"/>
        <v>5</v>
      </c>
      <c r="B9" s="7">
        <v>32598</v>
      </c>
      <c r="C9" s="37">
        <v>3916</v>
      </c>
      <c r="D9" s="37"/>
      <c r="E9" s="27">
        <f t="shared" si="0"/>
        <v>3941.0037168641152</v>
      </c>
      <c r="F9" s="27"/>
      <c r="G9">
        <v>0</v>
      </c>
      <c r="H9" s="22">
        <v>0.99365549523408958</v>
      </c>
    </row>
    <row r="10" spans="1:11">
      <c r="A10" s="4">
        <f t="shared" si="1"/>
        <v>6</v>
      </c>
      <c r="B10" s="7">
        <v>32628</v>
      </c>
      <c r="C10" s="37">
        <v>3956</v>
      </c>
      <c r="D10" s="37"/>
      <c r="E10" s="27">
        <f t="shared" si="0"/>
        <v>4043.7277625030488</v>
      </c>
      <c r="F10" s="27"/>
      <c r="G10">
        <v>0</v>
      </c>
      <c r="H10" s="22">
        <v>0.97830522536246467</v>
      </c>
      <c r="J10" t="s">
        <v>132</v>
      </c>
      <c r="K10">
        <f>INTERCEPT(C5:C51,A5:A51)</f>
        <v>3459.4828862164668</v>
      </c>
    </row>
    <row r="11" spans="1:11">
      <c r="A11" s="4">
        <f t="shared" si="1"/>
        <v>7</v>
      </c>
      <c r="B11" s="7">
        <v>32659</v>
      </c>
      <c r="C11" s="37">
        <v>3995</v>
      </c>
      <c r="D11" s="37"/>
      <c r="E11" s="27">
        <f t="shared" si="0"/>
        <v>4036.4672549308007</v>
      </c>
      <c r="F11" s="27"/>
      <c r="G11">
        <v>0</v>
      </c>
      <c r="H11" s="22">
        <v>0.98972684471052108</v>
      </c>
      <c r="J11" t="s">
        <v>133</v>
      </c>
      <c r="K11">
        <f>SLOPE(C5:C51,A5:A51)</f>
        <v>59.386794634597585</v>
      </c>
    </row>
    <row r="12" spans="1:11">
      <c r="A12" s="4">
        <f t="shared" si="1"/>
        <v>8</v>
      </c>
      <c r="B12" s="7">
        <v>32689</v>
      </c>
      <c r="C12" s="37">
        <v>3949</v>
      </c>
      <c r="D12" s="37"/>
      <c r="E12" s="27">
        <f t="shared" si="0"/>
        <v>3884.9339698073859</v>
      </c>
      <c r="F12" s="27"/>
      <c r="G12">
        <v>0</v>
      </c>
      <c r="H12" s="22">
        <v>1.0164908929445178</v>
      </c>
    </row>
    <row r="13" spans="1:11">
      <c r="A13" s="4">
        <f t="shared" si="1"/>
        <v>9</v>
      </c>
      <c r="B13" s="7">
        <v>32720</v>
      </c>
      <c r="C13" s="37">
        <v>3986</v>
      </c>
      <c r="D13" s="37"/>
      <c r="E13" s="27">
        <f t="shared" si="0"/>
        <v>3893.2455539057823</v>
      </c>
      <c r="F13" s="27"/>
      <c r="G13">
        <v>0</v>
      </c>
      <c r="H13" s="22">
        <v>1.023824453097022</v>
      </c>
    </row>
    <row r="14" spans="1:11">
      <c r="A14" s="4">
        <f t="shared" si="1"/>
        <v>10</v>
      </c>
      <c r="B14" s="7">
        <v>32751</v>
      </c>
      <c r="C14" s="37">
        <v>4026</v>
      </c>
      <c r="D14" s="37"/>
      <c r="E14" s="27">
        <f t="shared" si="0"/>
        <v>3958.5167410354115</v>
      </c>
      <c r="F14" s="27"/>
      <c r="G14">
        <v>0</v>
      </c>
      <c r="H14" s="22">
        <v>1.0170476123708239</v>
      </c>
    </row>
    <row r="15" spans="1:11">
      <c r="A15" s="4">
        <f t="shared" si="1"/>
        <v>11</v>
      </c>
      <c r="B15" s="7">
        <v>32781</v>
      </c>
      <c r="C15" s="37">
        <v>4050</v>
      </c>
      <c r="D15" s="37"/>
      <c r="E15" s="27">
        <f t="shared" si="0"/>
        <v>4005.6088475200413</v>
      </c>
      <c r="F15" s="27"/>
      <c r="G15">
        <v>0</v>
      </c>
      <c r="H15" s="22">
        <v>1.0110822484595425</v>
      </c>
      <c r="J15" t="s">
        <v>132</v>
      </c>
      <c r="K15">
        <f>INTERCEPT(E5:E51,A5:A51)</f>
        <v>3477.0921645460749</v>
      </c>
    </row>
    <row r="16" spans="1:11">
      <c r="A16" s="4">
        <f t="shared" si="1"/>
        <v>12</v>
      </c>
      <c r="B16" s="7">
        <v>32812</v>
      </c>
      <c r="C16" s="37">
        <v>4095</v>
      </c>
      <c r="D16" s="37"/>
      <c r="E16" s="27">
        <f t="shared" si="0"/>
        <v>4065.9848660920511</v>
      </c>
      <c r="F16" s="27"/>
      <c r="G16">
        <v>0</v>
      </c>
      <c r="H16" s="22">
        <v>1.0071360653970747</v>
      </c>
      <c r="J16" t="s">
        <v>133</v>
      </c>
      <c r="K16">
        <f>SLOPE(E5:E51,A5:A51)</f>
        <v>58.63850582369848</v>
      </c>
    </row>
    <row r="17" spans="1:8">
      <c r="A17" s="4">
        <f t="shared" si="1"/>
        <v>13</v>
      </c>
      <c r="B17" s="7">
        <v>32842</v>
      </c>
      <c r="C17" s="37">
        <v>4105</v>
      </c>
      <c r="D17" s="37"/>
      <c r="E17" s="27">
        <f t="shared" si="0"/>
        <v>4109.3025640343485</v>
      </c>
      <c r="F17" s="27"/>
      <c r="G17">
        <v>0</v>
      </c>
      <c r="H17" s="22">
        <v>0.99895296976377324</v>
      </c>
    </row>
    <row r="18" spans="1:8">
      <c r="A18" s="4">
        <f t="shared" si="1"/>
        <v>14</v>
      </c>
      <c r="B18" s="7">
        <v>32873</v>
      </c>
      <c r="C18" s="37">
        <v>4126</v>
      </c>
      <c r="D18" s="37"/>
      <c r="E18" s="27">
        <f t="shared" si="0"/>
        <v>4161.9326773907342</v>
      </c>
      <c r="F18" s="27"/>
      <c r="G18">
        <v>0</v>
      </c>
      <c r="H18" s="22">
        <v>0.99136634823865966</v>
      </c>
    </row>
    <row r="19" spans="1:8">
      <c r="A19" s="4">
        <f t="shared" si="1"/>
        <v>15</v>
      </c>
      <c r="B19" s="7">
        <v>32904</v>
      </c>
      <c r="C19" s="37">
        <v>4164</v>
      </c>
      <c r="D19" s="37"/>
      <c r="E19" s="27">
        <f t="shared" si="0"/>
        <v>4224.5890890958972</v>
      </c>
      <c r="F19" s="27"/>
      <c r="G19">
        <v>0</v>
      </c>
      <c r="H19" s="22">
        <f>H7</f>
        <v>0.98565799233532947</v>
      </c>
    </row>
    <row r="20" spans="1:8">
      <c r="A20" s="4">
        <f t="shared" si="1"/>
        <v>16</v>
      </c>
      <c r="B20" s="7">
        <v>32932</v>
      </c>
      <c r="C20" s="37">
        <v>4222</v>
      </c>
      <c r="D20" s="37"/>
      <c r="E20" s="27">
        <f t="shared" si="0"/>
        <v>4278.6759748380009</v>
      </c>
      <c r="F20" s="27"/>
      <c r="G20">
        <v>0</v>
      </c>
      <c r="H20" s="22">
        <f t="shared" ref="H20:H63" si="2">H8</f>
        <v>0.9867538520861826</v>
      </c>
    </row>
    <row r="21" spans="1:8">
      <c r="A21" s="4">
        <f t="shared" si="1"/>
        <v>17</v>
      </c>
      <c r="B21" s="7">
        <v>32963</v>
      </c>
      <c r="C21" s="37">
        <v>4321</v>
      </c>
      <c r="D21" s="37"/>
      <c r="E21" s="27">
        <f t="shared" si="0"/>
        <v>4348.5896477451079</v>
      </c>
      <c r="F21" s="27"/>
      <c r="G21">
        <v>0</v>
      </c>
      <c r="H21" s="22">
        <f t="shared" si="2"/>
        <v>0.99365549523408958</v>
      </c>
    </row>
    <row r="22" spans="1:8">
      <c r="A22" s="4">
        <f t="shared" si="1"/>
        <v>18</v>
      </c>
      <c r="B22" s="7">
        <v>32993</v>
      </c>
      <c r="C22" s="37">
        <v>4335</v>
      </c>
      <c r="D22" s="37"/>
      <c r="E22" s="27">
        <f t="shared" si="0"/>
        <v>4431.1324192241445</v>
      </c>
      <c r="F22" s="27"/>
      <c r="G22">
        <v>0</v>
      </c>
      <c r="H22" s="22">
        <f t="shared" si="2"/>
        <v>0.97830522536246467</v>
      </c>
    </row>
    <row r="23" spans="1:8">
      <c r="A23" s="4">
        <f t="shared" si="1"/>
        <v>19</v>
      </c>
      <c r="B23" s="7">
        <v>33024</v>
      </c>
      <c r="C23" s="37">
        <v>4454</v>
      </c>
      <c r="D23" s="37"/>
      <c r="E23" s="27">
        <f t="shared" si="0"/>
        <v>4500.2315778377442</v>
      </c>
      <c r="F23" s="27"/>
      <c r="G23">
        <v>0</v>
      </c>
      <c r="H23" s="22">
        <f t="shared" si="2"/>
        <v>0.98972684471052108</v>
      </c>
    </row>
    <row r="24" spans="1:8">
      <c r="A24" s="4">
        <f t="shared" si="1"/>
        <v>20</v>
      </c>
      <c r="B24" s="7">
        <v>33054</v>
      </c>
      <c r="C24" s="37">
        <v>4536</v>
      </c>
      <c r="D24" s="37"/>
      <c r="E24" s="27">
        <f t="shared" si="0"/>
        <v>4462.4108602295018</v>
      </c>
      <c r="F24" s="27"/>
      <c r="G24">
        <v>0</v>
      </c>
      <c r="H24" s="22">
        <f t="shared" si="2"/>
        <v>1.0164908929445178</v>
      </c>
    </row>
    <row r="25" spans="1:8">
      <c r="A25" s="4">
        <f t="shared" si="1"/>
        <v>21</v>
      </c>
      <c r="B25" s="7">
        <v>33085</v>
      </c>
      <c r="C25" s="37">
        <v>4597</v>
      </c>
      <c r="D25" s="37"/>
      <c r="E25" s="27">
        <f t="shared" si="0"/>
        <v>4490.0275492485907</v>
      </c>
      <c r="F25" s="27"/>
      <c r="G25">
        <v>0</v>
      </c>
      <c r="H25" s="22">
        <f t="shared" si="2"/>
        <v>1.023824453097022</v>
      </c>
    </row>
    <row r="26" spans="1:8">
      <c r="A26" s="4">
        <f t="shared" si="1"/>
        <v>22</v>
      </c>
      <c r="B26" s="7">
        <v>33116</v>
      </c>
      <c r="C26" s="37">
        <v>4643</v>
      </c>
      <c r="D26" s="37"/>
      <c r="E26" s="27">
        <f t="shared" si="0"/>
        <v>4565.174671790217</v>
      </c>
      <c r="F26" s="27"/>
      <c r="G26">
        <v>0</v>
      </c>
      <c r="H26" s="22">
        <f t="shared" si="2"/>
        <v>1.0170476123708239</v>
      </c>
    </row>
    <row r="27" spans="1:8">
      <c r="A27" s="4">
        <f t="shared" si="1"/>
        <v>23</v>
      </c>
      <c r="B27" s="7">
        <v>33146</v>
      </c>
      <c r="C27" s="37">
        <v>4701</v>
      </c>
      <c r="D27" s="37"/>
      <c r="E27" s="27">
        <f t="shared" si="0"/>
        <v>4649.4733807880775</v>
      </c>
      <c r="F27" s="27"/>
      <c r="G27">
        <v>0</v>
      </c>
      <c r="H27" s="22">
        <f t="shared" si="2"/>
        <v>1.0110822484595425</v>
      </c>
    </row>
    <row r="28" spans="1:8">
      <c r="A28" s="4">
        <f t="shared" si="1"/>
        <v>24</v>
      </c>
      <c r="B28" s="7">
        <v>33177</v>
      </c>
      <c r="C28" s="37">
        <v>4766</v>
      </c>
      <c r="D28" s="37"/>
      <c r="E28" s="27">
        <f t="shared" si="0"/>
        <v>4732.2304937227636</v>
      </c>
      <c r="F28" s="27"/>
      <c r="G28">
        <v>0</v>
      </c>
      <c r="H28" s="22">
        <f t="shared" si="2"/>
        <v>1.0071360653970747</v>
      </c>
    </row>
    <row r="29" spans="1:8">
      <c r="A29" s="4">
        <f t="shared" si="1"/>
        <v>25</v>
      </c>
      <c r="B29" s="7">
        <v>33207</v>
      </c>
      <c r="C29" s="37">
        <v>4781</v>
      </c>
      <c r="D29" s="37"/>
      <c r="E29" s="27">
        <f t="shared" si="0"/>
        <v>4786.0110983308696</v>
      </c>
      <c r="F29" s="27"/>
      <c r="G29">
        <v>0</v>
      </c>
      <c r="H29" s="22">
        <f t="shared" si="2"/>
        <v>0.99895296976377324</v>
      </c>
    </row>
    <row r="30" spans="1:8">
      <c r="A30" s="4">
        <f t="shared" si="1"/>
        <v>26</v>
      </c>
      <c r="B30" s="7">
        <v>33238</v>
      </c>
      <c r="C30" s="37">
        <v>4808</v>
      </c>
      <c r="D30" s="37"/>
      <c r="E30" s="27">
        <f t="shared" si="0"/>
        <v>4849.8721068576469</v>
      </c>
      <c r="F30" s="27"/>
      <c r="G30">
        <v>0</v>
      </c>
      <c r="H30" s="22">
        <f t="shared" si="2"/>
        <v>0.99136634823865966</v>
      </c>
    </row>
    <row r="31" spans="1:8">
      <c r="A31" s="4">
        <f t="shared" si="1"/>
        <v>27</v>
      </c>
      <c r="B31" s="7">
        <v>33269</v>
      </c>
      <c r="C31" s="37">
        <v>4836</v>
      </c>
      <c r="D31" s="37"/>
      <c r="E31" s="27">
        <f t="shared" si="0"/>
        <v>4906.3671553476843</v>
      </c>
      <c r="F31" s="27"/>
      <c r="G31">
        <v>0</v>
      </c>
      <c r="H31" s="22">
        <f t="shared" si="2"/>
        <v>0.98565799233532947</v>
      </c>
    </row>
    <row r="32" spans="1:8">
      <c r="A32" s="4">
        <f t="shared" si="1"/>
        <v>28</v>
      </c>
      <c r="B32" s="7">
        <v>33297</v>
      </c>
      <c r="C32" s="37">
        <v>4937</v>
      </c>
      <c r="D32" s="37"/>
      <c r="E32" s="27">
        <f t="shared" si="0"/>
        <v>5003.27410889986</v>
      </c>
      <c r="F32" s="27"/>
      <c r="G32">
        <v>0</v>
      </c>
      <c r="H32" s="22">
        <f t="shared" si="2"/>
        <v>0.9867538520861826</v>
      </c>
    </row>
    <row r="33" spans="1:8">
      <c r="A33" s="4">
        <f t="shared" si="1"/>
        <v>29</v>
      </c>
      <c r="B33" s="7">
        <v>33328</v>
      </c>
      <c r="C33" s="37">
        <v>5054</v>
      </c>
      <c r="D33" s="37"/>
      <c r="E33" s="27">
        <f t="shared" si="0"/>
        <v>5086.2698633889777</v>
      </c>
      <c r="F33" s="27"/>
      <c r="G33">
        <v>0</v>
      </c>
      <c r="H33" s="22">
        <f t="shared" si="2"/>
        <v>0.99365549523408958</v>
      </c>
    </row>
    <row r="34" spans="1:8">
      <c r="A34" s="4">
        <f t="shared" si="1"/>
        <v>30</v>
      </c>
      <c r="B34" s="7">
        <v>33358</v>
      </c>
      <c r="C34" s="37">
        <v>5103</v>
      </c>
      <c r="D34" s="37"/>
      <c r="E34" s="27">
        <f t="shared" si="0"/>
        <v>5216.1634914188717</v>
      </c>
      <c r="F34" s="27"/>
      <c r="G34">
        <v>0</v>
      </c>
      <c r="H34" s="22">
        <f t="shared" si="2"/>
        <v>0.97830522536246467</v>
      </c>
    </row>
    <row r="35" spans="1:8">
      <c r="A35" s="4">
        <f t="shared" si="1"/>
        <v>31</v>
      </c>
      <c r="B35" s="7">
        <v>33389</v>
      </c>
      <c r="C35" s="37">
        <v>5105</v>
      </c>
      <c r="D35" s="37"/>
      <c r="E35" s="27">
        <f t="shared" si="0"/>
        <v>5157.9888201305976</v>
      </c>
      <c r="F35" s="27"/>
      <c r="G35">
        <v>0</v>
      </c>
      <c r="H35" s="22">
        <f t="shared" si="2"/>
        <v>0.98972684471052108</v>
      </c>
    </row>
    <row r="36" spans="1:8">
      <c r="A36" s="4">
        <f t="shared" si="1"/>
        <v>32</v>
      </c>
      <c r="B36" s="12">
        <v>33419</v>
      </c>
      <c r="C36" s="37">
        <v>5704</v>
      </c>
      <c r="D36" s="37"/>
      <c r="E36" s="27">
        <f t="shared" si="0"/>
        <v>5611.4619812057053</v>
      </c>
      <c r="F36" s="27"/>
      <c r="G36">
        <v>0</v>
      </c>
      <c r="H36" s="22">
        <f t="shared" si="2"/>
        <v>1.0164908929445178</v>
      </c>
    </row>
    <row r="37" spans="1:8">
      <c r="A37" s="4">
        <f t="shared" si="1"/>
        <v>33</v>
      </c>
      <c r="B37" s="12">
        <v>33450</v>
      </c>
      <c r="C37" s="37">
        <v>5907</v>
      </c>
      <c r="D37" s="37"/>
      <c r="E37" s="27">
        <f t="shared" si="0"/>
        <v>5769.5437749426637</v>
      </c>
      <c r="F37" s="27"/>
      <c r="G37">
        <v>0</v>
      </c>
      <c r="H37" s="22">
        <f>H25</f>
        <v>1.023824453097022</v>
      </c>
    </row>
    <row r="38" spans="1:8">
      <c r="A38" s="4">
        <f t="shared" si="1"/>
        <v>34</v>
      </c>
      <c r="B38" s="7">
        <v>33481</v>
      </c>
      <c r="C38" s="37">
        <v>5889</v>
      </c>
      <c r="D38" s="37"/>
      <c r="E38" s="27">
        <f t="shared" si="0"/>
        <v>5790.2893909482209</v>
      </c>
      <c r="F38" s="27"/>
      <c r="G38">
        <v>0</v>
      </c>
      <c r="H38" s="22">
        <f t="shared" si="2"/>
        <v>1.0170476123708239</v>
      </c>
    </row>
    <row r="39" spans="1:8">
      <c r="A39" s="4">
        <f t="shared" si="1"/>
        <v>35</v>
      </c>
      <c r="B39" s="7">
        <v>33511</v>
      </c>
      <c r="C39" s="37">
        <v>5887</v>
      </c>
      <c r="D39" s="37"/>
      <c r="E39" s="27">
        <f t="shared" si="0"/>
        <v>5822.4738976174031</v>
      </c>
      <c r="F39" s="27"/>
      <c r="G39">
        <v>0</v>
      </c>
      <c r="H39" s="22">
        <f t="shared" si="2"/>
        <v>1.0110822484595425</v>
      </c>
    </row>
    <row r="40" spans="1:8">
      <c r="A40" s="4">
        <f t="shared" si="1"/>
        <v>36</v>
      </c>
      <c r="B40" s="7">
        <v>33542</v>
      </c>
      <c r="C40" s="37">
        <v>5876</v>
      </c>
      <c r="D40" s="37"/>
      <c r="E40" s="27">
        <f t="shared" si="0"/>
        <v>5834.3655856304986</v>
      </c>
      <c r="F40" s="27"/>
      <c r="G40">
        <v>0</v>
      </c>
      <c r="H40" s="22">
        <f t="shared" si="2"/>
        <v>1.0071360653970747</v>
      </c>
    </row>
    <row r="41" spans="1:8">
      <c r="A41" s="4">
        <f t="shared" si="1"/>
        <v>37</v>
      </c>
      <c r="B41" s="7">
        <v>33572</v>
      </c>
      <c r="C41" s="37">
        <v>5896</v>
      </c>
      <c r="D41" s="37"/>
      <c r="E41" s="27">
        <f t="shared" si="0"/>
        <v>5902.1797606690661</v>
      </c>
      <c r="F41" s="27"/>
      <c r="G41">
        <v>0</v>
      </c>
      <c r="H41" s="22">
        <f t="shared" si="2"/>
        <v>0.99895296976377324</v>
      </c>
    </row>
    <row r="42" spans="1:8">
      <c r="A42" s="4">
        <f t="shared" si="1"/>
        <v>38</v>
      </c>
      <c r="B42" s="7">
        <v>33603</v>
      </c>
      <c r="C42" s="37">
        <v>5900</v>
      </c>
      <c r="D42" s="37"/>
      <c r="E42" s="27">
        <f t="shared" si="0"/>
        <v>5951.3821610773957</v>
      </c>
      <c r="F42" s="27"/>
      <c r="G42">
        <v>0</v>
      </c>
      <c r="H42" s="22">
        <f t="shared" si="2"/>
        <v>0.99136634823865966</v>
      </c>
    </row>
    <row r="43" spans="1:8">
      <c r="A43" s="4">
        <f t="shared" si="1"/>
        <v>39</v>
      </c>
      <c r="B43" s="7">
        <v>33634</v>
      </c>
      <c r="C43" s="37">
        <v>5917</v>
      </c>
      <c r="D43" s="37"/>
      <c r="E43" s="27">
        <f t="shared" si="0"/>
        <v>6003.0964553747408</v>
      </c>
      <c r="F43" s="27"/>
      <c r="G43">
        <v>0</v>
      </c>
      <c r="H43" s="22">
        <f t="shared" si="2"/>
        <v>0.98565799233532947</v>
      </c>
    </row>
    <row r="44" spans="1:8">
      <c r="A44" s="4">
        <f t="shared" si="1"/>
        <v>40</v>
      </c>
      <c r="B44" s="7">
        <v>33663</v>
      </c>
      <c r="C44" s="37">
        <v>5938</v>
      </c>
      <c r="D44" s="37"/>
      <c r="E44" s="27">
        <f t="shared" si="0"/>
        <v>6017.7114965864639</v>
      </c>
      <c r="F44" s="27"/>
      <c r="G44">
        <v>0</v>
      </c>
      <c r="H44" s="22">
        <f t="shared" si="2"/>
        <v>0.9867538520861826</v>
      </c>
    </row>
    <row r="45" spans="1:8">
      <c r="A45" s="4">
        <f t="shared" si="1"/>
        <v>41</v>
      </c>
      <c r="B45" s="7">
        <v>33694</v>
      </c>
      <c r="C45" s="37">
        <v>5987</v>
      </c>
      <c r="D45" s="37"/>
      <c r="E45" s="27">
        <f t="shared" si="0"/>
        <v>6025.2270819370424</v>
      </c>
      <c r="F45" s="27"/>
      <c r="G45">
        <v>0</v>
      </c>
      <c r="H45" s="22">
        <f t="shared" si="2"/>
        <v>0.99365549523408958</v>
      </c>
    </row>
    <row r="46" spans="1:8">
      <c r="A46" s="4">
        <f t="shared" si="1"/>
        <v>42</v>
      </c>
      <c r="B46" s="7">
        <v>33724</v>
      </c>
      <c r="C46" s="37">
        <v>5983</v>
      </c>
      <c r="D46" s="37"/>
      <c r="E46" s="27">
        <f t="shared" si="0"/>
        <v>6115.6782616419969</v>
      </c>
      <c r="F46" s="27"/>
      <c r="G46">
        <v>0</v>
      </c>
      <c r="H46" s="22">
        <f>H34</f>
        <v>0.97830522536246467</v>
      </c>
    </row>
    <row r="47" spans="1:8">
      <c r="A47" s="4">
        <f t="shared" si="1"/>
        <v>43</v>
      </c>
      <c r="B47" s="7">
        <v>33755</v>
      </c>
      <c r="C47" s="37">
        <v>5981</v>
      </c>
      <c r="D47" s="37"/>
      <c r="E47" s="27">
        <f t="shared" si="0"/>
        <v>6043.0815148288157</v>
      </c>
      <c r="F47" s="27"/>
      <c r="G47">
        <v>0</v>
      </c>
      <c r="H47" s="22">
        <f t="shared" si="2"/>
        <v>0.98972684471052108</v>
      </c>
    </row>
    <row r="48" spans="1:8">
      <c r="A48" s="4">
        <f t="shared" si="1"/>
        <v>44</v>
      </c>
      <c r="B48" s="7">
        <v>33785</v>
      </c>
      <c r="C48" s="37">
        <v>5975</v>
      </c>
      <c r="D48" s="37"/>
      <c r="E48" s="27">
        <f t="shared" si="0"/>
        <v>5878.0654519116561</v>
      </c>
      <c r="F48" s="27"/>
      <c r="G48">
        <v>0</v>
      </c>
      <c r="H48" s="22">
        <f t="shared" si="2"/>
        <v>1.0164908929445178</v>
      </c>
    </row>
    <row r="49" spans="1:9">
      <c r="A49" s="4">
        <f t="shared" si="1"/>
        <v>45</v>
      </c>
      <c r="B49" s="7">
        <v>33816</v>
      </c>
      <c r="C49" s="37">
        <v>5985</v>
      </c>
      <c r="D49" s="37"/>
      <c r="E49" s="27">
        <f t="shared" si="0"/>
        <v>5845.7287105183414</v>
      </c>
      <c r="F49" s="27"/>
      <c r="G49">
        <v>0</v>
      </c>
      <c r="H49" s="22">
        <f t="shared" si="2"/>
        <v>1.023824453097022</v>
      </c>
    </row>
    <row r="50" spans="1:9">
      <c r="A50" s="4">
        <f t="shared" si="1"/>
        <v>46</v>
      </c>
      <c r="B50" s="7">
        <v>33847</v>
      </c>
      <c r="C50" s="37">
        <v>6029</v>
      </c>
      <c r="D50" s="37"/>
      <c r="E50" s="27">
        <f t="shared" si="0"/>
        <v>5927.9427301794576</v>
      </c>
      <c r="F50" s="27"/>
      <c r="G50">
        <v>0</v>
      </c>
      <c r="H50" s="22">
        <f t="shared" si="2"/>
        <v>1.0170476123708239</v>
      </c>
    </row>
    <row r="51" spans="1:9">
      <c r="A51" s="4">
        <f t="shared" si="1"/>
        <v>47</v>
      </c>
      <c r="B51" s="7">
        <v>33877</v>
      </c>
      <c r="C51" s="37">
        <v>6024</v>
      </c>
      <c r="D51" s="37"/>
      <c r="E51" s="27">
        <f t="shared" si="0"/>
        <v>5957.9722709779571</v>
      </c>
      <c r="F51" s="27"/>
      <c r="G51">
        <v>0</v>
      </c>
      <c r="H51" s="22">
        <f t="shared" si="2"/>
        <v>1.0110822484595425</v>
      </c>
    </row>
    <row r="52" spans="1:9">
      <c r="A52" s="4">
        <f t="shared" si="1"/>
        <v>48</v>
      </c>
      <c r="B52" s="7">
        <v>33908</v>
      </c>
      <c r="C52" s="38"/>
      <c r="D52" s="15">
        <f t="shared" ref="D52:D63" si="3">$K$10+$K$11*A52</f>
        <v>6310.049028677151</v>
      </c>
      <c r="F52" s="15">
        <f>$K$15+$K$16*A52</f>
        <v>6291.7404440836017</v>
      </c>
      <c r="G52">
        <v>0</v>
      </c>
      <c r="H52" s="22">
        <f>H40</f>
        <v>1.0071360653970747</v>
      </c>
      <c r="I52" s="22">
        <f>H52*F52</f>
        <v>6336.6387153540018</v>
      </c>
    </row>
    <row r="53" spans="1:9">
      <c r="A53" s="4">
        <f t="shared" si="1"/>
        <v>49</v>
      </c>
      <c r="B53" s="7">
        <v>33938</v>
      </c>
      <c r="C53" s="38"/>
      <c r="D53" s="15">
        <f t="shared" si="3"/>
        <v>6369.4358233117491</v>
      </c>
      <c r="F53" s="15">
        <f t="shared" ref="F53:F62" si="4">$K$15+$K$16*A53</f>
        <v>6350.3789499073009</v>
      </c>
      <c r="G53">
        <v>0</v>
      </c>
      <c r="H53" s="22">
        <f t="shared" si="2"/>
        <v>0.99895296976377324</v>
      </c>
      <c r="I53" s="22">
        <f t="shared" ref="I53:I63" si="5">H53*F53</f>
        <v>6343.7299111352504</v>
      </c>
    </row>
    <row r="54" spans="1:9">
      <c r="A54" s="4">
        <f t="shared" si="1"/>
        <v>50</v>
      </c>
      <c r="B54" s="7">
        <v>33969</v>
      </c>
      <c r="C54" s="38"/>
      <c r="D54" s="15">
        <f t="shared" si="3"/>
        <v>6428.8226179463454</v>
      </c>
      <c r="F54" s="15">
        <f t="shared" si="4"/>
        <v>6409.0174557309983</v>
      </c>
      <c r="G54">
        <v>0</v>
      </c>
      <c r="H54" s="22">
        <f t="shared" si="2"/>
        <v>0.99136634823865966</v>
      </c>
      <c r="I54" s="22">
        <f t="shared" si="5"/>
        <v>6353.684230885865</v>
      </c>
    </row>
    <row r="55" spans="1:9">
      <c r="A55" s="4">
        <f t="shared" si="1"/>
        <v>51</v>
      </c>
      <c r="B55" s="7">
        <v>34000</v>
      </c>
      <c r="C55" s="38"/>
      <c r="D55" s="15">
        <f t="shared" si="3"/>
        <v>6488.2094125809435</v>
      </c>
      <c r="F55" s="15">
        <f t="shared" si="4"/>
        <v>6467.6559615546976</v>
      </c>
      <c r="G55">
        <v>0</v>
      </c>
      <c r="H55" s="22">
        <f t="shared" si="2"/>
        <v>0.98565799233532947</v>
      </c>
      <c r="I55" s="22">
        <f t="shared" si="5"/>
        <v>6374.8967901816277</v>
      </c>
    </row>
    <row r="56" spans="1:9">
      <c r="A56" s="4">
        <f t="shared" si="1"/>
        <v>52</v>
      </c>
      <c r="B56" s="7">
        <v>34028</v>
      </c>
      <c r="C56" s="38"/>
      <c r="D56" s="15">
        <f t="shared" si="3"/>
        <v>6547.5962072155417</v>
      </c>
      <c r="F56" s="15">
        <f t="shared" si="4"/>
        <v>6526.2944673783959</v>
      </c>
      <c r="G56">
        <v>0</v>
      </c>
      <c r="H56" s="22">
        <f t="shared" si="2"/>
        <v>0.9867538520861826</v>
      </c>
      <c r="I56" s="22">
        <f t="shared" si="5"/>
        <v>6439.8462055343734</v>
      </c>
    </row>
    <row r="57" spans="1:9">
      <c r="A57" s="4">
        <f t="shared" si="1"/>
        <v>53</v>
      </c>
      <c r="B57" s="7">
        <v>34059</v>
      </c>
      <c r="C57" s="38"/>
      <c r="D57" s="15">
        <f t="shared" si="3"/>
        <v>6606.9830018501389</v>
      </c>
      <c r="F57" s="15">
        <f t="shared" si="4"/>
        <v>6584.9329732020942</v>
      </c>
      <c r="G57">
        <v>0</v>
      </c>
      <c r="H57" s="22">
        <f t="shared" si="2"/>
        <v>0.99365549523408958</v>
      </c>
      <c r="I57" s="22">
        <f t="shared" si="5"/>
        <v>6543.1548345704132</v>
      </c>
    </row>
    <row r="58" spans="1:9">
      <c r="A58" s="4">
        <f t="shared" si="1"/>
        <v>54</v>
      </c>
      <c r="B58" s="7">
        <v>34089</v>
      </c>
      <c r="C58" s="38"/>
      <c r="D58" s="15">
        <f t="shared" si="3"/>
        <v>6666.3697964847361</v>
      </c>
      <c r="F58" s="15">
        <f t="shared" si="4"/>
        <v>6643.5714790257935</v>
      </c>
      <c r="G58">
        <v>0</v>
      </c>
      <c r="H58" s="22">
        <f t="shared" si="2"/>
        <v>0.97830522536246467</v>
      </c>
      <c r="I58" s="22">
        <f t="shared" si="5"/>
        <v>6499.4406929999714</v>
      </c>
    </row>
    <row r="59" spans="1:9">
      <c r="A59" s="4">
        <f t="shared" si="1"/>
        <v>55</v>
      </c>
      <c r="B59" s="7">
        <v>34120</v>
      </c>
      <c r="C59" s="38"/>
      <c r="D59" s="15">
        <f t="shared" si="3"/>
        <v>6725.7565911193342</v>
      </c>
      <c r="F59" s="15">
        <f t="shared" si="4"/>
        <v>6702.2099848494909</v>
      </c>
      <c r="G59">
        <v>0</v>
      </c>
      <c r="H59" s="22">
        <f t="shared" si="2"/>
        <v>0.98972684471052108</v>
      </c>
      <c r="I59" s="22">
        <f t="shared" si="5"/>
        <v>6633.3571408924363</v>
      </c>
    </row>
    <row r="60" spans="1:9">
      <c r="A60" s="4">
        <f t="shared" si="1"/>
        <v>56</v>
      </c>
      <c r="B60" s="7">
        <v>34150</v>
      </c>
      <c r="C60" s="38"/>
      <c r="D60" s="15">
        <f t="shared" si="3"/>
        <v>6785.1433857539314</v>
      </c>
      <c r="F60" s="15">
        <f t="shared" si="4"/>
        <v>6760.8484906731901</v>
      </c>
      <c r="G60">
        <v>0</v>
      </c>
      <c r="H60" s="22">
        <f t="shared" si="2"/>
        <v>1.0164908929445178</v>
      </c>
      <c r="I60" s="22">
        <f t="shared" si="5"/>
        <v>6872.3409193469861</v>
      </c>
    </row>
    <row r="61" spans="1:9">
      <c r="A61" s="4">
        <f t="shared" si="1"/>
        <v>57</v>
      </c>
      <c r="B61" s="7">
        <v>34181</v>
      </c>
      <c r="C61" s="38"/>
      <c r="D61" s="15">
        <f t="shared" si="3"/>
        <v>6844.5301803885286</v>
      </c>
      <c r="F61" s="15">
        <f t="shared" si="4"/>
        <v>6819.4869964968884</v>
      </c>
      <c r="G61">
        <v>0</v>
      </c>
      <c r="H61" s="22">
        <f t="shared" si="2"/>
        <v>1.023824453097022</v>
      </c>
      <c r="I61" s="22">
        <f t="shared" si="5"/>
        <v>6981.9575445906794</v>
      </c>
    </row>
    <row r="62" spans="1:9">
      <c r="A62" s="4">
        <f t="shared" si="1"/>
        <v>58</v>
      </c>
      <c r="B62" s="7">
        <v>34212</v>
      </c>
      <c r="C62" s="38"/>
      <c r="D62" s="15">
        <f t="shared" si="3"/>
        <v>6903.9169750231267</v>
      </c>
      <c r="F62" s="15">
        <f t="shared" si="4"/>
        <v>6878.1255023205867</v>
      </c>
      <c r="G62">
        <v>0</v>
      </c>
      <c r="H62" s="22">
        <f t="shared" si="2"/>
        <v>1.0170476123708239</v>
      </c>
      <c r="I62" s="22">
        <f t="shared" si="5"/>
        <v>6995.3811197220266</v>
      </c>
    </row>
    <row r="63" spans="1:9">
      <c r="A63" s="4">
        <f t="shared" si="1"/>
        <v>59</v>
      </c>
      <c r="B63" s="7">
        <v>34242</v>
      </c>
      <c r="C63" s="38"/>
      <c r="D63" s="15">
        <f t="shared" si="3"/>
        <v>6963.3037696577248</v>
      </c>
      <c r="F63" s="15">
        <f>$K$15+$K$16*A63</f>
        <v>6936.7640081442851</v>
      </c>
      <c r="G63">
        <v>0</v>
      </c>
      <c r="H63" s="22">
        <f t="shared" si="2"/>
        <v>1.0110822484595425</v>
      </c>
      <c r="I63" s="22">
        <f t="shared" si="5"/>
        <v>7013.6389503877517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54EA-5EA4-468B-A850-468EE1504136}">
  <dimension ref="A1:N68"/>
  <sheetViews>
    <sheetView workbookViewId="0">
      <pane ySplit="6" topLeftCell="A36" activePane="bottomLeft" state="frozen"/>
      <selection pane="bottomLeft" activeCell="L54" sqref="L54:L65"/>
    </sheetView>
  </sheetViews>
  <sheetFormatPr defaultRowHeight="14.45"/>
  <cols>
    <col min="1" max="1" width="2.85546875" bestFit="1" customWidth="1"/>
    <col min="2" max="2" width="10.42578125" bestFit="1" customWidth="1"/>
    <col min="3" max="3" width="11.85546875" customWidth="1"/>
    <col min="4" max="4" width="1.85546875" bestFit="1" customWidth="1"/>
    <col min="5" max="5" width="6.85546875" bestFit="1" customWidth="1"/>
    <col min="6" max="6" width="9.42578125" bestFit="1" customWidth="1"/>
    <col min="7" max="7" width="6.5703125" bestFit="1" customWidth="1"/>
    <col min="8" max="8" width="5.42578125" bestFit="1" customWidth="1"/>
    <col min="9" max="9" width="7" bestFit="1" customWidth="1"/>
    <col min="10" max="10" width="7.5703125" bestFit="1" customWidth="1"/>
    <col min="11" max="11" width="6.42578125" bestFit="1" customWidth="1"/>
    <col min="12" max="12" width="8.85546875" bestFit="1" customWidth="1"/>
    <col min="13" max="13" width="7" bestFit="1" customWidth="1"/>
    <col min="14" max="14" width="13.42578125" bestFit="1" customWidth="1"/>
  </cols>
  <sheetData>
    <row r="1" spans="1:14">
      <c r="B1" s="4"/>
    </row>
    <row r="2" spans="1:14" ht="15.6">
      <c r="C2" s="50" t="s">
        <v>98</v>
      </c>
    </row>
    <row r="4" spans="1:14" ht="18">
      <c r="H4" s="76" t="s">
        <v>134</v>
      </c>
      <c r="I4" s="76" t="s">
        <v>135</v>
      </c>
    </row>
    <row r="5" spans="1:14">
      <c r="H5" s="77">
        <v>0.35</v>
      </c>
      <c r="I5" s="77">
        <v>0.04</v>
      </c>
      <c r="J5" s="46" t="s">
        <v>100</v>
      </c>
    </row>
    <row r="6" spans="1:14" ht="44.1">
      <c r="A6" s="3" t="s">
        <v>1</v>
      </c>
      <c r="B6" s="6" t="s">
        <v>2</v>
      </c>
      <c r="C6" s="9" t="s">
        <v>102</v>
      </c>
      <c r="E6" s="14" t="s">
        <v>136</v>
      </c>
      <c r="F6" s="26" t="s">
        <v>61</v>
      </c>
      <c r="G6" t="s">
        <v>137</v>
      </c>
      <c r="H6" s="46" t="s">
        <v>103</v>
      </c>
      <c r="I6" s="46" t="s">
        <v>104</v>
      </c>
      <c r="J6" s="46" t="s">
        <v>105</v>
      </c>
      <c r="K6" s="46" t="s">
        <v>96</v>
      </c>
      <c r="L6" s="74" t="s">
        <v>138</v>
      </c>
      <c r="M6" s="75" t="s">
        <v>107</v>
      </c>
      <c r="N6" s="75" t="s">
        <v>108</v>
      </c>
    </row>
    <row r="7" spans="1:14">
      <c r="A7" s="4">
        <v>1</v>
      </c>
      <c r="B7" s="7">
        <v>32477</v>
      </c>
      <c r="C7" s="37">
        <v>3761</v>
      </c>
      <c r="D7">
        <v>0</v>
      </c>
      <c r="E7" s="22">
        <f>E19</f>
        <v>0.99895296976377324</v>
      </c>
      <c r="F7" s="27">
        <f t="shared" ref="F7:F53" si="0">C7/E7</f>
        <v>3764.942008120142</v>
      </c>
      <c r="G7" s="38">
        <f>LN(F7)</f>
        <v>8.2334877372256319</v>
      </c>
      <c r="H7" s="38">
        <f>AVERAGE(G7:G11)</f>
        <v>8.2543053703988551</v>
      </c>
      <c r="I7" s="22">
        <f>(G7-G13)/6</f>
        <v>-1.1606234888908773E-2</v>
      </c>
      <c r="M7" s="22"/>
      <c r="N7" s="22"/>
    </row>
    <row r="8" spans="1:14">
      <c r="A8" s="4">
        <f>1+A7</f>
        <v>2</v>
      </c>
      <c r="B8" s="7">
        <v>32508</v>
      </c>
      <c r="C8" s="37">
        <v>3770</v>
      </c>
      <c r="D8">
        <v>0</v>
      </c>
      <c r="E8" s="22">
        <f>E20</f>
        <v>0.99136634823865966</v>
      </c>
      <c r="F8" s="27">
        <f t="shared" si="0"/>
        <v>3802.8323300443694</v>
      </c>
      <c r="G8" s="38">
        <f>LN(F8)</f>
        <v>8.2435014180907817</v>
      </c>
      <c r="H8" s="75">
        <f>H$5*G8+(1-H$5)*(H7+I7)</f>
        <v>8.2429799344132384</v>
      </c>
      <c r="I8" s="78">
        <f>I$5*(H8-H7)+(1-I$5)*I7</f>
        <v>-1.1595002932777092E-2</v>
      </c>
      <c r="J8" s="22">
        <f>H7+I7</f>
        <v>8.2426991355099464</v>
      </c>
      <c r="K8" s="46">
        <f>EXP(J8)</f>
        <v>3799.7826074413788</v>
      </c>
      <c r="M8" s="22">
        <f>H8-J8</f>
        <v>2.8079890329202328E-4</v>
      </c>
      <c r="N8" s="22">
        <f>M8^2</f>
        <v>7.8848024090003048E-8</v>
      </c>
    </row>
    <row r="9" spans="1:14">
      <c r="A9" s="4">
        <f t="shared" ref="A9:A65" si="1">1+A8</f>
        <v>3</v>
      </c>
      <c r="B9" s="7">
        <v>32539</v>
      </c>
      <c r="C9" s="37">
        <v>3777</v>
      </c>
      <c r="D9">
        <v>0</v>
      </c>
      <c r="E9" s="22">
        <v>0.98565799233532947</v>
      </c>
      <c r="F9" s="27">
        <f t="shared" si="0"/>
        <v>3831.9579705848228</v>
      </c>
      <c r="G9" s="38">
        <f t="shared" ref="G9:G53" si="2">LN(F9)</f>
        <v>8.2511311710203792</v>
      </c>
      <c r="H9" s="75">
        <f>H$5*G9+(1-H$5)*(H8+I8)</f>
        <v>8.2382961153194323</v>
      </c>
      <c r="I9" s="78">
        <f t="shared" ref="I9:I52" si="3">I$5*(H9-H8)+(1-I$5)*I8</f>
        <v>-1.1318555579218251E-2</v>
      </c>
      <c r="J9" s="22">
        <f t="shared" ref="J9:J52" si="4">H8+I8</f>
        <v>8.231384931480461</v>
      </c>
      <c r="K9" s="46">
        <f t="shared" ref="K9:K52" si="5">EXP(J9)</f>
        <v>3757.0333844990164</v>
      </c>
      <c r="M9" s="22">
        <f t="shared" ref="M9:M53" si="6">H9-J9</f>
        <v>6.9111838389712688E-3</v>
      </c>
      <c r="N9" s="22">
        <f t="shared" ref="N9:N53" si="7">M9^2</f>
        <v>4.7764462056057646E-5</v>
      </c>
    </row>
    <row r="10" spans="1:14">
      <c r="A10" s="4">
        <f t="shared" si="1"/>
        <v>4</v>
      </c>
      <c r="B10" s="7">
        <v>32567</v>
      </c>
      <c r="C10" s="37">
        <v>3831</v>
      </c>
      <c r="D10">
        <v>0</v>
      </c>
      <c r="E10" s="22">
        <v>0.9867538520861826</v>
      </c>
      <c r="F10" s="27">
        <f t="shared" si="0"/>
        <v>3882.4272050223549</v>
      </c>
      <c r="G10" s="38">
        <f t="shared" si="2"/>
        <v>8.2642158053357626</v>
      </c>
      <c r="H10" s="75">
        <f t="shared" ref="H10:H53" si="8">H$5*G10+(1-H$5)*(H9+I9)</f>
        <v>8.240010945698657</v>
      </c>
      <c r="I10" s="78">
        <f t="shared" si="3"/>
        <v>-1.0797220140880531E-2</v>
      </c>
      <c r="J10" s="22">
        <f t="shared" si="4"/>
        <v>8.2269775597402148</v>
      </c>
      <c r="K10" s="46">
        <f t="shared" si="5"/>
        <v>3740.5111782307213</v>
      </c>
      <c r="M10" s="22">
        <f t="shared" si="6"/>
        <v>1.3033385958442167E-2</v>
      </c>
      <c r="N10" s="22">
        <f t="shared" si="7"/>
        <v>1.6986914954171745E-4</v>
      </c>
    </row>
    <row r="11" spans="1:14">
      <c r="A11" s="4">
        <f t="shared" si="1"/>
        <v>5</v>
      </c>
      <c r="B11" s="7">
        <v>32598</v>
      </c>
      <c r="C11" s="37">
        <v>3916</v>
      </c>
      <c r="D11">
        <v>0</v>
      </c>
      <c r="E11" s="22">
        <v>0.99365549523408958</v>
      </c>
      <c r="F11" s="27">
        <f t="shared" si="0"/>
        <v>3941.0037168641152</v>
      </c>
      <c r="G11" s="38">
        <f t="shared" si="2"/>
        <v>8.2791907203217132</v>
      </c>
      <c r="H11" s="75">
        <f t="shared" si="8"/>
        <v>8.2467056737251543</v>
      </c>
      <c r="I11" s="78">
        <f t="shared" si="3"/>
        <v>-1.0097542214185417E-2</v>
      </c>
      <c r="J11" s="22">
        <f t="shared" si="4"/>
        <v>8.2292137255577771</v>
      </c>
      <c r="K11" s="46">
        <f t="shared" si="5"/>
        <v>3748.8849405388364</v>
      </c>
      <c r="M11" s="22">
        <f t="shared" si="6"/>
        <v>1.7491948167377203E-2</v>
      </c>
      <c r="N11" s="22">
        <f t="shared" si="7"/>
        <v>3.0596825069021066E-4</v>
      </c>
    </row>
    <row r="12" spans="1:14">
      <c r="A12" s="4">
        <f t="shared" si="1"/>
        <v>6</v>
      </c>
      <c r="B12" s="7">
        <v>32628</v>
      </c>
      <c r="C12" s="37">
        <v>3956</v>
      </c>
      <c r="D12">
        <v>0</v>
      </c>
      <c r="E12" s="22">
        <v>0.97830522536246467</v>
      </c>
      <c r="F12" s="27">
        <f t="shared" si="0"/>
        <v>4043.7277625030488</v>
      </c>
      <c r="G12" s="38">
        <f t="shared" si="2"/>
        <v>8.3049222590076415</v>
      </c>
      <c r="H12" s="75">
        <f t="shared" si="8"/>
        <v>8.2605180761348045</v>
      </c>
      <c r="I12" s="78">
        <f t="shared" si="3"/>
        <v>-9.1411444292319923E-3</v>
      </c>
      <c r="J12" s="22">
        <f t="shared" si="4"/>
        <v>8.2366081315109696</v>
      </c>
      <c r="K12" s="46">
        <f t="shared" si="5"/>
        <v>3776.7084600842854</v>
      </c>
      <c r="M12" s="22">
        <f t="shared" si="6"/>
        <v>2.3909944623834889E-2</v>
      </c>
      <c r="N12" s="22">
        <f t="shared" si="7"/>
        <v>5.7168545191485086E-4</v>
      </c>
    </row>
    <row r="13" spans="1:14">
      <c r="A13" s="4">
        <f t="shared" si="1"/>
        <v>7</v>
      </c>
      <c r="B13" s="7">
        <v>32659</v>
      </c>
      <c r="C13" s="37">
        <v>3995</v>
      </c>
      <c r="D13">
        <v>0</v>
      </c>
      <c r="E13" s="22">
        <v>0.98972684471052108</v>
      </c>
      <c r="F13" s="27">
        <f t="shared" si="0"/>
        <v>4036.4672549308007</v>
      </c>
      <c r="G13" s="38">
        <f t="shared" si="2"/>
        <v>8.3031251465590845</v>
      </c>
      <c r="H13" s="75">
        <f t="shared" si="8"/>
        <v>8.2694888069043007</v>
      </c>
      <c r="I13" s="78">
        <f t="shared" si="3"/>
        <v>-8.4166694212828661E-3</v>
      </c>
      <c r="J13" s="22">
        <f t="shared" si="4"/>
        <v>8.2513769317055718</v>
      </c>
      <c r="K13" s="46">
        <f t="shared" si="5"/>
        <v>3832.899830932688</v>
      </c>
      <c r="M13" s="22">
        <f t="shared" si="6"/>
        <v>1.8111875198728811E-2</v>
      </c>
      <c r="N13" s="22">
        <f t="shared" si="7"/>
        <v>3.280400232143278E-4</v>
      </c>
    </row>
    <row r="14" spans="1:14">
      <c r="A14" s="4">
        <f t="shared" si="1"/>
        <v>8</v>
      </c>
      <c r="B14" s="7">
        <v>32689</v>
      </c>
      <c r="C14" s="37">
        <v>3949</v>
      </c>
      <c r="D14">
        <v>0</v>
      </c>
      <c r="E14" s="22">
        <v>1.0164908929445178</v>
      </c>
      <c r="F14" s="27">
        <f t="shared" si="0"/>
        <v>3884.9339698073859</v>
      </c>
      <c r="G14" s="38">
        <f t="shared" si="2"/>
        <v>8.2648612664687366</v>
      </c>
      <c r="H14" s="75">
        <f t="shared" si="8"/>
        <v>8.2623983326280186</v>
      </c>
      <c r="I14" s="78">
        <f t="shared" si="3"/>
        <v>-8.363621615482833E-3</v>
      </c>
      <c r="J14" s="22">
        <f t="shared" si="4"/>
        <v>8.2610721374830174</v>
      </c>
      <c r="K14" s="46">
        <f t="shared" si="5"/>
        <v>3870.2413076699295</v>
      </c>
      <c r="M14" s="22">
        <f t="shared" si="6"/>
        <v>1.3261951450012077E-3</v>
      </c>
      <c r="N14" s="22">
        <f t="shared" si="7"/>
        <v>1.7587935626247744E-6</v>
      </c>
    </row>
    <row r="15" spans="1:14">
      <c r="A15" s="4">
        <f t="shared" si="1"/>
        <v>9</v>
      </c>
      <c r="B15" s="7">
        <v>32720</v>
      </c>
      <c r="C15" s="37">
        <v>3986</v>
      </c>
      <c r="D15">
        <v>0</v>
      </c>
      <c r="E15" s="22">
        <v>1.023824453097022</v>
      </c>
      <c r="F15" s="27">
        <f t="shared" si="0"/>
        <v>3893.2455539057823</v>
      </c>
      <c r="G15" s="38">
        <f t="shared" si="2"/>
        <v>8.2669984213740975</v>
      </c>
      <c r="H15" s="75">
        <f t="shared" si="8"/>
        <v>8.2585720096390816</v>
      </c>
      <c r="I15" s="78">
        <f t="shared" si="3"/>
        <v>-8.1821296704210015E-3</v>
      </c>
      <c r="J15" s="22">
        <f t="shared" si="4"/>
        <v>8.2540347110125349</v>
      </c>
      <c r="K15" s="46">
        <f t="shared" si="5"/>
        <v>3843.1003821914846</v>
      </c>
      <c r="M15" s="22">
        <f t="shared" si="6"/>
        <v>4.5372986265466153E-3</v>
      </c>
      <c r="N15" s="22">
        <f t="shared" si="7"/>
        <v>2.0587078826461801E-5</v>
      </c>
    </row>
    <row r="16" spans="1:14">
      <c r="A16" s="4">
        <f t="shared" si="1"/>
        <v>10</v>
      </c>
      <c r="B16" s="7">
        <v>32751</v>
      </c>
      <c r="C16" s="37">
        <v>4026</v>
      </c>
      <c r="D16">
        <v>0</v>
      </c>
      <c r="E16" s="22">
        <v>1.0170476123708239</v>
      </c>
      <c r="F16" s="27">
        <f t="shared" si="0"/>
        <v>3958.5167410354115</v>
      </c>
      <c r="G16" s="38">
        <f t="shared" si="2"/>
        <v>8.2836246737386858</v>
      </c>
      <c r="H16" s="75">
        <f t="shared" si="8"/>
        <v>8.2620220577881689</v>
      </c>
      <c r="I16" s="78">
        <f t="shared" si="3"/>
        <v>-7.7168425576406678E-3</v>
      </c>
      <c r="J16" s="22">
        <f t="shared" si="4"/>
        <v>8.2503898799686599</v>
      </c>
      <c r="K16" s="46">
        <f t="shared" si="5"/>
        <v>3829.1184270248132</v>
      </c>
      <c r="M16" s="22">
        <f t="shared" si="6"/>
        <v>1.1632177819508982E-2</v>
      </c>
      <c r="N16" s="22">
        <f t="shared" si="7"/>
        <v>1.3530756082467675E-4</v>
      </c>
    </row>
    <row r="17" spans="1:14">
      <c r="A17" s="4">
        <f t="shared" si="1"/>
        <v>11</v>
      </c>
      <c r="B17" s="7">
        <v>32781</v>
      </c>
      <c r="C17" s="37">
        <v>4050</v>
      </c>
      <c r="D17">
        <v>0</v>
      </c>
      <c r="E17" s="22">
        <v>1.0110822484595425</v>
      </c>
      <c r="F17" s="27">
        <f t="shared" si="0"/>
        <v>4005.6088475200413</v>
      </c>
      <c r="G17" s="38">
        <f t="shared" si="2"/>
        <v>8.2954508698010034</v>
      </c>
      <c r="H17" s="75">
        <f t="shared" si="8"/>
        <v>8.2687061943301945</v>
      </c>
      <c r="I17" s="78">
        <f t="shared" si="3"/>
        <v>-7.1408033936540176E-3</v>
      </c>
      <c r="J17" s="22">
        <f t="shared" si="4"/>
        <v>8.254305215230529</v>
      </c>
      <c r="K17" s="46">
        <f t="shared" si="5"/>
        <v>3844.1400976724135</v>
      </c>
      <c r="M17" s="22">
        <f t="shared" si="6"/>
        <v>1.4400979099665534E-2</v>
      </c>
      <c r="N17" s="22">
        <f t="shared" si="7"/>
        <v>2.0738819902900354E-4</v>
      </c>
    </row>
    <row r="18" spans="1:14">
      <c r="A18" s="4">
        <f t="shared" si="1"/>
        <v>12</v>
      </c>
      <c r="B18" s="7">
        <v>32812</v>
      </c>
      <c r="C18" s="37">
        <v>4095</v>
      </c>
      <c r="D18">
        <v>0</v>
      </c>
      <c r="E18" s="22">
        <v>1.0071360653970747</v>
      </c>
      <c r="F18" s="27">
        <f t="shared" si="0"/>
        <v>4065.9848660920511</v>
      </c>
      <c r="G18" s="38">
        <f t="shared" si="2"/>
        <v>8.3104112721184169</v>
      </c>
      <c r="H18" s="75">
        <f t="shared" si="8"/>
        <v>8.2786614493501975</v>
      </c>
      <c r="I18" s="78">
        <f t="shared" si="3"/>
        <v>-6.456961057107735E-3</v>
      </c>
      <c r="J18" s="22">
        <f t="shared" si="4"/>
        <v>8.261565390936541</v>
      </c>
      <c r="K18" s="46">
        <f t="shared" si="5"/>
        <v>3872.1507884511875</v>
      </c>
      <c r="M18" s="22">
        <f t="shared" si="6"/>
        <v>1.7096058413656579E-2</v>
      </c>
      <c r="N18" s="22">
        <f t="shared" si="7"/>
        <v>2.9227521328315789E-4</v>
      </c>
    </row>
    <row r="19" spans="1:14">
      <c r="A19" s="4">
        <f t="shared" si="1"/>
        <v>13</v>
      </c>
      <c r="B19" s="7">
        <v>32842</v>
      </c>
      <c r="C19" s="37">
        <v>4105</v>
      </c>
      <c r="D19">
        <v>0</v>
      </c>
      <c r="E19" s="22">
        <v>0.99895296976377324</v>
      </c>
      <c r="F19" s="27">
        <f t="shared" si="0"/>
        <v>4109.3025640343485</v>
      </c>
      <c r="G19" s="38">
        <f t="shared" si="2"/>
        <v>8.3210086006418233</v>
      </c>
      <c r="H19" s="75">
        <f t="shared" si="8"/>
        <v>8.2892859276151469</v>
      </c>
      <c r="I19" s="78">
        <f t="shared" si="3"/>
        <v>-5.7737034842254495E-3</v>
      </c>
      <c r="J19" s="22">
        <f t="shared" si="4"/>
        <v>8.2722044882930899</v>
      </c>
      <c r="K19" s="46">
        <f t="shared" si="5"/>
        <v>3913.5669020429641</v>
      </c>
      <c r="M19" s="22">
        <f t="shared" si="6"/>
        <v>1.7081439322057079E-2</v>
      </c>
      <c r="N19" s="22">
        <f t="shared" si="7"/>
        <v>2.9177556931311784E-4</v>
      </c>
    </row>
    <row r="20" spans="1:14">
      <c r="A20" s="4">
        <f t="shared" si="1"/>
        <v>14</v>
      </c>
      <c r="B20" s="7">
        <v>32873</v>
      </c>
      <c r="C20" s="37">
        <v>4126</v>
      </c>
      <c r="D20">
        <v>0</v>
      </c>
      <c r="E20" s="22">
        <v>0.99136634823865966</v>
      </c>
      <c r="F20" s="27">
        <f t="shared" si="0"/>
        <v>4161.9326773907342</v>
      </c>
      <c r="G20" s="38">
        <f t="shared" si="2"/>
        <v>8.3337348312799229</v>
      </c>
      <c r="H20" s="75">
        <f t="shared" si="8"/>
        <v>8.3010901366330732</v>
      </c>
      <c r="I20" s="78">
        <f t="shared" si="3"/>
        <v>-5.0705869841393822E-3</v>
      </c>
      <c r="J20" s="22">
        <f t="shared" si="4"/>
        <v>8.2835122241309218</v>
      </c>
      <c r="K20" s="46">
        <f t="shared" si="5"/>
        <v>3958.0716324071682</v>
      </c>
      <c r="M20" s="22">
        <f t="shared" si="6"/>
        <v>1.7577912502151349E-2</v>
      </c>
      <c r="N20" s="22">
        <f t="shared" si="7"/>
        <v>3.0898300793328872E-4</v>
      </c>
    </row>
    <row r="21" spans="1:14">
      <c r="A21" s="4">
        <f t="shared" si="1"/>
        <v>15</v>
      </c>
      <c r="B21" s="7">
        <v>32904</v>
      </c>
      <c r="C21" s="37">
        <v>4164</v>
      </c>
      <c r="D21">
        <v>0</v>
      </c>
      <c r="E21" s="22">
        <f>E9</f>
        <v>0.98565799233532947</v>
      </c>
      <c r="F21" s="27">
        <f t="shared" si="0"/>
        <v>4224.5890890958972</v>
      </c>
      <c r="G21" s="38">
        <f t="shared" si="2"/>
        <v>8.3486772780427803</v>
      </c>
      <c r="H21" s="75">
        <f t="shared" si="8"/>
        <v>8.3144497545867804</v>
      </c>
      <c r="I21" s="78">
        <f t="shared" si="3"/>
        <v>-4.3333787866255179E-3</v>
      </c>
      <c r="J21" s="22">
        <f t="shared" si="4"/>
        <v>8.2960195496489337</v>
      </c>
      <c r="K21" s="46">
        <f t="shared" si="5"/>
        <v>4007.8874043735941</v>
      </c>
      <c r="M21" s="22">
        <f t="shared" si="6"/>
        <v>1.8430204937846639E-2</v>
      </c>
      <c r="N21" s="22">
        <f t="shared" si="7"/>
        <v>3.3967245405102666E-4</v>
      </c>
    </row>
    <row r="22" spans="1:14">
      <c r="A22" s="4">
        <f t="shared" si="1"/>
        <v>16</v>
      </c>
      <c r="B22" s="7">
        <v>32932</v>
      </c>
      <c r="C22" s="37">
        <v>4222</v>
      </c>
      <c r="D22">
        <v>0</v>
      </c>
      <c r="E22" s="22">
        <f t="shared" ref="E22:E65" si="9">E10</f>
        <v>0.9867538520861826</v>
      </c>
      <c r="F22" s="27">
        <f t="shared" si="0"/>
        <v>4278.6759748380009</v>
      </c>
      <c r="G22" s="38">
        <f t="shared" si="2"/>
        <v>8.3613988890433788</v>
      </c>
      <c r="H22" s="75">
        <f t="shared" si="8"/>
        <v>8.3280652554352841</v>
      </c>
      <c r="I22" s="78">
        <f t="shared" si="3"/>
        <v>-3.6154236012203482E-3</v>
      </c>
      <c r="J22" s="22">
        <f t="shared" si="4"/>
        <v>8.3101163758001544</v>
      </c>
      <c r="K22" s="46">
        <f t="shared" si="5"/>
        <v>4064.7859989043791</v>
      </c>
      <c r="M22" s="22">
        <f t="shared" si="6"/>
        <v>1.79488796351297E-2</v>
      </c>
      <c r="N22" s="22">
        <f t="shared" si="7"/>
        <v>3.2216228015637365E-4</v>
      </c>
    </row>
    <row r="23" spans="1:14">
      <c r="A23" s="4">
        <f t="shared" si="1"/>
        <v>17</v>
      </c>
      <c r="B23" s="7">
        <v>32963</v>
      </c>
      <c r="C23" s="37">
        <v>4321</v>
      </c>
      <c r="D23">
        <v>0</v>
      </c>
      <c r="E23" s="22">
        <f t="shared" si="9"/>
        <v>0.99365549523408958</v>
      </c>
      <c r="F23" s="27">
        <f t="shared" si="0"/>
        <v>4348.5896477451079</v>
      </c>
      <c r="G23" s="38">
        <f t="shared" si="2"/>
        <v>8.377606852603245</v>
      </c>
      <c r="H23" s="75">
        <f t="shared" si="8"/>
        <v>8.3430547891032774</v>
      </c>
      <c r="I23" s="78">
        <f t="shared" si="3"/>
        <v>-2.871225310451803E-3</v>
      </c>
      <c r="J23" s="22">
        <f t="shared" si="4"/>
        <v>8.3244498318340643</v>
      </c>
      <c r="K23" s="46">
        <f t="shared" si="5"/>
        <v>4123.4679834586532</v>
      </c>
      <c r="M23" s="22">
        <f t="shared" si="6"/>
        <v>1.8604957269213074E-2</v>
      </c>
      <c r="N23" s="22">
        <f t="shared" si="7"/>
        <v>3.4614443498924438E-4</v>
      </c>
    </row>
    <row r="24" spans="1:14">
      <c r="A24" s="4">
        <f t="shared" si="1"/>
        <v>18</v>
      </c>
      <c r="B24" s="7">
        <v>32993</v>
      </c>
      <c r="C24" s="37">
        <v>4335</v>
      </c>
      <c r="D24">
        <v>0</v>
      </c>
      <c r="E24" s="22">
        <f t="shared" si="9"/>
        <v>0.97830522536246467</v>
      </c>
      <c r="F24" s="27">
        <f t="shared" si="0"/>
        <v>4431.1324192241445</v>
      </c>
      <c r="G24" s="38">
        <f t="shared" si="2"/>
        <v>8.3964104554796801</v>
      </c>
      <c r="H24" s="75">
        <f t="shared" si="8"/>
        <v>8.3598629758832246</v>
      </c>
      <c r="I24" s="78">
        <f t="shared" si="3"/>
        <v>-2.0840488268358418E-3</v>
      </c>
      <c r="J24" s="22">
        <f t="shared" si="4"/>
        <v>8.3401835637928254</v>
      </c>
      <c r="K24" s="46">
        <f t="shared" si="5"/>
        <v>4188.8585936677682</v>
      </c>
      <c r="M24" s="22">
        <f t="shared" si="6"/>
        <v>1.967941209039914E-2</v>
      </c>
      <c r="N24" s="22">
        <f t="shared" si="7"/>
        <v>3.8727926022374785E-4</v>
      </c>
    </row>
    <row r="25" spans="1:14">
      <c r="A25" s="4">
        <f t="shared" si="1"/>
        <v>19</v>
      </c>
      <c r="B25" s="7">
        <v>33024</v>
      </c>
      <c r="C25" s="37">
        <v>4454</v>
      </c>
      <c r="D25">
        <v>0</v>
      </c>
      <c r="E25" s="22">
        <f t="shared" si="9"/>
        <v>0.98972684471052108</v>
      </c>
      <c r="F25" s="27">
        <f t="shared" si="0"/>
        <v>4500.2315778377442</v>
      </c>
      <c r="G25" s="38">
        <f t="shared" si="2"/>
        <v>8.4118841361760222</v>
      </c>
      <c r="H25" s="75">
        <f t="shared" si="8"/>
        <v>8.3767157502482608</v>
      </c>
      <c r="I25" s="78">
        <f t="shared" si="3"/>
        <v>-1.3265758991609609E-3</v>
      </c>
      <c r="J25" s="22">
        <f t="shared" si="4"/>
        <v>8.3577789270563887</v>
      </c>
      <c r="K25" s="46">
        <f t="shared" si="5"/>
        <v>4263.2153308094585</v>
      </c>
      <c r="M25" s="22">
        <f t="shared" si="6"/>
        <v>1.8936823191872065E-2</v>
      </c>
      <c r="N25" s="22">
        <f t="shared" si="7"/>
        <v>3.5860327260022373E-4</v>
      </c>
    </row>
    <row r="26" spans="1:14">
      <c r="A26" s="4">
        <f t="shared" si="1"/>
        <v>20</v>
      </c>
      <c r="B26" s="7">
        <v>33054</v>
      </c>
      <c r="C26" s="37">
        <v>4536</v>
      </c>
      <c r="D26">
        <v>0</v>
      </c>
      <c r="E26" s="22">
        <f t="shared" si="9"/>
        <v>1.0164908929445178</v>
      </c>
      <c r="F26" s="27">
        <f t="shared" si="0"/>
        <v>4462.4108602295018</v>
      </c>
      <c r="G26" s="38">
        <f t="shared" si="2"/>
        <v>8.4034444505896744</v>
      </c>
      <c r="H26" s="75">
        <f t="shared" si="8"/>
        <v>8.3852085210333023</v>
      </c>
      <c r="I26" s="78">
        <f t="shared" si="3"/>
        <v>-9.3380203179286182E-4</v>
      </c>
      <c r="J26" s="22">
        <f t="shared" si="4"/>
        <v>8.3753891743491007</v>
      </c>
      <c r="K26" s="46">
        <f t="shared" si="5"/>
        <v>4338.9565605391508</v>
      </c>
      <c r="M26" s="22">
        <f t="shared" si="6"/>
        <v>9.8193466842015908E-3</v>
      </c>
      <c r="N26" s="22">
        <f t="shared" si="7"/>
        <v>9.6419569304540779E-5</v>
      </c>
    </row>
    <row r="27" spans="1:14">
      <c r="A27" s="4">
        <f t="shared" si="1"/>
        <v>21</v>
      </c>
      <c r="B27" s="7">
        <v>33085</v>
      </c>
      <c r="C27" s="37">
        <v>4597</v>
      </c>
      <c r="D27">
        <v>0</v>
      </c>
      <c r="E27" s="22">
        <f t="shared" si="9"/>
        <v>1.023824453097022</v>
      </c>
      <c r="F27" s="27">
        <f t="shared" si="0"/>
        <v>4490.0275492485907</v>
      </c>
      <c r="G27" s="38">
        <f t="shared" si="2"/>
        <v>8.4096141164075853</v>
      </c>
      <c r="H27" s="75">
        <f t="shared" si="8"/>
        <v>8.393143508093635</v>
      </c>
      <c r="I27" s="78">
        <f t="shared" si="3"/>
        <v>-5.7905046810783982E-4</v>
      </c>
      <c r="J27" s="22">
        <f t="shared" si="4"/>
        <v>8.3842747190015086</v>
      </c>
      <c r="K27" s="46">
        <f t="shared" si="5"/>
        <v>4377.6823478664828</v>
      </c>
      <c r="M27" s="22">
        <f t="shared" si="6"/>
        <v>8.8687890921264056E-3</v>
      </c>
      <c r="N27" s="22">
        <f t="shared" si="7"/>
        <v>7.8655419960620314E-5</v>
      </c>
    </row>
    <row r="28" spans="1:14">
      <c r="A28" s="4">
        <f t="shared" si="1"/>
        <v>22</v>
      </c>
      <c r="B28" s="7">
        <v>33116</v>
      </c>
      <c r="C28" s="37">
        <v>4643</v>
      </c>
      <c r="D28">
        <v>0</v>
      </c>
      <c r="E28" s="22">
        <f t="shared" si="9"/>
        <v>1.0170476123708239</v>
      </c>
      <c r="F28" s="27">
        <f t="shared" si="0"/>
        <v>4565.174671790217</v>
      </c>
      <c r="G28" s="38">
        <f t="shared" si="2"/>
        <v>8.4262120555588709</v>
      </c>
      <c r="H28" s="75">
        <f t="shared" si="8"/>
        <v>8.4043411169021969</v>
      </c>
      <c r="I28" s="78">
        <f t="shared" si="3"/>
        <v>-1.0798409704104983E-4</v>
      </c>
      <c r="J28" s="22">
        <f t="shared" si="4"/>
        <v>8.3925644576255269</v>
      </c>
      <c r="K28" s="46">
        <f t="shared" si="5"/>
        <v>4414.1230234646164</v>
      </c>
      <c r="M28" s="22">
        <f t="shared" si="6"/>
        <v>1.1776659276669932E-2</v>
      </c>
      <c r="N28" s="22">
        <f t="shared" si="7"/>
        <v>1.3868970371877596E-4</v>
      </c>
    </row>
    <row r="29" spans="1:14">
      <c r="A29" s="4">
        <f t="shared" si="1"/>
        <v>23</v>
      </c>
      <c r="B29" s="7">
        <v>33146</v>
      </c>
      <c r="C29" s="37">
        <v>4701</v>
      </c>
      <c r="D29">
        <v>0</v>
      </c>
      <c r="E29" s="22">
        <f t="shared" si="9"/>
        <v>1.0110822484595425</v>
      </c>
      <c r="F29" s="27">
        <f t="shared" si="0"/>
        <v>4649.4733807880775</v>
      </c>
      <c r="G29" s="38">
        <f t="shared" si="2"/>
        <v>8.4445092407245497</v>
      </c>
      <c r="H29" s="75">
        <f t="shared" si="8"/>
        <v>8.4183297705769426</v>
      </c>
      <c r="I29" s="78">
        <f t="shared" si="3"/>
        <v>4.5588141383042327E-4</v>
      </c>
      <c r="J29" s="22">
        <f t="shared" si="4"/>
        <v>8.4042331328051549</v>
      </c>
      <c r="K29" s="46">
        <f t="shared" si="5"/>
        <v>4465.9316725316539</v>
      </c>
      <c r="M29" s="22">
        <f t="shared" si="6"/>
        <v>1.4096637771787712E-2</v>
      </c>
      <c r="N29" s="22">
        <f t="shared" si="7"/>
        <v>1.9871519646899203E-4</v>
      </c>
    </row>
    <row r="30" spans="1:14">
      <c r="A30" s="4">
        <f t="shared" si="1"/>
        <v>24</v>
      </c>
      <c r="B30" s="7">
        <v>33177</v>
      </c>
      <c r="C30" s="37">
        <v>4766</v>
      </c>
      <c r="D30">
        <v>0</v>
      </c>
      <c r="E30" s="22">
        <f t="shared" si="9"/>
        <v>1.0071360653970747</v>
      </c>
      <c r="F30" s="27">
        <f t="shared" si="0"/>
        <v>4732.2304937227636</v>
      </c>
      <c r="G30" s="38">
        <f t="shared" si="2"/>
        <v>8.4621519334899347</v>
      </c>
      <c r="H30" s="75">
        <f t="shared" si="8"/>
        <v>8.4339638505154788</v>
      </c>
      <c r="I30" s="78">
        <f t="shared" si="3"/>
        <v>1.0630093548186527E-3</v>
      </c>
      <c r="J30" s="22">
        <f t="shared" si="4"/>
        <v>8.4187856519907722</v>
      </c>
      <c r="K30" s="46">
        <f t="shared" si="5"/>
        <v>4531.3974193114227</v>
      </c>
      <c r="M30" s="22">
        <f t="shared" si="6"/>
        <v>1.5178198524706588E-2</v>
      </c>
      <c r="N30" s="22">
        <f t="shared" si="7"/>
        <v>2.3037771045540523E-4</v>
      </c>
    </row>
    <row r="31" spans="1:14">
      <c r="A31" s="4">
        <f t="shared" si="1"/>
        <v>25</v>
      </c>
      <c r="B31" s="7">
        <v>33207</v>
      </c>
      <c r="C31" s="37">
        <v>4781</v>
      </c>
      <c r="D31">
        <v>0</v>
      </c>
      <c r="E31" s="22">
        <f t="shared" si="9"/>
        <v>0.99895296976377324</v>
      </c>
      <c r="F31" s="27">
        <f t="shared" si="0"/>
        <v>4786.0110983308696</v>
      </c>
      <c r="G31" s="38">
        <f t="shared" si="2"/>
        <v>8.4734525873813986</v>
      </c>
      <c r="H31" s="75">
        <f t="shared" si="8"/>
        <v>8.4484758644991835</v>
      </c>
      <c r="I31" s="78">
        <f t="shared" si="3"/>
        <v>1.6009695399740952E-3</v>
      </c>
      <c r="J31" s="22">
        <f t="shared" si="4"/>
        <v>8.4350268598702982</v>
      </c>
      <c r="K31" s="46">
        <f t="shared" si="5"/>
        <v>4605.5936742528056</v>
      </c>
      <c r="M31" s="22">
        <f t="shared" si="6"/>
        <v>1.3449004628885319E-2</v>
      </c>
      <c r="N31" s="22">
        <f t="shared" si="7"/>
        <v>1.8087572550777874E-4</v>
      </c>
    </row>
    <row r="32" spans="1:14">
      <c r="A32" s="4">
        <f t="shared" si="1"/>
        <v>26</v>
      </c>
      <c r="B32" s="7">
        <v>33238</v>
      </c>
      <c r="C32" s="37">
        <v>4808</v>
      </c>
      <c r="D32">
        <v>0</v>
      </c>
      <c r="E32" s="22">
        <f t="shared" si="9"/>
        <v>0.99136634823865966</v>
      </c>
      <c r="F32" s="27">
        <f t="shared" si="0"/>
        <v>4849.8721068576469</v>
      </c>
      <c r="G32" s="38">
        <f t="shared" si="2"/>
        <v>8.4867076138637696</v>
      </c>
      <c r="H32" s="75">
        <f t="shared" si="8"/>
        <v>8.4628976069777728</v>
      </c>
      <c r="I32" s="78">
        <f t="shared" si="3"/>
        <v>2.1138004575187029E-3</v>
      </c>
      <c r="J32" s="22">
        <f t="shared" si="4"/>
        <v>8.450076834039157</v>
      </c>
      <c r="K32" s="46">
        <f t="shared" si="5"/>
        <v>4675.4319540333372</v>
      </c>
      <c r="M32" s="22">
        <f t="shared" si="6"/>
        <v>1.2820772938615832E-2</v>
      </c>
      <c r="N32" s="22">
        <f t="shared" si="7"/>
        <v>1.6437221874354403E-4</v>
      </c>
    </row>
    <row r="33" spans="1:14">
      <c r="A33" s="4">
        <f t="shared" si="1"/>
        <v>27</v>
      </c>
      <c r="B33" s="7">
        <v>33269</v>
      </c>
      <c r="C33" s="37">
        <v>4836</v>
      </c>
      <c r="D33">
        <v>0</v>
      </c>
      <c r="E33" s="22">
        <f t="shared" si="9"/>
        <v>0.98565799233532947</v>
      </c>
      <c r="F33" s="27">
        <f t="shared" si="0"/>
        <v>4906.3671553476843</v>
      </c>
      <c r="G33" s="38">
        <f t="shared" si="2"/>
        <v>8.4982890600426053</v>
      </c>
      <c r="H33" s="75">
        <f t="shared" si="8"/>
        <v>8.4766585858478507</v>
      </c>
      <c r="I33" s="78">
        <f t="shared" si="3"/>
        <v>2.5796875940210695E-3</v>
      </c>
      <c r="J33" s="22">
        <f t="shared" si="4"/>
        <v>8.4650114074352913</v>
      </c>
      <c r="K33" s="46">
        <f t="shared" si="5"/>
        <v>4745.7815487339049</v>
      </c>
      <c r="M33" s="22">
        <f t="shared" si="6"/>
        <v>1.1647178412559356E-2</v>
      </c>
      <c r="N33" s="22">
        <f t="shared" si="7"/>
        <v>1.3565676497398867E-4</v>
      </c>
    </row>
    <row r="34" spans="1:14">
      <c r="A34" s="4">
        <f t="shared" si="1"/>
        <v>28</v>
      </c>
      <c r="B34" s="7">
        <v>33297</v>
      </c>
      <c r="C34" s="37">
        <v>4937</v>
      </c>
      <c r="D34">
        <v>0</v>
      </c>
      <c r="E34" s="22">
        <f t="shared" si="9"/>
        <v>0.9867538520861826</v>
      </c>
      <c r="F34" s="27">
        <f t="shared" si="0"/>
        <v>5003.27410889986</v>
      </c>
      <c r="G34" s="38">
        <f t="shared" si="2"/>
        <v>8.5178477988939765</v>
      </c>
      <c r="H34" s="75">
        <f t="shared" si="8"/>
        <v>8.4927516073501081</v>
      </c>
      <c r="I34" s="78">
        <f t="shared" si="3"/>
        <v>3.1202209503505248E-3</v>
      </c>
      <c r="J34" s="22">
        <f t="shared" si="4"/>
        <v>8.4792382734418723</v>
      </c>
      <c r="K34" s="46">
        <f t="shared" si="5"/>
        <v>4813.7817145949903</v>
      </c>
      <c r="M34" s="22">
        <f t="shared" si="6"/>
        <v>1.3513333908235836E-2</v>
      </c>
      <c r="N34" s="22">
        <f t="shared" si="7"/>
        <v>1.8261019331547641E-4</v>
      </c>
    </row>
    <row r="35" spans="1:14">
      <c r="A35" s="4">
        <f t="shared" si="1"/>
        <v>29</v>
      </c>
      <c r="B35" s="7">
        <v>33328</v>
      </c>
      <c r="C35" s="37">
        <v>5054</v>
      </c>
      <c r="D35">
        <v>0</v>
      </c>
      <c r="E35" s="22">
        <f t="shared" si="9"/>
        <v>0.99365549523408958</v>
      </c>
      <c r="F35" s="27">
        <f t="shared" si="0"/>
        <v>5086.2698633889777</v>
      </c>
      <c r="G35" s="38">
        <f t="shared" si="2"/>
        <v>8.5343000046194515</v>
      </c>
      <c r="H35" s="75">
        <f t="shared" si="8"/>
        <v>8.509321690012106</v>
      </c>
      <c r="I35" s="78">
        <f t="shared" si="3"/>
        <v>3.6582154188164193E-3</v>
      </c>
      <c r="J35" s="22">
        <f t="shared" si="4"/>
        <v>8.4958718283004586</v>
      </c>
      <c r="K35" s="46">
        <f t="shared" si="5"/>
        <v>4894.521651353065</v>
      </c>
      <c r="M35" s="22">
        <f t="shared" si="6"/>
        <v>1.3449861711647415E-2</v>
      </c>
      <c r="N35" s="22">
        <f t="shared" si="7"/>
        <v>1.8089878006243912E-4</v>
      </c>
    </row>
    <row r="36" spans="1:14">
      <c r="A36" s="4">
        <f t="shared" si="1"/>
        <v>30</v>
      </c>
      <c r="B36" s="7">
        <v>33358</v>
      </c>
      <c r="C36" s="37">
        <v>5103</v>
      </c>
      <c r="D36">
        <v>0</v>
      </c>
      <c r="E36" s="22">
        <f t="shared" si="9"/>
        <v>0.97830522536246467</v>
      </c>
      <c r="F36" s="27">
        <f t="shared" si="0"/>
        <v>5216.1634914188717</v>
      </c>
      <c r="G36" s="38">
        <f t="shared" si="2"/>
        <v>8.5595174473290108</v>
      </c>
      <c r="H36" s="75">
        <f t="shared" si="8"/>
        <v>8.5292680450952538</v>
      </c>
      <c r="I36" s="78">
        <f t="shared" si="3"/>
        <v>4.3097410053896737E-3</v>
      </c>
      <c r="J36" s="22">
        <f t="shared" si="4"/>
        <v>8.5129799054309228</v>
      </c>
      <c r="K36" s="46">
        <f t="shared" si="5"/>
        <v>4978.9778872582401</v>
      </c>
      <c r="M36" s="22">
        <f t="shared" si="6"/>
        <v>1.6288139664331069E-2</v>
      </c>
      <c r="N36" s="22">
        <f t="shared" si="7"/>
        <v>2.6530349372475503E-4</v>
      </c>
    </row>
    <row r="37" spans="1:14">
      <c r="A37" s="4">
        <f t="shared" si="1"/>
        <v>31</v>
      </c>
      <c r="B37" s="7">
        <v>33389</v>
      </c>
      <c r="C37" s="37">
        <v>5105</v>
      </c>
      <c r="D37">
        <v>0</v>
      </c>
      <c r="E37" s="22">
        <f t="shared" si="9"/>
        <v>0.98972684471052108</v>
      </c>
      <c r="F37" s="27">
        <f t="shared" si="0"/>
        <v>5157.9888201305976</v>
      </c>
      <c r="G37" s="38">
        <f t="shared" si="2"/>
        <v>8.5483020189574752</v>
      </c>
      <c r="H37" s="75">
        <f t="shared" si="8"/>
        <v>8.538731267600534</v>
      </c>
      <c r="I37" s="78">
        <f t="shared" si="3"/>
        <v>4.5158802653852944E-3</v>
      </c>
      <c r="J37" s="22">
        <f t="shared" si="4"/>
        <v>8.5335777861006434</v>
      </c>
      <c r="K37" s="46">
        <f t="shared" si="5"/>
        <v>5082.5977912808339</v>
      </c>
      <c r="M37" s="22">
        <f t="shared" si="6"/>
        <v>5.1534814998905887E-3</v>
      </c>
      <c r="N37" s="22">
        <f t="shared" si="7"/>
        <v>2.655837156971455E-5</v>
      </c>
    </row>
    <row r="38" spans="1:14">
      <c r="A38" s="4">
        <f t="shared" si="1"/>
        <v>32</v>
      </c>
      <c r="B38" s="12">
        <v>33419</v>
      </c>
      <c r="C38" s="37">
        <v>5704</v>
      </c>
      <c r="D38">
        <v>0</v>
      </c>
      <c r="E38" s="22">
        <f t="shared" si="9"/>
        <v>1.0164908929445178</v>
      </c>
      <c r="F38" s="27">
        <f t="shared" si="0"/>
        <v>5611.4619812057053</v>
      </c>
      <c r="G38" s="38">
        <f t="shared" si="2"/>
        <v>8.6325665672762177</v>
      </c>
      <c r="H38" s="75">
        <f t="shared" si="8"/>
        <v>8.5745089446595237</v>
      </c>
      <c r="I38" s="78">
        <f t="shared" si="3"/>
        <v>5.7663521371294716E-3</v>
      </c>
      <c r="J38" s="22">
        <f t="shared" si="4"/>
        <v>8.5432471478659195</v>
      </c>
      <c r="K38" s="46">
        <f t="shared" si="5"/>
        <v>5131.9816384060223</v>
      </c>
      <c r="M38" s="22">
        <f t="shared" si="6"/>
        <v>3.1261796793604191E-2</v>
      </c>
      <c r="N38" s="22">
        <f t="shared" si="7"/>
        <v>9.7729993876460126E-4</v>
      </c>
    </row>
    <row r="39" spans="1:14">
      <c r="A39" s="4">
        <f t="shared" si="1"/>
        <v>33</v>
      </c>
      <c r="B39" s="12">
        <v>33450</v>
      </c>
      <c r="C39" s="37">
        <v>5907</v>
      </c>
      <c r="D39">
        <v>0</v>
      </c>
      <c r="E39" s="22">
        <f>E27</f>
        <v>1.023824453097022</v>
      </c>
      <c r="F39" s="27">
        <f t="shared" si="0"/>
        <v>5769.5437749426637</v>
      </c>
      <c r="G39" s="38">
        <f t="shared" si="2"/>
        <v>8.6603482879085938</v>
      </c>
      <c r="H39" s="75">
        <f t="shared" si="8"/>
        <v>8.6083008436858321</v>
      </c>
      <c r="I39" s="78">
        <f t="shared" si="3"/>
        <v>6.8873740126966293E-3</v>
      </c>
      <c r="J39" s="22">
        <f t="shared" si="4"/>
        <v>8.5802752967966534</v>
      </c>
      <c r="K39" s="46">
        <f t="shared" si="5"/>
        <v>5325.571436275106</v>
      </c>
      <c r="M39" s="22">
        <f t="shared" si="6"/>
        <v>2.8025546889178798E-2</v>
      </c>
      <c r="N39" s="22">
        <f t="shared" si="7"/>
        <v>7.8543127843755942E-4</v>
      </c>
    </row>
    <row r="40" spans="1:14">
      <c r="A40" s="4">
        <f t="shared" si="1"/>
        <v>34</v>
      </c>
      <c r="B40" s="7">
        <v>33481</v>
      </c>
      <c r="C40" s="37">
        <v>5889</v>
      </c>
      <c r="D40">
        <v>0</v>
      </c>
      <c r="E40" s="22">
        <f t="shared" si="9"/>
        <v>1.0170476123708239</v>
      </c>
      <c r="F40" s="27">
        <f t="shared" si="0"/>
        <v>5790.2893909482209</v>
      </c>
      <c r="G40" s="38">
        <f t="shared" si="2"/>
        <v>8.6639375504835208</v>
      </c>
      <c r="H40" s="75">
        <f t="shared" si="8"/>
        <v>8.6322504841732766</v>
      </c>
      <c r="I40" s="78">
        <f t="shared" si="3"/>
        <v>7.5698646716865405E-3</v>
      </c>
      <c r="J40" s="22">
        <f t="shared" si="4"/>
        <v>8.6151882176985293</v>
      </c>
      <c r="K40" s="46">
        <f t="shared" si="5"/>
        <v>5514.7864964830724</v>
      </c>
      <c r="M40" s="22">
        <f t="shared" si="6"/>
        <v>1.706226647474729E-2</v>
      </c>
      <c r="N40" s="22">
        <f t="shared" si="7"/>
        <v>2.9112093725528528E-4</v>
      </c>
    </row>
    <row r="41" spans="1:14">
      <c r="A41" s="4">
        <f t="shared" si="1"/>
        <v>35</v>
      </c>
      <c r="B41" s="7">
        <v>33511</v>
      </c>
      <c r="C41" s="37">
        <v>5887</v>
      </c>
      <c r="D41">
        <v>0</v>
      </c>
      <c r="E41" s="22">
        <f t="shared" si="9"/>
        <v>1.0110822484595425</v>
      </c>
      <c r="F41" s="27">
        <f t="shared" si="0"/>
        <v>5822.4738976174031</v>
      </c>
      <c r="G41" s="38">
        <f t="shared" si="2"/>
        <v>8.6694805187286796</v>
      </c>
      <c r="H41" s="75">
        <f t="shared" si="8"/>
        <v>8.6502014083042642</v>
      </c>
      <c r="I41" s="78">
        <f t="shared" si="3"/>
        <v>7.985107050058584E-3</v>
      </c>
      <c r="J41" s="22">
        <f t="shared" si="4"/>
        <v>8.6398203488449639</v>
      </c>
      <c r="K41" s="46">
        <f t="shared" si="5"/>
        <v>5652.3142884270947</v>
      </c>
      <c r="M41" s="22">
        <f t="shared" si="6"/>
        <v>1.0381059459300346E-2</v>
      </c>
      <c r="N41" s="22">
        <f t="shared" si="7"/>
        <v>1.0776639549752919E-4</v>
      </c>
    </row>
    <row r="42" spans="1:14">
      <c r="A42" s="4">
        <f t="shared" si="1"/>
        <v>36</v>
      </c>
      <c r="B42" s="7">
        <v>33542</v>
      </c>
      <c r="C42" s="37">
        <v>5876</v>
      </c>
      <c r="D42">
        <v>0</v>
      </c>
      <c r="E42" s="22">
        <f t="shared" si="9"/>
        <v>1.0071360653970747</v>
      </c>
      <c r="F42" s="27">
        <f t="shared" si="0"/>
        <v>5834.3655856304986</v>
      </c>
      <c r="G42" s="38">
        <f t="shared" si="2"/>
        <v>8.6715208131250154</v>
      </c>
      <c r="H42" s="75">
        <f t="shared" si="8"/>
        <v>8.6628535195740657</v>
      </c>
      <c r="I42" s="78">
        <f t="shared" si="3"/>
        <v>8.1717872188482987E-3</v>
      </c>
      <c r="J42" s="22">
        <f t="shared" si="4"/>
        <v>8.6581865153543234</v>
      </c>
      <c r="K42" s="46">
        <f t="shared" si="5"/>
        <v>5757.0848051408211</v>
      </c>
      <c r="M42" s="22">
        <f t="shared" si="6"/>
        <v>4.6670042197423101E-3</v>
      </c>
      <c r="N42" s="22">
        <f t="shared" si="7"/>
        <v>2.1780928387092529E-5</v>
      </c>
    </row>
    <row r="43" spans="1:14">
      <c r="A43" s="4">
        <f t="shared" si="1"/>
        <v>37</v>
      </c>
      <c r="B43" s="7">
        <v>33572</v>
      </c>
      <c r="C43" s="37">
        <v>5896</v>
      </c>
      <c r="D43">
        <v>0</v>
      </c>
      <c r="E43" s="22">
        <f t="shared" si="9"/>
        <v>0.99895296976377324</v>
      </c>
      <c r="F43" s="27">
        <f t="shared" si="0"/>
        <v>5902.1797606690661</v>
      </c>
      <c r="G43" s="38">
        <f t="shared" si="2"/>
        <v>8.6830770126244676</v>
      </c>
      <c r="H43" s="75">
        <f t="shared" si="8"/>
        <v>8.6752434038339583</v>
      </c>
      <c r="I43" s="78">
        <f t="shared" si="3"/>
        <v>8.3405111004900712E-3</v>
      </c>
      <c r="J43" s="22">
        <f t="shared" si="4"/>
        <v>8.6710253067929148</v>
      </c>
      <c r="K43" s="46">
        <f t="shared" si="5"/>
        <v>5831.4753366665018</v>
      </c>
      <c r="M43" s="22">
        <f t="shared" si="6"/>
        <v>4.2180970410434782E-3</v>
      </c>
      <c r="N43" s="22">
        <f t="shared" si="7"/>
        <v>1.7792342647659746E-5</v>
      </c>
    </row>
    <row r="44" spans="1:14">
      <c r="A44" s="4">
        <f t="shared" si="1"/>
        <v>38</v>
      </c>
      <c r="B44" s="7">
        <v>33603</v>
      </c>
      <c r="C44" s="37">
        <v>5900</v>
      </c>
      <c r="D44">
        <v>0</v>
      </c>
      <c r="E44" s="22">
        <f t="shared" si="9"/>
        <v>0.99136634823865966</v>
      </c>
      <c r="F44" s="27">
        <f t="shared" si="0"/>
        <v>5951.3821610773957</v>
      </c>
      <c r="G44" s="38">
        <f t="shared" si="2"/>
        <v>8.6913787675425365</v>
      </c>
      <c r="H44" s="75">
        <f t="shared" si="8"/>
        <v>8.6863121133472792</v>
      </c>
      <c r="I44" s="78">
        <f t="shared" si="3"/>
        <v>8.4496390370033016E-3</v>
      </c>
      <c r="J44" s="22">
        <f t="shared" si="4"/>
        <v>8.6835839149344487</v>
      </c>
      <c r="K44" s="46">
        <f t="shared" si="5"/>
        <v>5905.1723476342149</v>
      </c>
      <c r="M44" s="22">
        <f t="shared" si="6"/>
        <v>2.7281984128304515E-3</v>
      </c>
      <c r="N44" s="22">
        <f t="shared" si="7"/>
        <v>7.4430665797705949E-6</v>
      </c>
    </row>
    <row r="45" spans="1:14">
      <c r="A45" s="4">
        <f t="shared" si="1"/>
        <v>39</v>
      </c>
      <c r="B45" s="7">
        <v>33634</v>
      </c>
      <c r="C45" s="37">
        <v>5917</v>
      </c>
      <c r="D45">
        <v>0</v>
      </c>
      <c r="E45" s="22">
        <f t="shared" si="9"/>
        <v>0.98565799233532947</v>
      </c>
      <c r="F45" s="27">
        <f t="shared" si="0"/>
        <v>6003.0964553747408</v>
      </c>
      <c r="G45" s="38">
        <f t="shared" si="2"/>
        <v>8.7000306909846152</v>
      </c>
      <c r="H45" s="75">
        <f t="shared" si="8"/>
        <v>8.6966058808943991</v>
      </c>
      <c r="I45" s="78">
        <f t="shared" si="3"/>
        <v>8.5234041774079686E-3</v>
      </c>
      <c r="J45" s="22">
        <f t="shared" si="4"/>
        <v>8.6947617523842826</v>
      </c>
      <c r="K45" s="46">
        <f t="shared" si="5"/>
        <v>5971.5496907051902</v>
      </c>
      <c r="M45" s="22">
        <f t="shared" si="6"/>
        <v>1.844128510116505E-3</v>
      </c>
      <c r="N45" s="22">
        <f t="shared" si="7"/>
        <v>3.4008099618245207E-6</v>
      </c>
    </row>
    <row r="46" spans="1:14">
      <c r="A46" s="4">
        <f t="shared" si="1"/>
        <v>40</v>
      </c>
      <c r="B46" s="7">
        <v>33663</v>
      </c>
      <c r="C46" s="37">
        <v>5938</v>
      </c>
      <c r="D46">
        <v>0</v>
      </c>
      <c r="E46" s="22">
        <f t="shared" si="9"/>
        <v>0.9867538520861826</v>
      </c>
      <c r="F46" s="27">
        <f t="shared" si="0"/>
        <v>6017.7114965864639</v>
      </c>
      <c r="G46" s="38">
        <f t="shared" si="2"/>
        <v>8.7024623159588188</v>
      </c>
      <c r="H46" s="75">
        <f t="shared" si="8"/>
        <v>8.7041958458822606</v>
      </c>
      <c r="I46" s="78">
        <f t="shared" si="3"/>
        <v>8.4860666098261085E-3</v>
      </c>
      <c r="J46" s="22">
        <f t="shared" si="4"/>
        <v>8.7051292850718074</v>
      </c>
      <c r="K46" s="46">
        <f t="shared" si="5"/>
        <v>6033.7819674780894</v>
      </c>
      <c r="M46" s="22">
        <f t="shared" si="6"/>
        <v>-9.3343918954680305E-4</v>
      </c>
      <c r="N46" s="22">
        <f t="shared" si="7"/>
        <v>8.7130872058179252E-7</v>
      </c>
    </row>
    <row r="47" spans="1:14">
      <c r="A47" s="4">
        <f t="shared" si="1"/>
        <v>41</v>
      </c>
      <c r="B47" s="7">
        <v>33694</v>
      </c>
      <c r="C47" s="37">
        <v>5987</v>
      </c>
      <c r="D47">
        <v>0</v>
      </c>
      <c r="E47" s="22">
        <f t="shared" si="9"/>
        <v>0.99365549523408958</v>
      </c>
      <c r="F47" s="27">
        <f t="shared" si="0"/>
        <v>6025.2270819370424</v>
      </c>
      <c r="G47" s="38">
        <f t="shared" si="2"/>
        <v>8.7037104475966647</v>
      </c>
      <c r="H47" s="75">
        <f t="shared" si="8"/>
        <v>8.7095418997786886</v>
      </c>
      <c r="I47" s="78">
        <f t="shared" si="3"/>
        <v>8.3604661012901867E-3</v>
      </c>
      <c r="J47" s="22">
        <f t="shared" si="4"/>
        <v>8.7126819124920871</v>
      </c>
      <c r="K47" s="46">
        <f t="shared" si="5"/>
        <v>6079.5253987183114</v>
      </c>
      <c r="M47" s="22">
        <f t="shared" si="6"/>
        <v>-3.1400127133984768E-3</v>
      </c>
      <c r="N47" s="22">
        <f t="shared" si="7"/>
        <v>9.859679840304064E-6</v>
      </c>
    </row>
    <row r="48" spans="1:14">
      <c r="A48" s="4">
        <f t="shared" si="1"/>
        <v>42</v>
      </c>
      <c r="B48" s="7">
        <v>33724</v>
      </c>
      <c r="C48" s="37">
        <v>5983</v>
      </c>
      <c r="D48">
        <v>0</v>
      </c>
      <c r="E48" s="22">
        <f>E36</f>
        <v>0.97830522536246467</v>
      </c>
      <c r="F48" s="27">
        <f t="shared" si="0"/>
        <v>6115.6782616419969</v>
      </c>
      <c r="G48" s="38">
        <f t="shared" si="2"/>
        <v>8.71861095965507</v>
      </c>
      <c r="H48" s="75">
        <f t="shared" si="8"/>
        <v>8.7181503737012598</v>
      </c>
      <c r="I48" s="78">
        <f t="shared" si="3"/>
        <v>8.370386414141423E-3</v>
      </c>
      <c r="J48" s="22">
        <f t="shared" si="4"/>
        <v>8.7179023658799792</v>
      </c>
      <c r="K48" s="46">
        <f t="shared" si="5"/>
        <v>6111.3462650894926</v>
      </c>
      <c r="M48" s="22">
        <f t="shared" si="6"/>
        <v>2.4800782128053811E-4</v>
      </c>
      <c r="N48" s="22">
        <f t="shared" si="7"/>
        <v>6.1507879416319336E-8</v>
      </c>
    </row>
    <row r="49" spans="1:14">
      <c r="A49" s="4">
        <f t="shared" si="1"/>
        <v>43</v>
      </c>
      <c r="B49" s="7">
        <v>33755</v>
      </c>
      <c r="C49" s="37">
        <v>5981</v>
      </c>
      <c r="D49">
        <v>0</v>
      </c>
      <c r="E49" s="22">
        <f t="shared" si="9"/>
        <v>0.98972684471052108</v>
      </c>
      <c r="F49" s="27">
        <f t="shared" si="0"/>
        <v>6043.0815148288157</v>
      </c>
      <c r="G49" s="38">
        <f t="shared" si="2"/>
        <v>8.7066693454032666</v>
      </c>
      <c r="H49" s="75">
        <f t="shared" si="8"/>
        <v>8.7195727649661539</v>
      </c>
      <c r="I49" s="78">
        <f t="shared" si="3"/>
        <v>8.0924666081715283E-3</v>
      </c>
      <c r="J49" s="22">
        <f t="shared" si="4"/>
        <v>8.7265207601154007</v>
      </c>
      <c r="K49" s="46">
        <f t="shared" si="5"/>
        <v>6164.243875319401</v>
      </c>
      <c r="M49" s="22">
        <f t="shared" si="6"/>
        <v>-6.9479951492468217E-3</v>
      </c>
      <c r="N49" s="22">
        <f t="shared" si="7"/>
        <v>4.8274636593957364E-5</v>
      </c>
    </row>
    <row r="50" spans="1:14">
      <c r="A50" s="4">
        <f t="shared" si="1"/>
        <v>44</v>
      </c>
      <c r="B50" s="7">
        <v>33785</v>
      </c>
      <c r="C50" s="37">
        <v>5975</v>
      </c>
      <c r="D50">
        <v>0</v>
      </c>
      <c r="E50" s="22">
        <f t="shared" si="9"/>
        <v>1.0164908929445178</v>
      </c>
      <c r="F50" s="27">
        <f t="shared" si="0"/>
        <v>5878.0654519116561</v>
      </c>
      <c r="G50" s="38">
        <f t="shared" si="2"/>
        <v>8.6789829819817985</v>
      </c>
      <c r="H50" s="75">
        <f t="shared" si="8"/>
        <v>8.7106264442169419</v>
      </c>
      <c r="I50" s="78">
        <f t="shared" si="3"/>
        <v>7.4109151138761877E-3</v>
      </c>
      <c r="J50" s="22">
        <f t="shared" si="4"/>
        <v>8.7276652315743259</v>
      </c>
      <c r="K50" s="46">
        <f t="shared" si="5"/>
        <v>6171.3027150503804</v>
      </c>
      <c r="M50" s="22">
        <f t="shared" si="6"/>
        <v>-1.7038787357384066E-2</v>
      </c>
      <c r="N50" s="22">
        <f t="shared" si="7"/>
        <v>2.9032027461015108E-4</v>
      </c>
    </row>
    <row r="51" spans="1:14">
      <c r="A51" s="4">
        <f t="shared" si="1"/>
        <v>45</v>
      </c>
      <c r="B51" s="7">
        <v>33816</v>
      </c>
      <c r="C51" s="37">
        <v>5985</v>
      </c>
      <c r="D51">
        <v>0</v>
      </c>
      <c r="E51" s="22">
        <f t="shared" si="9"/>
        <v>1.023824453097022</v>
      </c>
      <c r="F51" s="27">
        <f t="shared" si="0"/>
        <v>5845.7287105183414</v>
      </c>
      <c r="G51" s="38">
        <f t="shared" si="2"/>
        <v>8.6734665385934306</v>
      </c>
      <c r="H51" s="75">
        <f t="shared" si="8"/>
        <v>8.7024375720727321</v>
      </c>
      <c r="I51" s="78">
        <f t="shared" si="3"/>
        <v>6.7869236235527462E-3</v>
      </c>
      <c r="J51" s="22">
        <f t="shared" si="4"/>
        <v>8.7180373593308182</v>
      </c>
      <c r="K51" s="46">
        <f t="shared" si="5"/>
        <v>6112.1713124978342</v>
      </c>
      <c r="M51" s="22">
        <f t="shared" si="6"/>
        <v>-1.5599787258086195E-2</v>
      </c>
      <c r="N51" s="22">
        <f t="shared" si="7"/>
        <v>2.4335336249754842E-4</v>
      </c>
    </row>
    <row r="52" spans="1:14">
      <c r="A52" s="4">
        <f t="shared" si="1"/>
        <v>46</v>
      </c>
      <c r="B52" s="7">
        <v>33847</v>
      </c>
      <c r="C52" s="37">
        <v>6029</v>
      </c>
      <c r="D52">
        <v>0</v>
      </c>
      <c r="E52" s="22">
        <f t="shared" si="9"/>
        <v>1.0170476123708239</v>
      </c>
      <c r="F52" s="27">
        <f t="shared" si="0"/>
        <v>5927.9427301794576</v>
      </c>
      <c r="G52" s="38">
        <f t="shared" si="2"/>
        <v>8.6874325060283546</v>
      </c>
      <c r="H52" s="75">
        <f t="shared" si="8"/>
        <v>8.7015972993125086</v>
      </c>
      <c r="I52" s="78">
        <f t="shared" si="3"/>
        <v>6.4818357682016967E-3</v>
      </c>
      <c r="J52" s="22">
        <f t="shared" si="4"/>
        <v>8.7092244956962848</v>
      </c>
      <c r="K52" s="46">
        <f t="shared" si="5"/>
        <v>6058.5422401589403</v>
      </c>
      <c r="M52" s="22">
        <f t="shared" si="6"/>
        <v>-7.6271963837761803E-3</v>
      </c>
      <c r="N52" s="22">
        <f t="shared" si="7"/>
        <v>5.8174124676688443E-5</v>
      </c>
    </row>
    <row r="53" spans="1:14">
      <c r="A53" s="4">
        <f t="shared" si="1"/>
        <v>47</v>
      </c>
      <c r="B53" s="7">
        <v>33877</v>
      </c>
      <c r="C53" s="37">
        <v>6024</v>
      </c>
      <c r="D53">
        <v>0</v>
      </c>
      <c r="E53" s="22">
        <f t="shared" si="9"/>
        <v>1.0110822484595425</v>
      </c>
      <c r="F53" s="27">
        <f t="shared" si="0"/>
        <v>5957.9722709779571</v>
      </c>
      <c r="G53" s="38">
        <f t="shared" si="2"/>
        <v>8.6924854791801476</v>
      </c>
      <c r="H53" s="75">
        <f t="shared" si="8"/>
        <v>8.7026213555155145</v>
      </c>
      <c r="I53" s="78">
        <f>I$5*(H53-H52)+(1-I$5)*I52</f>
        <v>6.2635245855938663E-3</v>
      </c>
      <c r="J53" s="22">
        <f>H52+I52</f>
        <v>8.7080791350807107</v>
      </c>
      <c r="K53" s="46">
        <f>EXP(J53)</f>
        <v>6051.6069969246673</v>
      </c>
      <c r="M53" s="22">
        <f t="shared" si="6"/>
        <v>-5.4577795651962191E-3</v>
      </c>
      <c r="N53" s="22">
        <f t="shared" si="7"/>
        <v>2.9787357782273431E-5</v>
      </c>
    </row>
    <row r="54" spans="1:14">
      <c r="A54" s="4">
        <f t="shared" si="1"/>
        <v>48</v>
      </c>
      <c r="B54" s="7">
        <v>33908</v>
      </c>
      <c r="C54" s="38"/>
      <c r="D54">
        <v>0</v>
      </c>
      <c r="E54" s="22">
        <f t="shared" si="9"/>
        <v>1.0071360653970747</v>
      </c>
      <c r="F54" s="15"/>
      <c r="G54" s="38"/>
      <c r="H54" s="75"/>
      <c r="I54" s="78"/>
      <c r="J54" s="70">
        <f>H$53+(A54-$A$53)*I$53</f>
        <v>8.7088848801011078</v>
      </c>
      <c r="K54" s="46">
        <f>EXP(J54)</f>
        <v>6056.4850140829458</v>
      </c>
      <c r="L54" s="15">
        <f>E54*K54</f>
        <v>6099.7044872198449</v>
      </c>
      <c r="M54" s="79"/>
      <c r="N54" s="79"/>
    </row>
    <row r="55" spans="1:14">
      <c r="A55" s="4">
        <f t="shared" si="1"/>
        <v>49</v>
      </c>
      <c r="B55" s="7">
        <v>33938</v>
      </c>
      <c r="C55" s="38"/>
      <c r="D55">
        <v>0</v>
      </c>
      <c r="E55" s="22">
        <f t="shared" si="9"/>
        <v>0.99895296976377324</v>
      </c>
      <c r="F55" s="15"/>
      <c r="G55" s="38"/>
      <c r="H55" s="75"/>
      <c r="I55" s="78"/>
      <c r="J55" s="70">
        <f t="shared" ref="J55:J65" si="10">H$53+(A55-$A$53)*I$53</f>
        <v>8.7151484046867029</v>
      </c>
      <c r="K55" s="46">
        <f t="shared" ref="K55:K65" si="11">EXP(J55)</f>
        <v>6094.5390085255412</v>
      </c>
      <c r="L55" s="15">
        <f t="shared" ref="L55:L65" si="12">E55*K55</f>
        <v>6088.1578419077514</v>
      </c>
      <c r="M55" s="79"/>
      <c r="N55" s="79" t="s">
        <v>93</v>
      </c>
    </row>
    <row r="56" spans="1:14">
      <c r="A56" s="4">
        <f t="shared" si="1"/>
        <v>50</v>
      </c>
      <c r="B56" s="7">
        <v>33969</v>
      </c>
      <c r="C56" s="38"/>
      <c r="D56">
        <v>0</v>
      </c>
      <c r="E56" s="22">
        <f t="shared" si="9"/>
        <v>0.99136634823865966</v>
      </c>
      <c r="F56" s="15"/>
      <c r="G56" s="38"/>
      <c r="H56" s="75"/>
      <c r="I56" s="78"/>
      <c r="J56" s="70">
        <f t="shared" si="10"/>
        <v>8.7214119292722962</v>
      </c>
      <c r="K56" s="46">
        <f t="shared" si="11"/>
        <v>6132.8321031210471</v>
      </c>
      <c r="L56" s="15">
        <f t="shared" si="12"/>
        <v>6079.8833664319318</v>
      </c>
      <c r="M56" s="79"/>
      <c r="N56" s="79">
        <f>AVERAGE(N23:N53)</f>
        <v>1.8915800212101577E-4</v>
      </c>
    </row>
    <row r="57" spans="1:14">
      <c r="A57" s="4">
        <f t="shared" si="1"/>
        <v>51</v>
      </c>
      <c r="B57" s="7">
        <v>34000</v>
      </c>
      <c r="C57" s="38"/>
      <c r="D57">
        <v>0</v>
      </c>
      <c r="E57" s="22">
        <f t="shared" si="9"/>
        <v>0.98565799233532947</v>
      </c>
      <c r="F57" s="15"/>
      <c r="G57" s="38"/>
      <c r="H57" s="75"/>
      <c r="I57" s="78"/>
      <c r="J57" s="70">
        <f t="shared" si="10"/>
        <v>8.7276754538578896</v>
      </c>
      <c r="K57" s="46">
        <f t="shared" si="11"/>
        <v>6171.3658001791264</v>
      </c>
      <c r="L57" s="15">
        <f t="shared" si="12"/>
        <v>6082.8560245714716</v>
      </c>
      <c r="M57" s="22"/>
      <c r="N57" s="22"/>
    </row>
    <row r="58" spans="1:14">
      <c r="A58" s="4">
        <f t="shared" si="1"/>
        <v>52</v>
      </c>
      <c r="B58" s="7">
        <v>34028</v>
      </c>
      <c r="C58" s="38"/>
      <c r="D58">
        <v>0</v>
      </c>
      <c r="E58" s="22">
        <f t="shared" si="9"/>
        <v>0.9867538520861826</v>
      </c>
      <c r="F58" s="15"/>
      <c r="G58" s="38"/>
      <c r="H58" s="75"/>
      <c r="I58" s="78"/>
      <c r="J58" s="70">
        <f t="shared" si="10"/>
        <v>8.7339389784434847</v>
      </c>
      <c r="K58" s="46">
        <f t="shared" si="11"/>
        <v>6210.1416114487265</v>
      </c>
      <c r="L58" s="15">
        <f t="shared" si="12"/>
        <v>6127.8811570977241</v>
      </c>
      <c r="M58" s="22"/>
      <c r="N58" s="22"/>
    </row>
    <row r="59" spans="1:14">
      <c r="A59" s="4">
        <f t="shared" si="1"/>
        <v>53</v>
      </c>
      <c r="B59" s="7">
        <v>34059</v>
      </c>
      <c r="C59" s="38"/>
      <c r="D59">
        <v>0</v>
      </c>
      <c r="E59" s="22">
        <f t="shared" si="9"/>
        <v>0.99365549523408958</v>
      </c>
      <c r="F59" s="15"/>
      <c r="G59" s="38"/>
      <c r="H59" s="75"/>
      <c r="I59" s="78"/>
      <c r="J59" s="70">
        <f t="shared" si="10"/>
        <v>8.740202503029078</v>
      </c>
      <c r="K59" s="46">
        <f t="shared" si="11"/>
        <v>6249.1610581773521</v>
      </c>
      <c r="L59" s="15">
        <f t="shared" si="12"/>
        <v>6209.5132260608043</v>
      </c>
      <c r="M59" s="22"/>
      <c r="N59" s="22"/>
    </row>
    <row r="60" spans="1:14">
      <c r="A60" s="4">
        <f t="shared" si="1"/>
        <v>54</v>
      </c>
      <c r="B60" s="7">
        <v>34089</v>
      </c>
      <c r="C60" s="38"/>
      <c r="D60">
        <v>0</v>
      </c>
      <c r="E60" s="22">
        <f t="shared" si="9"/>
        <v>0.97830522536246467</v>
      </c>
      <c r="F60" s="15"/>
      <c r="G60" s="38"/>
      <c r="H60" s="75"/>
      <c r="I60" s="78"/>
      <c r="J60" s="70">
        <f t="shared" si="10"/>
        <v>8.7464660276146713</v>
      </c>
      <c r="K60" s="46">
        <f t="shared" si="11"/>
        <v>6288.4256711708185</v>
      </c>
      <c r="L60" s="15">
        <f t="shared" si="12"/>
        <v>6151.9996934098754</v>
      </c>
      <c r="M60" s="22"/>
      <c r="N60" s="22"/>
    </row>
    <row r="61" spans="1:14">
      <c r="A61" s="4">
        <f t="shared" si="1"/>
        <v>55</v>
      </c>
      <c r="B61" s="7">
        <v>34120</v>
      </c>
      <c r="C61" s="38"/>
      <c r="D61">
        <v>0</v>
      </c>
      <c r="E61" s="22">
        <f t="shared" si="9"/>
        <v>0.98972684471052108</v>
      </c>
      <c r="F61" s="15"/>
      <c r="G61" s="38"/>
      <c r="H61" s="75"/>
      <c r="I61" s="78"/>
      <c r="J61" s="70">
        <f t="shared" si="10"/>
        <v>8.7527295522002646</v>
      </c>
      <c r="K61" s="46">
        <f t="shared" si="11"/>
        <v>6327.9369908532581</v>
      </c>
      <c r="L61" s="15">
        <f t="shared" si="12"/>
        <v>6262.9291114841844</v>
      </c>
      <c r="M61" s="22"/>
      <c r="N61" s="22"/>
    </row>
    <row r="62" spans="1:14">
      <c r="A62" s="4">
        <f t="shared" si="1"/>
        <v>56</v>
      </c>
      <c r="B62" s="7">
        <v>34150</v>
      </c>
      <c r="C62" s="38"/>
      <c r="D62">
        <v>0</v>
      </c>
      <c r="E62" s="22">
        <f t="shared" si="9"/>
        <v>1.0164908929445178</v>
      </c>
      <c r="F62" s="15"/>
      <c r="G62" s="38"/>
      <c r="H62" s="75"/>
      <c r="I62" s="78"/>
      <c r="J62" s="70">
        <f t="shared" si="10"/>
        <v>8.7589930767858597</v>
      </c>
      <c r="K62" s="46">
        <f t="shared" si="11"/>
        <v>6367.6965673275809</v>
      </c>
      <c r="L62" s="15">
        <f t="shared" si="12"/>
        <v>6472.7055697225533</v>
      </c>
      <c r="M62" s="22"/>
      <c r="N62" s="22"/>
    </row>
    <row r="63" spans="1:14">
      <c r="A63" s="4">
        <f t="shared" si="1"/>
        <v>57</v>
      </c>
      <c r="B63" s="7">
        <v>34181</v>
      </c>
      <c r="C63" s="38"/>
      <c r="D63">
        <v>0</v>
      </c>
      <c r="E63" s="22">
        <f t="shared" si="9"/>
        <v>1.023824453097022</v>
      </c>
      <c r="F63" s="15"/>
      <c r="G63" s="38"/>
      <c r="H63" s="75"/>
      <c r="I63" s="78"/>
      <c r="J63" s="70">
        <f t="shared" si="10"/>
        <v>8.765256601371453</v>
      </c>
      <c r="K63" s="46">
        <f t="shared" si="11"/>
        <v>6407.7059604362403</v>
      </c>
      <c r="L63" s="15">
        <f t="shared" si="12"/>
        <v>6560.3660505501612</v>
      </c>
      <c r="M63" s="22"/>
      <c r="N63" s="22"/>
    </row>
    <row r="64" spans="1:14">
      <c r="A64" s="4">
        <f t="shared" si="1"/>
        <v>58</v>
      </c>
      <c r="B64" s="7">
        <v>34212</v>
      </c>
      <c r="C64" s="38"/>
      <c r="D64">
        <v>0</v>
      </c>
      <c r="E64" s="22">
        <f t="shared" si="9"/>
        <v>1.0170476123708239</v>
      </c>
      <c r="F64" s="15"/>
      <c r="G64" s="38"/>
      <c r="H64" s="75"/>
      <c r="I64" s="78"/>
      <c r="J64" s="70">
        <f>H$53+(A64-$A$53)*I$53</f>
        <v>8.7715201259570463</v>
      </c>
      <c r="K64" s="46">
        <f t="shared" si="11"/>
        <v>6447.9667398224956</v>
      </c>
      <c r="L64" s="15">
        <f t="shared" si="12"/>
        <v>6557.8891773829546</v>
      </c>
      <c r="M64" s="22"/>
      <c r="N64" s="22"/>
    </row>
    <row r="65" spans="1:14">
      <c r="A65" s="4">
        <f t="shared" si="1"/>
        <v>59</v>
      </c>
      <c r="B65" s="7">
        <v>34242</v>
      </c>
      <c r="C65" s="38"/>
      <c r="D65">
        <v>0</v>
      </c>
      <c r="E65" s="22">
        <f t="shared" si="9"/>
        <v>1.0110822484595425</v>
      </c>
      <c r="F65" s="15"/>
      <c r="G65" s="38"/>
      <c r="H65" s="75"/>
      <c r="I65" s="78"/>
      <c r="J65" s="70">
        <f t="shared" si="10"/>
        <v>8.7777836505426414</v>
      </c>
      <c r="K65" s="46">
        <f t="shared" si="11"/>
        <v>6488.480484991961</v>
      </c>
      <c r="L65" s="15">
        <f t="shared" si="12"/>
        <v>6560.3874378515347</v>
      </c>
      <c r="M65" s="22"/>
      <c r="N65" s="22"/>
    </row>
    <row r="68" spans="1:14">
      <c r="M68" s="77">
        <v>0.35</v>
      </c>
      <c r="N68" s="77">
        <v>0.04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18433" r:id="rId4">
          <objectPr defaultSize="0" r:id="rId5">
            <anchor moveWithCells="1">
              <from>
                <xdr:col>9</xdr:col>
                <xdr:colOff>361950</xdr:colOff>
                <xdr:row>0</xdr:row>
                <xdr:rowOff>152400</xdr:rowOff>
              </from>
              <to>
                <xdr:col>14</xdr:col>
                <xdr:colOff>260350</xdr:colOff>
                <xdr:row>4</xdr:row>
                <xdr:rowOff>88900</xdr:rowOff>
              </to>
            </anchor>
          </objectPr>
        </oleObject>
      </mc:Choice>
      <mc:Fallback>
        <oleObject progId="Word.Document.8" shapeId="18433" r:id="rId4"/>
      </mc:Fallback>
    </mc:AlternateContent>
    <mc:AlternateContent xmlns:mc="http://schemas.openxmlformats.org/markup-compatibility/2006">
      <mc:Choice Requires="x14">
        <oleObject progId="Word.Document.8" shapeId="18434" r:id="rId6">
          <objectPr defaultSize="0" r:id="rId7">
            <anchor moveWithCells="1">
              <from>
                <xdr:col>15</xdr:col>
                <xdr:colOff>19050</xdr:colOff>
                <xdr:row>0</xdr:row>
                <xdr:rowOff>69850</xdr:rowOff>
              </from>
              <to>
                <xdr:col>17</xdr:col>
                <xdr:colOff>69850</xdr:colOff>
                <xdr:row>5</xdr:row>
                <xdr:rowOff>476250</xdr:rowOff>
              </to>
            </anchor>
          </objectPr>
        </oleObject>
      </mc:Choice>
      <mc:Fallback>
        <oleObject progId="Word.Document.8" shapeId="18434" r:id="rId6"/>
      </mc:Fallback>
    </mc:AlternateContent>
    <mc:AlternateContent xmlns:mc="http://schemas.openxmlformats.org/markup-compatibility/2006">
      <mc:Choice Requires="x14">
        <oleObject progId="Word.Document.8" shapeId="18435" r:id="rId8">
          <objectPr defaultSize="0" r:id="rId9">
            <anchor moveWithCells="1">
              <from>
                <xdr:col>12</xdr:col>
                <xdr:colOff>114300</xdr:colOff>
                <xdr:row>57</xdr:row>
                <xdr:rowOff>0</xdr:rowOff>
              </from>
              <to>
                <xdr:col>14</xdr:col>
                <xdr:colOff>146050</xdr:colOff>
                <xdr:row>62</xdr:row>
                <xdr:rowOff>12700</xdr:rowOff>
              </to>
            </anchor>
          </objectPr>
        </oleObject>
      </mc:Choice>
      <mc:Fallback>
        <oleObject progId="Word.Document.8" shapeId="18435" r:id="rId8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B5BE-FA14-46D1-A9BE-1702FD9A65AC}">
  <dimension ref="A1:AS65"/>
  <sheetViews>
    <sheetView zoomScale="70" zoomScaleNormal="70" workbookViewId="0">
      <pane ySplit="1" topLeftCell="A41" activePane="bottomLeft" state="frozen"/>
      <selection pane="bottomLeft" activeCell="B48" sqref="B48:C48"/>
    </sheetView>
  </sheetViews>
  <sheetFormatPr defaultRowHeight="14.45"/>
  <cols>
    <col min="1" max="1" width="3.28515625" bestFit="1" customWidth="1"/>
    <col min="2" max="2" width="11.28515625" bestFit="1" customWidth="1"/>
    <col min="3" max="3" width="17.140625" customWidth="1"/>
    <col min="4" max="4" width="16.85546875" style="66" bestFit="1" customWidth="1"/>
    <col min="5" max="7" width="11.85546875" bestFit="1" customWidth="1"/>
    <col min="8" max="8" width="14.140625" bestFit="1" customWidth="1"/>
    <col min="9" max="9" width="12.42578125" style="66" bestFit="1" customWidth="1"/>
    <col min="10" max="11" width="11.85546875" style="66" bestFit="1" customWidth="1"/>
    <col min="12" max="13" width="11.85546875" bestFit="1" customWidth="1"/>
    <col min="14" max="14" width="12.28515625" bestFit="1" customWidth="1"/>
    <col min="15" max="15" width="11.85546875" bestFit="1" customWidth="1"/>
    <col min="16" max="16" width="7.85546875" bestFit="1" customWidth="1"/>
    <col min="17" max="17" width="11.85546875" bestFit="1" customWidth="1"/>
    <col min="19" max="20" width="10.140625" bestFit="1" customWidth="1"/>
    <col min="21" max="21" width="10.140625" customWidth="1"/>
    <col min="22" max="27" width="10.140625" bestFit="1" customWidth="1"/>
    <col min="28" max="29" width="11.7109375" bestFit="1" customWidth="1"/>
    <col min="30" max="31" width="11.7109375" customWidth="1"/>
    <col min="32" max="32" width="11" bestFit="1" customWidth="1"/>
    <col min="33" max="33" width="8.5703125" bestFit="1" customWidth="1"/>
    <col min="34" max="34" width="9.28515625" bestFit="1" customWidth="1"/>
    <col min="35" max="35" width="9.28515625" customWidth="1"/>
    <col min="36" max="36" width="14.28515625" bestFit="1" customWidth="1"/>
    <col min="37" max="37" width="12.85546875" bestFit="1" customWidth="1"/>
    <col min="38" max="38" width="12.5703125" bestFit="1" customWidth="1"/>
    <col min="39" max="39" width="10.85546875" bestFit="1" customWidth="1"/>
    <col min="40" max="40" width="11.5703125" bestFit="1" customWidth="1"/>
    <col min="41" max="41" width="12.140625" bestFit="1" customWidth="1"/>
    <col min="42" max="42" width="12.28515625" customWidth="1"/>
    <col min="43" max="43" width="15.42578125" customWidth="1"/>
    <col min="44" max="44" width="8" bestFit="1" customWidth="1"/>
    <col min="45" max="45" width="6.140625" bestFit="1" customWidth="1"/>
  </cols>
  <sheetData>
    <row r="1" spans="1:43" ht="87">
      <c r="A1" s="3" t="s">
        <v>1</v>
      </c>
      <c r="B1" s="6" t="s">
        <v>2</v>
      </c>
      <c r="C1" s="9" t="s">
        <v>3</v>
      </c>
      <c r="D1" s="14" t="s">
        <v>61</v>
      </c>
      <c r="E1" s="14" t="s">
        <v>139</v>
      </c>
      <c r="F1" s="14" t="s">
        <v>140</v>
      </c>
      <c r="G1" s="14" t="s">
        <v>141</v>
      </c>
      <c r="H1" s="14" t="s">
        <v>72</v>
      </c>
      <c r="I1" s="68" t="s">
        <v>142</v>
      </c>
      <c r="J1" s="68" t="s">
        <v>42</v>
      </c>
      <c r="K1" s="68" t="s">
        <v>130</v>
      </c>
      <c r="L1" s="14" t="s">
        <v>77</v>
      </c>
      <c r="M1" s="14" t="s">
        <v>143</v>
      </c>
      <c r="N1" s="14" t="s">
        <v>144</v>
      </c>
      <c r="O1" s="14" t="s">
        <v>145</v>
      </c>
      <c r="P1" s="14"/>
      <c r="Q1" s="14" t="s">
        <v>146</v>
      </c>
      <c r="S1" s="14" t="s">
        <v>139</v>
      </c>
      <c r="T1" s="14" t="s">
        <v>140</v>
      </c>
      <c r="U1" s="14" t="s">
        <v>141</v>
      </c>
      <c r="V1" s="14" t="s">
        <v>72</v>
      </c>
      <c r="W1" s="68" t="s">
        <v>142</v>
      </c>
      <c r="X1" s="68" t="s">
        <v>42</v>
      </c>
      <c r="Y1" s="68" t="s">
        <v>130</v>
      </c>
      <c r="Z1" s="14" t="s">
        <v>77</v>
      </c>
      <c r="AA1" s="14" t="s">
        <v>143</v>
      </c>
      <c r="AB1" s="14" t="s">
        <v>144</v>
      </c>
      <c r="AC1" s="14" t="s">
        <v>145</v>
      </c>
      <c r="AD1" s="14" t="s">
        <v>8</v>
      </c>
      <c r="AE1" s="14"/>
      <c r="AG1" s="14" t="s">
        <v>139</v>
      </c>
      <c r="AH1" s="14" t="s">
        <v>140</v>
      </c>
      <c r="AI1" s="14" t="s">
        <v>141</v>
      </c>
      <c r="AJ1" s="14" t="s">
        <v>72</v>
      </c>
      <c r="AK1" s="68" t="s">
        <v>142</v>
      </c>
      <c r="AL1" s="68" t="s">
        <v>42</v>
      </c>
      <c r="AM1" s="68" t="s">
        <v>130</v>
      </c>
      <c r="AN1" s="14" t="s">
        <v>77</v>
      </c>
      <c r="AO1" s="14" t="s">
        <v>143</v>
      </c>
      <c r="AP1" s="14" t="s">
        <v>144</v>
      </c>
      <c r="AQ1" s="14" t="s">
        <v>145</v>
      </c>
    </row>
    <row r="2" spans="1:43">
      <c r="A2" s="4">
        <v>1</v>
      </c>
      <c r="B2" s="7">
        <v>32477</v>
      </c>
      <c r="C2" s="58">
        <v>3761</v>
      </c>
      <c r="D2" s="66">
        <v>3764.942008120142</v>
      </c>
      <c r="E2" s="59"/>
      <c r="F2" s="59"/>
      <c r="G2" s="59"/>
    </row>
    <row r="3" spans="1:43">
      <c r="A3" s="4">
        <f>1+A2</f>
        <v>2</v>
      </c>
      <c r="B3" s="7">
        <v>32508</v>
      </c>
      <c r="C3" s="58">
        <v>3770</v>
      </c>
      <c r="D3" s="66">
        <v>3802.8323300443694</v>
      </c>
      <c r="E3" s="59"/>
      <c r="F3" s="59"/>
      <c r="G3" s="59"/>
    </row>
    <row r="4" spans="1:43">
      <c r="A4" s="4">
        <f t="shared" ref="A4:A60" si="0">1+A3</f>
        <v>3</v>
      </c>
      <c r="B4" s="7">
        <v>32539</v>
      </c>
      <c r="C4" s="58">
        <v>3777</v>
      </c>
      <c r="D4" s="66">
        <v>3831.9579705848228</v>
      </c>
      <c r="E4" s="59"/>
      <c r="F4" s="59"/>
      <c r="G4" s="59"/>
    </row>
    <row r="5" spans="1:43">
      <c r="A5" s="4">
        <f t="shared" si="0"/>
        <v>4</v>
      </c>
      <c r="B5" s="7">
        <v>32567</v>
      </c>
      <c r="C5" s="58">
        <v>3831</v>
      </c>
      <c r="D5" s="66">
        <v>3882.4272050223549</v>
      </c>
      <c r="E5" s="59"/>
      <c r="F5" s="59"/>
      <c r="G5" s="59"/>
    </row>
    <row r="6" spans="1:43">
      <c r="A6" s="4">
        <f t="shared" si="0"/>
        <v>5</v>
      </c>
      <c r="B6" s="7">
        <v>32598</v>
      </c>
      <c r="C6" s="58">
        <v>3916</v>
      </c>
      <c r="D6" s="66">
        <v>3941.0037168641152</v>
      </c>
      <c r="E6" s="59"/>
      <c r="F6" s="59"/>
      <c r="G6" s="59"/>
    </row>
    <row r="7" spans="1:43">
      <c r="A7" s="4">
        <f t="shared" si="0"/>
        <v>6</v>
      </c>
      <c r="B7" s="7">
        <v>32628</v>
      </c>
      <c r="C7" s="58">
        <v>3956</v>
      </c>
      <c r="D7" s="66">
        <v>4043.7277625030488</v>
      </c>
      <c r="E7" s="59"/>
      <c r="F7" s="59"/>
      <c r="G7" s="59"/>
    </row>
    <row r="8" spans="1:43">
      <c r="A8" s="4">
        <f t="shared" si="0"/>
        <v>7</v>
      </c>
      <c r="B8" s="7">
        <v>32659</v>
      </c>
      <c r="C8" s="58">
        <v>3995</v>
      </c>
      <c r="D8" s="66">
        <v>4036.4672549308007</v>
      </c>
      <c r="E8" s="59"/>
      <c r="F8" s="59"/>
      <c r="G8" s="59"/>
    </row>
    <row r="9" spans="1:43">
      <c r="A9" s="4">
        <f t="shared" si="0"/>
        <v>8</v>
      </c>
      <c r="B9" s="7">
        <v>32689</v>
      </c>
      <c r="C9" s="58">
        <v>3949</v>
      </c>
      <c r="D9" s="66">
        <v>3884.9339698073859</v>
      </c>
      <c r="E9" s="59"/>
      <c r="F9" s="59"/>
      <c r="G9" s="59"/>
    </row>
    <row r="10" spans="1:43">
      <c r="A10" s="4">
        <f t="shared" si="0"/>
        <v>9</v>
      </c>
      <c r="B10" s="7">
        <v>32720</v>
      </c>
      <c r="C10" s="58">
        <v>3986</v>
      </c>
      <c r="D10" s="66">
        <v>3893.2455539057823</v>
      </c>
      <c r="E10" s="59"/>
      <c r="F10" s="59"/>
      <c r="G10" s="59"/>
    </row>
    <row r="11" spans="1:43">
      <c r="A11" s="4">
        <f t="shared" si="0"/>
        <v>10</v>
      </c>
      <c r="B11" s="7">
        <v>32751</v>
      </c>
      <c r="C11" s="58">
        <v>4026</v>
      </c>
      <c r="D11" s="66">
        <v>3958.5167410354115</v>
      </c>
      <c r="E11" s="59"/>
      <c r="F11" s="59"/>
      <c r="G11" s="59"/>
    </row>
    <row r="12" spans="1:43">
      <c r="A12" s="4">
        <f t="shared" si="0"/>
        <v>11</v>
      </c>
      <c r="B12" s="7">
        <v>32781</v>
      </c>
      <c r="C12" s="58">
        <v>4050</v>
      </c>
      <c r="D12" s="66">
        <v>4005.6088475200413</v>
      </c>
      <c r="E12" s="59"/>
      <c r="F12" s="59"/>
      <c r="G12" s="59"/>
    </row>
    <row r="13" spans="1:43">
      <c r="A13" s="4">
        <f t="shared" si="0"/>
        <v>12</v>
      </c>
      <c r="B13" s="7">
        <v>32812</v>
      </c>
      <c r="C13" s="58">
        <v>4095</v>
      </c>
      <c r="D13" s="66">
        <v>4065.9848660920511</v>
      </c>
      <c r="E13" s="59"/>
      <c r="F13" s="59"/>
      <c r="G13" s="59"/>
    </row>
    <row r="14" spans="1:43">
      <c r="A14" s="4">
        <f t="shared" si="0"/>
        <v>13</v>
      </c>
      <c r="B14" s="7">
        <v>32842</v>
      </c>
      <c r="C14" s="58">
        <v>4105</v>
      </c>
      <c r="D14" s="66">
        <v>4109.3025640343485</v>
      </c>
      <c r="E14" s="59"/>
      <c r="F14" s="59"/>
      <c r="G14" s="59"/>
    </row>
    <row r="15" spans="1:43">
      <c r="A15" s="4">
        <f t="shared" si="0"/>
        <v>14</v>
      </c>
      <c r="B15" s="7">
        <v>32873</v>
      </c>
      <c r="C15" s="58">
        <v>4126</v>
      </c>
      <c r="D15" s="66">
        <v>4161.9326773907342</v>
      </c>
      <c r="E15" s="59"/>
      <c r="F15" s="59"/>
      <c r="G15" s="59"/>
    </row>
    <row r="16" spans="1:43">
      <c r="A16" s="4">
        <f t="shared" si="0"/>
        <v>15</v>
      </c>
      <c r="B16" s="7">
        <v>32904</v>
      </c>
      <c r="C16" s="58">
        <v>4164</v>
      </c>
      <c r="D16" s="66">
        <v>4224.5890890958972</v>
      </c>
      <c r="E16" s="59"/>
      <c r="F16" s="59"/>
      <c r="G16" s="59"/>
    </row>
    <row r="17" spans="1:7">
      <c r="A17" s="4">
        <f t="shared" si="0"/>
        <v>16</v>
      </c>
      <c r="B17" s="7">
        <v>32932</v>
      </c>
      <c r="C17" s="58">
        <v>4222</v>
      </c>
      <c r="D17" s="66">
        <v>4278.6759748380009</v>
      </c>
      <c r="E17" s="59"/>
      <c r="F17" s="59"/>
      <c r="G17" s="59"/>
    </row>
    <row r="18" spans="1:7">
      <c r="A18" s="4">
        <f t="shared" si="0"/>
        <v>17</v>
      </c>
      <c r="B18" s="7">
        <v>32963</v>
      </c>
      <c r="C18" s="58">
        <v>4321</v>
      </c>
      <c r="D18" s="66">
        <v>4348.5896477451079</v>
      </c>
      <c r="E18" s="59"/>
      <c r="F18" s="59"/>
      <c r="G18" s="59"/>
    </row>
    <row r="19" spans="1:7">
      <c r="A19" s="4">
        <f t="shared" si="0"/>
        <v>18</v>
      </c>
      <c r="B19" s="7">
        <v>32993</v>
      </c>
      <c r="C19" s="58">
        <v>4335</v>
      </c>
      <c r="D19" s="66">
        <v>4431.1324192241445</v>
      </c>
      <c r="E19" s="59"/>
      <c r="F19" s="59"/>
      <c r="G19" s="59"/>
    </row>
    <row r="20" spans="1:7">
      <c r="A20" s="4">
        <f t="shared" si="0"/>
        <v>19</v>
      </c>
      <c r="B20" s="7">
        <v>33024</v>
      </c>
      <c r="C20" s="58">
        <v>4454</v>
      </c>
      <c r="D20" s="66">
        <v>4500.2315778377442</v>
      </c>
      <c r="E20" s="59"/>
      <c r="F20" s="59"/>
      <c r="G20" s="59"/>
    </row>
    <row r="21" spans="1:7">
      <c r="A21" s="4">
        <f t="shared" si="0"/>
        <v>20</v>
      </c>
      <c r="B21" s="7">
        <v>33054</v>
      </c>
      <c r="C21" s="58">
        <v>4536</v>
      </c>
      <c r="D21" s="66">
        <v>4462.4108602295018</v>
      </c>
      <c r="E21" s="59"/>
      <c r="F21" s="59"/>
      <c r="G21" s="59"/>
    </row>
    <row r="22" spans="1:7">
      <c r="A22" s="4">
        <f t="shared" si="0"/>
        <v>21</v>
      </c>
      <c r="B22" s="7">
        <v>33085</v>
      </c>
      <c r="C22" s="58">
        <v>4597</v>
      </c>
      <c r="D22" s="66">
        <v>4490.0275492485907</v>
      </c>
      <c r="E22" s="59"/>
      <c r="F22" s="59"/>
      <c r="G22" s="59"/>
    </row>
    <row r="23" spans="1:7">
      <c r="A23" s="4">
        <f t="shared" si="0"/>
        <v>22</v>
      </c>
      <c r="B23" s="7">
        <v>33116</v>
      </c>
      <c r="C23" s="58">
        <v>4643</v>
      </c>
      <c r="D23" s="66">
        <v>4565.174671790217</v>
      </c>
      <c r="E23" s="59"/>
      <c r="F23" s="59"/>
      <c r="G23" s="59"/>
    </row>
    <row r="24" spans="1:7">
      <c r="A24" s="4">
        <f t="shared" si="0"/>
        <v>23</v>
      </c>
      <c r="B24" s="7">
        <v>33146</v>
      </c>
      <c r="C24" s="58">
        <v>4701</v>
      </c>
      <c r="D24" s="66">
        <v>4649.4733807880775</v>
      </c>
      <c r="E24" s="59"/>
      <c r="F24" s="59"/>
      <c r="G24" s="59"/>
    </row>
    <row r="25" spans="1:7">
      <c r="A25" s="4">
        <f t="shared" si="0"/>
        <v>24</v>
      </c>
      <c r="B25" s="7">
        <v>33177</v>
      </c>
      <c r="C25" s="58">
        <v>4766</v>
      </c>
      <c r="D25" s="66">
        <v>4732.2304937227636</v>
      </c>
      <c r="E25" s="59"/>
      <c r="F25" s="59"/>
      <c r="G25" s="59"/>
    </row>
    <row r="26" spans="1:7">
      <c r="A26" s="4">
        <f t="shared" si="0"/>
        <v>25</v>
      </c>
      <c r="B26" s="7">
        <v>33207</v>
      </c>
      <c r="C26" s="58">
        <v>4781</v>
      </c>
      <c r="D26" s="66">
        <v>4786.0110983308696</v>
      </c>
      <c r="E26" s="59"/>
      <c r="F26" s="59"/>
      <c r="G26" s="59"/>
    </row>
    <row r="27" spans="1:7">
      <c r="A27" s="4">
        <f t="shared" si="0"/>
        <v>26</v>
      </c>
      <c r="B27" s="7">
        <v>33238</v>
      </c>
      <c r="C27" s="58">
        <v>4808</v>
      </c>
      <c r="D27" s="66">
        <v>4849.8721068576469</v>
      </c>
      <c r="E27" s="59"/>
      <c r="F27" s="59"/>
      <c r="G27" s="59"/>
    </row>
    <row r="28" spans="1:7">
      <c r="A28" s="4">
        <f t="shared" si="0"/>
        <v>27</v>
      </c>
      <c r="B28" s="7">
        <v>33269</v>
      </c>
      <c r="C28" s="58">
        <v>4836</v>
      </c>
      <c r="D28" s="66">
        <v>4906.3671553476843</v>
      </c>
      <c r="E28" s="59"/>
      <c r="F28" s="59"/>
      <c r="G28" s="59"/>
    </row>
    <row r="29" spans="1:7">
      <c r="A29" s="4">
        <f t="shared" si="0"/>
        <v>28</v>
      </c>
      <c r="B29" s="7">
        <v>33297</v>
      </c>
      <c r="C29" s="58">
        <v>4937</v>
      </c>
      <c r="D29" s="66">
        <v>5003.27410889986</v>
      </c>
      <c r="E29" s="59"/>
      <c r="F29" s="59"/>
      <c r="G29" s="59"/>
    </row>
    <row r="30" spans="1:7">
      <c r="A30" s="4">
        <f t="shared" si="0"/>
        <v>29</v>
      </c>
      <c r="B30" s="7">
        <v>33328</v>
      </c>
      <c r="C30" s="58">
        <v>5054</v>
      </c>
      <c r="D30" s="66">
        <v>5086.2698633889777</v>
      </c>
      <c r="E30" s="59"/>
      <c r="F30" s="59"/>
      <c r="G30" s="59"/>
    </row>
    <row r="31" spans="1:7">
      <c r="A31" s="4">
        <f t="shared" si="0"/>
        <v>30</v>
      </c>
      <c r="B31" s="7">
        <v>33358</v>
      </c>
      <c r="C31" s="58">
        <v>5103</v>
      </c>
      <c r="D31" s="66">
        <v>5216.1634914188717</v>
      </c>
      <c r="E31" s="59"/>
      <c r="F31" s="59"/>
      <c r="G31" s="59"/>
    </row>
    <row r="32" spans="1:7">
      <c r="A32" s="4">
        <f t="shared" si="0"/>
        <v>31</v>
      </c>
      <c r="B32" s="7">
        <v>33389</v>
      </c>
      <c r="C32" s="58">
        <v>5105</v>
      </c>
      <c r="D32" s="66">
        <v>5157.9888201305976</v>
      </c>
      <c r="E32" s="59"/>
      <c r="F32" s="59"/>
      <c r="G32" s="59"/>
    </row>
    <row r="33" spans="1:44">
      <c r="A33" s="1">
        <f t="shared" si="0"/>
        <v>32</v>
      </c>
      <c r="B33" s="12">
        <v>33419</v>
      </c>
      <c r="C33" s="60">
        <v>5704</v>
      </c>
      <c r="D33" s="66">
        <v>5611.4619812057053</v>
      </c>
      <c r="E33" s="59"/>
      <c r="F33" s="59"/>
      <c r="G33" s="59"/>
    </row>
    <row r="34" spans="1:44">
      <c r="A34" s="1">
        <f t="shared" si="0"/>
        <v>33</v>
      </c>
      <c r="B34" s="12">
        <v>33450</v>
      </c>
      <c r="C34" s="60">
        <v>5907</v>
      </c>
      <c r="D34" s="66">
        <v>5769.5437749426637</v>
      </c>
      <c r="E34" s="59"/>
      <c r="F34" s="59"/>
      <c r="G34" s="59"/>
    </row>
    <row r="35" spans="1:44">
      <c r="A35" s="4">
        <f t="shared" si="0"/>
        <v>34</v>
      </c>
      <c r="B35" s="7">
        <v>33481</v>
      </c>
      <c r="C35" s="58">
        <v>5889</v>
      </c>
      <c r="D35" s="66">
        <v>5790.2893909482209</v>
      </c>
      <c r="E35" s="59"/>
      <c r="F35" s="59"/>
      <c r="G35" s="59"/>
    </row>
    <row r="36" spans="1:44">
      <c r="A36" s="4">
        <f t="shared" si="0"/>
        <v>35</v>
      </c>
      <c r="B36" s="7">
        <v>33511</v>
      </c>
      <c r="C36" s="58">
        <v>5887</v>
      </c>
      <c r="D36" s="66">
        <v>5822.4738976174031</v>
      </c>
      <c r="E36" s="59"/>
      <c r="F36" s="59"/>
      <c r="G36" s="59"/>
    </row>
    <row r="37" spans="1:44">
      <c r="A37" s="4">
        <f t="shared" si="0"/>
        <v>36</v>
      </c>
      <c r="B37" s="7">
        <v>33542</v>
      </c>
      <c r="C37" s="58">
        <v>5876</v>
      </c>
      <c r="D37" s="66">
        <v>5834.3655856304986</v>
      </c>
      <c r="E37" s="59"/>
      <c r="F37" s="59"/>
      <c r="G37" s="59"/>
    </row>
    <row r="38" spans="1:44">
      <c r="A38" s="4">
        <f t="shared" si="0"/>
        <v>37</v>
      </c>
      <c r="B38" s="7">
        <v>33572</v>
      </c>
      <c r="C38" s="58">
        <v>5896</v>
      </c>
      <c r="D38" s="66">
        <v>5902.1797606690661</v>
      </c>
      <c r="E38" s="59"/>
      <c r="F38" s="59"/>
      <c r="G38" s="59"/>
    </row>
    <row r="39" spans="1:44">
      <c r="A39" s="4">
        <f t="shared" si="0"/>
        <v>38</v>
      </c>
      <c r="B39" s="7">
        <v>33603</v>
      </c>
      <c r="C39" s="58">
        <v>5900</v>
      </c>
      <c r="D39" s="66">
        <v>5951.3821610773957</v>
      </c>
      <c r="E39" s="59"/>
      <c r="F39" s="59"/>
      <c r="G39" s="59"/>
    </row>
    <row r="40" spans="1:44">
      <c r="A40" s="4">
        <f t="shared" si="0"/>
        <v>39</v>
      </c>
      <c r="B40" s="7">
        <v>33634</v>
      </c>
      <c r="C40" s="58">
        <v>5917</v>
      </c>
      <c r="D40" s="66">
        <v>6003.0964553747408</v>
      </c>
      <c r="E40" s="59"/>
      <c r="F40" s="59"/>
      <c r="G40" s="59"/>
    </row>
    <row r="41" spans="1:44">
      <c r="A41" s="4">
        <f t="shared" si="0"/>
        <v>40</v>
      </c>
      <c r="B41" s="7">
        <v>33663</v>
      </c>
      <c r="C41" s="58">
        <v>5938</v>
      </c>
      <c r="D41" s="66">
        <v>6017.7114965864639</v>
      </c>
      <c r="E41" s="59"/>
      <c r="F41" s="59"/>
      <c r="G41" s="59"/>
    </row>
    <row r="42" spans="1:44">
      <c r="A42" s="4">
        <f t="shared" si="0"/>
        <v>41</v>
      </c>
      <c r="B42" s="7">
        <v>33694</v>
      </c>
      <c r="C42" s="58">
        <v>5987</v>
      </c>
      <c r="D42" s="66">
        <v>6025.2270819370424</v>
      </c>
      <c r="E42" s="59"/>
      <c r="F42" s="59"/>
      <c r="G42" s="59"/>
    </row>
    <row r="43" spans="1:44">
      <c r="A43" s="4">
        <f t="shared" si="0"/>
        <v>42</v>
      </c>
      <c r="B43" s="7">
        <v>33724</v>
      </c>
      <c r="C43" s="58">
        <v>5983</v>
      </c>
      <c r="D43" s="66">
        <v>6115.6782616419969</v>
      </c>
      <c r="E43" s="59"/>
      <c r="F43" s="59"/>
      <c r="G43" s="59"/>
    </row>
    <row r="44" spans="1:44">
      <c r="A44" s="4">
        <f t="shared" si="0"/>
        <v>43</v>
      </c>
      <c r="B44" s="7">
        <v>33755</v>
      </c>
      <c r="C44" s="58">
        <v>5981</v>
      </c>
      <c r="D44" s="66">
        <v>6043.0815148288157</v>
      </c>
      <c r="E44" s="59"/>
      <c r="F44" s="59"/>
      <c r="G44" s="59"/>
    </row>
    <row r="45" spans="1:44">
      <c r="A45" s="4">
        <f t="shared" si="0"/>
        <v>44</v>
      </c>
      <c r="B45" s="7">
        <v>33785</v>
      </c>
      <c r="C45" s="58">
        <v>5975</v>
      </c>
      <c r="D45" s="66">
        <v>5878.0654519116561</v>
      </c>
      <c r="E45" s="59"/>
      <c r="F45" s="59"/>
      <c r="G45" s="59"/>
    </row>
    <row r="46" spans="1:44">
      <c r="A46" s="4">
        <f t="shared" si="0"/>
        <v>45</v>
      </c>
      <c r="B46" s="7">
        <v>33816</v>
      </c>
      <c r="C46" s="58">
        <v>5985</v>
      </c>
      <c r="D46" s="66">
        <v>5845.7287105183414</v>
      </c>
      <c r="E46" s="59"/>
      <c r="F46" s="59"/>
      <c r="G46" s="59"/>
    </row>
    <row r="47" spans="1:44">
      <c r="A47" s="4">
        <f t="shared" si="0"/>
        <v>46</v>
      </c>
      <c r="B47" s="7">
        <v>33847</v>
      </c>
      <c r="C47" s="58">
        <v>6029</v>
      </c>
      <c r="D47" s="66">
        <v>5927.9427301794576</v>
      </c>
      <c r="E47" s="59"/>
      <c r="F47" s="59"/>
      <c r="G47" s="59"/>
    </row>
    <row r="48" spans="1:44" ht="43.5">
      <c r="A48" s="165">
        <f t="shared" si="0"/>
        <v>47</v>
      </c>
      <c r="B48" s="166">
        <v>33877</v>
      </c>
      <c r="C48" s="58">
        <v>6024</v>
      </c>
      <c r="D48" s="66">
        <v>5957.9722709779571</v>
      </c>
      <c r="E48" s="14"/>
      <c r="F48" s="14"/>
      <c r="G48" s="14"/>
      <c r="H48" s="14"/>
      <c r="I48" s="68"/>
      <c r="J48" s="68"/>
      <c r="K48" s="68"/>
      <c r="L48" s="14"/>
      <c r="M48" s="14"/>
      <c r="N48" s="14"/>
      <c r="O48" s="14"/>
      <c r="AF48" t="s">
        <v>147</v>
      </c>
      <c r="AG48" s="14" t="s">
        <v>139</v>
      </c>
      <c r="AH48" s="14" t="s">
        <v>140</v>
      </c>
      <c r="AI48" s="14" t="s">
        <v>141</v>
      </c>
      <c r="AJ48" s="14" t="s">
        <v>72</v>
      </c>
      <c r="AK48" s="151" t="s">
        <v>142</v>
      </c>
      <c r="AL48" s="151" t="s">
        <v>42</v>
      </c>
      <c r="AM48" s="14" t="s">
        <v>130</v>
      </c>
      <c r="AN48" s="14" t="s">
        <v>77</v>
      </c>
      <c r="AO48" s="14" t="s">
        <v>143</v>
      </c>
      <c r="AP48" s="14" t="s">
        <v>144</v>
      </c>
      <c r="AQ48" s="14" t="s">
        <v>145</v>
      </c>
      <c r="AR48" t="s">
        <v>8</v>
      </c>
    </row>
    <row r="49" spans="1:45">
      <c r="A49" s="4">
        <f>1+A48</f>
        <v>48</v>
      </c>
      <c r="B49" s="7">
        <v>33908</v>
      </c>
      <c r="C49" s="58">
        <v>6036</v>
      </c>
      <c r="E49" s="66">
        <v>6044.7424242424204</v>
      </c>
      <c r="F49" s="66">
        <v>6024</v>
      </c>
      <c r="G49" s="66">
        <v>6071.5</v>
      </c>
      <c r="H49" s="66">
        <v>6000.4887507376097</v>
      </c>
      <c r="I49" s="66">
        <v>5951.6786514789346</v>
      </c>
      <c r="J49" s="66">
        <v>6041.5116412365678</v>
      </c>
      <c r="K49" s="66">
        <v>6015.0095268005725</v>
      </c>
      <c r="L49" s="66">
        <v>5970.2449171721319</v>
      </c>
      <c r="M49" s="66">
        <v>6039.9299437211121</v>
      </c>
      <c r="N49" s="66">
        <v>6310.049028677151</v>
      </c>
      <c r="O49" s="66">
        <v>6099.7044872198449</v>
      </c>
      <c r="Q49" s="80">
        <f t="shared" ref="Q49:Q60" si="1">AVERAGE(E49:O49)</f>
        <v>6051.7144882987595</v>
      </c>
      <c r="S49" s="80">
        <f>E49-$C49</f>
        <v>8.742424242420384</v>
      </c>
      <c r="T49" s="80">
        <f>F49-$C49</f>
        <v>-12</v>
      </c>
      <c r="U49" s="80">
        <f t="shared" ref="U49:U60" si="2">G49-$C49</f>
        <v>35.5</v>
      </c>
      <c r="V49" s="113">
        <f t="shared" ref="V49:V60" si="3">H49-$C49</f>
        <v>-35.511249262390265</v>
      </c>
      <c r="W49" s="113">
        <f t="shared" ref="W49:W60" si="4">I49-$C49</f>
        <v>-84.321348521065374</v>
      </c>
      <c r="X49" s="113">
        <f t="shared" ref="X49:X60" si="5">J49-$C49</f>
        <v>5.5116412365678116</v>
      </c>
      <c r="Y49" s="113">
        <f t="shared" ref="Y49:Y60" si="6">K49-$C49</f>
        <v>-20.99047319942747</v>
      </c>
      <c r="Z49" s="113">
        <f t="shared" ref="Z49:Z60" si="7">L49-$C49</f>
        <v>-65.755082827868137</v>
      </c>
      <c r="AA49" s="113">
        <f t="shared" ref="AA49:AA60" si="8">M49-$C49</f>
        <v>3.9299437211120676</v>
      </c>
      <c r="AB49" s="113">
        <f t="shared" ref="AB49:AB60" si="9">N49-$C49</f>
        <v>274.049028677151</v>
      </c>
      <c r="AC49" s="113">
        <f t="shared" ref="AC49:AC60" si="10">O49-$C49</f>
        <v>63.70448721984485</v>
      </c>
      <c r="AD49" s="113">
        <f t="shared" ref="AD49:AD60" si="11">AVERAGE(S49:AC49)</f>
        <v>15.714488298758624</v>
      </c>
      <c r="AE49" s="113"/>
      <c r="AF49" s="7">
        <v>33908</v>
      </c>
      <c r="AG49" s="41">
        <f>ABS(S49/$C49)</f>
        <v>1.4483804245229263E-3</v>
      </c>
      <c r="AH49" s="41">
        <f t="shared" ref="AH49:AH60" si="12">ABS(T49/$C49)</f>
        <v>1.9880715705765406E-3</v>
      </c>
      <c r="AI49" s="41">
        <f t="shared" ref="AI49:AI60" si="13">ABS(U49/$C49)</f>
        <v>5.8813783962889327E-3</v>
      </c>
      <c r="AJ49" s="41">
        <f t="shared" ref="AJ49:AJ60" si="14">ABS(V49/$C49)</f>
        <v>5.8832420911846036E-3</v>
      </c>
      <c r="AK49" s="41">
        <f t="shared" ref="AK49:AK60" si="15">ABS(W49/$C49)</f>
        <v>1.3969739648950525E-2</v>
      </c>
      <c r="AL49" s="41">
        <f t="shared" ref="AL49:AL60" si="16">ABS(X49/$C49)</f>
        <v>9.13128104136483E-4</v>
      </c>
      <c r="AM49" s="41">
        <f t="shared" ref="AM49:AM60" si="17">ABS(Y49/$C49)</f>
        <v>3.4775469183942129E-3</v>
      </c>
      <c r="AN49" s="41">
        <f t="shared" ref="AN49:AN60" si="18">ABS(Z49/$C49)</f>
        <v>1.0893817565915861E-2</v>
      </c>
      <c r="AO49" s="41">
        <f t="shared" ref="AO49:AO60" si="19">ABS(AA49/$C49)</f>
        <v>6.510841154923903E-4</v>
      </c>
      <c r="AP49" s="41">
        <f t="shared" ref="AP49:AP60" si="20">ABS(AB49/$C49)</f>
        <v>4.5402423571429922E-2</v>
      </c>
      <c r="AQ49" s="41">
        <f t="shared" ref="AQ49:AQ60" si="21">ABS(AC49/$C49)</f>
        <v>1.0554089996660843E-2</v>
      </c>
      <c r="AR49" s="41">
        <f t="shared" ref="AR49:AR60" si="22">ABS(AD49/$C49)</f>
        <v>2.6034606194099775E-3</v>
      </c>
    </row>
    <row r="50" spans="1:45">
      <c r="A50" s="4">
        <f t="shared" si="0"/>
        <v>49</v>
      </c>
      <c r="B50" s="7">
        <v>33938</v>
      </c>
      <c r="C50" s="58">
        <v>6026</v>
      </c>
      <c r="E50" s="66">
        <v>6058.1515151515196</v>
      </c>
      <c r="F50" s="66">
        <v>6024</v>
      </c>
      <c r="G50" s="66">
        <v>6118.5</v>
      </c>
      <c r="H50" s="66">
        <v>5951.7340938636426</v>
      </c>
      <c r="I50" s="66">
        <v>5953.5801176009345</v>
      </c>
      <c r="J50" s="66">
        <v>5970.7074046302014</v>
      </c>
      <c r="K50" s="66">
        <v>5980.3956521285054</v>
      </c>
      <c r="L50" s="66">
        <v>5951.7340938636426</v>
      </c>
      <c r="M50" s="66">
        <v>6029.9755514294739</v>
      </c>
      <c r="N50" s="66">
        <v>6369.4358233117491</v>
      </c>
      <c r="O50" s="66">
        <v>6088.1578419077514</v>
      </c>
      <c r="Q50" s="80">
        <f t="shared" si="1"/>
        <v>6045.1247358079472</v>
      </c>
      <c r="S50" s="113">
        <f t="shared" ref="S50:S60" si="23">E50-$C50</f>
        <v>32.151515151519561</v>
      </c>
      <c r="T50" s="113">
        <f t="shared" ref="T50:T60" si="24">F50-$C50</f>
        <v>-2</v>
      </c>
      <c r="U50" s="113">
        <f t="shared" si="2"/>
        <v>92.5</v>
      </c>
      <c r="V50" s="113">
        <f t="shared" si="3"/>
        <v>-74.265906136357444</v>
      </c>
      <c r="W50" s="113">
        <f t="shared" si="4"/>
        <v>-72.4198823990655</v>
      </c>
      <c r="X50" s="113">
        <f t="shared" si="5"/>
        <v>-55.292595369798619</v>
      </c>
      <c r="Y50" s="113">
        <f t="shared" si="6"/>
        <v>-45.60434787149461</v>
      </c>
      <c r="Z50" s="113">
        <f t="shared" si="7"/>
        <v>-74.265906136357444</v>
      </c>
      <c r="AA50" s="113">
        <f t="shared" si="8"/>
        <v>3.9755514294738532</v>
      </c>
      <c r="AB50" s="113">
        <f t="shared" si="9"/>
        <v>343.43582331174912</v>
      </c>
      <c r="AC50" s="113">
        <f t="shared" si="10"/>
        <v>62.15784190775139</v>
      </c>
      <c r="AD50" s="113">
        <f t="shared" si="11"/>
        <v>19.1247358079473</v>
      </c>
      <c r="AE50" s="113"/>
      <c r="AF50" s="7">
        <v>33938</v>
      </c>
      <c r="AG50" s="41">
        <f t="shared" ref="AG50:AG60" si="25">ABS(S50/$C50)</f>
        <v>5.3354655080517024E-3</v>
      </c>
      <c r="AH50" s="41">
        <f t="shared" si="12"/>
        <v>3.3189512114171923E-4</v>
      </c>
      <c r="AI50" s="41">
        <f t="shared" si="13"/>
        <v>1.5350149352804513E-2</v>
      </c>
      <c r="AJ50" s="41">
        <f t="shared" si="14"/>
        <v>1.2324245956912951E-2</v>
      </c>
      <c r="AK50" s="41">
        <f t="shared" si="15"/>
        <v>1.2017902820953451E-2</v>
      </c>
      <c r="AL50" s="41">
        <f t="shared" si="16"/>
        <v>9.1756713192496873E-3</v>
      </c>
      <c r="AM50" s="41">
        <f t="shared" si="17"/>
        <v>7.5679302806994043E-3</v>
      </c>
      <c r="AN50" s="41">
        <f t="shared" si="18"/>
        <v>1.2324245956912951E-2</v>
      </c>
      <c r="AO50" s="41">
        <f t="shared" si="19"/>
        <v>6.5973306164517976E-4</v>
      </c>
      <c r="AP50" s="41">
        <f t="shared" si="20"/>
        <v>5.6992337091229528E-2</v>
      </c>
      <c r="AQ50" s="41">
        <f t="shared" si="21"/>
        <v>1.0314942234940489E-2</v>
      </c>
      <c r="AR50" s="41">
        <f t="shared" si="22"/>
        <v>3.1737032538910223E-3</v>
      </c>
    </row>
    <row r="51" spans="1:45">
      <c r="A51" s="4">
        <f t="shared" si="0"/>
        <v>50</v>
      </c>
      <c r="B51" s="7">
        <v>33969</v>
      </c>
      <c r="C51" s="58">
        <v>6021</v>
      </c>
      <c r="E51" s="66">
        <v>6071.5606060606096</v>
      </c>
      <c r="F51" s="66">
        <v>6024</v>
      </c>
      <c r="G51" s="66">
        <v>6165.5</v>
      </c>
      <c r="H51" s="66">
        <v>5906.5332131866116</v>
      </c>
      <c r="I51" s="66">
        <v>5932.824797395052</v>
      </c>
      <c r="J51" s="66">
        <v>5916.1287319014282</v>
      </c>
      <c r="K51" s="66">
        <v>5948.9860703179129</v>
      </c>
      <c r="L51" s="66">
        <v>5906.5332131866116</v>
      </c>
      <c r="M51" s="66">
        <v>6023.0040838116583</v>
      </c>
      <c r="N51" s="66">
        <v>6428.8226179463454</v>
      </c>
      <c r="O51" s="66">
        <v>6079.8833664319318</v>
      </c>
      <c r="Q51" s="80">
        <f t="shared" si="1"/>
        <v>6036.7069727489234</v>
      </c>
      <c r="S51" s="113">
        <f t="shared" si="23"/>
        <v>50.560606060609643</v>
      </c>
      <c r="T51" s="113">
        <f t="shared" si="24"/>
        <v>3</v>
      </c>
      <c r="U51" s="113">
        <f t="shared" si="2"/>
        <v>144.5</v>
      </c>
      <c r="V51" s="113">
        <f t="shared" si="3"/>
        <v>-114.46678681338835</v>
      </c>
      <c r="W51" s="113">
        <f t="shared" si="4"/>
        <v>-88.175202604948026</v>
      </c>
      <c r="X51" s="113">
        <f t="shared" si="5"/>
        <v>-104.87126809857182</v>
      </c>
      <c r="Y51" s="113">
        <f t="shared" si="6"/>
        <v>-72.01392968208711</v>
      </c>
      <c r="Z51" s="113">
        <f t="shared" si="7"/>
        <v>-114.46678681338835</v>
      </c>
      <c r="AA51" s="113">
        <f t="shared" si="8"/>
        <v>2.0040838116583473</v>
      </c>
      <c r="AB51" s="113">
        <f t="shared" si="9"/>
        <v>407.82261794634542</v>
      </c>
      <c r="AC51" s="113">
        <f t="shared" si="10"/>
        <v>58.88336643193179</v>
      </c>
      <c r="AD51" s="113">
        <f t="shared" si="11"/>
        <v>15.706972748923777</v>
      </c>
      <c r="AE51" s="113"/>
      <c r="AF51" s="7">
        <v>33969</v>
      </c>
      <c r="AG51" s="41">
        <f t="shared" si="25"/>
        <v>8.3973768577660923E-3</v>
      </c>
      <c r="AH51" s="41">
        <f t="shared" si="12"/>
        <v>4.9825610363726954E-4</v>
      </c>
      <c r="AI51" s="41">
        <f t="shared" si="13"/>
        <v>2.3999335658528485E-2</v>
      </c>
      <c r="AJ51" s="41">
        <f t="shared" si="14"/>
        <v>1.9011258397838956E-2</v>
      </c>
      <c r="AK51" s="41">
        <f t="shared" si="15"/>
        <v>1.4644610962456076E-2</v>
      </c>
      <c r="AL51" s="41">
        <f t="shared" si="16"/>
        <v>1.7417583142097959E-2</v>
      </c>
      <c r="AM51" s="41">
        <f t="shared" si="17"/>
        <v>1.1960460003668346E-2</v>
      </c>
      <c r="AN51" s="41">
        <f t="shared" si="18"/>
        <v>1.9011258397838956E-2</v>
      </c>
      <c r="AO51" s="41">
        <f t="shared" si="19"/>
        <v>3.3284899711980524E-4</v>
      </c>
      <c r="AP51" s="41">
        <f t="shared" si="20"/>
        <v>6.7733369531032289E-2</v>
      </c>
      <c r="AQ51" s="41">
        <f t="shared" si="21"/>
        <v>9.7796655758066418E-3</v>
      </c>
      <c r="AR51" s="41">
        <f t="shared" si="22"/>
        <v>2.6086983472718445E-3</v>
      </c>
    </row>
    <row r="52" spans="1:45">
      <c r="A52" s="4">
        <f t="shared" si="0"/>
        <v>51</v>
      </c>
      <c r="B52" s="7">
        <v>34000</v>
      </c>
      <c r="C52" s="58">
        <v>5996</v>
      </c>
      <c r="E52" s="66">
        <v>6084.9696969696997</v>
      </c>
      <c r="F52" s="66">
        <v>6024</v>
      </c>
      <c r="G52" s="66">
        <v>6212.5</v>
      </c>
      <c r="H52" s="66">
        <v>5872.5229870016965</v>
      </c>
      <c r="I52" s="66">
        <v>5922.5257200190536</v>
      </c>
      <c r="J52" s="66">
        <v>5906.9859788862695</v>
      </c>
      <c r="K52" s="66">
        <v>5928.5204211313412</v>
      </c>
      <c r="L52" s="66">
        <v>5872.5229870016965</v>
      </c>
      <c r="M52" s="66">
        <v>6026.9232847453713</v>
      </c>
      <c r="N52" s="66">
        <v>6488.2094125809435</v>
      </c>
      <c r="O52" s="66">
        <v>6082.8560245714716</v>
      </c>
      <c r="Q52" s="80">
        <f t="shared" si="1"/>
        <v>6038.4124102643218</v>
      </c>
      <c r="S52" s="113">
        <f t="shared" si="23"/>
        <v>88.969696969699726</v>
      </c>
      <c r="T52" s="113">
        <f t="shared" si="24"/>
        <v>28</v>
      </c>
      <c r="U52" s="113">
        <f t="shared" si="2"/>
        <v>216.5</v>
      </c>
      <c r="V52" s="113">
        <f t="shared" si="3"/>
        <v>-123.47701299830351</v>
      </c>
      <c r="W52" s="113">
        <f t="shared" si="4"/>
        <v>-73.474279980946449</v>
      </c>
      <c r="X52" s="113">
        <f t="shared" si="5"/>
        <v>-89.01402111373045</v>
      </c>
      <c r="Y52" s="113">
        <f t="shared" si="6"/>
        <v>-67.479578868658791</v>
      </c>
      <c r="Z52" s="113">
        <f t="shared" si="7"/>
        <v>-123.47701299830351</v>
      </c>
      <c r="AA52" s="113">
        <f t="shared" si="8"/>
        <v>30.923284745371348</v>
      </c>
      <c r="AB52" s="113">
        <f t="shared" si="9"/>
        <v>492.20941258094354</v>
      </c>
      <c r="AC52" s="113">
        <f t="shared" si="10"/>
        <v>86.856024571471607</v>
      </c>
      <c r="AD52" s="113">
        <f t="shared" si="11"/>
        <v>42.412410264322141</v>
      </c>
      <c r="AE52" s="113"/>
      <c r="AF52" s="7">
        <v>34000</v>
      </c>
      <c r="AG52" s="41">
        <f t="shared" si="25"/>
        <v>1.483817494491323E-2</v>
      </c>
      <c r="AH52" s="41">
        <f t="shared" si="12"/>
        <v>4.6697798532354907E-3</v>
      </c>
      <c r="AI52" s="41">
        <f t="shared" si="13"/>
        <v>3.610740493662442E-2</v>
      </c>
      <c r="AJ52" s="41">
        <f t="shared" si="14"/>
        <v>2.0593230987041945E-2</v>
      </c>
      <c r="AK52" s="41">
        <f t="shared" si="15"/>
        <v>1.2253882585214551E-2</v>
      </c>
      <c r="AL52" s="41">
        <f t="shared" si="16"/>
        <v>1.4845567230442036E-2</v>
      </c>
      <c r="AM52" s="41">
        <f t="shared" si="17"/>
        <v>1.1254099210917077E-2</v>
      </c>
      <c r="AN52" s="41">
        <f t="shared" si="18"/>
        <v>2.0593230987041945E-2</v>
      </c>
      <c r="AO52" s="41">
        <f t="shared" si="19"/>
        <v>5.1573190035642674E-3</v>
      </c>
      <c r="AP52" s="41">
        <f t="shared" si="20"/>
        <v>8.2089628515834484E-2</v>
      </c>
      <c r="AQ52" s="41">
        <f t="shared" si="21"/>
        <v>1.4485661202713744E-2</v>
      </c>
      <c r="AR52" s="41">
        <f t="shared" si="22"/>
        <v>7.0734506778389163E-3</v>
      </c>
    </row>
    <row r="53" spans="1:45">
      <c r="A53" s="4">
        <f t="shared" si="0"/>
        <v>52</v>
      </c>
      <c r="B53" s="7">
        <v>34028</v>
      </c>
      <c r="C53" s="58">
        <v>6026</v>
      </c>
      <c r="E53" s="66">
        <v>6098.3787878787898</v>
      </c>
      <c r="F53" s="66">
        <v>6024</v>
      </c>
      <c r="G53" s="66">
        <v>6259.47</v>
      </c>
      <c r="H53" s="66">
        <v>5879.0520890101607</v>
      </c>
      <c r="I53" s="66">
        <v>5929.3246396797167</v>
      </c>
      <c r="J53" s="66">
        <v>5950.8337103917402</v>
      </c>
      <c r="K53" s="66">
        <v>5948.7780920310579</v>
      </c>
      <c r="L53" s="66">
        <v>5879.0520890101607</v>
      </c>
      <c r="M53" s="66">
        <v>6072.2670400207644</v>
      </c>
      <c r="N53" s="66">
        <v>6547.5962072155417</v>
      </c>
      <c r="O53" s="66">
        <v>6127.8811570977241</v>
      </c>
      <c r="Q53" s="80">
        <f t="shared" si="1"/>
        <v>6065.148528394152</v>
      </c>
      <c r="S53" s="113">
        <f t="shared" si="23"/>
        <v>72.378787878789808</v>
      </c>
      <c r="T53" s="113">
        <f t="shared" si="24"/>
        <v>-2</v>
      </c>
      <c r="U53" s="113">
        <f t="shared" si="2"/>
        <v>233.47000000000025</v>
      </c>
      <c r="V53" s="113">
        <f t="shared" si="3"/>
        <v>-146.94791098983933</v>
      </c>
      <c r="W53" s="113">
        <f t="shared" si="4"/>
        <v>-96.675360320283289</v>
      </c>
      <c r="X53" s="113">
        <f t="shared" si="5"/>
        <v>-75.166289608259831</v>
      </c>
      <c r="Y53" s="113">
        <f t="shared" si="6"/>
        <v>-77.221907968942105</v>
      </c>
      <c r="Z53" s="113">
        <f t="shared" si="7"/>
        <v>-146.94791098983933</v>
      </c>
      <c r="AA53" s="113">
        <f t="shared" si="8"/>
        <v>46.267040020764398</v>
      </c>
      <c r="AB53" s="113">
        <f t="shared" si="9"/>
        <v>521.59620721554165</v>
      </c>
      <c r="AC53" s="113">
        <f t="shared" si="10"/>
        <v>101.8811570977241</v>
      </c>
      <c r="AD53" s="113">
        <f t="shared" si="11"/>
        <v>39.148528394150574</v>
      </c>
      <c r="AE53" s="113"/>
      <c r="AF53" s="7">
        <v>34028</v>
      </c>
      <c r="AG53" s="41">
        <f t="shared" si="25"/>
        <v>1.2011083285560871E-2</v>
      </c>
      <c r="AH53" s="41">
        <f t="shared" si="12"/>
        <v>3.3189512114171923E-4</v>
      </c>
      <c r="AI53" s="41">
        <f t="shared" si="13"/>
        <v>3.8743776966478634E-2</v>
      </c>
      <c r="AJ53" s="41">
        <f t="shared" si="14"/>
        <v>2.4385647359747648E-2</v>
      </c>
      <c r="AK53" s="41">
        <f t="shared" si="15"/>
        <v>1.6043040212459888E-2</v>
      </c>
      <c r="AL53" s="41">
        <f t="shared" si="16"/>
        <v>1.2473662397653473E-2</v>
      </c>
      <c r="AM53" s="41">
        <f t="shared" si="17"/>
        <v>1.2814787250073366E-2</v>
      </c>
      <c r="AN53" s="41">
        <f t="shared" si="18"/>
        <v>2.4385647359747648E-2</v>
      </c>
      <c r="AO53" s="41">
        <f t="shared" si="19"/>
        <v>7.6779024262801851E-3</v>
      </c>
      <c r="AP53" s="41">
        <f t="shared" si="20"/>
        <v>8.6557618190431743E-2</v>
      </c>
      <c r="AQ53" s="41">
        <f t="shared" si="21"/>
        <v>1.6906929488503832E-2</v>
      </c>
      <c r="AR53" s="41">
        <f t="shared" si="22"/>
        <v>6.4966027869483196E-3</v>
      </c>
    </row>
    <row r="54" spans="1:45">
      <c r="A54" s="4">
        <f t="shared" si="0"/>
        <v>53</v>
      </c>
      <c r="B54" s="7">
        <v>34059</v>
      </c>
      <c r="C54" s="58">
        <v>6094</v>
      </c>
      <c r="E54" s="66">
        <v>6111.7878787878799</v>
      </c>
      <c r="F54" s="66">
        <v>6024</v>
      </c>
      <c r="G54" s="66">
        <v>6306.46</v>
      </c>
      <c r="H54" s="66">
        <v>5920.1718875095758</v>
      </c>
      <c r="I54" s="66">
        <v>5977.1288021302062</v>
      </c>
      <c r="J54" s="66">
        <v>6021.4264928422999</v>
      </c>
      <c r="K54" s="66">
        <v>6004.0098522832322</v>
      </c>
      <c r="L54" s="66">
        <v>5920.1718875095758</v>
      </c>
      <c r="M54" s="66">
        <v>6153.6515105306607</v>
      </c>
      <c r="N54" s="66">
        <v>6606.9830018501389</v>
      </c>
      <c r="O54" s="66">
        <v>6209.5132260608043</v>
      </c>
      <c r="Q54" s="80">
        <f t="shared" si="1"/>
        <v>6114.1185945003972</v>
      </c>
      <c r="S54" s="113">
        <f t="shared" si="23"/>
        <v>17.78787878787989</v>
      </c>
      <c r="T54" s="113">
        <f t="shared" si="24"/>
        <v>-70</v>
      </c>
      <c r="U54" s="113">
        <f t="shared" si="2"/>
        <v>212.46000000000004</v>
      </c>
      <c r="V54" s="113">
        <f t="shared" si="3"/>
        <v>-173.82811249042425</v>
      </c>
      <c r="W54" s="113">
        <f t="shared" si="4"/>
        <v>-116.87119786979383</v>
      </c>
      <c r="X54" s="113">
        <f t="shared" si="5"/>
        <v>-72.573507157700078</v>
      </c>
      <c r="Y54" s="113">
        <f t="shared" si="6"/>
        <v>-89.990147716767751</v>
      </c>
      <c r="Z54" s="113">
        <f t="shared" si="7"/>
        <v>-173.82811249042425</v>
      </c>
      <c r="AA54" s="113">
        <f t="shared" si="8"/>
        <v>59.651510530660744</v>
      </c>
      <c r="AB54" s="113">
        <f t="shared" si="9"/>
        <v>512.98300185013886</v>
      </c>
      <c r="AC54" s="113">
        <f t="shared" si="10"/>
        <v>115.5132260608043</v>
      </c>
      <c r="AD54" s="113">
        <f t="shared" si="11"/>
        <v>20.118594500397606</v>
      </c>
      <c r="AE54" s="113"/>
      <c r="AF54" s="7">
        <v>34059</v>
      </c>
      <c r="AG54" s="41">
        <f t="shared" si="25"/>
        <v>2.9189167686051675E-3</v>
      </c>
      <c r="AH54" s="41">
        <f t="shared" si="12"/>
        <v>1.1486708237610764E-2</v>
      </c>
      <c r="AI54" s="41">
        <f t="shared" si="13"/>
        <v>3.4863800459468339E-2</v>
      </c>
      <c r="AJ54" s="41">
        <f t="shared" si="14"/>
        <v>2.852446873817267E-2</v>
      </c>
      <c r="AK54" s="41">
        <f t="shared" si="15"/>
        <v>1.9178076447291408E-2</v>
      </c>
      <c r="AL54" s="41">
        <f t="shared" si="16"/>
        <v>1.1909010035723675E-2</v>
      </c>
      <c r="AM54" s="41">
        <f t="shared" si="17"/>
        <v>1.4767008158314367E-2</v>
      </c>
      <c r="AN54" s="41">
        <f t="shared" si="18"/>
        <v>2.852446873817267E-2</v>
      </c>
      <c r="AO54" s="41">
        <f t="shared" si="19"/>
        <v>9.7885642485495156E-3</v>
      </c>
      <c r="AP54" s="41">
        <f t="shared" si="20"/>
        <v>8.4178372472946975E-2</v>
      </c>
      <c r="AQ54" s="41">
        <f t="shared" si="21"/>
        <v>1.8955238933509075E-2</v>
      </c>
      <c r="AR54" s="41">
        <f t="shared" si="22"/>
        <v>3.3013775025266829E-3</v>
      </c>
    </row>
    <row r="55" spans="1:45">
      <c r="A55" s="4">
        <f t="shared" si="0"/>
        <v>54</v>
      </c>
      <c r="B55" s="7">
        <v>34089</v>
      </c>
      <c r="C55" s="58">
        <v>6083</v>
      </c>
      <c r="E55" s="66">
        <v>6125.19696969697</v>
      </c>
      <c r="F55" s="66">
        <v>6024</v>
      </c>
      <c r="G55" s="66">
        <v>6353.4</v>
      </c>
      <c r="H55" s="66">
        <v>5828.7154052624055</v>
      </c>
      <c r="I55" s="66">
        <v>6049.5590540249914</v>
      </c>
      <c r="J55" s="66">
        <v>5994.0387002137113</v>
      </c>
      <c r="K55" s="66">
        <v>5924.5378856370289</v>
      </c>
      <c r="L55" s="66">
        <v>5828.7154052624055</v>
      </c>
      <c r="M55" s="66">
        <v>6096.9002966708094</v>
      </c>
      <c r="N55" s="66">
        <v>6666.3697964847361</v>
      </c>
      <c r="O55" s="66">
        <v>6151.9996934098754</v>
      </c>
      <c r="Q55" s="80">
        <f t="shared" si="1"/>
        <v>6094.8575642420847</v>
      </c>
      <c r="S55" s="113">
        <f t="shared" si="23"/>
        <v>42.196969696969973</v>
      </c>
      <c r="T55" s="113">
        <f t="shared" si="24"/>
        <v>-59</v>
      </c>
      <c r="U55" s="113">
        <f t="shared" si="2"/>
        <v>270.39999999999964</v>
      </c>
      <c r="V55" s="113">
        <f t="shared" si="3"/>
        <v>-254.28459473759449</v>
      </c>
      <c r="W55" s="113">
        <f t="shared" si="4"/>
        <v>-33.440945975008617</v>
      </c>
      <c r="X55" s="113">
        <f t="shared" si="5"/>
        <v>-88.961299786288691</v>
      </c>
      <c r="Y55" s="113">
        <f t="shared" si="6"/>
        <v>-158.46211436297108</v>
      </c>
      <c r="Z55" s="113">
        <f t="shared" si="7"/>
        <v>-254.28459473759449</v>
      </c>
      <c r="AA55" s="113">
        <f t="shared" si="8"/>
        <v>13.900296670809439</v>
      </c>
      <c r="AB55" s="113">
        <f t="shared" si="9"/>
        <v>583.36979648473607</v>
      </c>
      <c r="AC55" s="113">
        <f t="shared" si="10"/>
        <v>68.999693409875363</v>
      </c>
      <c r="AD55" s="113">
        <f t="shared" si="11"/>
        <v>11.857564242084829</v>
      </c>
      <c r="AE55" s="113"/>
      <c r="AF55" s="7">
        <v>34089</v>
      </c>
      <c r="AG55" s="41">
        <f t="shared" si="25"/>
        <v>6.9368682717359806E-3</v>
      </c>
      <c r="AH55" s="41">
        <f t="shared" si="12"/>
        <v>9.6991615978957758E-3</v>
      </c>
      <c r="AI55" s="41">
        <f t="shared" si="13"/>
        <v>4.4451750780864642E-2</v>
      </c>
      <c r="AJ55" s="41">
        <f t="shared" si="14"/>
        <v>4.1802497901955366E-2</v>
      </c>
      <c r="AK55" s="41">
        <f t="shared" si="15"/>
        <v>5.4974430338662859E-3</v>
      </c>
      <c r="AL55" s="41">
        <f t="shared" si="16"/>
        <v>1.46245766540011E-2</v>
      </c>
      <c r="AM55" s="41">
        <f t="shared" si="17"/>
        <v>2.6049994141537247E-2</v>
      </c>
      <c r="AN55" s="41">
        <f t="shared" si="18"/>
        <v>4.1802497901955366E-2</v>
      </c>
      <c r="AO55" s="41">
        <f t="shared" si="19"/>
        <v>2.2851054859131083E-3</v>
      </c>
      <c r="AP55" s="41">
        <f t="shared" si="20"/>
        <v>9.590165978706823E-2</v>
      </c>
      <c r="AQ55" s="41">
        <f t="shared" si="21"/>
        <v>1.1343036891316022E-2</v>
      </c>
      <c r="AR55" s="41">
        <f t="shared" si="22"/>
        <v>1.9492954532442592E-3</v>
      </c>
    </row>
    <row r="56" spans="1:45">
      <c r="A56" s="4">
        <f t="shared" si="0"/>
        <v>55</v>
      </c>
      <c r="B56" s="7">
        <v>34120</v>
      </c>
      <c r="C56" s="58">
        <v>6057</v>
      </c>
      <c r="E56" s="66">
        <v>6138.6060606060601</v>
      </c>
      <c r="F56" s="66">
        <v>6024</v>
      </c>
      <c r="G56" s="66">
        <v>6400.4</v>
      </c>
      <c r="H56" s="66">
        <v>5896.7650966277915</v>
      </c>
      <c r="I56" s="66">
        <v>6008.144228396608</v>
      </c>
      <c r="J56" s="66">
        <v>6011.5895947907911</v>
      </c>
      <c r="K56" s="66">
        <v>6007.0066551025593</v>
      </c>
      <c r="L56" s="66">
        <v>5896.7650966277915</v>
      </c>
      <c r="M56" s="66">
        <v>6206.8404385750482</v>
      </c>
      <c r="N56" s="66">
        <v>6725.7565911193342</v>
      </c>
      <c r="O56" s="66">
        <v>6262.9291114841844</v>
      </c>
      <c r="Q56" s="80">
        <f t="shared" si="1"/>
        <v>6143.5275339391073</v>
      </c>
      <c r="S56" s="113">
        <f t="shared" si="23"/>
        <v>81.606060606060055</v>
      </c>
      <c r="T56" s="113">
        <f t="shared" si="24"/>
        <v>-33</v>
      </c>
      <c r="U56" s="113">
        <f t="shared" si="2"/>
        <v>343.39999999999964</v>
      </c>
      <c r="V56" s="113">
        <f t="shared" si="3"/>
        <v>-160.23490337220846</v>
      </c>
      <c r="W56" s="113">
        <f t="shared" si="4"/>
        <v>-48.855771603391986</v>
      </c>
      <c r="X56" s="113">
        <f t="shared" si="5"/>
        <v>-45.410405209208875</v>
      </c>
      <c r="Y56" s="113">
        <f t="shared" si="6"/>
        <v>-49.993344897440693</v>
      </c>
      <c r="Z56" s="113">
        <f t="shared" si="7"/>
        <v>-160.23490337220846</v>
      </c>
      <c r="AA56" s="113">
        <f t="shared" si="8"/>
        <v>149.84043857504821</v>
      </c>
      <c r="AB56" s="113">
        <f t="shared" si="9"/>
        <v>668.75659111933419</v>
      </c>
      <c r="AC56" s="113">
        <f t="shared" si="10"/>
        <v>205.92911148418443</v>
      </c>
      <c r="AD56" s="113">
        <f t="shared" si="11"/>
        <v>86.527533939106192</v>
      </c>
      <c r="AE56" s="113"/>
      <c r="AF56" s="7">
        <v>34120</v>
      </c>
      <c r="AG56" s="41">
        <f t="shared" si="25"/>
        <v>1.3473016444784556E-2</v>
      </c>
      <c r="AH56" s="41">
        <f t="shared" si="12"/>
        <v>5.4482417038137689E-3</v>
      </c>
      <c r="AI56" s="41">
        <f t="shared" si="13"/>
        <v>5.6694733366352917E-2</v>
      </c>
      <c r="AJ56" s="41">
        <f t="shared" si="14"/>
        <v>2.6454499483607143E-2</v>
      </c>
      <c r="AK56" s="41">
        <f t="shared" si="15"/>
        <v>8.066001585503052E-3</v>
      </c>
      <c r="AL56" s="41">
        <f t="shared" si="16"/>
        <v>7.4971776802392068E-3</v>
      </c>
      <c r="AM56" s="41">
        <f t="shared" si="17"/>
        <v>8.2538129267691416E-3</v>
      </c>
      <c r="AN56" s="41">
        <f t="shared" si="18"/>
        <v>2.6454499483607143E-2</v>
      </c>
      <c r="AO56" s="41">
        <f t="shared" si="19"/>
        <v>2.4738391707949184E-2</v>
      </c>
      <c r="AP56" s="41">
        <f t="shared" si="20"/>
        <v>0.11041053180111181</v>
      </c>
      <c r="AQ56" s="41">
        <f t="shared" si="21"/>
        <v>3.3998532521740864E-2</v>
      </c>
      <c r="AR56" s="41">
        <f t="shared" si="22"/>
        <v>1.4285542998036353E-2</v>
      </c>
    </row>
    <row r="57" spans="1:45">
      <c r="A57" s="4">
        <f t="shared" si="0"/>
        <v>56</v>
      </c>
      <c r="B57" s="7">
        <v>34150</v>
      </c>
      <c r="C57" s="58">
        <v>6198</v>
      </c>
      <c r="E57" s="66">
        <v>6152.0151515151501</v>
      </c>
      <c r="F57" s="66">
        <v>6024</v>
      </c>
      <c r="G57" s="66">
        <v>6447.4</v>
      </c>
      <c r="H57" s="66">
        <v>6056.2245538650604</v>
      </c>
      <c r="I57" s="66">
        <v>5988.2749254774199</v>
      </c>
      <c r="J57" s="66">
        <v>6139.5305322166287</v>
      </c>
      <c r="K57" s="66">
        <v>6182.970674385323</v>
      </c>
      <c r="L57" s="66">
        <v>6056.2245538650604</v>
      </c>
      <c r="M57" s="66">
        <v>6414.4924519857386</v>
      </c>
      <c r="N57" s="66">
        <v>6785.1433857539314</v>
      </c>
      <c r="O57" s="66">
        <v>6472.7055697225533</v>
      </c>
      <c r="Q57" s="80">
        <f t="shared" si="1"/>
        <v>6247.180163526079</v>
      </c>
      <c r="S57" s="113">
        <f t="shared" si="23"/>
        <v>-45.984848484849863</v>
      </c>
      <c r="T57" s="113">
        <f t="shared" si="24"/>
        <v>-174</v>
      </c>
      <c r="U57" s="80">
        <f t="shared" si="2"/>
        <v>249.39999999999964</v>
      </c>
      <c r="V57" s="113">
        <f t="shared" si="3"/>
        <v>-141.77544613493956</v>
      </c>
      <c r="W57" s="113">
        <f t="shared" si="4"/>
        <v>-209.72507452258014</v>
      </c>
      <c r="X57" s="113">
        <f t="shared" si="5"/>
        <v>-58.469467783371329</v>
      </c>
      <c r="Y57" s="113">
        <f t="shared" si="6"/>
        <v>-15.029325614676964</v>
      </c>
      <c r="Z57" s="113">
        <f t="shared" si="7"/>
        <v>-141.77544613493956</v>
      </c>
      <c r="AA57" s="113">
        <f t="shared" si="8"/>
        <v>216.49245198573863</v>
      </c>
      <c r="AB57" s="113">
        <f t="shared" si="9"/>
        <v>587.1433857539314</v>
      </c>
      <c r="AC57" s="113">
        <f t="shared" si="10"/>
        <v>274.70556972255326</v>
      </c>
      <c r="AD57" s="113">
        <f t="shared" si="11"/>
        <v>49.18016352607868</v>
      </c>
      <c r="AE57" s="113"/>
      <c r="AF57" s="7">
        <v>34150</v>
      </c>
      <c r="AG57" s="41">
        <f t="shared" si="25"/>
        <v>7.4193043699338273E-3</v>
      </c>
      <c r="AH57" s="41">
        <f t="shared" si="12"/>
        <v>2.8073572120038724E-2</v>
      </c>
      <c r="AI57" s="41">
        <f t="shared" si="13"/>
        <v>4.0238786705388774E-2</v>
      </c>
      <c r="AJ57" s="41">
        <f t="shared" si="14"/>
        <v>2.287438627540167E-2</v>
      </c>
      <c r="AK57" s="41">
        <f t="shared" si="15"/>
        <v>3.3837540258564079E-2</v>
      </c>
      <c r="AL57" s="41">
        <f t="shared" si="16"/>
        <v>9.4336024174526186E-3</v>
      </c>
      <c r="AM57" s="41">
        <f t="shared" si="17"/>
        <v>2.4248669917194196E-3</v>
      </c>
      <c r="AN57" s="41">
        <f t="shared" si="18"/>
        <v>2.287438627540167E-2</v>
      </c>
      <c r="AO57" s="41">
        <f t="shared" si="19"/>
        <v>3.4929404967043984E-2</v>
      </c>
      <c r="AP57" s="41">
        <f t="shared" si="20"/>
        <v>9.4731104510153499E-2</v>
      </c>
      <c r="AQ57" s="41">
        <f t="shared" si="21"/>
        <v>4.4321647260818532E-2</v>
      </c>
      <c r="AR57" s="41">
        <f t="shared" si="22"/>
        <v>7.9348440668084354E-3</v>
      </c>
    </row>
    <row r="58" spans="1:45">
      <c r="A58" s="4">
        <f t="shared" si="0"/>
        <v>57</v>
      </c>
      <c r="B58" s="7">
        <v>34181</v>
      </c>
      <c r="C58" s="58">
        <v>6507</v>
      </c>
      <c r="E58" s="66">
        <v>6165.4242424242402</v>
      </c>
      <c r="F58" s="66">
        <v>6024</v>
      </c>
      <c r="G58" s="66">
        <v>6494.4</v>
      </c>
      <c r="H58" s="66">
        <v>6099.9177019012286</v>
      </c>
      <c r="I58" s="66">
        <v>6102.5007445075435</v>
      </c>
      <c r="J58" s="66">
        <v>6146.4740655113446</v>
      </c>
      <c r="K58" s="66">
        <v>6241.0630250802105</v>
      </c>
      <c r="L58" s="66">
        <v>6099.9177019012286</v>
      </c>
      <c r="M58" s="66">
        <v>6500.8650934525758</v>
      </c>
      <c r="N58" s="66">
        <v>6844.5301803885286</v>
      </c>
      <c r="O58" s="66">
        <v>6560.3660505501612</v>
      </c>
      <c r="Q58" s="80">
        <f t="shared" si="1"/>
        <v>6298.1326187015511</v>
      </c>
      <c r="S58" s="113">
        <f t="shared" si="23"/>
        <v>-341.57575757575978</v>
      </c>
      <c r="T58" s="113">
        <f t="shared" si="24"/>
        <v>-483</v>
      </c>
      <c r="U58" s="113">
        <f t="shared" si="2"/>
        <v>-12.600000000000364</v>
      </c>
      <c r="V58" s="113">
        <f t="shared" si="3"/>
        <v>-407.08229809877139</v>
      </c>
      <c r="W58" s="113">
        <f t="shared" si="4"/>
        <v>-404.49925549245654</v>
      </c>
      <c r="X58" s="113">
        <f t="shared" si="5"/>
        <v>-360.52593448865537</v>
      </c>
      <c r="Y58" s="113">
        <f t="shared" si="6"/>
        <v>-265.93697491978946</v>
      </c>
      <c r="Z58" s="113">
        <f t="shared" si="7"/>
        <v>-407.08229809877139</v>
      </c>
      <c r="AA58" s="113">
        <f t="shared" si="8"/>
        <v>-6.1349065474241797</v>
      </c>
      <c r="AB58" s="113">
        <f t="shared" si="9"/>
        <v>337.53018038852861</v>
      </c>
      <c r="AC58" s="113">
        <f t="shared" si="10"/>
        <v>53.366050550161162</v>
      </c>
      <c r="AD58" s="113">
        <f t="shared" si="11"/>
        <v>-208.86738129844898</v>
      </c>
      <c r="AE58" s="113"/>
      <c r="AF58" s="7">
        <v>34181</v>
      </c>
      <c r="AG58" s="41">
        <f t="shared" si="25"/>
        <v>5.2493584997043152E-2</v>
      </c>
      <c r="AH58" s="41">
        <f t="shared" si="12"/>
        <v>7.4227754725680037E-2</v>
      </c>
      <c r="AI58" s="41">
        <f t="shared" si="13"/>
        <v>1.9363762102351874E-3</v>
      </c>
      <c r="AJ58" s="41">
        <f t="shared" si="14"/>
        <v>6.2560672829071975E-2</v>
      </c>
      <c r="AK58" s="41">
        <f t="shared" si="15"/>
        <v>6.2163709158207549E-2</v>
      </c>
      <c r="AL58" s="41">
        <f t="shared" si="16"/>
        <v>5.5405860533065218E-2</v>
      </c>
      <c r="AM58" s="41">
        <f t="shared" si="17"/>
        <v>4.0869367591791834E-2</v>
      </c>
      <c r="AN58" s="41">
        <f t="shared" si="18"/>
        <v>6.2560672829071975E-2</v>
      </c>
      <c r="AO58" s="41">
        <f t="shared" si="19"/>
        <v>9.4281643574983549E-4</v>
      </c>
      <c r="AP58" s="41">
        <f t="shared" si="20"/>
        <v>5.1871858058787246E-2</v>
      </c>
      <c r="AQ58" s="41">
        <f t="shared" si="21"/>
        <v>8.2013294221855177E-3</v>
      </c>
      <c r="AR58" s="41">
        <f t="shared" si="22"/>
        <v>3.209887525717673E-2</v>
      </c>
    </row>
    <row r="59" spans="1:45">
      <c r="A59" s="4">
        <f t="shared" si="0"/>
        <v>58</v>
      </c>
      <c r="B59" s="7">
        <v>34212</v>
      </c>
      <c r="C59" s="58">
        <v>6653</v>
      </c>
      <c r="E59" s="66">
        <v>6178.8333333333303</v>
      </c>
      <c r="F59" s="66">
        <v>6024</v>
      </c>
      <c r="G59" s="66">
        <v>6541.38</v>
      </c>
      <c r="H59" s="66">
        <v>6059.5414727697062</v>
      </c>
      <c r="I59" s="66">
        <v>6100.0880825469721</v>
      </c>
      <c r="J59" s="66">
        <v>6084.7720215850477</v>
      </c>
      <c r="K59" s="66">
        <v>6213.0141038613856</v>
      </c>
      <c r="L59" s="66">
        <v>6059.5414727697062</v>
      </c>
      <c r="M59" s="66">
        <v>6497.6642824301825</v>
      </c>
      <c r="N59" s="66">
        <v>6903.9169750231267</v>
      </c>
      <c r="O59" s="66">
        <v>6557.8891773829546</v>
      </c>
      <c r="Q59" s="80">
        <f t="shared" si="1"/>
        <v>6292.7855383365822</v>
      </c>
      <c r="S59" s="113">
        <f t="shared" si="23"/>
        <v>-474.1666666666697</v>
      </c>
      <c r="T59" s="113">
        <f t="shared" si="24"/>
        <v>-629</v>
      </c>
      <c r="U59" s="113">
        <f t="shared" si="2"/>
        <v>-111.61999999999989</v>
      </c>
      <c r="V59" s="113">
        <f t="shared" si="3"/>
        <v>-593.45852723029384</v>
      </c>
      <c r="W59" s="113">
        <f t="shared" si="4"/>
        <v>-552.91191745302785</v>
      </c>
      <c r="X59" s="113">
        <f t="shared" si="5"/>
        <v>-568.2279784149523</v>
      </c>
      <c r="Y59" s="113">
        <f t="shared" si="6"/>
        <v>-439.98589613861441</v>
      </c>
      <c r="Z59" s="113">
        <f t="shared" si="7"/>
        <v>-593.45852723029384</v>
      </c>
      <c r="AA59" s="113">
        <f t="shared" si="8"/>
        <v>-155.33571756981746</v>
      </c>
      <c r="AB59" s="113">
        <f t="shared" si="9"/>
        <v>250.91697502312672</v>
      </c>
      <c r="AC59" s="113">
        <f t="shared" si="10"/>
        <v>-95.110822617045415</v>
      </c>
      <c r="AD59" s="113">
        <f t="shared" si="11"/>
        <v>-360.21446166341707</v>
      </c>
      <c r="AE59" s="113"/>
      <c r="AF59" s="7">
        <v>34212</v>
      </c>
      <c r="AG59" s="41">
        <f t="shared" si="25"/>
        <v>7.127110576682244E-2</v>
      </c>
      <c r="AH59" s="41">
        <f t="shared" si="12"/>
        <v>9.454381482038178E-2</v>
      </c>
      <c r="AI59" s="41">
        <f t="shared" si="13"/>
        <v>1.6777393656996827E-2</v>
      </c>
      <c r="AJ59" s="41">
        <f t="shared" si="14"/>
        <v>8.9201642451569793E-2</v>
      </c>
      <c r="AK59" s="41">
        <f t="shared" si="15"/>
        <v>8.3107157290399497E-2</v>
      </c>
      <c r="AL59" s="41">
        <f t="shared" si="16"/>
        <v>8.5409285798129009E-2</v>
      </c>
      <c r="AM59" s="41">
        <f t="shared" si="17"/>
        <v>6.6133458009712071E-2</v>
      </c>
      <c r="AN59" s="41">
        <f t="shared" si="18"/>
        <v>8.9201642451569793E-2</v>
      </c>
      <c r="AO59" s="41">
        <f t="shared" si="19"/>
        <v>2.3348221489526148E-2</v>
      </c>
      <c r="AP59" s="41">
        <f t="shared" si="20"/>
        <v>3.7714861719994996E-2</v>
      </c>
      <c r="AQ59" s="41">
        <f t="shared" si="21"/>
        <v>1.4295930049157586E-2</v>
      </c>
      <c r="AR59" s="41">
        <f t="shared" si="22"/>
        <v>5.4143162733115445E-2</v>
      </c>
    </row>
    <row r="60" spans="1:45">
      <c r="A60" s="4">
        <f t="shared" si="0"/>
        <v>59</v>
      </c>
      <c r="B60" s="7">
        <v>34242</v>
      </c>
      <c r="C60" s="58">
        <v>6725</v>
      </c>
      <c r="E60" s="66">
        <v>6192.2424242424204</v>
      </c>
      <c r="F60" s="66">
        <v>6024</v>
      </c>
      <c r="G60" s="66">
        <v>6588.37</v>
      </c>
      <c r="H60" s="66">
        <v>6024</v>
      </c>
      <c r="I60" s="66">
        <v>6024</v>
      </c>
      <c r="J60" s="66">
        <v>6024</v>
      </c>
      <c r="K60" s="66">
        <v>6189.6244039432549</v>
      </c>
      <c r="L60" s="66">
        <v>6024</v>
      </c>
      <c r="M60" s="66">
        <v>6499.148788178406</v>
      </c>
      <c r="N60" s="66">
        <v>6963.3037696577248</v>
      </c>
      <c r="O60" s="66">
        <v>6560.3874378515347</v>
      </c>
      <c r="Q60" s="80">
        <f t="shared" si="1"/>
        <v>6283.0069839884854</v>
      </c>
      <c r="S60" s="113">
        <f t="shared" si="23"/>
        <v>-532.75757575757962</v>
      </c>
      <c r="T60" s="113">
        <f t="shared" si="24"/>
        <v>-701</v>
      </c>
      <c r="U60" s="113">
        <f t="shared" si="2"/>
        <v>-136.63000000000011</v>
      </c>
      <c r="V60" s="113">
        <f t="shared" si="3"/>
        <v>-701</v>
      </c>
      <c r="W60" s="113">
        <f t="shared" si="4"/>
        <v>-701</v>
      </c>
      <c r="X60" s="113">
        <f t="shared" si="5"/>
        <v>-701</v>
      </c>
      <c r="Y60" s="113">
        <f t="shared" si="6"/>
        <v>-535.37559605674505</v>
      </c>
      <c r="Z60" s="113">
        <f t="shared" si="7"/>
        <v>-701</v>
      </c>
      <c r="AA60" s="113">
        <f t="shared" si="8"/>
        <v>-225.85121182159401</v>
      </c>
      <c r="AB60" s="113">
        <f t="shared" si="9"/>
        <v>238.30376965772484</v>
      </c>
      <c r="AC60" s="113">
        <f t="shared" si="10"/>
        <v>-164.61256214846526</v>
      </c>
      <c r="AD60" s="113">
        <f t="shared" si="11"/>
        <v>-441.9930160115145</v>
      </c>
      <c r="AE60" s="113"/>
      <c r="AF60" s="7">
        <v>34242</v>
      </c>
      <c r="AG60" s="41">
        <f t="shared" si="25"/>
        <v>7.9220457361721883E-2</v>
      </c>
      <c r="AH60" s="41">
        <f t="shared" si="12"/>
        <v>0.10423791821561339</v>
      </c>
      <c r="AI60" s="41">
        <f t="shared" si="13"/>
        <v>2.0316728624535332E-2</v>
      </c>
      <c r="AJ60" s="41">
        <f t="shared" si="14"/>
        <v>0.10423791821561339</v>
      </c>
      <c r="AK60" s="41">
        <f t="shared" si="15"/>
        <v>0.10423791821561339</v>
      </c>
      <c r="AL60" s="41">
        <f t="shared" si="16"/>
        <v>0.10423791821561339</v>
      </c>
      <c r="AM60" s="41">
        <f t="shared" si="17"/>
        <v>7.960975406048254E-2</v>
      </c>
      <c r="AN60" s="41">
        <f t="shared" si="18"/>
        <v>0.10423791821561339</v>
      </c>
      <c r="AO60" s="41">
        <f t="shared" si="19"/>
        <v>3.3583823319196134E-2</v>
      </c>
      <c r="AP60" s="41">
        <f t="shared" si="20"/>
        <v>3.5435504781817818E-2</v>
      </c>
      <c r="AQ60" s="41">
        <f t="shared" si="21"/>
        <v>2.4477704408693717E-2</v>
      </c>
      <c r="AR60" s="41">
        <f t="shared" si="22"/>
        <v>6.5723868551898074E-2</v>
      </c>
    </row>
    <row r="61" spans="1:45"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S61" s="114" t="s">
        <v>92</v>
      </c>
    </row>
    <row r="62" spans="1:45">
      <c r="R62" t="s">
        <v>64</v>
      </c>
      <c r="S62" s="81">
        <f>AVERAGE(S49:S60)</f>
        <v>-83.340909090909165</v>
      </c>
      <c r="T62" s="81">
        <f t="shared" ref="T62:AC62" si="26">AVERAGE(T49:T60)</f>
        <v>-177.83333333333334</v>
      </c>
      <c r="U62" s="81">
        <f t="shared" ref="U62" si="27">AVERAGE(U49:U60)</f>
        <v>128.10666666666657</v>
      </c>
      <c r="V62" s="81">
        <f t="shared" si="26"/>
        <v>-243.86106235537591</v>
      </c>
      <c r="W62" s="81">
        <f t="shared" si="26"/>
        <v>-206.86418639521398</v>
      </c>
      <c r="X62" s="81">
        <f t="shared" si="26"/>
        <v>-184.50009381616414</v>
      </c>
      <c r="Y62" s="81">
        <f t="shared" si="26"/>
        <v>-153.17363644146795</v>
      </c>
      <c r="Z62" s="81">
        <f t="shared" si="26"/>
        <v>-246.38138181916574</v>
      </c>
      <c r="AA62" s="81">
        <f t="shared" si="26"/>
        <v>11.638563795983449</v>
      </c>
      <c r="AB62" s="81">
        <f t="shared" si="26"/>
        <v>434.84306583410427</v>
      </c>
      <c r="AC62" s="81">
        <f t="shared" si="26"/>
        <v>69.356095307565965</v>
      </c>
      <c r="AD62" s="81">
        <f>AVERAGE(AD49:AD60)</f>
        <v>-59.273655604300906</v>
      </c>
      <c r="AE62" s="81"/>
      <c r="AF62" t="s">
        <v>8</v>
      </c>
      <c r="AG62" s="41">
        <f>AVERAGE(AG49:AG60)</f>
        <v>2.2980311250121819E-2</v>
      </c>
      <c r="AH62" s="41">
        <f t="shared" ref="AH62:AQ62" si="28">AVERAGE(AH49:AH60)</f>
        <v>2.7961422432563915E-2</v>
      </c>
      <c r="AI62" s="41">
        <f t="shared" ref="AI62" si="29">AVERAGE(AI49:AI60)</f>
        <v>2.7946801259547249E-2</v>
      </c>
      <c r="AJ62" s="41">
        <f t="shared" si="28"/>
        <v>3.8154475890676512E-2</v>
      </c>
      <c r="AK62" s="41">
        <f t="shared" si="28"/>
        <v>3.2084751851623315E-2</v>
      </c>
      <c r="AL62" s="41">
        <f t="shared" si="28"/>
        <v>2.8611920293983656E-2</v>
      </c>
      <c r="AM62" s="41">
        <f>AVERAGE(AM49:AM60)</f>
        <v>2.3765257128673251E-2</v>
      </c>
      <c r="AN62" s="41">
        <f t="shared" si="28"/>
        <v>3.857202384690412E-2</v>
      </c>
      <c r="AO62" s="41">
        <f>AVERAGE(AO49:AO60)</f>
        <v>1.2007934604835811E-2</v>
      </c>
      <c r="AP62" s="41">
        <f>AVERAGE(AP49:AP60)</f>
        <v>7.0751605835986553E-2</v>
      </c>
      <c r="AQ62" s="41">
        <f t="shared" si="28"/>
        <v>1.8136225665503904E-2</v>
      </c>
      <c r="AR62" s="41">
        <f>AVERAGE(AR49:AR60)</f>
        <v>1.6782740187347173E-2</v>
      </c>
      <c r="AS62" s="82">
        <f>AVERAGE(AG62:AR62)</f>
        <v>2.98129558539806E-2</v>
      </c>
    </row>
    <row r="64" spans="1:45">
      <c r="AF64" t="s">
        <v>148</v>
      </c>
      <c r="AG64" s="82">
        <f>MAX(AG49:AG60)</f>
        <v>7.9220457361721883E-2</v>
      </c>
      <c r="AH64" s="82">
        <f t="shared" ref="AH64:AQ64" si="30">MAX(AH49:AH60)</f>
        <v>0.10423791821561339</v>
      </c>
      <c r="AI64" s="82">
        <f t="shared" ref="AI64" si="31">MAX(AI49:AI60)</f>
        <v>5.6694733366352917E-2</v>
      </c>
      <c r="AJ64" s="82">
        <f t="shared" si="30"/>
        <v>0.10423791821561339</v>
      </c>
      <c r="AK64" s="82">
        <f t="shared" si="30"/>
        <v>0.10423791821561339</v>
      </c>
      <c r="AL64" s="82">
        <f t="shared" si="30"/>
        <v>0.10423791821561339</v>
      </c>
      <c r="AM64" s="82">
        <f>MAX(AM49:AM60)</f>
        <v>7.960975406048254E-2</v>
      </c>
      <c r="AN64" s="82">
        <f t="shared" si="30"/>
        <v>0.10423791821561339</v>
      </c>
      <c r="AO64" s="82">
        <f>MAX(AO49:AO60)</f>
        <v>3.4929404967043984E-2</v>
      </c>
      <c r="AP64" s="82">
        <f>MAX(AP49:AP60)</f>
        <v>0.11041053180111181</v>
      </c>
      <c r="AQ64" s="82">
        <f t="shared" si="30"/>
        <v>4.4321647260818532E-2</v>
      </c>
      <c r="AR64" s="82">
        <f>MAX(AR49:AR60)</f>
        <v>6.5723868551898074E-2</v>
      </c>
    </row>
    <row r="65" spans="32:44">
      <c r="AF65" t="s">
        <v>97</v>
      </c>
      <c r="AG65" s="82">
        <f>MIN(AG49:AG60)</f>
        <v>1.4483804245229263E-3</v>
      </c>
      <c r="AH65" s="82">
        <f t="shared" ref="AH65:AR65" si="32">MIN(AH49:AH60)</f>
        <v>3.3189512114171923E-4</v>
      </c>
      <c r="AI65" s="82">
        <f t="shared" ref="AI65" si="33">MIN(AI49:AI60)</f>
        <v>1.9363762102351874E-3</v>
      </c>
      <c r="AJ65" s="82">
        <f t="shared" si="32"/>
        <v>5.8832420911846036E-3</v>
      </c>
      <c r="AK65" s="82">
        <f t="shared" si="32"/>
        <v>5.4974430338662859E-3</v>
      </c>
      <c r="AL65" s="82">
        <f t="shared" si="32"/>
        <v>9.13128104136483E-4</v>
      </c>
      <c r="AM65" s="82">
        <f>MIN(AM49:AM60)</f>
        <v>2.4248669917194196E-3</v>
      </c>
      <c r="AN65" s="82">
        <f t="shared" si="32"/>
        <v>1.0893817565915861E-2</v>
      </c>
      <c r="AO65" s="82">
        <f>MIN(AO49:AO60)</f>
        <v>3.3284899711980524E-4</v>
      </c>
      <c r="AP65" s="82">
        <f>MIN(AP49:AP60)</f>
        <v>3.5435504781817818E-2</v>
      </c>
      <c r="AQ65" s="82">
        <f t="shared" si="32"/>
        <v>8.2013294221855177E-3</v>
      </c>
      <c r="AR65" s="82">
        <f t="shared" si="32"/>
        <v>1.9492954532442592E-3</v>
      </c>
    </row>
  </sheetData>
  <conditionalFormatting sqref="AG49:AQ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9:AR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4:AR64">
    <cfRule type="top10" dxfId="5" priority="2" bottom="1" rank="3"/>
  </conditionalFormatting>
  <conditionalFormatting sqref="AG62:AR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BDE6-FABE-40E7-B5C7-6A3C412CD542}">
  <dimension ref="A1:AE197"/>
  <sheetViews>
    <sheetView topLeftCell="A28" workbookViewId="0">
      <selection activeCell="H31" sqref="H31"/>
    </sheetView>
  </sheetViews>
  <sheetFormatPr defaultColWidth="8.7109375" defaultRowHeight="12.6"/>
  <cols>
    <col min="1" max="3" width="8.7109375" style="83"/>
    <col min="4" max="4" width="12.7109375" style="83" bestFit="1" customWidth="1"/>
    <col min="5" max="5" width="12.140625" style="85" bestFit="1" customWidth="1"/>
    <col min="6" max="6" width="12.28515625" style="83" bestFit="1" customWidth="1"/>
    <col min="7" max="7" width="13.42578125" style="83" bestFit="1" customWidth="1"/>
    <col min="8" max="11" width="8.7109375" style="83"/>
    <col min="12" max="12" width="12.7109375" style="83" bestFit="1" customWidth="1"/>
    <col min="13" max="13" width="12.140625" style="85" bestFit="1" customWidth="1"/>
    <col min="14" max="14" width="13.28515625" style="83" bestFit="1" customWidth="1"/>
    <col min="15" max="15" width="12.28515625" style="83" bestFit="1" customWidth="1"/>
    <col min="16" max="19" width="8.7109375" style="83"/>
    <col min="20" max="20" width="12.7109375" style="83" bestFit="1" customWidth="1"/>
    <col min="21" max="21" width="12.140625" style="85" bestFit="1" customWidth="1"/>
    <col min="22" max="23" width="12.28515625" style="83" bestFit="1" customWidth="1"/>
    <col min="24" max="27" width="8.7109375" style="83"/>
    <col min="28" max="28" width="12.7109375" style="83" bestFit="1" customWidth="1"/>
    <col min="29" max="29" width="12.140625" style="85" bestFit="1" customWidth="1"/>
    <col min="30" max="31" width="12.28515625" style="83" bestFit="1" customWidth="1"/>
    <col min="32" max="16384" width="8.7109375" style="83"/>
  </cols>
  <sheetData>
    <row r="1" spans="1:31" ht="12.95">
      <c r="B1" s="84" t="s">
        <v>149</v>
      </c>
    </row>
    <row r="2" spans="1:31" ht="12.95">
      <c r="B2" s="84" t="s">
        <v>150</v>
      </c>
      <c r="C2" s="84"/>
      <c r="F2" s="86" t="s">
        <v>151</v>
      </c>
      <c r="G2" s="86" t="s">
        <v>152</v>
      </c>
      <c r="K2" s="84"/>
      <c r="N2" s="86" t="s">
        <v>151</v>
      </c>
      <c r="O2" s="86" t="s">
        <v>152</v>
      </c>
      <c r="S2" s="84"/>
      <c r="V2" s="86" t="s">
        <v>151</v>
      </c>
      <c r="W2" s="86" t="s">
        <v>152</v>
      </c>
      <c r="AA2" s="84"/>
      <c r="AD2" s="86" t="s">
        <v>151</v>
      </c>
      <c r="AE2" s="86" t="s">
        <v>152</v>
      </c>
    </row>
    <row r="3" spans="1:31" ht="12.95">
      <c r="C3" s="84"/>
      <c r="E3" s="85" t="s">
        <v>153</v>
      </c>
      <c r="F3" s="85" t="s">
        <v>153</v>
      </c>
      <c r="G3" s="85" t="s">
        <v>153</v>
      </c>
      <c r="K3" s="84"/>
      <c r="M3" s="85" t="s">
        <v>153</v>
      </c>
      <c r="N3" s="85" t="s">
        <v>153</v>
      </c>
      <c r="O3" s="85" t="s">
        <v>153</v>
      </c>
      <c r="S3" s="84"/>
      <c r="U3" s="85" t="s">
        <v>153</v>
      </c>
      <c r="V3" s="85" t="s">
        <v>153</v>
      </c>
      <c r="W3" s="85" t="s">
        <v>153</v>
      </c>
      <c r="AA3" s="84"/>
      <c r="AC3" s="85" t="s">
        <v>153</v>
      </c>
      <c r="AD3" s="85" t="s">
        <v>153</v>
      </c>
      <c r="AE3" s="85" t="s">
        <v>153</v>
      </c>
    </row>
    <row r="4" spans="1:31">
      <c r="B4" s="87" t="s">
        <v>154</v>
      </c>
      <c r="C4" s="87" t="s">
        <v>147</v>
      </c>
      <c r="D4" s="87" t="s">
        <v>0</v>
      </c>
      <c r="E4" s="85" t="s">
        <v>96</v>
      </c>
      <c r="F4" s="85" t="s">
        <v>96</v>
      </c>
      <c r="G4" s="85" t="s">
        <v>96</v>
      </c>
      <c r="J4" s="87" t="s">
        <v>154</v>
      </c>
      <c r="K4" s="87" t="s">
        <v>147</v>
      </c>
      <c r="L4" s="87" t="s">
        <v>0</v>
      </c>
      <c r="M4" s="85" t="s">
        <v>96</v>
      </c>
      <c r="N4" s="85" t="s">
        <v>96</v>
      </c>
      <c r="O4" s="85" t="s">
        <v>96</v>
      </c>
      <c r="R4" s="87" t="s">
        <v>154</v>
      </c>
      <c r="S4" s="87" t="s">
        <v>147</v>
      </c>
      <c r="T4" s="87" t="s">
        <v>0</v>
      </c>
      <c r="U4" s="85" t="s">
        <v>96</v>
      </c>
      <c r="V4" s="85" t="s">
        <v>96</v>
      </c>
      <c r="W4" s="85" t="s">
        <v>96</v>
      </c>
      <c r="Z4" s="87" t="s">
        <v>154</v>
      </c>
      <c r="AA4" s="87" t="s">
        <v>147</v>
      </c>
      <c r="AB4" s="87" t="s">
        <v>0</v>
      </c>
      <c r="AC4" s="85" t="s">
        <v>96</v>
      </c>
      <c r="AD4" s="85" t="s">
        <v>96</v>
      </c>
      <c r="AE4" s="85" t="s">
        <v>96</v>
      </c>
    </row>
    <row r="5" spans="1:31">
      <c r="B5" s="83">
        <v>44</v>
      </c>
      <c r="C5" s="88">
        <v>33785</v>
      </c>
      <c r="D5" s="89">
        <v>5975</v>
      </c>
      <c r="J5" s="83">
        <f>B5</f>
        <v>44</v>
      </c>
      <c r="K5" s="88">
        <v>33785</v>
      </c>
      <c r="L5" s="89">
        <v>5975</v>
      </c>
      <c r="R5" s="83">
        <v>44</v>
      </c>
      <c r="S5" s="88">
        <v>33785</v>
      </c>
      <c r="T5" s="89">
        <v>5975</v>
      </c>
      <c r="Z5" s="83">
        <v>44</v>
      </c>
      <c r="AA5" s="88">
        <v>33785</v>
      </c>
      <c r="AB5" s="89">
        <v>5975</v>
      </c>
    </row>
    <row r="6" spans="1:31" ht="12.95">
      <c r="B6" s="83">
        <v>45</v>
      </c>
      <c r="C6" s="88">
        <v>33816</v>
      </c>
      <c r="D6" s="89">
        <v>5985</v>
      </c>
      <c r="E6" s="90" t="s">
        <v>155</v>
      </c>
      <c r="J6" s="83">
        <v>45</v>
      </c>
      <c r="K6" s="88">
        <v>33816</v>
      </c>
      <c r="L6" s="89">
        <v>5985</v>
      </c>
      <c r="R6" s="83">
        <v>45</v>
      </c>
      <c r="S6" s="88">
        <v>33816</v>
      </c>
      <c r="T6" s="89">
        <v>5985</v>
      </c>
      <c r="Z6" s="83">
        <v>45</v>
      </c>
      <c r="AA6" s="88">
        <v>33816</v>
      </c>
      <c r="AB6" s="89">
        <v>5985</v>
      </c>
    </row>
    <row r="7" spans="1:31" ht="12.95">
      <c r="B7" s="83">
        <v>46</v>
      </c>
      <c r="C7" s="88">
        <v>33847</v>
      </c>
      <c r="D7" s="89">
        <v>6029</v>
      </c>
      <c r="E7" s="90" t="s">
        <v>156</v>
      </c>
      <c r="J7" s="83">
        <v>46</v>
      </c>
      <c r="K7" s="88">
        <v>33847</v>
      </c>
      <c r="L7" s="89">
        <v>6029</v>
      </c>
      <c r="R7" s="83">
        <v>46</v>
      </c>
      <c r="S7" s="88">
        <v>33847</v>
      </c>
      <c r="T7" s="89">
        <v>6029</v>
      </c>
      <c r="Z7" s="83">
        <v>46</v>
      </c>
      <c r="AA7" s="88">
        <v>33847</v>
      </c>
      <c r="AB7" s="89">
        <v>6029</v>
      </c>
    </row>
    <row r="8" spans="1:31" ht="12.95">
      <c r="A8" s="91" t="s">
        <v>155</v>
      </c>
      <c r="B8" s="92">
        <v>47</v>
      </c>
      <c r="C8" s="93">
        <v>33877</v>
      </c>
      <c r="D8" s="94">
        <v>6024</v>
      </c>
      <c r="I8" s="95"/>
      <c r="J8" s="83">
        <v>47</v>
      </c>
      <c r="K8" s="88">
        <v>33877</v>
      </c>
      <c r="L8" s="89">
        <v>6024</v>
      </c>
      <c r="M8" s="90" t="s">
        <v>155</v>
      </c>
      <c r="Q8" s="95"/>
      <c r="R8" s="83">
        <v>47</v>
      </c>
      <c r="S8" s="88">
        <v>33877</v>
      </c>
      <c r="T8" s="89">
        <v>6024</v>
      </c>
      <c r="Y8" s="95"/>
      <c r="Z8" s="83">
        <v>47</v>
      </c>
      <c r="AA8" s="88">
        <v>33877</v>
      </c>
      <c r="AB8" s="89">
        <v>6024</v>
      </c>
    </row>
    <row r="9" spans="1:31" ht="12.95">
      <c r="A9" s="96" t="s">
        <v>157</v>
      </c>
      <c r="B9" s="97">
        <v>48</v>
      </c>
      <c r="C9" s="98">
        <v>33908</v>
      </c>
      <c r="D9" s="99">
        <v>6036</v>
      </c>
      <c r="E9" s="85">
        <f>D8</f>
        <v>6024</v>
      </c>
      <c r="F9" s="89">
        <f t="shared" ref="F9:F16" si="0">E9-$D9</f>
        <v>-12</v>
      </c>
      <c r="G9" s="100">
        <f>ABS(F9/$D9)</f>
        <v>1.9880715705765406E-3</v>
      </c>
      <c r="I9" s="101" t="s">
        <v>158</v>
      </c>
      <c r="J9" s="102">
        <v>48</v>
      </c>
      <c r="K9" s="103">
        <v>33908</v>
      </c>
      <c r="L9" s="104">
        <v>6036</v>
      </c>
      <c r="M9" s="90" t="s">
        <v>159</v>
      </c>
      <c r="N9" s="89"/>
      <c r="Q9" s="101" t="s">
        <v>158</v>
      </c>
      <c r="R9" s="102">
        <v>48</v>
      </c>
      <c r="S9" s="103">
        <v>33908</v>
      </c>
      <c r="T9" s="104">
        <v>6036</v>
      </c>
      <c r="V9" s="89"/>
      <c r="Y9" s="101" t="s">
        <v>158</v>
      </c>
      <c r="Z9" s="102">
        <v>48</v>
      </c>
      <c r="AA9" s="103">
        <v>33908</v>
      </c>
      <c r="AB9" s="104">
        <v>6036</v>
      </c>
      <c r="AD9" s="89"/>
    </row>
    <row r="10" spans="1:31" ht="12.95">
      <c r="A10" s="96" t="s">
        <v>160</v>
      </c>
      <c r="B10" s="97">
        <v>49</v>
      </c>
      <c r="C10" s="98">
        <v>33938</v>
      </c>
      <c r="D10" s="99">
        <v>6026</v>
      </c>
      <c r="E10" s="85">
        <f>E9</f>
        <v>6024</v>
      </c>
      <c r="F10" s="89">
        <f t="shared" si="0"/>
        <v>-2</v>
      </c>
      <c r="G10" s="105">
        <f t="shared" ref="G10:G16" si="1">ABS(F10/$D10)</f>
        <v>3.3189512114171923E-4</v>
      </c>
      <c r="I10" s="101" t="s">
        <v>161</v>
      </c>
      <c r="J10" s="102">
        <v>49</v>
      </c>
      <c r="K10" s="103">
        <v>33938</v>
      </c>
      <c r="L10" s="104">
        <v>6026</v>
      </c>
      <c r="M10" s="106" t="s">
        <v>162</v>
      </c>
      <c r="N10" s="89"/>
      <c r="Q10" s="101" t="s">
        <v>161</v>
      </c>
      <c r="R10" s="102">
        <v>49</v>
      </c>
      <c r="S10" s="103">
        <v>33938</v>
      </c>
      <c r="T10" s="104">
        <v>6026</v>
      </c>
      <c r="U10" s="107"/>
      <c r="V10" s="89"/>
      <c r="Y10" s="101" t="s">
        <v>161</v>
      </c>
      <c r="Z10" s="102">
        <v>49</v>
      </c>
      <c r="AA10" s="103">
        <v>33938</v>
      </c>
      <c r="AB10" s="104">
        <v>6026</v>
      </c>
      <c r="AC10" s="107"/>
      <c r="AD10" s="89"/>
    </row>
    <row r="11" spans="1:31" ht="12.95">
      <c r="A11" s="96" t="s">
        <v>163</v>
      </c>
      <c r="B11" s="97">
        <v>50</v>
      </c>
      <c r="C11" s="98">
        <v>33969</v>
      </c>
      <c r="D11" s="99">
        <v>6021</v>
      </c>
      <c r="E11" s="85">
        <f t="shared" ref="E11:E20" si="2">E10</f>
        <v>6024</v>
      </c>
      <c r="F11" s="89">
        <f t="shared" si="0"/>
        <v>3</v>
      </c>
      <c r="G11" s="105">
        <f t="shared" si="1"/>
        <v>4.9825610363726954E-4</v>
      </c>
      <c r="I11" s="91" t="s">
        <v>155</v>
      </c>
      <c r="J11" s="92">
        <v>50</v>
      </c>
      <c r="K11" s="108">
        <v>33969</v>
      </c>
      <c r="L11" s="109">
        <v>6021</v>
      </c>
      <c r="N11" s="89"/>
      <c r="Q11" s="110"/>
      <c r="R11" s="102">
        <v>50</v>
      </c>
      <c r="S11" s="103">
        <v>33969</v>
      </c>
      <c r="T11" s="104">
        <v>6021</v>
      </c>
      <c r="U11" s="90" t="s">
        <v>155</v>
      </c>
      <c r="V11" s="89"/>
      <c r="Y11" s="110"/>
      <c r="Z11" s="102">
        <v>50</v>
      </c>
      <c r="AA11" s="103">
        <v>33969</v>
      </c>
      <c r="AB11" s="104">
        <v>6021</v>
      </c>
      <c r="AD11" s="89"/>
    </row>
    <row r="12" spans="1:31" ht="12.95">
      <c r="A12" s="96" t="s">
        <v>161</v>
      </c>
      <c r="B12" s="97">
        <v>51</v>
      </c>
      <c r="C12" s="98">
        <v>34000</v>
      </c>
      <c r="D12" s="99">
        <v>5996</v>
      </c>
      <c r="E12" s="85">
        <f t="shared" si="2"/>
        <v>6024</v>
      </c>
      <c r="F12" s="89">
        <f t="shared" si="0"/>
        <v>28</v>
      </c>
      <c r="G12" s="105">
        <f t="shared" si="1"/>
        <v>4.6697798532354907E-3</v>
      </c>
      <c r="I12" s="96"/>
      <c r="J12" s="97">
        <v>51</v>
      </c>
      <c r="K12" s="98">
        <v>34000</v>
      </c>
      <c r="L12" s="99">
        <v>5996</v>
      </c>
      <c r="M12" s="85">
        <f>L11</f>
        <v>6021</v>
      </c>
      <c r="N12" s="89">
        <f>M12-$D12</f>
        <v>25</v>
      </c>
      <c r="O12" s="100">
        <f>ABS(N12/$D12)</f>
        <v>4.1694462975316879E-3</v>
      </c>
      <c r="Q12" s="101"/>
      <c r="R12" s="102">
        <v>51</v>
      </c>
      <c r="S12" s="103">
        <v>34000</v>
      </c>
      <c r="T12" s="104">
        <v>5996</v>
      </c>
      <c r="U12" s="90" t="s">
        <v>164</v>
      </c>
      <c r="V12" s="89"/>
      <c r="W12" s="105"/>
      <c r="Y12" s="101"/>
      <c r="Z12" s="102">
        <v>51</v>
      </c>
      <c r="AA12" s="103">
        <v>34000</v>
      </c>
      <c r="AB12" s="104">
        <v>5996</v>
      </c>
      <c r="AD12" s="89"/>
      <c r="AE12" s="105"/>
    </row>
    <row r="13" spans="1:31" ht="12.95">
      <c r="A13" s="97"/>
      <c r="B13" s="97">
        <v>52</v>
      </c>
      <c r="C13" s="98">
        <v>34028</v>
      </c>
      <c r="D13" s="99">
        <v>6026</v>
      </c>
      <c r="E13" s="85">
        <f t="shared" si="2"/>
        <v>6024</v>
      </c>
      <c r="F13" s="89">
        <f t="shared" si="0"/>
        <v>-2</v>
      </c>
      <c r="G13" s="100">
        <f t="shared" si="1"/>
        <v>3.3189512114171923E-4</v>
      </c>
      <c r="I13" s="97"/>
      <c r="J13" s="97">
        <v>52</v>
      </c>
      <c r="K13" s="98">
        <v>34028</v>
      </c>
      <c r="L13" s="99">
        <v>6026</v>
      </c>
      <c r="M13" s="85">
        <f>M12</f>
        <v>6021</v>
      </c>
      <c r="N13" s="89">
        <f>M13-$D13</f>
        <v>-5</v>
      </c>
      <c r="O13" s="105">
        <f>ABS(N13/$D13)</f>
        <v>8.29737802854298E-4</v>
      </c>
      <c r="Q13" s="102"/>
      <c r="R13" s="102">
        <v>52</v>
      </c>
      <c r="S13" s="103">
        <v>34028</v>
      </c>
      <c r="T13" s="104">
        <v>6026</v>
      </c>
      <c r="U13" s="106" t="s">
        <v>162</v>
      </c>
      <c r="V13" s="89"/>
      <c r="W13" s="105"/>
      <c r="Y13" s="102"/>
      <c r="Z13" s="102">
        <v>52</v>
      </c>
      <c r="AA13" s="103">
        <v>34028</v>
      </c>
      <c r="AB13" s="104">
        <v>6026</v>
      </c>
      <c r="AD13" s="89"/>
      <c r="AE13" s="105"/>
    </row>
    <row r="14" spans="1:31" ht="12.95">
      <c r="A14" s="97"/>
      <c r="B14" s="97">
        <v>53</v>
      </c>
      <c r="C14" s="98">
        <v>34059</v>
      </c>
      <c r="D14" s="99">
        <v>6094</v>
      </c>
      <c r="E14" s="85">
        <f t="shared" si="2"/>
        <v>6024</v>
      </c>
      <c r="F14" s="89">
        <f t="shared" si="0"/>
        <v>-70</v>
      </c>
      <c r="G14" s="105">
        <f t="shared" si="1"/>
        <v>1.1486708237610764E-2</v>
      </c>
      <c r="I14" s="97"/>
      <c r="J14" s="97">
        <v>53</v>
      </c>
      <c r="K14" s="98">
        <v>34059</v>
      </c>
      <c r="L14" s="99">
        <v>6094</v>
      </c>
      <c r="M14" s="85">
        <f t="shared" ref="M14:M20" si="3">M13</f>
        <v>6021</v>
      </c>
      <c r="N14" s="89">
        <f>M14-$D14</f>
        <v>-73</v>
      </c>
      <c r="O14" s="105">
        <f>ABS(N14/$D14)</f>
        <v>1.197899573350837E-2</v>
      </c>
      <c r="Q14" s="91" t="s">
        <v>155</v>
      </c>
      <c r="R14" s="92">
        <v>53</v>
      </c>
      <c r="S14" s="108">
        <v>34059</v>
      </c>
      <c r="T14" s="109">
        <v>6094</v>
      </c>
      <c r="V14" s="89"/>
      <c r="W14" s="105"/>
      <c r="Y14" s="110"/>
      <c r="Z14" s="102">
        <v>53</v>
      </c>
      <c r="AA14" s="103">
        <v>34059</v>
      </c>
      <c r="AB14" s="104">
        <v>6094</v>
      </c>
      <c r="AC14" s="90" t="s">
        <v>155</v>
      </c>
      <c r="AD14" s="89"/>
      <c r="AE14" s="105"/>
    </row>
    <row r="15" spans="1:31" ht="12.95">
      <c r="A15" s="97"/>
      <c r="B15" s="97">
        <v>54</v>
      </c>
      <c r="C15" s="98">
        <v>34089</v>
      </c>
      <c r="D15" s="99">
        <v>6083</v>
      </c>
      <c r="E15" s="85">
        <f t="shared" si="2"/>
        <v>6024</v>
      </c>
      <c r="F15" s="89">
        <f t="shared" si="0"/>
        <v>-59</v>
      </c>
      <c r="G15" s="105">
        <f t="shared" si="1"/>
        <v>9.6991615978957758E-3</v>
      </c>
      <c r="I15" s="96" t="s">
        <v>157</v>
      </c>
      <c r="J15" s="97">
        <v>54</v>
      </c>
      <c r="K15" s="98">
        <v>34089</v>
      </c>
      <c r="L15" s="99">
        <v>6083</v>
      </c>
      <c r="M15" s="85">
        <f t="shared" si="3"/>
        <v>6021</v>
      </c>
      <c r="N15" s="89">
        <f>M15-$D15</f>
        <v>-62</v>
      </c>
      <c r="O15" s="105">
        <f>ABS(N15/$D15)</f>
        <v>1.0192339306263357E-2</v>
      </c>
      <c r="Q15" s="96" t="s">
        <v>157</v>
      </c>
      <c r="R15" s="97">
        <v>54</v>
      </c>
      <c r="S15" s="98">
        <v>34089</v>
      </c>
      <c r="T15" s="99">
        <v>6083</v>
      </c>
      <c r="U15" s="85">
        <f>T14</f>
        <v>6094</v>
      </c>
      <c r="V15" s="89">
        <f>U15-$D15</f>
        <v>11</v>
      </c>
      <c r="W15" s="100">
        <f>ABS(V15/$D15)</f>
        <v>1.8083182640144665E-3</v>
      </c>
      <c r="Y15" s="101"/>
      <c r="Z15" s="102">
        <v>54</v>
      </c>
      <c r="AA15" s="103">
        <v>34089</v>
      </c>
      <c r="AB15" s="104">
        <v>6083</v>
      </c>
      <c r="AC15" s="90" t="s">
        <v>165</v>
      </c>
    </row>
    <row r="16" spans="1:31" ht="12.95">
      <c r="A16" s="97"/>
      <c r="B16" s="97">
        <v>55</v>
      </c>
      <c r="C16" s="98">
        <v>34120</v>
      </c>
      <c r="D16" s="99">
        <v>6057</v>
      </c>
      <c r="E16" s="85">
        <f t="shared" si="2"/>
        <v>6024</v>
      </c>
      <c r="F16" s="89">
        <f t="shared" si="0"/>
        <v>-33</v>
      </c>
      <c r="G16" s="105">
        <f t="shared" si="1"/>
        <v>5.4482417038137689E-3</v>
      </c>
      <c r="I16" s="96" t="s">
        <v>160</v>
      </c>
      <c r="J16" s="97">
        <v>55</v>
      </c>
      <c r="K16" s="98">
        <v>34120</v>
      </c>
      <c r="L16" s="99">
        <v>6057</v>
      </c>
      <c r="M16" s="85">
        <f t="shared" si="3"/>
        <v>6021</v>
      </c>
      <c r="N16" s="89">
        <f>M16-$D16</f>
        <v>-36</v>
      </c>
      <c r="O16" s="100">
        <f>ABS(N16/$D16)</f>
        <v>5.9435364041604752E-3</v>
      </c>
      <c r="Q16" s="96" t="s">
        <v>160</v>
      </c>
      <c r="R16" s="97">
        <v>55</v>
      </c>
      <c r="S16" s="98">
        <v>34120</v>
      </c>
      <c r="T16" s="99">
        <v>6057</v>
      </c>
      <c r="U16" s="85">
        <f>U15</f>
        <v>6094</v>
      </c>
      <c r="V16" s="89">
        <f>U16-$D16</f>
        <v>37</v>
      </c>
      <c r="W16" s="105">
        <f>ABS(V16/$D16)</f>
        <v>6.1086346376093776E-3</v>
      </c>
      <c r="Y16" s="101"/>
      <c r="Z16" s="102">
        <v>55</v>
      </c>
      <c r="AA16" s="103">
        <v>34120</v>
      </c>
      <c r="AB16" s="104">
        <v>6057</v>
      </c>
      <c r="AC16" s="106" t="s">
        <v>162</v>
      </c>
    </row>
    <row r="17" spans="1:31" ht="12.95">
      <c r="A17" s="97"/>
      <c r="B17" s="97">
        <v>56</v>
      </c>
      <c r="C17" s="98">
        <v>34150</v>
      </c>
      <c r="D17" s="99">
        <v>6198</v>
      </c>
      <c r="E17" s="85">
        <f t="shared" si="2"/>
        <v>6024</v>
      </c>
      <c r="F17" s="89">
        <f t="shared" ref="F17:F20" si="4">E17-$D17</f>
        <v>-174</v>
      </c>
      <c r="G17" s="100">
        <f t="shared" ref="G17:G20" si="5">ABS(F17/$D17)</f>
        <v>2.8073572120038724E-2</v>
      </c>
      <c r="I17" s="96" t="s">
        <v>163</v>
      </c>
      <c r="J17" s="97">
        <v>56</v>
      </c>
      <c r="K17" s="98">
        <v>34150</v>
      </c>
      <c r="L17" s="99">
        <v>6198</v>
      </c>
      <c r="M17" s="85">
        <f t="shared" si="3"/>
        <v>6021</v>
      </c>
      <c r="N17" s="89">
        <f t="shared" ref="N17:N20" si="6">M17-$D17</f>
        <v>-177</v>
      </c>
      <c r="O17" s="105">
        <f t="shared" ref="O17:O19" si="7">ABS(N17/$D17)</f>
        <v>2.8557599225556632E-2</v>
      </c>
      <c r="Q17" s="96" t="s">
        <v>163</v>
      </c>
      <c r="R17" s="97">
        <v>56</v>
      </c>
      <c r="S17" s="98">
        <v>34150</v>
      </c>
      <c r="T17" s="99">
        <v>6198</v>
      </c>
      <c r="U17" s="85">
        <f>U16</f>
        <v>6094</v>
      </c>
      <c r="V17" s="89">
        <f t="shared" ref="V17:V20" si="8">U17-$D17</f>
        <v>-104</v>
      </c>
      <c r="W17" s="105">
        <f t="shared" ref="W17:W20" si="9">ABS(V17/$D17)</f>
        <v>1.6779606324620847E-2</v>
      </c>
      <c r="Y17" s="91" t="s">
        <v>155</v>
      </c>
      <c r="Z17" s="92">
        <v>56</v>
      </c>
      <c r="AA17" s="108">
        <v>34150</v>
      </c>
      <c r="AB17" s="109">
        <v>6198</v>
      </c>
    </row>
    <row r="18" spans="1:31" ht="12.95">
      <c r="A18" s="97"/>
      <c r="B18" s="97">
        <v>57</v>
      </c>
      <c r="C18" s="98">
        <v>34181</v>
      </c>
      <c r="D18" s="99">
        <v>6507</v>
      </c>
      <c r="E18" s="85">
        <f t="shared" si="2"/>
        <v>6024</v>
      </c>
      <c r="F18" s="89">
        <f t="shared" si="4"/>
        <v>-483</v>
      </c>
      <c r="G18" s="105">
        <f t="shared" si="5"/>
        <v>7.4227754725680037E-2</v>
      </c>
      <c r="I18" s="96" t="s">
        <v>161</v>
      </c>
      <c r="J18" s="97">
        <v>57</v>
      </c>
      <c r="K18" s="98">
        <v>34181</v>
      </c>
      <c r="L18" s="99">
        <v>6507</v>
      </c>
      <c r="M18" s="85">
        <f t="shared" si="3"/>
        <v>6021</v>
      </c>
      <c r="N18" s="89">
        <f t="shared" si="6"/>
        <v>-486</v>
      </c>
      <c r="O18" s="105">
        <f t="shared" si="7"/>
        <v>7.4688796680497924E-2</v>
      </c>
      <c r="Q18" s="96" t="s">
        <v>161</v>
      </c>
      <c r="R18" s="97">
        <v>57</v>
      </c>
      <c r="S18" s="98">
        <v>34181</v>
      </c>
      <c r="T18" s="99">
        <v>6507</v>
      </c>
      <c r="U18" s="85">
        <f>U17</f>
        <v>6094</v>
      </c>
      <c r="V18" s="89">
        <f t="shared" si="8"/>
        <v>-413</v>
      </c>
      <c r="W18" s="105">
        <f t="shared" si="9"/>
        <v>6.3470109113262646E-2</v>
      </c>
      <c r="Y18" s="96" t="s">
        <v>166</v>
      </c>
      <c r="Z18" s="97">
        <v>57</v>
      </c>
      <c r="AA18" s="98">
        <v>34181</v>
      </c>
      <c r="AB18" s="99">
        <v>6507</v>
      </c>
      <c r="AC18" s="85">
        <f>AB17</f>
        <v>6198</v>
      </c>
      <c r="AD18" s="89">
        <f>AC18-$D18</f>
        <v>-309</v>
      </c>
      <c r="AE18" s="100">
        <f>ABS(AD18/$D18)</f>
        <v>4.7487321346242506E-2</v>
      </c>
    </row>
    <row r="19" spans="1:31" ht="12.95">
      <c r="A19" s="97"/>
      <c r="B19" s="97">
        <v>58</v>
      </c>
      <c r="C19" s="98">
        <v>34212</v>
      </c>
      <c r="D19" s="99">
        <v>6653</v>
      </c>
      <c r="E19" s="85">
        <f t="shared" si="2"/>
        <v>6024</v>
      </c>
      <c r="F19" s="89">
        <f t="shared" si="4"/>
        <v>-629</v>
      </c>
      <c r="G19" s="105">
        <f t="shared" si="5"/>
        <v>9.454381482038178E-2</v>
      </c>
      <c r="I19" s="97"/>
      <c r="J19" s="97">
        <v>58</v>
      </c>
      <c r="K19" s="98">
        <v>34212</v>
      </c>
      <c r="L19" s="99">
        <v>6653</v>
      </c>
      <c r="M19" s="85">
        <f t="shared" si="3"/>
        <v>6021</v>
      </c>
      <c r="N19" s="89">
        <f t="shared" si="6"/>
        <v>-632</v>
      </c>
      <c r="O19" s="105">
        <f t="shared" si="7"/>
        <v>9.4994739215391547E-2</v>
      </c>
      <c r="Q19" s="97"/>
      <c r="R19" s="97">
        <v>58</v>
      </c>
      <c r="S19" s="98">
        <v>34212</v>
      </c>
      <c r="T19" s="99">
        <v>6653</v>
      </c>
      <c r="U19" s="85">
        <f>U18</f>
        <v>6094</v>
      </c>
      <c r="V19" s="89">
        <f t="shared" si="8"/>
        <v>-559</v>
      </c>
      <c r="W19" s="100">
        <f t="shared" si="9"/>
        <v>8.4022245603487145E-2</v>
      </c>
      <c r="Y19" s="96" t="s">
        <v>163</v>
      </c>
      <c r="Z19" s="97">
        <v>58</v>
      </c>
      <c r="AA19" s="98">
        <v>34212</v>
      </c>
      <c r="AB19" s="99">
        <v>6653</v>
      </c>
      <c r="AC19" s="85">
        <f>AC18</f>
        <v>6198</v>
      </c>
      <c r="AD19" s="89">
        <f>AC19-$D19</f>
        <v>-455</v>
      </c>
      <c r="AE19" s="105">
        <f>ABS(AD19/$D19)</f>
        <v>6.8390199909815125E-2</v>
      </c>
    </row>
    <row r="20" spans="1:31" ht="12.95">
      <c r="A20" s="97"/>
      <c r="B20" s="97">
        <v>59</v>
      </c>
      <c r="C20" s="98">
        <v>34242</v>
      </c>
      <c r="D20" s="99">
        <v>6725</v>
      </c>
      <c r="E20" s="85">
        <f t="shared" si="2"/>
        <v>6024</v>
      </c>
      <c r="F20" s="89">
        <f t="shared" si="4"/>
        <v>-701</v>
      </c>
      <c r="G20" s="100">
        <f t="shared" si="5"/>
        <v>0.10423791821561339</v>
      </c>
      <c r="I20" s="97"/>
      <c r="J20" s="97">
        <v>59</v>
      </c>
      <c r="K20" s="98">
        <v>34242</v>
      </c>
      <c r="L20" s="99">
        <v>6725</v>
      </c>
      <c r="M20" s="85">
        <f t="shared" si="3"/>
        <v>6021</v>
      </c>
      <c r="N20" s="89">
        <f t="shared" si="6"/>
        <v>-704</v>
      </c>
      <c r="O20" s="100">
        <f>ABS(N20/$D20)</f>
        <v>0.10468401486988847</v>
      </c>
      <c r="Q20" s="97"/>
      <c r="R20" s="97">
        <v>59</v>
      </c>
      <c r="S20" s="98">
        <v>34242</v>
      </c>
      <c r="T20" s="99">
        <v>6725</v>
      </c>
      <c r="U20" s="85">
        <f>U19</f>
        <v>6094</v>
      </c>
      <c r="V20" s="89">
        <f t="shared" si="8"/>
        <v>-631</v>
      </c>
      <c r="W20" s="105">
        <f t="shared" si="9"/>
        <v>9.3828996282527888E-2</v>
      </c>
      <c r="Y20" s="96" t="s">
        <v>161</v>
      </c>
      <c r="Z20" s="97">
        <v>59</v>
      </c>
      <c r="AA20" s="98">
        <v>34242</v>
      </c>
      <c r="AB20" s="99">
        <v>6725</v>
      </c>
      <c r="AC20" s="85">
        <f>AC19</f>
        <v>6198</v>
      </c>
      <c r="AD20" s="89">
        <f>AC20-$D20</f>
        <v>-527</v>
      </c>
      <c r="AE20" s="105">
        <f>ABS(AD20/$D20)</f>
        <v>7.8364312267657998E-2</v>
      </c>
    </row>
    <row r="21" spans="1:31">
      <c r="G21" s="105"/>
      <c r="O21" s="105"/>
      <c r="W21" s="105"/>
      <c r="AE21" s="105"/>
    </row>
    <row r="22" spans="1:31" ht="12.95">
      <c r="F22" s="89">
        <f>AVERAGE(F9:F20)</f>
        <v>-177.83333333333334</v>
      </c>
      <c r="G22" s="111">
        <f>AVERAGE(G9:G20)</f>
        <v>2.7961422432563915E-2</v>
      </c>
      <c r="U22" s="83"/>
      <c r="AC22" s="83"/>
    </row>
    <row r="23" spans="1:31">
      <c r="U23" s="83"/>
      <c r="AC23" s="83"/>
    </row>
    <row r="24" spans="1:31">
      <c r="G24" s="105">
        <f>MAX(G9:G20)</f>
        <v>0.10423791821561339</v>
      </c>
      <c r="I24" s="95" t="s">
        <v>167</v>
      </c>
      <c r="U24" s="83"/>
      <c r="AC24" s="83"/>
    </row>
    <row r="25" spans="1:31">
      <c r="G25" s="105"/>
      <c r="I25" s="95"/>
      <c r="U25" s="83"/>
      <c r="AC25" s="83"/>
    </row>
    <row r="26" spans="1:31" ht="12.95">
      <c r="C26" s="84" t="s">
        <v>149</v>
      </c>
      <c r="H26" s="95" t="s">
        <v>168</v>
      </c>
      <c r="L26" s="84"/>
      <c r="M26" s="84" t="s">
        <v>149</v>
      </c>
      <c r="T26" s="84" t="s">
        <v>149</v>
      </c>
      <c r="AB26" s="84" t="s">
        <v>149</v>
      </c>
    </row>
    <row r="27" spans="1:31" ht="12.95">
      <c r="C27" s="84" t="s">
        <v>169</v>
      </c>
      <c r="M27" s="84" t="s">
        <v>169</v>
      </c>
      <c r="T27" s="84" t="s">
        <v>169</v>
      </c>
      <c r="AB27" s="84" t="s">
        <v>169</v>
      </c>
    </row>
    <row r="28" spans="1:31" ht="12.95">
      <c r="C28" s="84"/>
      <c r="F28" s="86" t="s">
        <v>151</v>
      </c>
      <c r="G28" s="86" t="s">
        <v>152</v>
      </c>
      <c r="K28" s="84"/>
      <c r="N28" s="86" t="s">
        <v>151</v>
      </c>
      <c r="O28" s="86" t="s">
        <v>152</v>
      </c>
      <c r="S28" s="84"/>
      <c r="V28" s="86" t="s">
        <v>151</v>
      </c>
      <c r="W28" s="86" t="s">
        <v>152</v>
      </c>
      <c r="AA28" s="84"/>
      <c r="AD28" s="86" t="s">
        <v>151</v>
      </c>
      <c r="AE28" s="86" t="s">
        <v>152</v>
      </c>
    </row>
    <row r="29" spans="1:31">
      <c r="B29" s="87" t="s">
        <v>154</v>
      </c>
      <c r="C29" s="87" t="s">
        <v>147</v>
      </c>
      <c r="D29" s="87" t="s">
        <v>0</v>
      </c>
      <c r="E29" s="85" t="s">
        <v>96</v>
      </c>
      <c r="F29" s="85" t="s">
        <v>96</v>
      </c>
      <c r="G29" s="85" t="s">
        <v>96</v>
      </c>
      <c r="J29" s="87" t="s">
        <v>154</v>
      </c>
      <c r="K29" s="87" t="s">
        <v>147</v>
      </c>
      <c r="L29" s="87" t="s">
        <v>0</v>
      </c>
      <c r="M29" s="85" t="s">
        <v>96</v>
      </c>
      <c r="N29" s="85" t="s">
        <v>96</v>
      </c>
      <c r="O29" s="85" t="s">
        <v>96</v>
      </c>
      <c r="R29" s="87" t="s">
        <v>154</v>
      </c>
      <c r="S29" s="87" t="s">
        <v>147</v>
      </c>
      <c r="T29" s="87" t="s">
        <v>0</v>
      </c>
      <c r="U29" s="85" t="s">
        <v>96</v>
      </c>
      <c r="V29" s="85" t="s">
        <v>96</v>
      </c>
      <c r="W29" s="85" t="s">
        <v>96</v>
      </c>
      <c r="Z29" s="87" t="s">
        <v>154</v>
      </c>
      <c r="AA29" s="87" t="s">
        <v>147</v>
      </c>
      <c r="AB29" s="87" t="s">
        <v>0</v>
      </c>
      <c r="AC29" s="85" t="s">
        <v>96</v>
      </c>
      <c r="AD29" s="85" t="s">
        <v>96</v>
      </c>
      <c r="AE29" s="85" t="s">
        <v>96</v>
      </c>
    </row>
    <row r="30" spans="1:31">
      <c r="B30" s="83">
        <v>44</v>
      </c>
      <c r="C30" s="88">
        <v>33785</v>
      </c>
      <c r="D30" s="89">
        <v>5975</v>
      </c>
      <c r="J30" s="83">
        <f>B30</f>
        <v>44</v>
      </c>
      <c r="K30" s="88">
        <v>33785</v>
      </c>
      <c r="L30" s="89">
        <v>5975</v>
      </c>
      <c r="R30" s="83">
        <v>44</v>
      </c>
      <c r="S30" s="88">
        <v>33785</v>
      </c>
      <c r="T30" s="89">
        <v>5975</v>
      </c>
      <c r="Z30" s="83">
        <v>44</v>
      </c>
      <c r="AA30" s="88">
        <v>33785</v>
      </c>
      <c r="AB30" s="89">
        <v>5975</v>
      </c>
    </row>
    <row r="31" spans="1:31" ht="12.95">
      <c r="B31" s="83">
        <v>45</v>
      </c>
      <c r="C31" s="88">
        <v>33816</v>
      </c>
      <c r="D31" s="89">
        <v>5985</v>
      </c>
      <c r="E31" s="90" t="s">
        <v>155</v>
      </c>
      <c r="J31" s="83">
        <v>45</v>
      </c>
      <c r="K31" s="88">
        <v>33816</v>
      </c>
      <c r="L31" s="89">
        <v>5985</v>
      </c>
      <c r="R31" s="83">
        <v>45</v>
      </c>
      <c r="S31" s="88">
        <v>33816</v>
      </c>
      <c r="T31" s="89">
        <v>5985</v>
      </c>
      <c r="Z31" s="83">
        <v>45</v>
      </c>
      <c r="AA31" s="88">
        <v>33816</v>
      </c>
      <c r="AB31" s="89">
        <v>5985</v>
      </c>
    </row>
    <row r="32" spans="1:31" ht="12.95">
      <c r="B32" s="83">
        <v>46</v>
      </c>
      <c r="C32" s="88">
        <v>33847</v>
      </c>
      <c r="D32" s="89">
        <v>6029</v>
      </c>
      <c r="E32" s="90" t="s">
        <v>156</v>
      </c>
      <c r="J32" s="83">
        <v>46</v>
      </c>
      <c r="K32" s="88">
        <v>33847</v>
      </c>
      <c r="L32" s="89">
        <v>6029</v>
      </c>
      <c r="R32" s="83">
        <v>46</v>
      </c>
      <c r="S32" s="88">
        <v>33847</v>
      </c>
      <c r="T32" s="89">
        <v>6029</v>
      </c>
      <c r="Z32" s="83">
        <v>46</v>
      </c>
      <c r="AA32" s="88">
        <v>33847</v>
      </c>
      <c r="AB32" s="89">
        <v>6029</v>
      </c>
    </row>
    <row r="33" spans="1:31" ht="12.95">
      <c r="A33" s="91" t="s">
        <v>155</v>
      </c>
      <c r="B33" s="92">
        <v>47</v>
      </c>
      <c r="C33" s="93">
        <v>33877</v>
      </c>
      <c r="D33" s="94">
        <v>6024</v>
      </c>
      <c r="I33" s="95"/>
      <c r="J33" s="83">
        <v>47</v>
      </c>
      <c r="K33" s="88">
        <v>33877</v>
      </c>
      <c r="L33" s="89">
        <v>6024</v>
      </c>
      <c r="M33" s="90" t="s">
        <v>155</v>
      </c>
      <c r="Q33" s="95"/>
      <c r="R33" s="83">
        <v>47</v>
      </c>
      <c r="S33" s="88">
        <v>33877</v>
      </c>
      <c r="T33" s="89">
        <v>6024</v>
      </c>
      <c r="Y33" s="95"/>
      <c r="Z33" s="83">
        <v>47</v>
      </c>
      <c r="AA33" s="88">
        <v>33877</v>
      </c>
      <c r="AB33" s="89">
        <v>6024</v>
      </c>
    </row>
    <row r="34" spans="1:31" ht="12.95">
      <c r="A34" s="96" t="s">
        <v>157</v>
      </c>
      <c r="B34" s="97">
        <v>48</v>
      </c>
      <c r="C34" s="98">
        <v>33908</v>
      </c>
      <c r="D34" s="99">
        <v>6036</v>
      </c>
      <c r="E34" s="85">
        <v>6034.0412812261775</v>
      </c>
      <c r="F34" s="89">
        <f t="shared" ref="F34:F44" si="10">E34-$D34</f>
        <v>-1.9587187738225111</v>
      </c>
      <c r="G34" s="100">
        <f t="shared" ref="G34:G44" si="11">ABS(F34/$D34)</f>
        <v>3.2450609241592296E-4</v>
      </c>
      <c r="I34" s="101" t="s">
        <v>158</v>
      </c>
      <c r="J34" s="102">
        <v>48</v>
      </c>
      <c r="K34" s="103">
        <v>33908</v>
      </c>
      <c r="L34" s="104">
        <v>6036</v>
      </c>
      <c r="M34" s="90" t="s">
        <v>159</v>
      </c>
      <c r="N34" s="89"/>
      <c r="Q34" s="101" t="s">
        <v>158</v>
      </c>
      <c r="R34" s="102">
        <v>48</v>
      </c>
      <c r="S34" s="103">
        <v>33908</v>
      </c>
      <c r="T34" s="104">
        <v>6036</v>
      </c>
      <c r="V34" s="89"/>
      <c r="Y34" s="101" t="s">
        <v>158</v>
      </c>
      <c r="Z34" s="102">
        <v>48</v>
      </c>
      <c r="AA34" s="103">
        <v>33908</v>
      </c>
      <c r="AB34" s="104">
        <v>6036</v>
      </c>
      <c r="AD34" s="89"/>
    </row>
    <row r="35" spans="1:31" ht="12.95">
      <c r="A35" s="96" t="s">
        <v>160</v>
      </c>
      <c r="B35" s="97">
        <v>49</v>
      </c>
      <c r="C35" s="98">
        <v>33938</v>
      </c>
      <c r="D35" s="99">
        <v>6026</v>
      </c>
      <c r="E35" s="85">
        <v>6020.896119782662</v>
      </c>
      <c r="F35" s="89">
        <f t="shared" si="10"/>
        <v>-5.1038802173379736</v>
      </c>
      <c r="G35" s="105">
        <f t="shared" si="11"/>
        <v>8.4697647151310551E-4</v>
      </c>
      <c r="I35" s="101" t="s">
        <v>161</v>
      </c>
      <c r="J35" s="102">
        <v>49</v>
      </c>
      <c r="K35" s="103">
        <v>33938</v>
      </c>
      <c r="L35" s="104">
        <v>6026</v>
      </c>
      <c r="M35" s="106" t="s">
        <v>162</v>
      </c>
      <c r="N35" s="89"/>
      <c r="Q35" s="101" t="s">
        <v>161</v>
      </c>
      <c r="R35" s="102">
        <v>49</v>
      </c>
      <c r="S35" s="103">
        <v>33938</v>
      </c>
      <c r="T35" s="104">
        <v>6026</v>
      </c>
      <c r="U35" s="107"/>
      <c r="V35" s="89"/>
      <c r="Y35" s="101" t="s">
        <v>161</v>
      </c>
      <c r="Z35" s="102">
        <v>49</v>
      </c>
      <c r="AA35" s="103">
        <v>33938</v>
      </c>
      <c r="AB35" s="104">
        <v>6026</v>
      </c>
      <c r="AC35" s="107"/>
      <c r="AD35" s="89"/>
    </row>
    <row r="36" spans="1:31" ht="12.95">
      <c r="A36" s="96" t="s">
        <v>163</v>
      </c>
      <c r="B36" s="97">
        <v>50</v>
      </c>
      <c r="C36" s="98">
        <v>33969</v>
      </c>
      <c r="D36" s="99">
        <v>6021</v>
      </c>
      <c r="E36" s="85">
        <v>6016.5497009471283</v>
      </c>
      <c r="F36" s="89">
        <f t="shared" si="10"/>
        <v>-4.4502990528717419</v>
      </c>
      <c r="G36" s="105">
        <f t="shared" si="11"/>
        <v>7.3912955536816838E-4</v>
      </c>
      <c r="I36" s="91" t="s">
        <v>155</v>
      </c>
      <c r="J36" s="92">
        <v>50</v>
      </c>
      <c r="K36" s="108">
        <v>33969</v>
      </c>
      <c r="L36" s="109">
        <v>6021</v>
      </c>
      <c r="N36" s="89"/>
      <c r="Q36" s="110"/>
      <c r="R36" s="102">
        <v>50</v>
      </c>
      <c r="S36" s="103">
        <v>33969</v>
      </c>
      <c r="T36" s="104">
        <v>6021</v>
      </c>
      <c r="U36" s="90" t="s">
        <v>155</v>
      </c>
      <c r="V36" s="89"/>
      <c r="Y36" s="110"/>
      <c r="Z36" s="102">
        <v>50</v>
      </c>
      <c r="AA36" s="103">
        <v>33969</v>
      </c>
      <c r="AB36" s="104">
        <v>6021</v>
      </c>
      <c r="AD36" s="89"/>
    </row>
    <row r="37" spans="1:31" ht="12.95">
      <c r="A37" s="96" t="s">
        <v>161</v>
      </c>
      <c r="B37" s="97">
        <v>51</v>
      </c>
      <c r="C37" s="98">
        <v>34000</v>
      </c>
      <c r="D37" s="99">
        <v>5996</v>
      </c>
      <c r="E37" s="85">
        <v>6013.1455903945243</v>
      </c>
      <c r="F37" s="89">
        <f t="shared" si="10"/>
        <v>17.145590394524334</v>
      </c>
      <c r="G37" s="105">
        <f t="shared" si="11"/>
        <v>2.8595047355777742E-3</v>
      </c>
      <c r="I37" s="96"/>
      <c r="J37" s="97">
        <v>51</v>
      </c>
      <c r="K37" s="98">
        <v>34000</v>
      </c>
      <c r="L37" s="99">
        <v>5996</v>
      </c>
      <c r="M37" s="85">
        <v>6017.5933715075935</v>
      </c>
      <c r="N37" s="89">
        <f>M37-$D37</f>
        <v>21.593371507593474</v>
      </c>
      <c r="O37" s="100">
        <f>ABS(N37/$D37)</f>
        <v>3.6012961153424742E-3</v>
      </c>
      <c r="Q37" s="101"/>
      <c r="R37" s="102">
        <v>51</v>
      </c>
      <c r="S37" s="103">
        <v>34000</v>
      </c>
      <c r="T37" s="104">
        <v>5996</v>
      </c>
      <c r="U37" s="90" t="s">
        <v>164</v>
      </c>
      <c r="V37" s="89"/>
      <c r="W37" s="105"/>
      <c r="Y37" s="101"/>
      <c r="Z37" s="102">
        <v>51</v>
      </c>
      <c r="AA37" s="103">
        <v>34000</v>
      </c>
      <c r="AB37" s="104">
        <v>5996</v>
      </c>
      <c r="AD37" s="89"/>
      <c r="AE37" s="105"/>
    </row>
    <row r="38" spans="1:31" ht="12.95">
      <c r="A38" s="97"/>
      <c r="B38" s="97">
        <v>52</v>
      </c>
      <c r="C38" s="98">
        <v>34028</v>
      </c>
      <c r="D38" s="99">
        <v>6026</v>
      </c>
      <c r="E38" s="85">
        <v>6032.6110351863745</v>
      </c>
      <c r="F38" s="89">
        <f t="shared" si="10"/>
        <v>6.6110351863744654</v>
      </c>
      <c r="G38" s="100">
        <f t="shared" si="11"/>
        <v>1.0970851620269607E-3</v>
      </c>
      <c r="I38" s="97"/>
      <c r="J38" s="97">
        <v>52</v>
      </c>
      <c r="K38" s="98">
        <v>34028</v>
      </c>
      <c r="L38" s="99">
        <v>6026</v>
      </c>
      <c r="M38" s="85">
        <v>6037.0732144270796</v>
      </c>
      <c r="N38" s="89">
        <f>M38-$D38</f>
        <v>11.07321442707962</v>
      </c>
      <c r="O38" s="105">
        <f>ABS(N38/$D38)</f>
        <v>1.8375729218519116E-3</v>
      </c>
      <c r="Q38" s="102"/>
      <c r="R38" s="102">
        <v>52</v>
      </c>
      <c r="S38" s="103">
        <v>34028</v>
      </c>
      <c r="T38" s="104">
        <v>6026</v>
      </c>
      <c r="U38" s="106" t="s">
        <v>162</v>
      </c>
      <c r="V38" s="89"/>
      <c r="W38" s="105"/>
      <c r="Y38" s="102"/>
      <c r="Z38" s="102">
        <v>52</v>
      </c>
      <c r="AA38" s="103">
        <v>34028</v>
      </c>
      <c r="AB38" s="104">
        <v>6026</v>
      </c>
      <c r="AD38" s="89"/>
      <c r="AE38" s="105"/>
    </row>
    <row r="39" spans="1:31" ht="12.95">
      <c r="A39" s="97"/>
      <c r="B39" s="97">
        <v>53</v>
      </c>
      <c r="C39" s="98">
        <v>34059</v>
      </c>
      <c r="D39" s="99">
        <v>6094</v>
      </c>
      <c r="E39" s="85">
        <v>6073.0053971587176</v>
      </c>
      <c r="F39" s="89">
        <f t="shared" si="10"/>
        <v>-20.994602841282358</v>
      </c>
      <c r="G39" s="105">
        <f t="shared" si="11"/>
        <v>3.445126820033206E-3</v>
      </c>
      <c r="I39" s="97"/>
      <c r="J39" s="97">
        <v>53</v>
      </c>
      <c r="K39" s="98">
        <v>34059</v>
      </c>
      <c r="L39" s="99">
        <v>6094</v>
      </c>
      <c r="M39" s="85">
        <v>6077.4974551504956</v>
      </c>
      <c r="N39" s="89">
        <f>M39-$D39</f>
        <v>-16.502544849504375</v>
      </c>
      <c r="O39" s="105">
        <f>ABS(N39/$D39)</f>
        <v>2.7079988266334714E-3</v>
      </c>
      <c r="Q39" s="91" t="s">
        <v>155</v>
      </c>
      <c r="R39" s="92">
        <v>53</v>
      </c>
      <c r="S39" s="108">
        <v>34059</v>
      </c>
      <c r="T39" s="109">
        <v>6094</v>
      </c>
      <c r="V39" s="89"/>
      <c r="W39" s="105"/>
      <c r="Y39" s="110"/>
      <c r="Z39" s="102">
        <v>53</v>
      </c>
      <c r="AA39" s="103">
        <v>34059</v>
      </c>
      <c r="AB39" s="104">
        <v>6094</v>
      </c>
      <c r="AC39" s="90" t="s">
        <v>155</v>
      </c>
      <c r="AD39" s="89"/>
      <c r="AE39" s="105"/>
    </row>
    <row r="40" spans="1:31" ht="12.95">
      <c r="A40" s="97"/>
      <c r="B40" s="97">
        <v>54</v>
      </c>
      <c r="C40" s="98">
        <v>34089</v>
      </c>
      <c r="D40" s="99">
        <v>6083</v>
      </c>
      <c r="E40" s="85">
        <v>6034.5810419609998</v>
      </c>
      <c r="F40" s="89">
        <f t="shared" si="10"/>
        <v>-48.418958039000245</v>
      </c>
      <c r="G40" s="105">
        <f t="shared" si="11"/>
        <v>7.9597169224067468E-3</v>
      </c>
      <c r="I40" s="96" t="s">
        <v>157</v>
      </c>
      <c r="J40" s="97">
        <v>54</v>
      </c>
      <c r="K40" s="98">
        <v>34089</v>
      </c>
      <c r="L40" s="99">
        <v>6083</v>
      </c>
      <c r="M40" s="85">
        <v>6039.0446783689722</v>
      </c>
      <c r="N40" s="89">
        <f>M40-$D40</f>
        <v>-43.9553216310278</v>
      </c>
      <c r="O40" s="105">
        <f>ABS(N40/$D40)</f>
        <v>7.225928264183429E-3</v>
      </c>
      <c r="Q40" s="96" t="s">
        <v>157</v>
      </c>
      <c r="R40" s="97">
        <v>54</v>
      </c>
      <c r="S40" s="98">
        <v>34089</v>
      </c>
      <c r="T40" s="99">
        <v>6083</v>
      </c>
      <c r="U40" s="85">
        <v>6055.4428103942664</v>
      </c>
      <c r="V40" s="89">
        <f>U40-$D40</f>
        <v>-27.557189605733583</v>
      </c>
      <c r="W40" s="100">
        <f>ABS(V40/$D40)</f>
        <v>4.5301972062688775E-3</v>
      </c>
      <c r="Y40" s="101"/>
      <c r="Z40" s="102">
        <v>54</v>
      </c>
      <c r="AA40" s="103">
        <v>34089</v>
      </c>
      <c r="AB40" s="104">
        <v>6083</v>
      </c>
      <c r="AC40" s="90" t="s">
        <v>165</v>
      </c>
    </row>
    <row r="41" spans="1:31" ht="12.95">
      <c r="A41" s="97"/>
      <c r="B41" s="97">
        <v>55</v>
      </c>
      <c r="C41" s="98">
        <v>34120</v>
      </c>
      <c r="D41" s="99">
        <v>6057</v>
      </c>
      <c r="E41" s="85">
        <v>6011.005032768031</v>
      </c>
      <c r="F41" s="89">
        <f t="shared" si="10"/>
        <v>-45.994967231968985</v>
      </c>
      <c r="G41" s="105">
        <f t="shared" si="11"/>
        <v>7.5936878375382176E-3</v>
      </c>
      <c r="I41" s="96" t="s">
        <v>160</v>
      </c>
      <c r="J41" s="97">
        <v>55</v>
      </c>
      <c r="K41" s="98">
        <v>34120</v>
      </c>
      <c r="L41" s="99">
        <v>6057</v>
      </c>
      <c r="M41" s="85">
        <v>6015.4512305614153</v>
      </c>
      <c r="N41" s="89">
        <f>M41-$D41</f>
        <v>-41.548769438584713</v>
      </c>
      <c r="O41" s="100">
        <f>ABS(N41/$D41)</f>
        <v>6.8596284362860676E-3</v>
      </c>
      <c r="Q41" s="96" t="s">
        <v>160</v>
      </c>
      <c r="R41" s="97">
        <v>55</v>
      </c>
      <c r="S41" s="98">
        <v>34120</v>
      </c>
      <c r="T41" s="99">
        <v>6057</v>
      </c>
      <c r="U41" s="85">
        <v>6031.7852980710977</v>
      </c>
      <c r="V41" s="89">
        <f>U41-$D41</f>
        <v>-25.214701928902286</v>
      </c>
      <c r="W41" s="105">
        <f>ABS(V41/$D41)</f>
        <v>4.1629027454023913E-3</v>
      </c>
      <c r="Y41" s="101"/>
      <c r="Z41" s="102">
        <v>55</v>
      </c>
      <c r="AA41" s="103">
        <v>34120</v>
      </c>
      <c r="AB41" s="104">
        <v>6057</v>
      </c>
      <c r="AC41" s="106" t="s">
        <v>162</v>
      </c>
    </row>
    <row r="42" spans="1:31" ht="12.95">
      <c r="A42" s="97"/>
      <c r="B42" s="97">
        <v>56</v>
      </c>
      <c r="C42" s="98">
        <v>34150</v>
      </c>
      <c r="D42" s="99">
        <v>6198</v>
      </c>
      <c r="E42" s="85">
        <v>6088.7443707684206</v>
      </c>
      <c r="F42" s="89">
        <f t="shared" si="10"/>
        <v>-109.25562923157941</v>
      </c>
      <c r="G42" s="100">
        <f t="shared" si="11"/>
        <v>1.7627561992833076E-2</v>
      </c>
      <c r="I42" s="96" t="s">
        <v>163</v>
      </c>
      <c r="J42" s="97">
        <v>56</v>
      </c>
      <c r="K42" s="98">
        <v>34150</v>
      </c>
      <c r="L42" s="99">
        <v>6198</v>
      </c>
      <c r="M42" s="85">
        <v>6093.2480705055223</v>
      </c>
      <c r="N42" s="89">
        <f t="shared" ref="N42:N45" si="12">M42-$D42</f>
        <v>-104.75192949447774</v>
      </c>
      <c r="O42" s="105">
        <f t="shared" ref="O42:O45" si="13">ABS(N42/$D42)</f>
        <v>1.6900924410209378E-2</v>
      </c>
      <c r="Q42" s="96" t="s">
        <v>163</v>
      </c>
      <c r="R42" s="97">
        <v>56</v>
      </c>
      <c r="S42" s="98">
        <v>34150</v>
      </c>
      <c r="T42" s="99">
        <v>6198</v>
      </c>
      <c r="U42" s="85">
        <v>6109.7933838198796</v>
      </c>
      <c r="V42" s="89">
        <f t="shared" ref="V42:V45" si="14">U42-$D42</f>
        <v>-88.206616180120363</v>
      </c>
      <c r="W42" s="105">
        <f t="shared" ref="W42:W45" si="15">ABS(V42/$D42)</f>
        <v>1.4231464372397607E-2</v>
      </c>
      <c r="Y42" s="91" t="s">
        <v>155</v>
      </c>
      <c r="Z42" s="92">
        <v>56</v>
      </c>
      <c r="AA42" s="108">
        <v>34150</v>
      </c>
      <c r="AB42" s="109">
        <v>6198</v>
      </c>
    </row>
    <row r="43" spans="1:31" ht="12.95">
      <c r="A43" s="97"/>
      <c r="B43" s="97">
        <v>57</v>
      </c>
      <c r="C43" s="98">
        <v>34181</v>
      </c>
      <c r="D43" s="99">
        <v>6507</v>
      </c>
      <c r="E43" s="85">
        <v>6074.7102327864277</v>
      </c>
      <c r="F43" s="89">
        <f t="shared" si="10"/>
        <v>-432.2897672135723</v>
      </c>
      <c r="G43" s="105">
        <f t="shared" si="11"/>
        <v>6.6434573107971767E-2</v>
      </c>
      <c r="I43" s="96" t="s">
        <v>161</v>
      </c>
      <c r="J43" s="97">
        <v>57</v>
      </c>
      <c r="K43" s="98">
        <v>34181</v>
      </c>
      <c r="L43" s="99">
        <v>6507</v>
      </c>
      <c r="M43" s="85">
        <v>6079.2035518046669</v>
      </c>
      <c r="N43" s="89">
        <f t="shared" si="12"/>
        <v>-427.79644819533314</v>
      </c>
      <c r="O43" s="105">
        <f t="shared" si="13"/>
        <v>6.5744036913375312E-2</v>
      </c>
      <c r="Q43" s="96" t="s">
        <v>161</v>
      </c>
      <c r="R43" s="97">
        <v>57</v>
      </c>
      <c r="S43" s="98">
        <v>34181</v>
      </c>
      <c r="T43" s="99">
        <v>6507</v>
      </c>
      <c r="U43" s="85">
        <v>6095.7107293071276</v>
      </c>
      <c r="V43" s="89">
        <f t="shared" si="14"/>
        <v>-411.28927069287238</v>
      </c>
      <c r="W43" s="105">
        <f t="shared" si="15"/>
        <v>6.3207203118621852E-2</v>
      </c>
      <c r="Y43" s="96" t="s">
        <v>166</v>
      </c>
      <c r="Z43" s="97">
        <v>57</v>
      </c>
      <c r="AA43" s="98">
        <v>34181</v>
      </c>
      <c r="AB43" s="99">
        <v>6507</v>
      </c>
      <c r="AC43" s="85">
        <v>6183.714035289443</v>
      </c>
      <c r="AD43" s="89">
        <f>AC43-$D43</f>
        <v>-323.28596471055698</v>
      </c>
      <c r="AE43" s="100">
        <f>ABS(AD43/$D43)</f>
        <v>4.9682797711780698E-2</v>
      </c>
    </row>
    <row r="44" spans="1:31" ht="12.95">
      <c r="A44" s="97"/>
      <c r="B44" s="97">
        <v>58</v>
      </c>
      <c r="C44" s="98">
        <v>34212</v>
      </c>
      <c r="D44" s="99">
        <v>6653</v>
      </c>
      <c r="E44" s="85">
        <v>6036.6654262135926</v>
      </c>
      <c r="F44" s="89">
        <f t="shared" si="10"/>
        <v>-616.33457378640742</v>
      </c>
      <c r="G44" s="105">
        <f t="shared" si="11"/>
        <v>9.2640098269413412E-2</v>
      </c>
      <c r="I44" s="97"/>
      <c r="J44" s="97">
        <v>58</v>
      </c>
      <c r="K44" s="98">
        <v>34212</v>
      </c>
      <c r="L44" s="99">
        <v>6653</v>
      </c>
      <c r="M44" s="85">
        <v>6041.1306043911381</v>
      </c>
      <c r="N44" s="89">
        <f t="shared" si="12"/>
        <v>-611.86939560886185</v>
      </c>
      <c r="O44" s="105">
        <f t="shared" si="13"/>
        <v>9.1968945679973227E-2</v>
      </c>
      <c r="Q44" s="97"/>
      <c r="R44" s="97">
        <v>58</v>
      </c>
      <c r="S44" s="98">
        <v>34212</v>
      </c>
      <c r="T44" s="99">
        <v>6653</v>
      </c>
      <c r="U44" s="85">
        <v>6057.5344004398212</v>
      </c>
      <c r="V44" s="89">
        <f t="shared" si="14"/>
        <v>-595.46559956017882</v>
      </c>
      <c r="W44" s="100">
        <f t="shared" si="15"/>
        <v>8.9503321743601205E-2</v>
      </c>
      <c r="Y44" s="96" t="s">
        <v>163</v>
      </c>
      <c r="Z44" s="97">
        <v>58</v>
      </c>
      <c r="AA44" s="98">
        <v>34212</v>
      </c>
      <c r="AB44" s="99">
        <v>6653</v>
      </c>
      <c r="AC44" s="85">
        <v>6144.9865577046576</v>
      </c>
      <c r="AD44" s="89">
        <f>AC44-$D44</f>
        <v>-508.01344229534243</v>
      </c>
      <c r="AE44" s="105">
        <f>ABS(AD44/$D44)</f>
        <v>7.6358551374619332E-2</v>
      </c>
    </row>
    <row r="45" spans="1:31" ht="12.95">
      <c r="A45" s="97"/>
      <c r="B45" s="97">
        <v>59</v>
      </c>
      <c r="C45" s="98">
        <v>34242</v>
      </c>
      <c r="D45" s="99">
        <v>6725</v>
      </c>
      <c r="E45" s="85">
        <v>6024</v>
      </c>
      <c r="F45" s="89">
        <f>E45-$D45</f>
        <v>-701</v>
      </c>
      <c r="G45" s="100">
        <f>ABS(F45/$D45)</f>
        <v>0.10423791821561339</v>
      </c>
      <c r="I45" s="97"/>
      <c r="J45" s="97">
        <v>59</v>
      </c>
      <c r="K45" s="98">
        <v>34242</v>
      </c>
      <c r="L45" s="99">
        <v>6725</v>
      </c>
      <c r="M45" s="85">
        <v>6028.4558098623011</v>
      </c>
      <c r="N45" s="89">
        <f t="shared" si="12"/>
        <v>-696.54419013769893</v>
      </c>
      <c r="O45" s="100">
        <f t="shared" si="13"/>
        <v>0.10357534425839389</v>
      </c>
      <c r="Q45" s="97"/>
      <c r="R45" s="97">
        <v>59</v>
      </c>
      <c r="S45" s="98">
        <v>34242</v>
      </c>
      <c r="T45" s="99">
        <v>6725</v>
      </c>
      <c r="U45" s="85">
        <v>6044.8251893823535</v>
      </c>
      <c r="V45" s="89">
        <f t="shared" si="14"/>
        <v>-680.17481061764647</v>
      </c>
      <c r="W45" s="105">
        <f t="shared" si="15"/>
        <v>0.10114123577957568</v>
      </c>
      <c r="Y45" s="96" t="s">
        <v>161</v>
      </c>
      <c r="Z45" s="97">
        <v>59</v>
      </c>
      <c r="AA45" s="98">
        <v>34242</v>
      </c>
      <c r="AB45" s="99">
        <v>6725</v>
      </c>
      <c r="AC45" s="85">
        <v>6128.7755170017581</v>
      </c>
      <c r="AD45" s="89">
        <f>AC45-$D45</f>
        <v>-596.22448299824191</v>
      </c>
      <c r="AE45" s="105">
        <f>ABS(AD45/$D45)</f>
        <v>8.8657915687470917E-2</v>
      </c>
    </row>
    <row r="46" spans="1:31">
      <c r="G46" s="105"/>
      <c r="O46" s="105"/>
      <c r="W46" s="105"/>
      <c r="AE46" s="105"/>
    </row>
    <row r="47" spans="1:31" ht="12.95">
      <c r="F47" s="89">
        <f>AVERAGE(F34:F45)</f>
        <v>-163.50373090057869</v>
      </c>
      <c r="G47" s="111">
        <f>AVERAGE(G34:G45)</f>
        <v>2.5483823765225979E-2</v>
      </c>
      <c r="U47" s="83"/>
      <c r="AC47" s="83"/>
    </row>
    <row r="48" spans="1:31">
      <c r="U48" s="83"/>
      <c r="AC48" s="83"/>
    </row>
    <row r="49" spans="1:31">
      <c r="F49" s="95" t="str">
        <f ca="1">_xlfn.FORMULATEXT(G49)</f>
        <v>=MAX(G34:G45)</v>
      </c>
      <c r="G49" s="105">
        <f>MAX(G34:G45)</f>
        <v>0.10423791821561339</v>
      </c>
      <c r="I49" s="95"/>
      <c r="U49" s="83"/>
      <c r="AC49" s="83"/>
    </row>
    <row r="50" spans="1:31">
      <c r="F50" s="95" t="str">
        <f ca="1">_xlfn.FORMULATEXT(G50)</f>
        <v>=MIN(G34:G45)</v>
      </c>
      <c r="G50" s="105">
        <f>MIN(G34:G45)</f>
        <v>3.2450609241592296E-4</v>
      </c>
      <c r="U50" s="83"/>
      <c r="AC50" s="83"/>
    </row>
    <row r="51" spans="1:31" customFormat="1" ht="14.45"/>
    <row r="52" spans="1:31" ht="12.95">
      <c r="C52" s="84" t="s">
        <v>149</v>
      </c>
      <c r="L52" s="84"/>
      <c r="M52" s="84" t="s">
        <v>149</v>
      </c>
      <c r="T52" s="84" t="s">
        <v>149</v>
      </c>
      <c r="AB52" s="84" t="s">
        <v>149</v>
      </c>
    </row>
    <row r="53" spans="1:31" ht="12.95">
      <c r="C53" s="84" t="s">
        <v>170</v>
      </c>
      <c r="M53" s="84" t="s">
        <v>170</v>
      </c>
      <c r="T53" s="84" t="s">
        <v>170</v>
      </c>
      <c r="AB53" s="84" t="s">
        <v>170</v>
      </c>
    </row>
    <row r="54" spans="1:31" ht="12.95">
      <c r="K54" s="84"/>
      <c r="S54" s="84"/>
      <c r="AA54" s="84"/>
    </row>
    <row r="55" spans="1:31" ht="12.95">
      <c r="C55" s="84"/>
      <c r="F55" s="86" t="s">
        <v>151</v>
      </c>
      <c r="G55" s="86" t="s">
        <v>152</v>
      </c>
      <c r="K55" s="84"/>
      <c r="N55" s="86" t="s">
        <v>151</v>
      </c>
      <c r="O55" s="86" t="s">
        <v>152</v>
      </c>
      <c r="S55" s="84"/>
      <c r="V55" s="86" t="s">
        <v>151</v>
      </c>
      <c r="W55" s="86" t="s">
        <v>152</v>
      </c>
      <c r="AA55" s="84"/>
      <c r="AD55" s="86" t="s">
        <v>151</v>
      </c>
      <c r="AE55" s="86" t="s">
        <v>152</v>
      </c>
    </row>
    <row r="56" spans="1:31">
      <c r="B56" s="87" t="s">
        <v>154</v>
      </c>
      <c r="C56" s="87" t="s">
        <v>147</v>
      </c>
      <c r="D56" s="87" t="s">
        <v>0</v>
      </c>
      <c r="E56" s="85" t="s">
        <v>96</v>
      </c>
      <c r="F56" s="85" t="s">
        <v>96</v>
      </c>
      <c r="G56" s="85" t="s">
        <v>96</v>
      </c>
      <c r="J56" s="87" t="s">
        <v>154</v>
      </c>
      <c r="K56" s="87" t="s">
        <v>147</v>
      </c>
      <c r="L56" s="87" t="s">
        <v>0</v>
      </c>
      <c r="M56" s="85" t="s">
        <v>96</v>
      </c>
      <c r="N56" s="85" t="s">
        <v>96</v>
      </c>
      <c r="O56" s="85" t="s">
        <v>96</v>
      </c>
      <c r="R56" s="87" t="s">
        <v>154</v>
      </c>
      <c r="S56" s="87" t="s">
        <v>147</v>
      </c>
      <c r="T56" s="87" t="s">
        <v>0</v>
      </c>
      <c r="U56" s="85" t="s">
        <v>96</v>
      </c>
      <c r="V56" s="85" t="s">
        <v>96</v>
      </c>
      <c r="W56" s="85" t="s">
        <v>96</v>
      </c>
      <c r="Z56" s="87" t="s">
        <v>154</v>
      </c>
      <c r="AA56" s="87" t="s">
        <v>147</v>
      </c>
      <c r="AB56" s="87" t="s">
        <v>0</v>
      </c>
      <c r="AC56" s="85" t="s">
        <v>96</v>
      </c>
      <c r="AD56" s="85" t="s">
        <v>96</v>
      </c>
      <c r="AE56" s="85" t="s">
        <v>96</v>
      </c>
    </row>
    <row r="57" spans="1:31">
      <c r="B57" s="83">
        <v>44</v>
      </c>
      <c r="C57" s="88">
        <v>33785</v>
      </c>
      <c r="D57" s="89">
        <v>5975</v>
      </c>
      <c r="J57" s="83">
        <f>B57</f>
        <v>44</v>
      </c>
      <c r="K57" s="88">
        <v>33785</v>
      </c>
      <c r="L57" s="89">
        <v>5975</v>
      </c>
      <c r="R57" s="83">
        <v>44</v>
      </c>
      <c r="S57" s="88">
        <v>33785</v>
      </c>
      <c r="T57" s="89">
        <v>5975</v>
      </c>
      <c r="Z57" s="83">
        <v>44</v>
      </c>
      <c r="AA57" s="88">
        <v>33785</v>
      </c>
      <c r="AB57" s="89">
        <v>5975</v>
      </c>
    </row>
    <row r="58" spans="1:31" ht="12.95">
      <c r="B58" s="83">
        <v>45</v>
      </c>
      <c r="C58" s="88">
        <v>33816</v>
      </c>
      <c r="D58" s="89">
        <v>5985</v>
      </c>
      <c r="E58" s="90" t="s">
        <v>155</v>
      </c>
      <c r="J58" s="83">
        <v>45</v>
      </c>
      <c r="K58" s="88">
        <v>33816</v>
      </c>
      <c r="L58" s="89">
        <v>5985</v>
      </c>
      <c r="R58" s="83">
        <v>45</v>
      </c>
      <c r="S58" s="88">
        <v>33816</v>
      </c>
      <c r="T58" s="89">
        <v>5985</v>
      </c>
      <c r="Z58" s="83">
        <v>45</v>
      </c>
      <c r="AA58" s="88">
        <v>33816</v>
      </c>
      <c r="AB58" s="89">
        <v>5985</v>
      </c>
    </row>
    <row r="59" spans="1:31" ht="12.95">
      <c r="B59" s="83">
        <v>46</v>
      </c>
      <c r="C59" s="88">
        <v>33847</v>
      </c>
      <c r="D59" s="89">
        <v>6029</v>
      </c>
      <c r="E59" s="90" t="s">
        <v>156</v>
      </c>
      <c r="J59" s="83">
        <v>46</v>
      </c>
      <c r="K59" s="88">
        <v>33847</v>
      </c>
      <c r="L59" s="89">
        <v>6029</v>
      </c>
      <c r="R59" s="83">
        <v>46</v>
      </c>
      <c r="S59" s="88">
        <v>33847</v>
      </c>
      <c r="T59" s="89">
        <v>6029</v>
      </c>
      <c r="Z59" s="83">
        <v>46</v>
      </c>
      <c r="AA59" s="88">
        <v>33847</v>
      </c>
      <c r="AB59" s="89">
        <v>6029</v>
      </c>
    </row>
    <row r="60" spans="1:31" ht="12.95">
      <c r="A60" s="91" t="s">
        <v>155</v>
      </c>
      <c r="B60" s="92">
        <v>47</v>
      </c>
      <c r="C60" s="93">
        <v>33877</v>
      </c>
      <c r="D60" s="94">
        <v>6024</v>
      </c>
      <c r="I60" s="95"/>
      <c r="J60" s="83">
        <v>47</v>
      </c>
      <c r="K60" s="88">
        <v>33877</v>
      </c>
      <c r="L60" s="89">
        <v>6024</v>
      </c>
      <c r="M60" s="90" t="s">
        <v>155</v>
      </c>
      <c r="Q60" s="95"/>
      <c r="R60" s="83">
        <v>47</v>
      </c>
      <c r="S60" s="88">
        <v>33877</v>
      </c>
      <c r="T60" s="89">
        <v>6024</v>
      </c>
      <c r="Y60" s="95"/>
      <c r="Z60" s="83">
        <v>47</v>
      </c>
      <c r="AA60" s="88">
        <v>33877</v>
      </c>
      <c r="AB60" s="89">
        <v>6024</v>
      </c>
    </row>
    <row r="61" spans="1:31" ht="12.95">
      <c r="A61" s="96" t="s">
        <v>157</v>
      </c>
      <c r="B61" s="97">
        <v>48</v>
      </c>
      <c r="C61" s="98">
        <v>33908</v>
      </c>
      <c r="D61" s="99">
        <v>6036</v>
      </c>
      <c r="E61" s="85">
        <v>5970.2449171721319</v>
      </c>
      <c r="F61" s="89">
        <f t="shared" ref="F61:F68" si="16">E61-$D61</f>
        <v>-65.755082827868137</v>
      </c>
      <c r="G61" s="100">
        <f t="shared" ref="G61:G68" si="17">ABS(F61/$D61)</f>
        <v>1.0893817565915861E-2</v>
      </c>
      <c r="I61" s="101" t="s">
        <v>158</v>
      </c>
      <c r="J61" s="102">
        <v>48</v>
      </c>
      <c r="K61" s="103">
        <v>33908</v>
      </c>
      <c r="L61" s="104">
        <v>6036</v>
      </c>
      <c r="M61" s="90" t="s">
        <v>159</v>
      </c>
      <c r="N61" s="89"/>
      <c r="Q61" s="101" t="s">
        <v>158</v>
      </c>
      <c r="R61" s="102">
        <v>48</v>
      </c>
      <c r="S61" s="103">
        <v>33908</v>
      </c>
      <c r="T61" s="104">
        <v>6036</v>
      </c>
      <c r="V61" s="89"/>
      <c r="Y61" s="101" t="s">
        <v>158</v>
      </c>
      <c r="Z61" s="102">
        <v>48</v>
      </c>
      <c r="AA61" s="103">
        <v>33908</v>
      </c>
      <c r="AB61" s="104">
        <v>6036</v>
      </c>
      <c r="AD61" s="89"/>
    </row>
    <row r="62" spans="1:31" ht="12.95">
      <c r="A62" s="96" t="s">
        <v>160</v>
      </c>
      <c r="B62" s="97">
        <v>49</v>
      </c>
      <c r="C62" s="98">
        <v>33938</v>
      </c>
      <c r="D62" s="99">
        <v>6026</v>
      </c>
      <c r="E62" s="85">
        <v>5951.7340938636426</v>
      </c>
      <c r="F62" s="89">
        <f t="shared" si="16"/>
        <v>-74.265906136357444</v>
      </c>
      <c r="G62" s="105">
        <f t="shared" si="17"/>
        <v>1.2324245956912951E-2</v>
      </c>
      <c r="I62" s="101" t="s">
        <v>161</v>
      </c>
      <c r="J62" s="102">
        <v>49</v>
      </c>
      <c r="K62" s="103">
        <v>33938</v>
      </c>
      <c r="L62" s="104">
        <v>6026</v>
      </c>
      <c r="M62" s="106" t="s">
        <v>162</v>
      </c>
      <c r="N62" s="89"/>
      <c r="Q62" s="101" t="s">
        <v>161</v>
      </c>
      <c r="R62" s="102">
        <v>49</v>
      </c>
      <c r="S62" s="103">
        <v>33938</v>
      </c>
      <c r="T62" s="104">
        <v>6026</v>
      </c>
      <c r="U62" s="107"/>
      <c r="V62" s="89"/>
      <c r="Y62" s="101" t="s">
        <v>161</v>
      </c>
      <c r="Z62" s="102">
        <v>49</v>
      </c>
      <c r="AA62" s="103">
        <v>33938</v>
      </c>
      <c r="AB62" s="104">
        <v>6026</v>
      </c>
      <c r="AC62" s="107"/>
      <c r="AD62" s="89"/>
    </row>
    <row r="63" spans="1:31" ht="12.95">
      <c r="A63" s="96" t="s">
        <v>163</v>
      </c>
      <c r="B63" s="97">
        <v>50</v>
      </c>
      <c r="C63" s="98">
        <v>33969</v>
      </c>
      <c r="D63" s="99">
        <v>6021</v>
      </c>
      <c r="E63" s="85">
        <v>5906.5332131866116</v>
      </c>
      <c r="F63" s="89">
        <f t="shared" si="16"/>
        <v>-114.46678681338835</v>
      </c>
      <c r="G63" s="105">
        <f t="shared" si="17"/>
        <v>1.9011258397838956E-2</v>
      </c>
      <c r="I63" s="91" t="s">
        <v>155</v>
      </c>
      <c r="J63" s="92">
        <v>50</v>
      </c>
      <c r="K63" s="108">
        <v>33969</v>
      </c>
      <c r="L63" s="109">
        <v>6021</v>
      </c>
      <c r="N63" s="89"/>
      <c r="Q63" s="110"/>
      <c r="R63" s="102">
        <v>50</v>
      </c>
      <c r="S63" s="103">
        <v>33969</v>
      </c>
      <c r="T63" s="104">
        <v>6021</v>
      </c>
      <c r="U63" s="90" t="s">
        <v>155</v>
      </c>
      <c r="V63" s="89"/>
      <c r="Y63" s="110"/>
      <c r="Z63" s="102">
        <v>50</v>
      </c>
      <c r="AA63" s="103">
        <v>33969</v>
      </c>
      <c r="AB63" s="104">
        <v>6021</v>
      </c>
      <c r="AD63" s="89"/>
    </row>
    <row r="64" spans="1:31" ht="12.95">
      <c r="A64" s="96" t="s">
        <v>161</v>
      </c>
      <c r="B64" s="97">
        <v>51</v>
      </c>
      <c r="C64" s="98">
        <v>34000</v>
      </c>
      <c r="D64" s="99">
        <v>5996</v>
      </c>
      <c r="E64" s="85">
        <v>5872.5229870016965</v>
      </c>
      <c r="F64" s="89">
        <f t="shared" si="16"/>
        <v>-123.47701299830351</v>
      </c>
      <c r="G64" s="105">
        <f t="shared" si="17"/>
        <v>2.0593230987041945E-2</v>
      </c>
      <c r="I64" s="96"/>
      <c r="J64" s="97">
        <v>51</v>
      </c>
      <c r="K64" s="98">
        <v>34000</v>
      </c>
      <c r="L64" s="99">
        <v>5996</v>
      </c>
      <c r="M64" s="85">
        <v>5945.8004947092286</v>
      </c>
      <c r="N64" s="89">
        <f>M64-$D64</f>
        <v>-50.199505290771413</v>
      </c>
      <c r="O64" s="100">
        <f>ABS(N64/$D64)</f>
        <v>8.3721656589011689E-3</v>
      </c>
      <c r="Q64" s="101"/>
      <c r="R64" s="102">
        <v>51</v>
      </c>
      <c r="S64" s="103">
        <v>34000</v>
      </c>
      <c r="T64" s="104">
        <v>5996</v>
      </c>
      <c r="U64" s="90" t="s">
        <v>164</v>
      </c>
      <c r="V64" s="89"/>
      <c r="W64" s="105"/>
      <c r="Y64" s="101"/>
      <c r="Z64" s="102">
        <v>51</v>
      </c>
      <c r="AA64" s="103">
        <v>34000</v>
      </c>
      <c r="AB64" s="104">
        <v>5996</v>
      </c>
      <c r="AD64" s="89"/>
      <c r="AE64" s="105"/>
    </row>
    <row r="65" spans="1:31" ht="12.95">
      <c r="A65" s="97"/>
      <c r="B65" s="97">
        <v>52</v>
      </c>
      <c r="C65" s="98">
        <v>34028</v>
      </c>
      <c r="D65" s="99">
        <v>6026</v>
      </c>
      <c r="E65" s="85">
        <v>5879.0520890101607</v>
      </c>
      <c r="F65" s="89">
        <f t="shared" si="16"/>
        <v>-146.94791098983933</v>
      </c>
      <c r="G65" s="100">
        <f t="shared" si="17"/>
        <v>2.4385647359747648E-2</v>
      </c>
      <c r="I65" s="97"/>
      <c r="J65" s="97">
        <v>52</v>
      </c>
      <c r="K65" s="98">
        <v>34028</v>
      </c>
      <c r="L65" s="99">
        <v>6026</v>
      </c>
      <c r="M65" s="85">
        <v>5992.9863001367703</v>
      </c>
      <c r="N65" s="89">
        <f>M65-$D65</f>
        <v>-33.013699863229704</v>
      </c>
      <c r="O65" s="105">
        <f>ABS(N65/$D65)</f>
        <v>5.478542957721491E-3</v>
      </c>
      <c r="Q65" s="102"/>
      <c r="R65" s="102">
        <v>52</v>
      </c>
      <c r="S65" s="103">
        <v>34028</v>
      </c>
      <c r="T65" s="104">
        <v>6026</v>
      </c>
      <c r="U65" s="106" t="s">
        <v>162</v>
      </c>
      <c r="V65" s="89"/>
      <c r="W65" s="105"/>
      <c r="Y65" s="102"/>
      <c r="Z65" s="102">
        <v>52</v>
      </c>
      <c r="AA65" s="103">
        <v>34028</v>
      </c>
      <c r="AB65" s="104">
        <v>6026</v>
      </c>
      <c r="AD65" s="89"/>
      <c r="AE65" s="105"/>
    </row>
    <row r="66" spans="1:31" ht="12.95">
      <c r="A66" s="97"/>
      <c r="B66" s="97">
        <v>53</v>
      </c>
      <c r="C66" s="98">
        <v>34059</v>
      </c>
      <c r="D66" s="99">
        <v>6094</v>
      </c>
      <c r="E66" s="85">
        <v>5920.1718875095758</v>
      </c>
      <c r="F66" s="89">
        <f t="shared" si="16"/>
        <v>-173.82811249042425</v>
      </c>
      <c r="G66" s="105">
        <f t="shared" si="17"/>
        <v>2.852446873817267E-2</v>
      </c>
      <c r="I66" s="97"/>
      <c r="J66" s="97">
        <v>53</v>
      </c>
      <c r="K66" s="98">
        <v>34059</v>
      </c>
      <c r="L66" s="99">
        <v>6094</v>
      </c>
      <c r="M66" s="85">
        <v>6034.9029876129762</v>
      </c>
      <c r="N66" s="89">
        <f>M66-$D66</f>
        <v>-59.097012387023824</v>
      </c>
      <c r="O66" s="105">
        <f>ABS(N66/$D66)</f>
        <v>9.697573414345885E-3</v>
      </c>
      <c r="Q66" s="91" t="s">
        <v>155</v>
      </c>
      <c r="R66" s="92">
        <v>53</v>
      </c>
      <c r="S66" s="108">
        <v>34059</v>
      </c>
      <c r="T66" s="109">
        <v>6094</v>
      </c>
      <c r="V66" s="89"/>
      <c r="W66" s="105"/>
      <c r="Y66" s="110"/>
      <c r="Z66" s="102">
        <v>53</v>
      </c>
      <c r="AA66" s="103">
        <v>34059</v>
      </c>
      <c r="AB66" s="104">
        <v>6094</v>
      </c>
      <c r="AC66" s="90" t="s">
        <v>155</v>
      </c>
      <c r="AD66" s="89"/>
      <c r="AE66" s="105"/>
    </row>
    <row r="67" spans="1:31" ht="12.95">
      <c r="A67" s="97"/>
      <c r="B67" s="97">
        <v>54</v>
      </c>
      <c r="C67" s="98">
        <v>34089</v>
      </c>
      <c r="D67" s="99">
        <v>6083</v>
      </c>
      <c r="E67" s="85">
        <v>5828.7154052624055</v>
      </c>
      <c r="F67" s="89">
        <f t="shared" si="16"/>
        <v>-254.28459473759449</v>
      </c>
      <c r="G67" s="105">
        <f t="shared" si="17"/>
        <v>4.1802497901955366E-2</v>
      </c>
      <c r="I67" s="96" t="s">
        <v>157</v>
      </c>
      <c r="J67" s="97">
        <v>54</v>
      </c>
      <c r="K67" s="98">
        <v>34089</v>
      </c>
      <c r="L67" s="99">
        <v>6083</v>
      </c>
      <c r="M67" s="85">
        <v>5941.6741070268426</v>
      </c>
      <c r="N67" s="89">
        <f>M67-$D67</f>
        <v>-141.32589297315735</v>
      </c>
      <c r="O67" s="105">
        <f>ABS(N67/$D67)</f>
        <v>2.323292667650129E-2</v>
      </c>
      <c r="Q67" s="96" t="s">
        <v>157</v>
      </c>
      <c r="R67" s="97">
        <v>54</v>
      </c>
      <c r="S67" s="98">
        <v>34089</v>
      </c>
      <c r="T67" s="99">
        <v>6083</v>
      </c>
      <c r="U67" s="85">
        <v>5974.4051422454668</v>
      </c>
      <c r="V67" s="89">
        <f>U67-$D67</f>
        <v>-108.59485775453322</v>
      </c>
      <c r="W67" s="100">
        <f>ABS(V67/$D67)</f>
        <v>1.7852187695961405E-2</v>
      </c>
      <c r="Y67" s="101"/>
      <c r="Z67" s="102">
        <v>54</v>
      </c>
      <c r="AA67" s="103">
        <v>34089</v>
      </c>
      <c r="AB67" s="104">
        <v>6083</v>
      </c>
      <c r="AC67" s="90" t="s">
        <v>165</v>
      </c>
    </row>
    <row r="68" spans="1:31" ht="12.95">
      <c r="A68" s="97"/>
      <c r="B68" s="97">
        <v>55</v>
      </c>
      <c r="C68" s="98">
        <v>34120</v>
      </c>
      <c r="D68" s="99">
        <v>6057</v>
      </c>
      <c r="E68" s="85">
        <v>5896.7650966277915</v>
      </c>
      <c r="F68" s="89">
        <f t="shared" si="16"/>
        <v>-160.23490337220846</v>
      </c>
      <c r="G68" s="105">
        <f t="shared" si="17"/>
        <v>2.6454499483607143E-2</v>
      </c>
      <c r="I68" s="96" t="s">
        <v>160</v>
      </c>
      <c r="J68" s="97">
        <v>55</v>
      </c>
      <c r="K68" s="98">
        <v>34120</v>
      </c>
      <c r="L68" s="99">
        <v>6057</v>
      </c>
      <c r="M68" s="85">
        <v>6011.0425803634944</v>
      </c>
      <c r="N68" s="89">
        <f>M68-$D68</f>
        <v>-45.95741963650562</v>
      </c>
      <c r="O68" s="100">
        <f>ABS(N68/$D68)</f>
        <v>7.5874887958569618E-3</v>
      </c>
      <c r="Q68" s="96" t="s">
        <v>160</v>
      </c>
      <c r="R68" s="97">
        <v>55</v>
      </c>
      <c r="S68" s="98">
        <v>34120</v>
      </c>
      <c r="T68" s="99">
        <v>6057</v>
      </c>
      <c r="U68" s="85">
        <v>6069.9059388234082</v>
      </c>
      <c r="V68" s="89">
        <f>U68-$D68</f>
        <v>12.905938823408178</v>
      </c>
      <c r="W68" s="105">
        <f>ABS(V68/$D68)</f>
        <v>2.1307477007442921E-3</v>
      </c>
      <c r="Y68" s="101"/>
      <c r="Z68" s="102">
        <v>55</v>
      </c>
      <c r="AA68" s="103">
        <v>34120</v>
      </c>
      <c r="AB68" s="104">
        <v>6057</v>
      </c>
      <c r="AC68" s="106" t="s">
        <v>162</v>
      </c>
    </row>
    <row r="69" spans="1:31" ht="12.95">
      <c r="A69" s="97"/>
      <c r="B69" s="97">
        <v>56</v>
      </c>
      <c r="C69" s="98">
        <v>34150</v>
      </c>
      <c r="D69" s="99">
        <v>6198</v>
      </c>
      <c r="E69" s="85">
        <v>6056.2245538650604</v>
      </c>
      <c r="F69" s="89">
        <f t="shared" ref="F69:F72" si="18">E69-$D69</f>
        <v>-141.77544613493956</v>
      </c>
      <c r="G69" s="100">
        <f t="shared" ref="G69:G72" si="19">ABS(F69/$D69)</f>
        <v>2.287438627540167E-2</v>
      </c>
      <c r="I69" s="96" t="s">
        <v>163</v>
      </c>
      <c r="J69" s="97">
        <v>56</v>
      </c>
      <c r="K69" s="98">
        <v>34150</v>
      </c>
      <c r="L69" s="99">
        <v>6198</v>
      </c>
      <c r="M69" s="85">
        <v>6173.5923125620911</v>
      </c>
      <c r="N69" s="89">
        <f t="shared" ref="N69:N72" si="20">M69-$D69</f>
        <v>-24.407687437908862</v>
      </c>
      <c r="O69" s="105">
        <f t="shared" ref="O69:O72" si="21">ABS(N69/$D69)</f>
        <v>3.9379941009856185E-3</v>
      </c>
      <c r="Q69" s="96" t="s">
        <v>163</v>
      </c>
      <c r="R69" s="97">
        <v>56</v>
      </c>
      <c r="S69" s="98">
        <v>34150</v>
      </c>
      <c r="T69" s="99">
        <v>6198</v>
      </c>
      <c r="U69" s="85">
        <v>6234.0474453317102</v>
      </c>
      <c r="V69" s="89">
        <f t="shared" ref="V69:V72" si="22">U69-$D69</f>
        <v>36.047445331710151</v>
      </c>
      <c r="W69" s="105">
        <f t="shared" ref="W69:W72" si="23">ABS(V69/$D69)</f>
        <v>5.8159802084075752E-3</v>
      </c>
      <c r="Y69" s="91" t="s">
        <v>155</v>
      </c>
      <c r="Z69" s="92">
        <v>56</v>
      </c>
      <c r="AA69" s="108">
        <v>34150</v>
      </c>
      <c r="AB69" s="109">
        <v>6198</v>
      </c>
    </row>
    <row r="70" spans="1:31" ht="12.95">
      <c r="A70" s="97"/>
      <c r="B70" s="97">
        <v>57</v>
      </c>
      <c r="C70" s="98">
        <v>34181</v>
      </c>
      <c r="D70" s="99">
        <v>6507</v>
      </c>
      <c r="E70" s="85">
        <v>6099.9177019012286</v>
      </c>
      <c r="F70" s="89">
        <f t="shared" si="18"/>
        <v>-407.08229809877139</v>
      </c>
      <c r="G70" s="105">
        <f t="shared" si="19"/>
        <v>6.2560672829071975E-2</v>
      </c>
      <c r="I70" s="96" t="s">
        <v>161</v>
      </c>
      <c r="J70" s="97">
        <v>57</v>
      </c>
      <c r="K70" s="98">
        <v>34181</v>
      </c>
      <c r="L70" s="99">
        <v>6507</v>
      </c>
      <c r="M70" s="85">
        <v>6218.1322202931506</v>
      </c>
      <c r="N70" s="89">
        <f t="shared" si="20"/>
        <v>-288.86777970684943</v>
      </c>
      <c r="O70" s="105">
        <f t="shared" si="21"/>
        <v>4.4393388613316341E-2</v>
      </c>
      <c r="Q70" s="96" t="s">
        <v>161</v>
      </c>
      <c r="R70" s="97">
        <v>57</v>
      </c>
      <c r="S70" s="98">
        <v>34181</v>
      </c>
      <c r="T70" s="99">
        <v>6507</v>
      </c>
      <c r="U70" s="85">
        <v>6279.0235117689335</v>
      </c>
      <c r="V70" s="89">
        <f t="shared" si="22"/>
        <v>-227.97648823106647</v>
      </c>
      <c r="W70" s="105">
        <f t="shared" si="23"/>
        <v>3.5035575262189408E-2</v>
      </c>
      <c r="Y70" s="96" t="s">
        <v>166</v>
      </c>
      <c r="Z70" s="97">
        <v>57</v>
      </c>
      <c r="AA70" s="98">
        <v>34181</v>
      </c>
      <c r="AB70" s="99">
        <v>6507</v>
      </c>
      <c r="AC70" s="85">
        <v>6265.672943550846</v>
      </c>
      <c r="AD70" s="89">
        <f>AC70-$D70</f>
        <v>-241.32705644915404</v>
      </c>
      <c r="AE70" s="100">
        <f>ABS(AD70/$D70)</f>
        <v>3.7087299285254963E-2</v>
      </c>
    </row>
    <row r="71" spans="1:31" ht="12.95">
      <c r="A71" s="97"/>
      <c r="B71" s="97">
        <v>58</v>
      </c>
      <c r="C71" s="98">
        <v>34212</v>
      </c>
      <c r="D71" s="99">
        <v>6653</v>
      </c>
      <c r="E71" s="85">
        <v>6059.5414727697062</v>
      </c>
      <c r="F71" s="89">
        <f t="shared" si="18"/>
        <v>-593.45852723029384</v>
      </c>
      <c r="G71" s="105">
        <f t="shared" si="19"/>
        <v>8.9201642451569793E-2</v>
      </c>
      <c r="I71" s="97"/>
      <c r="J71" s="97">
        <v>58</v>
      </c>
      <c r="K71" s="98">
        <v>34212</v>
      </c>
      <c r="L71" s="99">
        <v>6653</v>
      </c>
      <c r="M71" s="85">
        <v>6176.9735123292048</v>
      </c>
      <c r="N71" s="89">
        <f t="shared" si="20"/>
        <v>-476.02648767079518</v>
      </c>
      <c r="O71" s="105">
        <f t="shared" si="21"/>
        <v>7.1550651987193029E-2</v>
      </c>
      <c r="Q71" s="97"/>
      <c r="R71" s="97">
        <v>58</v>
      </c>
      <c r="S71" s="98">
        <v>34212</v>
      </c>
      <c r="T71" s="99">
        <v>6653</v>
      </c>
      <c r="U71" s="85">
        <v>6237.461755623538</v>
      </c>
      <c r="V71" s="89">
        <f t="shared" si="22"/>
        <v>-415.53824437646199</v>
      </c>
      <c r="W71" s="100">
        <f t="shared" si="23"/>
        <v>6.2458777149626034E-2</v>
      </c>
      <c r="Y71" s="96" t="s">
        <v>163</v>
      </c>
      <c r="Z71" s="97">
        <v>58</v>
      </c>
      <c r="AA71" s="98">
        <v>34212</v>
      </c>
      <c r="AB71" s="99">
        <v>6653</v>
      </c>
      <c r="AC71" s="85">
        <v>6201.3945675541172</v>
      </c>
      <c r="AD71" s="89">
        <f>AC71-$D71</f>
        <v>-451.6054324458828</v>
      </c>
      <c r="AE71" s="105">
        <f>ABS(AD71/$D71)</f>
        <v>6.7879968802928417E-2</v>
      </c>
    </row>
    <row r="72" spans="1:31" ht="12.95">
      <c r="A72" s="97"/>
      <c r="B72" s="97">
        <v>59</v>
      </c>
      <c r="C72" s="98">
        <v>34242</v>
      </c>
      <c r="D72" s="99">
        <v>6725</v>
      </c>
      <c r="E72" s="85">
        <v>6024</v>
      </c>
      <c r="F72" s="89">
        <f t="shared" si="18"/>
        <v>-701</v>
      </c>
      <c r="G72" s="100">
        <f t="shared" si="19"/>
        <v>0.10423791821561339</v>
      </c>
      <c r="I72" s="97"/>
      <c r="J72" s="97">
        <v>59</v>
      </c>
      <c r="K72" s="98">
        <v>34242</v>
      </c>
      <c r="L72" s="99">
        <v>6725</v>
      </c>
      <c r="M72" s="85">
        <v>6140.7432568100021</v>
      </c>
      <c r="N72" s="89">
        <f t="shared" si="20"/>
        <v>-584.25674318999791</v>
      </c>
      <c r="O72" s="100">
        <f t="shared" si="21"/>
        <v>8.6878326124906757E-2</v>
      </c>
      <c r="Q72" s="97"/>
      <c r="R72" s="97">
        <v>59</v>
      </c>
      <c r="S72" s="98">
        <v>34242</v>
      </c>
      <c r="T72" s="99">
        <v>6725</v>
      </c>
      <c r="U72" s="85">
        <v>6200.8767139771026</v>
      </c>
      <c r="V72" s="89">
        <f t="shared" si="22"/>
        <v>-524.12328602289745</v>
      </c>
      <c r="W72" s="105">
        <f t="shared" si="23"/>
        <v>7.793654810749405E-2</v>
      </c>
      <c r="Y72" s="96" t="s">
        <v>161</v>
      </c>
      <c r="Z72" s="97">
        <v>59</v>
      </c>
      <c r="AA72" s="98">
        <v>34242</v>
      </c>
      <c r="AB72" s="99">
        <v>6725</v>
      </c>
      <c r="AC72" s="85">
        <v>6165.0210734296206</v>
      </c>
      <c r="AD72" s="89">
        <f>AC72-$D72</f>
        <v>-559.97892657037937</v>
      </c>
      <c r="AE72" s="105">
        <f>ABS(AD72/$D72)</f>
        <v>8.3268241869201398E-2</v>
      </c>
    </row>
    <row r="73" spans="1:31">
      <c r="G73" s="105"/>
      <c r="O73" s="105"/>
      <c r="W73" s="105"/>
      <c r="AE73" s="105"/>
    </row>
    <row r="74" spans="1:31" ht="12.95">
      <c r="F74" s="89">
        <f>AVERAGE(F61:F72)</f>
        <v>-246.38138181916574</v>
      </c>
      <c r="G74" s="111">
        <f>AVERAGE(G61:G72)</f>
        <v>3.857202384690412E-2</v>
      </c>
      <c r="U74" s="83"/>
      <c r="AC74" s="83"/>
    </row>
    <row r="75" spans="1:31">
      <c r="U75" s="83"/>
      <c r="AC75" s="83"/>
    </row>
    <row r="76" spans="1:31">
      <c r="F76" s="95" t="str">
        <f ca="1">_xlfn.FORMULATEXT(G76)</f>
        <v>=MAX(G61:G72)</v>
      </c>
      <c r="G76" s="105">
        <f>MAX(G61:G72)</f>
        <v>0.10423791821561339</v>
      </c>
      <c r="I76" s="95"/>
      <c r="U76" s="83"/>
      <c r="AC76" s="83"/>
    </row>
    <row r="77" spans="1:31">
      <c r="F77" s="95" t="str">
        <f ca="1">_xlfn.FORMULATEXT(G77)</f>
        <v>=MIN(G61:G72)</v>
      </c>
      <c r="G77" s="105">
        <f>MIN(G61:G72)</f>
        <v>1.0893817565915861E-2</v>
      </c>
      <c r="U77" s="83"/>
      <c r="AC77" s="83"/>
    </row>
    <row r="80" spans="1:31">
      <c r="A80" s="83" t="s">
        <v>145</v>
      </c>
    </row>
    <row r="83" spans="1:31" ht="12.95">
      <c r="C83" s="84" t="s">
        <v>149</v>
      </c>
      <c r="L83" s="84"/>
      <c r="M83" s="84" t="s">
        <v>149</v>
      </c>
      <c r="T83" s="84" t="s">
        <v>149</v>
      </c>
      <c r="AB83" s="84" t="s">
        <v>149</v>
      </c>
    </row>
    <row r="84" spans="1:31" ht="12.95">
      <c r="C84" s="84" t="s">
        <v>143</v>
      </c>
      <c r="M84" s="84" t="s">
        <v>143</v>
      </c>
      <c r="T84" s="84" t="s">
        <v>143</v>
      </c>
      <c r="AB84" s="84" t="s">
        <v>143</v>
      </c>
    </row>
    <row r="85" spans="1:31" ht="12.95">
      <c r="K85" s="84"/>
      <c r="S85" s="84"/>
      <c r="AA85" s="84"/>
    </row>
    <row r="86" spans="1:31" ht="12.95">
      <c r="C86" s="84"/>
      <c r="F86" s="86" t="s">
        <v>151</v>
      </c>
      <c r="G86" s="86" t="s">
        <v>152</v>
      </c>
      <c r="K86" s="84"/>
      <c r="N86" s="86" t="s">
        <v>151</v>
      </c>
      <c r="O86" s="86" t="s">
        <v>152</v>
      </c>
      <c r="S86" s="84"/>
      <c r="V86" s="86" t="s">
        <v>151</v>
      </c>
      <c r="W86" s="86" t="s">
        <v>152</v>
      </c>
      <c r="AA86" s="84"/>
      <c r="AD86" s="86" t="s">
        <v>151</v>
      </c>
      <c r="AE86" s="86" t="s">
        <v>152</v>
      </c>
    </row>
    <row r="87" spans="1:31">
      <c r="B87" s="87" t="s">
        <v>154</v>
      </c>
      <c r="C87" s="87" t="s">
        <v>147</v>
      </c>
      <c r="D87" s="87" t="s">
        <v>0</v>
      </c>
      <c r="E87" s="85" t="s">
        <v>96</v>
      </c>
      <c r="F87" s="85" t="s">
        <v>96</v>
      </c>
      <c r="G87" s="85" t="s">
        <v>96</v>
      </c>
      <c r="J87" s="87" t="s">
        <v>154</v>
      </c>
      <c r="K87" s="87" t="s">
        <v>147</v>
      </c>
      <c r="L87" s="87" t="s">
        <v>0</v>
      </c>
      <c r="M87" s="85" t="s">
        <v>96</v>
      </c>
      <c r="N87" s="85" t="s">
        <v>96</v>
      </c>
      <c r="O87" s="85" t="s">
        <v>96</v>
      </c>
      <c r="R87" s="87" t="s">
        <v>154</v>
      </c>
      <c r="S87" s="87" t="s">
        <v>147</v>
      </c>
      <c r="T87" s="87" t="s">
        <v>0</v>
      </c>
      <c r="U87" s="85" t="s">
        <v>96</v>
      </c>
      <c r="V87" s="85" t="s">
        <v>96</v>
      </c>
      <c r="W87" s="85" t="s">
        <v>96</v>
      </c>
      <c r="Z87" s="87" t="s">
        <v>154</v>
      </c>
      <c r="AA87" s="87" t="s">
        <v>147</v>
      </c>
      <c r="AB87" s="87" t="s">
        <v>0</v>
      </c>
      <c r="AC87" s="85" t="s">
        <v>96</v>
      </c>
      <c r="AD87" s="85" t="s">
        <v>96</v>
      </c>
      <c r="AE87" s="85" t="s">
        <v>96</v>
      </c>
    </row>
    <row r="88" spans="1:31">
      <c r="B88" s="83">
        <v>44</v>
      </c>
      <c r="C88" s="88">
        <v>33785</v>
      </c>
      <c r="D88" s="89">
        <v>5975</v>
      </c>
      <c r="J88" s="83">
        <f>B88</f>
        <v>44</v>
      </c>
      <c r="K88" s="88">
        <v>33785</v>
      </c>
      <c r="L88" s="89">
        <v>5975</v>
      </c>
      <c r="R88" s="83">
        <v>44</v>
      </c>
      <c r="S88" s="88">
        <v>33785</v>
      </c>
      <c r="T88" s="89">
        <v>5975</v>
      </c>
      <c r="Z88" s="83">
        <v>44</v>
      </c>
      <c r="AA88" s="88">
        <v>33785</v>
      </c>
      <c r="AB88" s="89">
        <v>5975</v>
      </c>
    </row>
    <row r="89" spans="1:31" ht="12.95">
      <c r="B89" s="83">
        <v>45</v>
      </c>
      <c r="C89" s="88">
        <v>33816</v>
      </c>
      <c r="D89" s="89">
        <v>5985</v>
      </c>
      <c r="E89" s="90" t="s">
        <v>155</v>
      </c>
      <c r="J89" s="83">
        <v>45</v>
      </c>
      <c r="K89" s="88">
        <v>33816</v>
      </c>
      <c r="L89" s="89">
        <v>5985</v>
      </c>
      <c r="R89" s="83">
        <v>45</v>
      </c>
      <c r="S89" s="88">
        <v>33816</v>
      </c>
      <c r="T89" s="89">
        <v>5985</v>
      </c>
      <c r="Z89" s="83">
        <v>45</v>
      </c>
      <c r="AA89" s="88">
        <v>33816</v>
      </c>
      <c r="AB89" s="89">
        <v>5985</v>
      </c>
    </row>
    <row r="90" spans="1:31" ht="12.95">
      <c r="B90" s="83">
        <v>46</v>
      </c>
      <c r="C90" s="88">
        <v>33847</v>
      </c>
      <c r="D90" s="89">
        <v>6029</v>
      </c>
      <c r="E90" s="90" t="s">
        <v>156</v>
      </c>
      <c r="J90" s="83">
        <v>46</v>
      </c>
      <c r="K90" s="88">
        <v>33847</v>
      </c>
      <c r="L90" s="89">
        <v>6029</v>
      </c>
      <c r="R90" s="83">
        <v>46</v>
      </c>
      <c r="S90" s="88">
        <v>33847</v>
      </c>
      <c r="T90" s="89">
        <v>6029</v>
      </c>
      <c r="Z90" s="83">
        <v>46</v>
      </c>
      <c r="AA90" s="88">
        <v>33847</v>
      </c>
      <c r="AB90" s="89">
        <v>6029</v>
      </c>
    </row>
    <row r="91" spans="1:31" ht="12.95">
      <c r="A91" s="91" t="s">
        <v>155</v>
      </c>
      <c r="B91" s="92">
        <v>47</v>
      </c>
      <c r="C91" s="93">
        <v>33877</v>
      </c>
      <c r="D91" s="94">
        <v>6024</v>
      </c>
      <c r="I91" s="95"/>
      <c r="J91" s="83">
        <v>47</v>
      </c>
      <c r="K91" s="88">
        <v>33877</v>
      </c>
      <c r="L91" s="89">
        <v>6024</v>
      </c>
      <c r="M91" s="90" t="s">
        <v>155</v>
      </c>
      <c r="Q91" s="95"/>
      <c r="R91" s="83">
        <v>47</v>
      </c>
      <c r="S91" s="88">
        <v>33877</v>
      </c>
      <c r="T91" s="89">
        <v>6024</v>
      </c>
      <c r="Y91" s="95"/>
      <c r="Z91" s="83">
        <v>47</v>
      </c>
      <c r="AA91" s="88">
        <v>33877</v>
      </c>
      <c r="AB91" s="89">
        <v>6024</v>
      </c>
    </row>
    <row r="92" spans="1:31" ht="12.95">
      <c r="A92" s="96" t="s">
        <v>157</v>
      </c>
      <c r="B92" s="97">
        <v>48</v>
      </c>
      <c r="C92" s="98">
        <v>33908</v>
      </c>
      <c r="D92" s="99">
        <v>6036</v>
      </c>
      <c r="E92" s="85">
        <v>6039.9299437211121</v>
      </c>
      <c r="F92" s="89">
        <f t="shared" ref="F92:F103" si="24">E92-$D92</f>
        <v>3.9299437211120676</v>
      </c>
      <c r="G92" s="100">
        <f t="shared" ref="G92:G103" si="25">ABS(F92/$D92)</f>
        <v>6.510841154923903E-4</v>
      </c>
      <c r="I92" s="101" t="s">
        <v>158</v>
      </c>
      <c r="J92" s="102">
        <v>48</v>
      </c>
      <c r="K92" s="103">
        <v>33908</v>
      </c>
      <c r="L92" s="104">
        <v>6036</v>
      </c>
      <c r="M92" s="90" t="s">
        <v>159</v>
      </c>
      <c r="N92" s="89"/>
      <c r="Q92" s="101" t="s">
        <v>158</v>
      </c>
      <c r="R92" s="102">
        <v>48</v>
      </c>
      <c r="S92" s="103">
        <v>33908</v>
      </c>
      <c r="T92" s="104">
        <v>6036</v>
      </c>
      <c r="V92" s="89"/>
      <c r="Y92" s="101" t="s">
        <v>158</v>
      </c>
      <c r="Z92" s="102">
        <v>48</v>
      </c>
      <c r="AA92" s="103">
        <v>33908</v>
      </c>
      <c r="AB92" s="104">
        <v>6036</v>
      </c>
      <c r="AD92" s="89"/>
    </row>
    <row r="93" spans="1:31" ht="12.95">
      <c r="A93" s="96" t="s">
        <v>160</v>
      </c>
      <c r="B93" s="97">
        <v>49</v>
      </c>
      <c r="C93" s="98">
        <v>33938</v>
      </c>
      <c r="D93" s="99">
        <v>6026</v>
      </c>
      <c r="E93" s="85">
        <v>6029.9755514294739</v>
      </c>
      <c r="F93" s="89">
        <f t="shared" si="24"/>
        <v>3.9755514294738532</v>
      </c>
      <c r="G93" s="105">
        <f t="shared" si="25"/>
        <v>6.5973306164517976E-4</v>
      </c>
      <c r="I93" s="101" t="s">
        <v>161</v>
      </c>
      <c r="J93" s="102">
        <v>49</v>
      </c>
      <c r="K93" s="103">
        <v>33938</v>
      </c>
      <c r="L93" s="104">
        <v>6026</v>
      </c>
      <c r="M93" s="106" t="s">
        <v>162</v>
      </c>
      <c r="N93" s="89"/>
      <c r="Q93" s="101" t="s">
        <v>161</v>
      </c>
      <c r="R93" s="102">
        <v>49</v>
      </c>
      <c r="S93" s="103">
        <v>33938</v>
      </c>
      <c r="T93" s="104">
        <v>6026</v>
      </c>
      <c r="U93" s="107"/>
      <c r="V93" s="89"/>
      <c r="Y93" s="101" t="s">
        <v>161</v>
      </c>
      <c r="Z93" s="102">
        <v>49</v>
      </c>
      <c r="AA93" s="103">
        <v>33938</v>
      </c>
      <c r="AB93" s="104">
        <v>6026</v>
      </c>
      <c r="AC93" s="107"/>
      <c r="AD93" s="89"/>
    </row>
    <row r="94" spans="1:31" ht="12.95">
      <c r="A94" s="96" t="s">
        <v>163</v>
      </c>
      <c r="B94" s="97">
        <v>50</v>
      </c>
      <c r="C94" s="98">
        <v>33969</v>
      </c>
      <c r="D94" s="99">
        <v>6021</v>
      </c>
      <c r="E94" s="85">
        <v>6023.0040838116583</v>
      </c>
      <c r="F94" s="89">
        <f t="shared" si="24"/>
        <v>2.0040838116583473</v>
      </c>
      <c r="G94" s="105">
        <f t="shared" si="25"/>
        <v>3.3284899711980524E-4</v>
      </c>
      <c r="I94" s="91" t="s">
        <v>155</v>
      </c>
      <c r="J94" s="92">
        <v>50</v>
      </c>
      <c r="K94" s="108">
        <v>33969</v>
      </c>
      <c r="L94" s="109">
        <v>6021</v>
      </c>
      <c r="N94" s="89"/>
      <c r="Q94" s="110"/>
      <c r="R94" s="102">
        <v>50</v>
      </c>
      <c r="S94" s="103">
        <v>33969</v>
      </c>
      <c r="T94" s="104">
        <v>6021</v>
      </c>
      <c r="U94" s="90" t="s">
        <v>155</v>
      </c>
      <c r="V94" s="89"/>
      <c r="Y94" s="110"/>
      <c r="Z94" s="102">
        <v>50</v>
      </c>
      <c r="AA94" s="103">
        <v>33969</v>
      </c>
      <c r="AB94" s="104">
        <v>6021</v>
      </c>
      <c r="AD94" s="89"/>
    </row>
    <row r="95" spans="1:31" ht="12.95">
      <c r="A95" s="96" t="s">
        <v>161</v>
      </c>
      <c r="B95" s="97">
        <v>51</v>
      </c>
      <c r="C95" s="98">
        <v>34000</v>
      </c>
      <c r="D95" s="99">
        <v>5996</v>
      </c>
      <c r="E95" s="85">
        <v>6026.9232847453713</v>
      </c>
      <c r="F95" s="89">
        <f t="shared" si="24"/>
        <v>30.923284745371348</v>
      </c>
      <c r="G95" s="105">
        <f t="shared" si="25"/>
        <v>5.1573190035642674E-3</v>
      </c>
      <c r="I95" s="96"/>
      <c r="J95" s="97">
        <v>51</v>
      </c>
      <c r="K95" s="98">
        <v>34000</v>
      </c>
      <c r="L95" s="99">
        <v>5996</v>
      </c>
      <c r="M95" s="85">
        <v>6024.9307405867166</v>
      </c>
      <c r="N95" s="89">
        <f>M95-$D95</f>
        <v>28.930740586716638</v>
      </c>
      <c r="O95" s="100">
        <f>ABS(N95/$D95)</f>
        <v>4.8250067689654163E-3</v>
      </c>
      <c r="Q95" s="101"/>
      <c r="R95" s="102">
        <v>51</v>
      </c>
      <c r="S95" s="103">
        <v>34000</v>
      </c>
      <c r="T95" s="104">
        <v>5996</v>
      </c>
      <c r="U95" s="90" t="s">
        <v>164</v>
      </c>
      <c r="V95" s="89"/>
      <c r="W95" s="105"/>
      <c r="Y95" s="101"/>
      <c r="Z95" s="102">
        <v>51</v>
      </c>
      <c r="AA95" s="103">
        <v>34000</v>
      </c>
      <c r="AB95" s="104">
        <v>5996</v>
      </c>
      <c r="AD95" s="89"/>
      <c r="AE95" s="105"/>
    </row>
    <row r="96" spans="1:31" ht="12.95">
      <c r="A96" s="97"/>
      <c r="B96" s="97">
        <v>52</v>
      </c>
      <c r="C96" s="98">
        <v>34028</v>
      </c>
      <c r="D96" s="99">
        <v>6026</v>
      </c>
      <c r="E96" s="85">
        <v>6072.2670400207644</v>
      </c>
      <c r="F96" s="89">
        <f t="shared" si="24"/>
        <v>46.267040020764398</v>
      </c>
      <c r="G96" s="100">
        <f t="shared" si="25"/>
        <v>7.6779024262801851E-3</v>
      </c>
      <c r="I96" s="97"/>
      <c r="J96" s="97">
        <v>52</v>
      </c>
      <c r="K96" s="98">
        <v>34028</v>
      </c>
      <c r="L96" s="99">
        <v>6026</v>
      </c>
      <c r="M96" s="85">
        <v>6070.2722805410112</v>
      </c>
      <c r="N96" s="89">
        <f>M96-$D96</f>
        <v>44.272280541011241</v>
      </c>
      <c r="O96" s="105">
        <f>ABS(N96/$D96)</f>
        <v>7.3468769566895518E-3</v>
      </c>
      <c r="Q96" s="102"/>
      <c r="R96" s="102">
        <v>52</v>
      </c>
      <c r="S96" s="103">
        <v>34028</v>
      </c>
      <c r="T96" s="104">
        <v>6026</v>
      </c>
      <c r="U96" s="106" t="s">
        <v>162</v>
      </c>
      <c r="V96" s="89"/>
      <c r="W96" s="105"/>
      <c r="Y96" s="102"/>
      <c r="Z96" s="102">
        <v>52</v>
      </c>
      <c r="AA96" s="103">
        <v>34028</v>
      </c>
      <c r="AB96" s="104">
        <v>6026</v>
      </c>
      <c r="AD96" s="89"/>
      <c r="AE96" s="105"/>
    </row>
    <row r="97" spans="1:31" ht="12.95">
      <c r="A97" s="97"/>
      <c r="B97" s="97">
        <v>53</v>
      </c>
      <c r="C97" s="98">
        <v>34059</v>
      </c>
      <c r="D97" s="99">
        <v>6094</v>
      </c>
      <c r="E97" s="85">
        <v>6153.6515105306607</v>
      </c>
      <c r="F97" s="89">
        <f t="shared" si="24"/>
        <v>59.651510530660744</v>
      </c>
      <c r="G97" s="105">
        <f t="shared" si="25"/>
        <v>9.7885642485495156E-3</v>
      </c>
      <c r="I97" s="97"/>
      <c r="J97" s="97">
        <v>53</v>
      </c>
      <c r="K97" s="98">
        <v>34059</v>
      </c>
      <c r="L97" s="99">
        <v>6094</v>
      </c>
      <c r="M97" s="85">
        <v>6151.6427991235196</v>
      </c>
      <c r="N97" s="89">
        <f>M97-$D97</f>
        <v>57.64279912351958</v>
      </c>
      <c r="O97" s="105">
        <f>ABS(N97/$D97)</f>
        <v>9.4589430790153559E-3</v>
      </c>
      <c r="Q97" s="91" t="s">
        <v>155</v>
      </c>
      <c r="R97" s="92">
        <v>53</v>
      </c>
      <c r="S97" s="108">
        <v>34059</v>
      </c>
      <c r="T97" s="109">
        <v>6094</v>
      </c>
      <c r="V97" s="89"/>
      <c r="W97" s="105"/>
      <c r="Y97" s="110"/>
      <c r="Z97" s="102">
        <v>53</v>
      </c>
      <c r="AA97" s="103">
        <v>34059</v>
      </c>
      <c r="AB97" s="104">
        <v>6094</v>
      </c>
      <c r="AC97" s="90" t="s">
        <v>155</v>
      </c>
      <c r="AD97" s="89"/>
      <c r="AE97" s="105"/>
    </row>
    <row r="98" spans="1:31" ht="12.95">
      <c r="A98" s="97"/>
      <c r="B98" s="97">
        <v>54</v>
      </c>
      <c r="C98" s="98">
        <v>34089</v>
      </c>
      <c r="D98" s="99">
        <v>6083</v>
      </c>
      <c r="E98" s="85">
        <v>6096.9002966708094</v>
      </c>
      <c r="F98" s="89">
        <f t="shared" si="24"/>
        <v>13.900296670809439</v>
      </c>
      <c r="G98" s="105">
        <f t="shared" si="25"/>
        <v>2.2851054859131083E-3</v>
      </c>
      <c r="I98" s="96" t="s">
        <v>157</v>
      </c>
      <c r="J98" s="97">
        <v>54</v>
      </c>
      <c r="K98" s="98">
        <v>34089</v>
      </c>
      <c r="L98" s="99">
        <v>6083</v>
      </c>
      <c r="M98" s="85">
        <v>6094.9226164030733</v>
      </c>
      <c r="N98" s="89">
        <f>M98-$D98</f>
        <v>11.922616403073334</v>
      </c>
      <c r="O98" s="105">
        <f>ABS(N98/$D98)</f>
        <v>1.9599895451378161E-3</v>
      </c>
      <c r="Q98" s="96" t="s">
        <v>157</v>
      </c>
      <c r="R98" s="97">
        <v>54</v>
      </c>
      <c r="S98" s="98">
        <v>34089</v>
      </c>
      <c r="T98" s="99">
        <v>6083</v>
      </c>
      <c r="U98" s="85">
        <v>6038.1702994707612</v>
      </c>
      <c r="V98" s="89">
        <f>U98-$D98</f>
        <v>-44.829700529238835</v>
      </c>
      <c r="W98" s="100">
        <f>ABS(V98/$D98)</f>
        <v>7.3696696579383259E-3</v>
      </c>
      <c r="Y98" s="101"/>
      <c r="Z98" s="102">
        <v>54</v>
      </c>
      <c r="AA98" s="103">
        <v>34089</v>
      </c>
      <c r="AB98" s="104">
        <v>6083</v>
      </c>
      <c r="AC98" s="90" t="s">
        <v>165</v>
      </c>
    </row>
    <row r="99" spans="1:31" ht="12.95">
      <c r="A99" s="97"/>
      <c r="B99" s="97">
        <v>55</v>
      </c>
      <c r="C99" s="98">
        <v>34120</v>
      </c>
      <c r="D99" s="99">
        <v>6057</v>
      </c>
      <c r="E99" s="85">
        <v>6206.8404385750482</v>
      </c>
      <c r="F99" s="89">
        <f t="shared" si="24"/>
        <v>149.84043857504821</v>
      </c>
      <c r="G99" s="105">
        <f t="shared" si="25"/>
        <v>2.4738391707949184E-2</v>
      </c>
      <c r="I99" s="96" t="s">
        <v>160</v>
      </c>
      <c r="J99" s="97">
        <v>55</v>
      </c>
      <c r="K99" s="98">
        <v>34120</v>
      </c>
      <c r="L99" s="99">
        <v>6057</v>
      </c>
      <c r="M99" s="85">
        <v>6204.8396690805303</v>
      </c>
      <c r="N99" s="89">
        <f>M99-$D99</f>
        <v>147.83966908053026</v>
      </c>
      <c r="O99" s="100">
        <f>ABS(N99/$D99)</f>
        <v>2.4408068198865818E-2</v>
      </c>
      <c r="Q99" s="96" t="s">
        <v>160</v>
      </c>
      <c r="R99" s="97">
        <v>55</v>
      </c>
      <c r="S99" s="98">
        <v>34120</v>
      </c>
      <c r="T99" s="99">
        <v>6057</v>
      </c>
      <c r="U99" s="85">
        <v>6147.4247743102223</v>
      </c>
      <c r="V99" s="89">
        <f>U99-$D99</f>
        <v>90.424774310222347</v>
      </c>
      <c r="W99" s="105">
        <f>ABS(V99/$D99)</f>
        <v>1.4928970498633374E-2</v>
      </c>
      <c r="Y99" s="101"/>
      <c r="Z99" s="102">
        <v>55</v>
      </c>
      <c r="AA99" s="103">
        <v>34120</v>
      </c>
      <c r="AB99" s="104">
        <v>6057</v>
      </c>
      <c r="AC99" s="106" t="s">
        <v>162</v>
      </c>
    </row>
    <row r="100" spans="1:31" ht="12.95">
      <c r="A100" s="97"/>
      <c r="B100" s="97">
        <v>56</v>
      </c>
      <c r="C100" s="98">
        <v>34150</v>
      </c>
      <c r="D100" s="99">
        <v>6198</v>
      </c>
      <c r="E100" s="85">
        <v>6414.4924519857386</v>
      </c>
      <c r="F100" s="89">
        <f t="shared" si="24"/>
        <v>216.49245198573863</v>
      </c>
      <c r="G100" s="100">
        <f t="shared" si="25"/>
        <v>3.4929404967043984E-2</v>
      </c>
      <c r="I100" s="96" t="s">
        <v>163</v>
      </c>
      <c r="J100" s="97">
        <v>56</v>
      </c>
      <c r="K100" s="98">
        <v>34150</v>
      </c>
      <c r="L100" s="99">
        <v>6198</v>
      </c>
      <c r="M100" s="85">
        <v>6412.4375779758766</v>
      </c>
      <c r="N100" s="89">
        <f t="shared" ref="N100:N103" si="26">M100-$D100</f>
        <v>214.43757797587659</v>
      </c>
      <c r="O100" s="105">
        <f t="shared" ref="O100:O103" si="27">ABS(N100/$D100)</f>
        <v>3.4597866727311487E-2</v>
      </c>
      <c r="Q100" s="96" t="s">
        <v>163</v>
      </c>
      <c r="R100" s="97">
        <v>56</v>
      </c>
      <c r="S100" s="98">
        <v>34150</v>
      </c>
      <c r="T100" s="99">
        <v>6198</v>
      </c>
      <c r="U100" s="85">
        <v>6353.4700780386029</v>
      </c>
      <c r="V100" s="89">
        <f t="shared" ref="V100:V103" si="28">U100-$D100</f>
        <v>155.47007803860288</v>
      </c>
      <c r="W100" s="105">
        <f t="shared" ref="W100:W103" si="29">ABS(V100/$D100)</f>
        <v>2.5083910622556129E-2</v>
      </c>
      <c r="Y100" s="91" t="s">
        <v>155</v>
      </c>
      <c r="Z100" s="92">
        <v>56</v>
      </c>
      <c r="AA100" s="108">
        <v>34150</v>
      </c>
      <c r="AB100" s="109">
        <v>6198</v>
      </c>
    </row>
    <row r="101" spans="1:31" ht="12.95">
      <c r="A101" s="97"/>
      <c r="B101" s="97">
        <v>57</v>
      </c>
      <c r="C101" s="98">
        <v>34181</v>
      </c>
      <c r="D101" s="99">
        <v>6507</v>
      </c>
      <c r="E101" s="85">
        <v>6500.8650934525758</v>
      </c>
      <c r="F101" s="89">
        <f t="shared" si="24"/>
        <v>-6.1349065474241797</v>
      </c>
      <c r="G101" s="105">
        <f t="shared" si="25"/>
        <v>9.4281643574983549E-4</v>
      </c>
      <c r="I101" s="96" t="s">
        <v>161</v>
      </c>
      <c r="J101" s="97">
        <v>57</v>
      </c>
      <c r="K101" s="98">
        <v>34181</v>
      </c>
      <c r="L101" s="99">
        <v>6507</v>
      </c>
      <c r="M101" s="85">
        <v>6498.7953943790935</v>
      </c>
      <c r="N101" s="89">
        <f t="shared" si="26"/>
        <v>-8.2046056209064773</v>
      </c>
      <c r="O101" s="105">
        <f t="shared" si="27"/>
        <v>1.2608891379908525E-3</v>
      </c>
      <c r="Q101" s="96" t="s">
        <v>161</v>
      </c>
      <c r="R101" s="97">
        <v>57</v>
      </c>
      <c r="S101" s="98">
        <v>34181</v>
      </c>
      <c r="T101" s="99">
        <v>6507</v>
      </c>
      <c r="U101" s="85">
        <v>6439.4024683894722</v>
      </c>
      <c r="V101" s="89">
        <f t="shared" si="28"/>
        <v>-67.597531610527767</v>
      </c>
      <c r="W101" s="105">
        <f t="shared" si="29"/>
        <v>1.0388432704860576E-2</v>
      </c>
      <c r="Y101" s="96" t="s">
        <v>166</v>
      </c>
      <c r="Z101" s="97">
        <v>57</v>
      </c>
      <c r="AA101" s="98">
        <v>34181</v>
      </c>
      <c r="AB101" s="99">
        <v>6507</v>
      </c>
      <c r="AC101" s="85">
        <v>6282.810738226759</v>
      </c>
      <c r="AD101" s="89">
        <f>AC101-$D101</f>
        <v>-224.18926177324101</v>
      </c>
      <c r="AE101" s="100">
        <f>ABS(AD101/$D101)</f>
        <v>3.4453551832371448E-2</v>
      </c>
    </row>
    <row r="102" spans="1:31" ht="12.95">
      <c r="A102" s="97"/>
      <c r="B102" s="97">
        <v>58</v>
      </c>
      <c r="C102" s="98">
        <v>34212</v>
      </c>
      <c r="D102" s="99">
        <v>6653</v>
      </c>
      <c r="E102" s="85">
        <v>6497.6642824301825</v>
      </c>
      <c r="F102" s="89">
        <f t="shared" si="24"/>
        <v>-155.33571756981746</v>
      </c>
      <c r="G102" s="105">
        <f t="shared" si="25"/>
        <v>2.3348221489526148E-2</v>
      </c>
      <c r="I102" s="97"/>
      <c r="J102" s="97">
        <v>58</v>
      </c>
      <c r="K102" s="98">
        <v>34212</v>
      </c>
      <c r="L102" s="99">
        <v>6653</v>
      </c>
      <c r="M102" s="85">
        <v>6495.6082829913694</v>
      </c>
      <c r="N102" s="89">
        <f t="shared" si="26"/>
        <v>-157.39171700863062</v>
      </c>
      <c r="O102" s="105">
        <f t="shared" si="27"/>
        <v>2.3657254923888565E-2</v>
      </c>
      <c r="Q102" s="97"/>
      <c r="R102" s="97">
        <v>58</v>
      </c>
      <c r="S102" s="98">
        <v>34212</v>
      </c>
      <c r="T102" s="99">
        <v>6653</v>
      </c>
      <c r="U102" s="85">
        <v>6436.6084872873907</v>
      </c>
      <c r="V102" s="89">
        <f t="shared" si="28"/>
        <v>-216.39151271260926</v>
      </c>
      <c r="W102" s="100">
        <f t="shared" si="29"/>
        <v>3.2525403985060763E-2</v>
      </c>
      <c r="Y102" s="96" t="s">
        <v>163</v>
      </c>
      <c r="Z102" s="97">
        <v>58</v>
      </c>
      <c r="AA102" s="98">
        <v>34212</v>
      </c>
      <c r="AB102" s="99">
        <v>6653</v>
      </c>
      <c r="AC102" s="85">
        <v>6281.053260219659</v>
      </c>
      <c r="AD102" s="89">
        <f>AC102-$D102</f>
        <v>-371.94673978034098</v>
      </c>
      <c r="AE102" s="105">
        <f>ABS(AD102/$D102)</f>
        <v>5.5906619537102208E-2</v>
      </c>
    </row>
    <row r="103" spans="1:31" ht="12.95">
      <c r="A103" s="97"/>
      <c r="B103" s="97">
        <v>59</v>
      </c>
      <c r="C103" s="98">
        <v>34242</v>
      </c>
      <c r="D103" s="99">
        <v>6725</v>
      </c>
      <c r="E103" s="85">
        <v>6499.148788178406</v>
      </c>
      <c r="F103" s="89">
        <f t="shared" si="24"/>
        <v>-225.85121182159401</v>
      </c>
      <c r="G103" s="100">
        <f t="shared" si="25"/>
        <v>3.3583823319196134E-2</v>
      </c>
      <c r="I103" s="97"/>
      <c r="J103" s="97">
        <v>59</v>
      </c>
      <c r="K103" s="98">
        <v>34242</v>
      </c>
      <c r="L103" s="99">
        <v>6725</v>
      </c>
      <c r="M103" s="85">
        <v>6497.1048479438068</v>
      </c>
      <c r="N103" s="89">
        <f t="shared" si="26"/>
        <v>-227.89515205619318</v>
      </c>
      <c r="O103" s="100">
        <f t="shared" si="27"/>
        <v>3.3887754952593781E-2</v>
      </c>
      <c r="Q103" s="97"/>
      <c r="R103" s="97">
        <v>59</v>
      </c>
      <c r="S103" s="98">
        <v>34242</v>
      </c>
      <c r="T103" s="99">
        <v>6725</v>
      </c>
      <c r="U103" s="85">
        <v>6438.451108066306</v>
      </c>
      <c r="V103" s="89">
        <f t="shared" si="28"/>
        <v>-286.54889193369399</v>
      </c>
      <c r="W103" s="105">
        <f t="shared" si="29"/>
        <v>4.260950065928535E-2</v>
      </c>
      <c r="Y103" s="96" t="s">
        <v>161</v>
      </c>
      <c r="Z103" s="97">
        <v>59</v>
      </c>
      <c r="AA103" s="98">
        <v>34242</v>
      </c>
      <c r="AB103" s="99">
        <v>6725</v>
      </c>
      <c r="AC103" s="85">
        <v>6283.8082704742228</v>
      </c>
      <c r="AD103" s="89">
        <f>AC103-$D103</f>
        <v>-441.19172952577719</v>
      </c>
      <c r="AE103" s="105">
        <f>ABS(AD103/$D103)</f>
        <v>6.5604718145096982E-2</v>
      </c>
    </row>
    <row r="104" spans="1:31">
      <c r="G104" s="105"/>
      <c r="O104" s="105"/>
      <c r="W104" s="105"/>
      <c r="AE104" s="105"/>
    </row>
    <row r="105" spans="1:31" ht="12.95">
      <c r="F105" s="89">
        <f>AVERAGE(F92:F103)</f>
        <v>11.638563795983449</v>
      </c>
      <c r="G105" s="111">
        <f>AVERAGE(G92:G103)</f>
        <v>1.2007934604835811E-2</v>
      </c>
      <c r="U105" s="83"/>
      <c r="AC105" s="83"/>
    </row>
    <row r="106" spans="1:31">
      <c r="U106" s="83"/>
      <c r="AC106" s="83"/>
    </row>
    <row r="107" spans="1:31">
      <c r="F107" s="95" t="str">
        <f ca="1">_xlfn.FORMULATEXT(G107)</f>
        <v>=MAX(G92:G103)</v>
      </c>
      <c r="G107" s="105">
        <f>MAX(G92:G103)</f>
        <v>3.4929404967043984E-2</v>
      </c>
      <c r="I107" s="95"/>
      <c r="U107" s="83"/>
      <c r="AC107" s="83"/>
    </row>
    <row r="108" spans="1:31">
      <c r="F108" s="95" t="str">
        <f ca="1">_xlfn.FORMULATEXT(G108)</f>
        <v>=MIN(G92:G103)</v>
      </c>
      <c r="G108" s="105">
        <f>MIN(G92:G103)</f>
        <v>3.3284899711980524E-4</v>
      </c>
      <c r="U108" s="83"/>
      <c r="AC108" s="83"/>
    </row>
    <row r="112" spans="1:31" ht="12.95">
      <c r="C112" s="84" t="s">
        <v>149</v>
      </c>
      <c r="L112" s="84"/>
      <c r="M112" s="84" t="s">
        <v>149</v>
      </c>
      <c r="T112" s="84" t="s">
        <v>149</v>
      </c>
      <c r="AB112" s="84" t="s">
        <v>149</v>
      </c>
    </row>
    <row r="113" spans="1:31" ht="12.95">
      <c r="C113" s="84" t="s">
        <v>130</v>
      </c>
      <c r="M113" s="84" t="s">
        <v>130</v>
      </c>
      <c r="T113" s="84" t="s">
        <v>130</v>
      </c>
      <c r="AB113" s="84" t="s">
        <v>130</v>
      </c>
    </row>
    <row r="114" spans="1:31" ht="12.95">
      <c r="K114" s="84"/>
      <c r="S114" s="84"/>
      <c r="AA114" s="84"/>
    </row>
    <row r="115" spans="1:31" ht="12.95">
      <c r="C115" s="84"/>
      <c r="F115" s="86" t="s">
        <v>151</v>
      </c>
      <c r="G115" s="86" t="s">
        <v>152</v>
      </c>
      <c r="K115" s="84"/>
      <c r="N115" s="86" t="s">
        <v>151</v>
      </c>
      <c r="O115" s="86" t="s">
        <v>152</v>
      </c>
      <c r="S115" s="84"/>
      <c r="V115" s="86" t="s">
        <v>151</v>
      </c>
      <c r="W115" s="86" t="s">
        <v>152</v>
      </c>
      <c r="AA115" s="84"/>
      <c r="AD115" s="86" t="s">
        <v>151</v>
      </c>
      <c r="AE115" s="86" t="s">
        <v>152</v>
      </c>
    </row>
    <row r="116" spans="1:31">
      <c r="B116" s="87" t="s">
        <v>154</v>
      </c>
      <c r="C116" s="87" t="s">
        <v>147</v>
      </c>
      <c r="D116" s="87" t="s">
        <v>0</v>
      </c>
      <c r="E116" s="85" t="s">
        <v>96</v>
      </c>
      <c r="F116" s="85" t="s">
        <v>96</v>
      </c>
      <c r="G116" s="85" t="s">
        <v>96</v>
      </c>
      <c r="J116" s="87" t="s">
        <v>154</v>
      </c>
      <c r="K116" s="87" t="s">
        <v>147</v>
      </c>
      <c r="L116" s="87" t="s">
        <v>0</v>
      </c>
      <c r="M116" s="85" t="s">
        <v>96</v>
      </c>
      <c r="N116" s="85" t="s">
        <v>96</v>
      </c>
      <c r="O116" s="85" t="s">
        <v>96</v>
      </c>
      <c r="R116" s="87" t="s">
        <v>154</v>
      </c>
      <c r="S116" s="87" t="s">
        <v>147</v>
      </c>
      <c r="T116" s="87" t="s">
        <v>0</v>
      </c>
      <c r="U116" s="85" t="s">
        <v>96</v>
      </c>
      <c r="V116" s="85" t="s">
        <v>96</v>
      </c>
      <c r="W116" s="85" t="s">
        <v>96</v>
      </c>
      <c r="Z116" s="87" t="s">
        <v>154</v>
      </c>
      <c r="AA116" s="87" t="s">
        <v>147</v>
      </c>
      <c r="AB116" s="87" t="s">
        <v>0</v>
      </c>
      <c r="AC116" s="85" t="s">
        <v>96</v>
      </c>
      <c r="AD116" s="85" t="s">
        <v>96</v>
      </c>
      <c r="AE116" s="85" t="s">
        <v>96</v>
      </c>
    </row>
    <row r="117" spans="1:31">
      <c r="B117" s="83">
        <v>44</v>
      </c>
      <c r="C117" s="88">
        <v>33785</v>
      </c>
      <c r="D117" s="89">
        <v>5975</v>
      </c>
      <c r="J117" s="83">
        <f>B117</f>
        <v>44</v>
      </c>
      <c r="K117" s="88">
        <v>33785</v>
      </c>
      <c r="L117" s="89">
        <v>5975</v>
      </c>
      <c r="R117" s="83">
        <v>44</v>
      </c>
      <c r="S117" s="88">
        <v>33785</v>
      </c>
      <c r="T117" s="89">
        <v>5975</v>
      </c>
      <c r="Z117" s="83">
        <v>44</v>
      </c>
      <c r="AA117" s="88">
        <v>33785</v>
      </c>
      <c r="AB117" s="89">
        <v>5975</v>
      </c>
    </row>
    <row r="118" spans="1:31" ht="12.95">
      <c r="B118" s="83">
        <v>45</v>
      </c>
      <c r="C118" s="88">
        <v>33816</v>
      </c>
      <c r="D118" s="89">
        <v>5985</v>
      </c>
      <c r="E118" s="90" t="s">
        <v>155</v>
      </c>
      <c r="J118" s="83">
        <v>45</v>
      </c>
      <c r="K118" s="88">
        <v>33816</v>
      </c>
      <c r="L118" s="89">
        <v>5985</v>
      </c>
      <c r="R118" s="83">
        <v>45</v>
      </c>
      <c r="S118" s="88">
        <v>33816</v>
      </c>
      <c r="T118" s="89">
        <v>5985</v>
      </c>
      <c r="Z118" s="83">
        <v>45</v>
      </c>
      <c r="AA118" s="88">
        <v>33816</v>
      </c>
      <c r="AB118" s="89">
        <v>5985</v>
      </c>
    </row>
    <row r="119" spans="1:31" ht="12.95">
      <c r="B119" s="83">
        <v>46</v>
      </c>
      <c r="C119" s="88">
        <v>33847</v>
      </c>
      <c r="D119" s="89">
        <v>6029</v>
      </c>
      <c r="E119" s="90" t="s">
        <v>156</v>
      </c>
      <c r="J119" s="83">
        <v>46</v>
      </c>
      <c r="K119" s="88">
        <v>33847</v>
      </c>
      <c r="L119" s="89">
        <v>6029</v>
      </c>
      <c r="R119" s="83">
        <v>46</v>
      </c>
      <c r="S119" s="88">
        <v>33847</v>
      </c>
      <c r="T119" s="89">
        <v>6029</v>
      </c>
      <c r="Z119" s="83">
        <v>46</v>
      </c>
      <c r="AA119" s="88">
        <v>33847</v>
      </c>
      <c r="AB119" s="89">
        <v>6029</v>
      </c>
    </row>
    <row r="120" spans="1:31" ht="12.95">
      <c r="A120" s="91" t="s">
        <v>155</v>
      </c>
      <c r="B120" s="92">
        <v>47</v>
      </c>
      <c r="C120" s="93">
        <v>33877</v>
      </c>
      <c r="D120" s="94">
        <v>6024</v>
      </c>
      <c r="I120" s="95"/>
      <c r="J120" s="83">
        <v>47</v>
      </c>
      <c r="K120" s="88">
        <v>33877</v>
      </c>
      <c r="L120" s="89">
        <v>6024</v>
      </c>
      <c r="M120" s="90" t="s">
        <v>155</v>
      </c>
      <c r="Q120" s="95"/>
      <c r="R120" s="83">
        <v>47</v>
      </c>
      <c r="S120" s="88">
        <v>33877</v>
      </c>
      <c r="T120" s="89">
        <v>6024</v>
      </c>
      <c r="Y120" s="95"/>
      <c r="Z120" s="83">
        <v>47</v>
      </c>
      <c r="AA120" s="88">
        <v>33877</v>
      </c>
      <c r="AB120" s="89">
        <v>6024</v>
      </c>
    </row>
    <row r="121" spans="1:31" ht="12.95">
      <c r="A121" s="96" t="s">
        <v>157</v>
      </c>
      <c r="B121" s="97">
        <v>48</v>
      </c>
      <c r="C121" s="98">
        <v>33908</v>
      </c>
      <c r="D121" s="99">
        <v>6036</v>
      </c>
      <c r="E121" s="85">
        <v>6015.0095268005725</v>
      </c>
      <c r="F121" s="89">
        <f t="shared" ref="F121:F132" si="30">E121-$D121</f>
        <v>-20.99047319942747</v>
      </c>
      <c r="G121" s="100">
        <f t="shared" ref="G121:G132" si="31">ABS(F121/$D121)</f>
        <v>3.4775469183942129E-3</v>
      </c>
      <c r="I121" s="101" t="s">
        <v>158</v>
      </c>
      <c r="J121" s="102">
        <v>48</v>
      </c>
      <c r="K121" s="103">
        <v>33908</v>
      </c>
      <c r="L121" s="104">
        <v>6036</v>
      </c>
      <c r="M121" s="90" t="s">
        <v>159</v>
      </c>
      <c r="N121" s="89"/>
      <c r="Q121" s="101" t="s">
        <v>158</v>
      </c>
      <c r="R121" s="102">
        <v>48</v>
      </c>
      <c r="S121" s="103">
        <v>33908</v>
      </c>
      <c r="T121" s="104">
        <v>6036</v>
      </c>
      <c r="V121" s="89"/>
      <c r="Y121" s="101" t="s">
        <v>158</v>
      </c>
      <c r="Z121" s="102">
        <v>48</v>
      </c>
      <c r="AA121" s="103">
        <v>33908</v>
      </c>
      <c r="AB121" s="104">
        <v>6036</v>
      </c>
      <c r="AD121" s="89"/>
    </row>
    <row r="122" spans="1:31" ht="12.95">
      <c r="A122" s="96" t="s">
        <v>160</v>
      </c>
      <c r="B122" s="97">
        <v>49</v>
      </c>
      <c r="C122" s="98">
        <v>33938</v>
      </c>
      <c r="D122" s="99">
        <v>6026</v>
      </c>
      <c r="E122" s="85">
        <v>5980.3956521285054</v>
      </c>
      <c r="F122" s="89">
        <f t="shared" si="30"/>
        <v>-45.60434787149461</v>
      </c>
      <c r="G122" s="105">
        <f t="shared" si="31"/>
        <v>7.5679302806994043E-3</v>
      </c>
      <c r="I122" s="101" t="s">
        <v>161</v>
      </c>
      <c r="J122" s="102">
        <v>49</v>
      </c>
      <c r="K122" s="103">
        <v>33938</v>
      </c>
      <c r="L122" s="104">
        <v>6026</v>
      </c>
      <c r="M122" s="106" t="s">
        <v>162</v>
      </c>
      <c r="N122" s="89"/>
      <c r="Q122" s="101" t="s">
        <v>161</v>
      </c>
      <c r="R122" s="102">
        <v>49</v>
      </c>
      <c r="S122" s="103">
        <v>33938</v>
      </c>
      <c r="T122" s="104">
        <v>6026</v>
      </c>
      <c r="U122" s="107"/>
      <c r="V122" s="89"/>
      <c r="Y122" s="101" t="s">
        <v>161</v>
      </c>
      <c r="Z122" s="102">
        <v>49</v>
      </c>
      <c r="AA122" s="103">
        <v>33938</v>
      </c>
      <c r="AB122" s="104">
        <v>6026</v>
      </c>
      <c r="AC122" s="107"/>
      <c r="AD122" s="89"/>
    </row>
    <row r="123" spans="1:31" ht="12.95">
      <c r="A123" s="96" t="s">
        <v>163</v>
      </c>
      <c r="B123" s="97">
        <v>50</v>
      </c>
      <c r="C123" s="98">
        <v>33969</v>
      </c>
      <c r="D123" s="99">
        <v>6021</v>
      </c>
      <c r="E123" s="85">
        <v>5948.9860703179129</v>
      </c>
      <c r="F123" s="89">
        <f t="shared" si="30"/>
        <v>-72.01392968208711</v>
      </c>
      <c r="G123" s="105">
        <f t="shared" si="31"/>
        <v>1.1960460003668346E-2</v>
      </c>
      <c r="I123" s="91" t="s">
        <v>155</v>
      </c>
      <c r="J123" s="92">
        <v>50</v>
      </c>
      <c r="K123" s="108">
        <v>33969</v>
      </c>
      <c r="L123" s="109">
        <v>6021</v>
      </c>
      <c r="N123" s="89"/>
      <c r="Q123" s="110"/>
      <c r="R123" s="102">
        <v>50</v>
      </c>
      <c r="S123" s="103">
        <v>33969</v>
      </c>
      <c r="T123" s="104">
        <v>6021</v>
      </c>
      <c r="U123" s="90" t="s">
        <v>155</v>
      </c>
      <c r="V123" s="89"/>
      <c r="Y123" s="110"/>
      <c r="Z123" s="102">
        <v>50</v>
      </c>
      <c r="AA123" s="103">
        <v>33969</v>
      </c>
      <c r="AB123" s="104">
        <v>6021</v>
      </c>
      <c r="AD123" s="89"/>
    </row>
    <row r="124" spans="1:31" ht="12.95">
      <c r="A124" s="96" t="s">
        <v>161</v>
      </c>
      <c r="B124" s="97">
        <v>51</v>
      </c>
      <c r="C124" s="98">
        <v>34000</v>
      </c>
      <c r="D124" s="99">
        <v>5996</v>
      </c>
      <c r="E124" s="85">
        <v>5928.5204211313412</v>
      </c>
      <c r="F124" s="89">
        <f t="shared" si="30"/>
        <v>-67.479578868658791</v>
      </c>
      <c r="G124" s="105">
        <f t="shared" si="31"/>
        <v>1.1254099210917077E-2</v>
      </c>
      <c r="I124" s="96"/>
      <c r="J124" s="97">
        <v>51</v>
      </c>
      <c r="K124" s="98">
        <v>34000</v>
      </c>
      <c r="L124" s="99">
        <v>5996</v>
      </c>
      <c r="M124" s="85">
        <v>6016.6959928820443</v>
      </c>
      <c r="N124" s="89">
        <f>M124-$D124</f>
        <v>20.695992882044266</v>
      </c>
      <c r="O124" s="100">
        <f>ABS(N124/$D124)</f>
        <v>3.4516332358312651E-3</v>
      </c>
      <c r="Q124" s="101"/>
      <c r="R124" s="102">
        <v>51</v>
      </c>
      <c r="S124" s="103">
        <v>34000</v>
      </c>
      <c r="T124" s="104">
        <v>5996</v>
      </c>
      <c r="U124" s="90" t="s">
        <v>164</v>
      </c>
      <c r="V124" s="89"/>
      <c r="W124" s="105"/>
      <c r="Y124" s="101"/>
      <c r="Z124" s="102">
        <v>51</v>
      </c>
      <c r="AA124" s="103">
        <v>34000</v>
      </c>
      <c r="AB124" s="104">
        <v>5996</v>
      </c>
      <c r="AD124" s="89"/>
      <c r="AE124" s="105"/>
    </row>
    <row r="125" spans="1:31" ht="12.95">
      <c r="A125" s="97"/>
      <c r="B125" s="97">
        <v>52</v>
      </c>
      <c r="C125" s="98">
        <v>34028</v>
      </c>
      <c r="D125" s="99">
        <v>6026</v>
      </c>
      <c r="E125" s="85">
        <v>5948.7780920310579</v>
      </c>
      <c r="F125" s="89">
        <f t="shared" si="30"/>
        <v>-77.221907968942105</v>
      </c>
      <c r="G125" s="100">
        <f t="shared" si="31"/>
        <v>1.2814787250073366E-2</v>
      </c>
      <c r="I125" s="97"/>
      <c r="J125" s="97">
        <v>52</v>
      </c>
      <c r="K125" s="98">
        <v>34028</v>
      </c>
      <c r="L125" s="99">
        <v>6026</v>
      </c>
      <c r="M125" s="85">
        <v>6052.5866289372843</v>
      </c>
      <c r="N125" s="89">
        <f>M125-$D125</f>
        <v>26.586628937284331</v>
      </c>
      <c r="O125" s="105">
        <f>ABS(N125/$D125)</f>
        <v>4.4119862159449604E-3</v>
      </c>
      <c r="Q125" s="102"/>
      <c r="R125" s="102">
        <v>52</v>
      </c>
      <c r="S125" s="103">
        <v>34028</v>
      </c>
      <c r="T125" s="104">
        <v>6026</v>
      </c>
      <c r="U125" s="106" t="s">
        <v>162</v>
      </c>
      <c r="V125" s="89"/>
      <c r="W125" s="105"/>
      <c r="Y125" s="102"/>
      <c r="Z125" s="102">
        <v>52</v>
      </c>
      <c r="AA125" s="103">
        <v>34028</v>
      </c>
      <c r="AB125" s="104">
        <v>6026</v>
      </c>
      <c r="AD125" s="89"/>
      <c r="AE125" s="105"/>
    </row>
    <row r="126" spans="1:31" ht="12.95">
      <c r="A126" s="97"/>
      <c r="B126" s="97">
        <v>53</v>
      </c>
      <c r="C126" s="98">
        <v>34059</v>
      </c>
      <c r="D126" s="99">
        <v>6094</v>
      </c>
      <c r="E126" s="85">
        <v>6004.0098522832322</v>
      </c>
      <c r="F126" s="89">
        <f t="shared" si="30"/>
        <v>-89.990147716767751</v>
      </c>
      <c r="G126" s="105">
        <f t="shared" si="31"/>
        <v>1.4767008158314367E-2</v>
      </c>
      <c r="I126" s="97"/>
      <c r="J126" s="97">
        <v>53</v>
      </c>
      <c r="K126" s="98">
        <v>34059</v>
      </c>
      <c r="L126" s="99">
        <v>6094</v>
      </c>
      <c r="M126" s="85">
        <v>6124.031607301481</v>
      </c>
      <c r="N126" s="89">
        <f>M126-$D126</f>
        <v>30.031607301481017</v>
      </c>
      <c r="O126" s="105">
        <f>ABS(N126/$D126)</f>
        <v>4.9280615854087658E-3</v>
      </c>
      <c r="Q126" s="91" t="s">
        <v>155</v>
      </c>
      <c r="R126" s="92">
        <v>53</v>
      </c>
      <c r="S126" s="108">
        <v>34059</v>
      </c>
      <c r="T126" s="109">
        <v>6094</v>
      </c>
      <c r="V126" s="89"/>
      <c r="W126" s="105"/>
      <c r="Y126" s="110"/>
      <c r="Z126" s="102">
        <v>53</v>
      </c>
      <c r="AA126" s="103">
        <v>34059</v>
      </c>
      <c r="AB126" s="104">
        <v>6094</v>
      </c>
      <c r="AC126" s="90" t="s">
        <v>155</v>
      </c>
      <c r="AD126" s="89"/>
      <c r="AE126" s="105"/>
    </row>
    <row r="127" spans="1:31" ht="12.95">
      <c r="A127" s="97"/>
      <c r="B127" s="97">
        <v>54</v>
      </c>
      <c r="C127" s="98">
        <v>34089</v>
      </c>
      <c r="D127" s="99">
        <v>6083</v>
      </c>
      <c r="E127" s="85">
        <v>5924.5378856370289</v>
      </c>
      <c r="F127" s="89">
        <f t="shared" si="30"/>
        <v>-158.46211436297108</v>
      </c>
      <c r="G127" s="105">
        <f t="shared" si="31"/>
        <v>2.6049994141537247E-2</v>
      </c>
      <c r="I127" s="96" t="s">
        <v>157</v>
      </c>
      <c r="J127" s="97">
        <v>54</v>
      </c>
      <c r="K127" s="98">
        <v>34089</v>
      </c>
      <c r="L127" s="99">
        <v>6083</v>
      </c>
      <c r="M127" s="85">
        <v>6057.8009329505894</v>
      </c>
      <c r="N127" s="89">
        <f>M127-$D127</f>
        <v>-25.199067049410587</v>
      </c>
      <c r="O127" s="105">
        <f>ABS(N127/$D127)</f>
        <v>4.1425393801431181E-3</v>
      </c>
      <c r="Q127" s="96" t="s">
        <v>157</v>
      </c>
      <c r="R127" s="97">
        <v>54</v>
      </c>
      <c r="S127" s="98">
        <v>34089</v>
      </c>
      <c r="T127" s="99">
        <v>6083</v>
      </c>
      <c r="U127" s="85">
        <v>6022.0007415575901</v>
      </c>
      <c r="V127" s="89">
        <f>U127-$D127</f>
        <v>-60.999258442409882</v>
      </c>
      <c r="W127" s="100">
        <f>ABS(V127/$D127)</f>
        <v>1.0027824830249858E-2</v>
      </c>
      <c r="Y127" s="101"/>
      <c r="Z127" s="102">
        <v>54</v>
      </c>
      <c r="AA127" s="103">
        <v>34089</v>
      </c>
      <c r="AB127" s="104">
        <v>6083</v>
      </c>
      <c r="AC127" s="90" t="s">
        <v>165</v>
      </c>
    </row>
    <row r="128" spans="1:31" ht="12.95">
      <c r="A128" s="97"/>
      <c r="B128" s="97">
        <v>55</v>
      </c>
      <c r="C128" s="98">
        <v>34120</v>
      </c>
      <c r="D128" s="99">
        <v>6057</v>
      </c>
      <c r="E128" s="85">
        <v>6007.0066551025593</v>
      </c>
      <c r="F128" s="89">
        <f t="shared" si="30"/>
        <v>-49.993344897440693</v>
      </c>
      <c r="G128" s="105">
        <f t="shared" si="31"/>
        <v>8.2538129267691416E-3</v>
      </c>
      <c r="I128" s="96" t="s">
        <v>160</v>
      </c>
      <c r="J128" s="97">
        <v>55</v>
      </c>
      <c r="K128" s="98">
        <v>34120</v>
      </c>
      <c r="L128" s="99">
        <v>6057</v>
      </c>
      <c r="M128" s="85">
        <v>6156.9444788317724</v>
      </c>
      <c r="N128" s="89">
        <f>M128-$D128</f>
        <v>99.944478831772358</v>
      </c>
      <c r="O128" s="100">
        <f>ABS(N128/$D128)</f>
        <v>1.6500656898096808E-2</v>
      </c>
      <c r="Q128" s="96" t="s">
        <v>160</v>
      </c>
      <c r="R128" s="97">
        <v>55</v>
      </c>
      <c r="S128" s="98">
        <v>34120</v>
      </c>
      <c r="T128" s="99">
        <v>6057</v>
      </c>
      <c r="U128" s="85">
        <v>6116.0619110017487</v>
      </c>
      <c r="V128" s="89">
        <f>U128-$D128</f>
        <v>59.06191100174874</v>
      </c>
      <c r="W128" s="105">
        <f>ABS(V128/$D128)</f>
        <v>9.7510171705049928E-3</v>
      </c>
      <c r="Y128" s="101"/>
      <c r="Z128" s="102">
        <v>55</v>
      </c>
      <c r="AA128" s="103">
        <v>34120</v>
      </c>
      <c r="AB128" s="104">
        <v>6057</v>
      </c>
      <c r="AC128" s="106" t="s">
        <v>162</v>
      </c>
    </row>
    <row r="129" spans="1:31" ht="12.95">
      <c r="A129" s="97"/>
      <c r="B129" s="97">
        <v>56</v>
      </c>
      <c r="C129" s="98">
        <v>34150</v>
      </c>
      <c r="D129" s="99">
        <v>6198</v>
      </c>
      <c r="E129" s="85">
        <v>6182.970674385323</v>
      </c>
      <c r="F129" s="89">
        <f t="shared" si="30"/>
        <v>-15.029325614676964</v>
      </c>
      <c r="G129" s="100">
        <f t="shared" si="31"/>
        <v>2.4248669917194196E-3</v>
      </c>
      <c r="I129" s="96" t="s">
        <v>163</v>
      </c>
      <c r="J129" s="97">
        <v>56</v>
      </c>
      <c r="K129" s="98">
        <v>34150</v>
      </c>
      <c r="L129" s="99">
        <v>6198</v>
      </c>
      <c r="M129" s="85">
        <v>6352.3356042966552</v>
      </c>
      <c r="N129" s="89">
        <f t="shared" ref="N129:N132" si="32">M129-$D129</f>
        <v>154.33560429665522</v>
      </c>
      <c r="O129" s="105">
        <f t="shared" ref="O129:O132" si="33">ABS(N129/$D129)</f>
        <v>2.4900871942022462E-2</v>
      </c>
      <c r="Q129" s="96" t="s">
        <v>163</v>
      </c>
      <c r="R129" s="97">
        <v>56</v>
      </c>
      <c r="S129" s="98">
        <v>34150</v>
      </c>
      <c r="T129" s="99">
        <v>6198</v>
      </c>
      <c r="U129" s="85">
        <v>6305.6048545200074</v>
      </c>
      <c r="V129" s="89">
        <f t="shared" ref="V129:V132" si="34">U129-$D129</f>
        <v>107.60485452000739</v>
      </c>
      <c r="W129" s="105">
        <f t="shared" ref="W129:W132" si="35">ABS(V129/$D129)</f>
        <v>1.7361222090998288E-2</v>
      </c>
      <c r="Y129" s="91" t="s">
        <v>155</v>
      </c>
      <c r="Z129" s="92">
        <v>56</v>
      </c>
      <c r="AA129" s="108">
        <v>34150</v>
      </c>
      <c r="AB129" s="109">
        <v>6198</v>
      </c>
    </row>
    <row r="130" spans="1:31" ht="12.95">
      <c r="A130" s="97"/>
      <c r="B130" s="97">
        <v>57</v>
      </c>
      <c r="C130" s="98">
        <v>34181</v>
      </c>
      <c r="D130" s="99">
        <v>6507</v>
      </c>
      <c r="E130" s="85">
        <v>6241.0630250802105</v>
      </c>
      <c r="F130" s="89">
        <f t="shared" si="30"/>
        <v>-265.93697491978946</v>
      </c>
      <c r="G130" s="105">
        <f t="shared" si="31"/>
        <v>4.0869367591791834E-2</v>
      </c>
      <c r="I130" s="96" t="s">
        <v>161</v>
      </c>
      <c r="J130" s="97">
        <v>57</v>
      </c>
      <c r="K130" s="98">
        <v>34181</v>
      </c>
      <c r="L130" s="99">
        <v>6507</v>
      </c>
      <c r="M130" s="85">
        <v>6426.9784343647061</v>
      </c>
      <c r="N130" s="89">
        <f t="shared" si="32"/>
        <v>-80.021565635293882</v>
      </c>
      <c r="O130" s="105">
        <f t="shared" si="33"/>
        <v>1.2297766349361285E-2</v>
      </c>
      <c r="Q130" s="96" t="s">
        <v>161</v>
      </c>
      <c r="R130" s="97">
        <v>57</v>
      </c>
      <c r="S130" s="98">
        <v>34181</v>
      </c>
      <c r="T130" s="99">
        <v>6507</v>
      </c>
      <c r="U130" s="85">
        <v>6375.1814524571464</v>
      </c>
      <c r="V130" s="89">
        <f t="shared" si="34"/>
        <v>-131.81854754285359</v>
      </c>
      <c r="W130" s="105">
        <f t="shared" si="35"/>
        <v>2.0257960280137328E-2</v>
      </c>
      <c r="Y130" s="96" t="s">
        <v>166</v>
      </c>
      <c r="Z130" s="97">
        <v>57</v>
      </c>
      <c r="AA130" s="98">
        <v>34181</v>
      </c>
      <c r="AB130" s="99">
        <v>6507</v>
      </c>
      <c r="AC130" s="85">
        <v>6265.5540107073966</v>
      </c>
      <c r="AD130" s="89">
        <f>AC130-$D130</f>
        <v>-241.44598929260337</v>
      </c>
      <c r="AE130" s="100">
        <f>ABS(AD130/$D130)</f>
        <v>3.7105576962133603E-2</v>
      </c>
    </row>
    <row r="131" spans="1:31" ht="12.95">
      <c r="A131" s="97"/>
      <c r="B131" s="97">
        <v>58</v>
      </c>
      <c r="C131" s="98">
        <v>34212</v>
      </c>
      <c r="D131" s="99">
        <v>6653</v>
      </c>
      <c r="E131" s="85">
        <v>6213.0141038613856</v>
      </c>
      <c r="F131" s="89">
        <f t="shared" si="30"/>
        <v>-439.98589613861441</v>
      </c>
      <c r="G131" s="105">
        <f t="shared" si="31"/>
        <v>6.6133458009712071E-2</v>
      </c>
      <c r="I131" s="97"/>
      <c r="J131" s="97">
        <v>58</v>
      </c>
      <c r="K131" s="98">
        <v>34212</v>
      </c>
      <c r="L131" s="99">
        <v>6653</v>
      </c>
      <c r="M131" s="85">
        <v>6412.7737608005982</v>
      </c>
      <c r="N131" s="89">
        <f t="shared" si="32"/>
        <v>-240.22623919940179</v>
      </c>
      <c r="O131" s="105">
        <f t="shared" si="33"/>
        <v>3.6107957192154184E-2</v>
      </c>
      <c r="Q131" s="97"/>
      <c r="R131" s="97">
        <v>58</v>
      </c>
      <c r="S131" s="98">
        <v>34212</v>
      </c>
      <c r="T131" s="99">
        <v>6653</v>
      </c>
      <c r="U131" s="85">
        <v>6356.6688217664132</v>
      </c>
      <c r="V131" s="89">
        <f t="shared" si="34"/>
        <v>-296.3311782335868</v>
      </c>
      <c r="W131" s="100">
        <f t="shared" si="35"/>
        <v>4.4540985755837488E-2</v>
      </c>
      <c r="Y131" s="96" t="s">
        <v>163</v>
      </c>
      <c r="Z131" s="97">
        <v>58</v>
      </c>
      <c r="AA131" s="98">
        <v>34212</v>
      </c>
      <c r="AB131" s="99">
        <v>6653</v>
      </c>
      <c r="AC131" s="85">
        <v>6244.5989857778804</v>
      </c>
      <c r="AD131" s="89">
        <f>AC131-$D131</f>
        <v>-408.40101422211956</v>
      </c>
      <c r="AE131" s="105">
        <f>ABS(AD131/$D131)</f>
        <v>6.1385993419828581E-2</v>
      </c>
    </row>
    <row r="132" spans="1:31" ht="12.95">
      <c r="A132" s="97"/>
      <c r="B132" s="97">
        <v>59</v>
      </c>
      <c r="C132" s="98">
        <v>34242</v>
      </c>
      <c r="D132" s="99">
        <v>6725</v>
      </c>
      <c r="E132" s="85">
        <v>6189.6244039432549</v>
      </c>
      <c r="F132" s="89">
        <f t="shared" si="30"/>
        <v>-535.37559605674505</v>
      </c>
      <c r="G132" s="100">
        <f t="shared" si="31"/>
        <v>7.960975406048254E-2</v>
      </c>
      <c r="I132" s="97"/>
      <c r="J132" s="97">
        <v>59</v>
      </c>
      <c r="K132" s="98">
        <v>34242</v>
      </c>
      <c r="L132" s="99">
        <v>6725</v>
      </c>
      <c r="M132" s="85">
        <v>6403.0489604058193</v>
      </c>
      <c r="N132" s="89">
        <f t="shared" si="32"/>
        <v>-321.95103959418066</v>
      </c>
      <c r="O132" s="100">
        <f t="shared" si="33"/>
        <v>4.7873760534450659E-2</v>
      </c>
      <c r="Q132" s="97"/>
      <c r="R132" s="97">
        <v>59</v>
      </c>
      <c r="S132" s="98">
        <v>34242</v>
      </c>
      <c r="T132" s="99">
        <v>6725</v>
      </c>
      <c r="U132" s="85">
        <v>6342.6958030428759</v>
      </c>
      <c r="V132" s="89">
        <f t="shared" si="34"/>
        <v>-382.30419695712408</v>
      </c>
      <c r="W132" s="105">
        <f t="shared" si="35"/>
        <v>5.6848207725966403E-2</v>
      </c>
      <c r="Y132" s="96" t="s">
        <v>161</v>
      </c>
      <c r="Z132" s="97">
        <v>59</v>
      </c>
      <c r="AA132" s="98">
        <v>34242</v>
      </c>
      <c r="AB132" s="99">
        <v>6725</v>
      </c>
      <c r="AC132" s="85">
        <v>6228.1653407221511</v>
      </c>
      <c r="AD132" s="89">
        <f>AC132-$D132</f>
        <v>-496.83465927784891</v>
      </c>
      <c r="AE132" s="105">
        <f>ABS(AD132/$D132)</f>
        <v>7.3878759743918054E-2</v>
      </c>
    </row>
    <row r="133" spans="1:31">
      <c r="G133" s="105"/>
      <c r="O133" s="105"/>
      <c r="W133" s="105"/>
      <c r="AE133" s="105"/>
    </row>
    <row r="134" spans="1:31" ht="12.95">
      <c r="F134" s="89">
        <f>AVERAGE(F121:F132)</f>
        <v>-153.17363644146795</v>
      </c>
      <c r="G134" s="111">
        <f>AVERAGE(G121:G132)</f>
        <v>2.3765257128673251E-2</v>
      </c>
      <c r="U134" s="83"/>
      <c r="AC134" s="83"/>
    </row>
    <row r="135" spans="1:31">
      <c r="U135" s="83"/>
      <c r="AC135" s="83"/>
    </row>
    <row r="136" spans="1:31">
      <c r="F136" s="95" t="str">
        <f ca="1">_xlfn.FORMULATEXT(G136)</f>
        <v>=MAX(G121:G132)</v>
      </c>
      <c r="G136" s="105">
        <f>MAX(G121:G132)</f>
        <v>7.960975406048254E-2</v>
      </c>
      <c r="I136" s="95"/>
      <c r="U136" s="83"/>
      <c r="AC136" s="83"/>
    </row>
    <row r="137" spans="1:31">
      <c r="F137" s="95" t="str">
        <f ca="1">_xlfn.FORMULATEXT(G137)</f>
        <v>=MIN(G121:G132)</v>
      </c>
      <c r="G137" s="105">
        <f>MIN(G121:G132)</f>
        <v>2.4248669917194196E-3</v>
      </c>
      <c r="U137" s="83"/>
      <c r="AC137" s="83"/>
    </row>
    <row r="142" spans="1:31" ht="12.95">
      <c r="C142" s="84" t="s">
        <v>149</v>
      </c>
      <c r="L142" s="84"/>
      <c r="M142" s="84" t="s">
        <v>149</v>
      </c>
      <c r="T142" s="84" t="s">
        <v>149</v>
      </c>
      <c r="AB142" s="84" t="s">
        <v>149</v>
      </c>
    </row>
    <row r="143" spans="1:31" ht="12.95">
      <c r="C143" s="84" t="s">
        <v>171</v>
      </c>
      <c r="M143" s="84" t="s">
        <v>171</v>
      </c>
      <c r="T143" s="84" t="s">
        <v>171</v>
      </c>
      <c r="AB143" s="84" t="s">
        <v>171</v>
      </c>
    </row>
    <row r="144" spans="1:31" ht="12.95">
      <c r="K144" s="84"/>
      <c r="S144" s="84"/>
      <c r="AA144" s="84"/>
    </row>
    <row r="145" spans="1:31" ht="12.95">
      <c r="C145" s="84"/>
      <c r="F145" s="86" t="s">
        <v>151</v>
      </c>
      <c r="G145" s="86" t="s">
        <v>152</v>
      </c>
      <c r="K145" s="84"/>
      <c r="N145" s="86" t="s">
        <v>151</v>
      </c>
      <c r="O145" s="86" t="s">
        <v>152</v>
      </c>
      <c r="S145" s="84"/>
      <c r="V145" s="86" t="s">
        <v>151</v>
      </c>
      <c r="W145" s="86" t="s">
        <v>152</v>
      </c>
      <c r="AA145" s="84"/>
      <c r="AD145" s="86" t="s">
        <v>151</v>
      </c>
      <c r="AE145" s="86" t="s">
        <v>152</v>
      </c>
    </row>
    <row r="146" spans="1:31">
      <c r="B146" s="87" t="s">
        <v>154</v>
      </c>
      <c r="C146" s="87" t="s">
        <v>147</v>
      </c>
      <c r="D146" s="87" t="s">
        <v>0</v>
      </c>
      <c r="E146" s="85" t="s">
        <v>96</v>
      </c>
      <c r="F146" s="85" t="s">
        <v>96</v>
      </c>
      <c r="G146" s="85" t="s">
        <v>96</v>
      </c>
      <c r="J146" s="87" t="s">
        <v>154</v>
      </c>
      <c r="K146" s="87" t="s">
        <v>147</v>
      </c>
      <c r="L146" s="87" t="s">
        <v>0</v>
      </c>
      <c r="M146" s="85" t="s">
        <v>96</v>
      </c>
      <c r="N146" s="85" t="s">
        <v>96</v>
      </c>
      <c r="O146" s="85" t="s">
        <v>96</v>
      </c>
      <c r="R146" s="87" t="s">
        <v>154</v>
      </c>
      <c r="S146" s="87" t="s">
        <v>147</v>
      </c>
      <c r="T146" s="87" t="s">
        <v>0</v>
      </c>
      <c r="U146" s="85" t="s">
        <v>96</v>
      </c>
      <c r="V146" s="85" t="s">
        <v>96</v>
      </c>
      <c r="W146" s="85" t="s">
        <v>96</v>
      </c>
      <c r="Z146" s="87" t="s">
        <v>154</v>
      </c>
      <c r="AA146" s="87" t="s">
        <v>147</v>
      </c>
      <c r="AB146" s="87" t="s">
        <v>0</v>
      </c>
      <c r="AC146" s="85" t="s">
        <v>96</v>
      </c>
      <c r="AD146" s="85" t="s">
        <v>96</v>
      </c>
      <c r="AE146" s="85" t="s">
        <v>96</v>
      </c>
    </row>
    <row r="147" spans="1:31">
      <c r="B147" s="83">
        <v>44</v>
      </c>
      <c r="C147" s="88">
        <v>33785</v>
      </c>
      <c r="D147" s="89">
        <v>5975</v>
      </c>
      <c r="J147" s="83">
        <f>B147</f>
        <v>44</v>
      </c>
      <c r="K147" s="88">
        <v>33785</v>
      </c>
      <c r="L147" s="89">
        <v>5975</v>
      </c>
      <c r="R147" s="83">
        <v>44</v>
      </c>
      <c r="S147" s="88">
        <v>33785</v>
      </c>
      <c r="T147" s="89">
        <v>5975</v>
      </c>
      <c r="Z147" s="83">
        <v>44</v>
      </c>
      <c r="AA147" s="88">
        <v>33785</v>
      </c>
      <c r="AB147" s="89">
        <v>5975</v>
      </c>
    </row>
    <row r="148" spans="1:31" ht="12.95">
      <c r="B148" s="83">
        <v>45</v>
      </c>
      <c r="C148" s="88">
        <v>33816</v>
      </c>
      <c r="D148" s="89">
        <v>5985</v>
      </c>
      <c r="E148" s="90" t="s">
        <v>155</v>
      </c>
      <c r="J148" s="83">
        <v>45</v>
      </c>
      <c r="K148" s="88">
        <v>33816</v>
      </c>
      <c r="L148" s="89">
        <v>5985</v>
      </c>
      <c r="R148" s="83">
        <v>45</v>
      </c>
      <c r="S148" s="88">
        <v>33816</v>
      </c>
      <c r="T148" s="89">
        <v>5985</v>
      </c>
      <c r="Z148" s="83">
        <v>45</v>
      </c>
      <c r="AA148" s="88">
        <v>33816</v>
      </c>
      <c r="AB148" s="89">
        <v>5985</v>
      </c>
    </row>
    <row r="149" spans="1:31" ht="12.95">
      <c r="B149" s="83">
        <v>46</v>
      </c>
      <c r="C149" s="88">
        <v>33847</v>
      </c>
      <c r="D149" s="89">
        <v>6029</v>
      </c>
      <c r="E149" s="90" t="s">
        <v>156</v>
      </c>
      <c r="J149" s="83">
        <v>46</v>
      </c>
      <c r="K149" s="88">
        <v>33847</v>
      </c>
      <c r="L149" s="89">
        <v>6029</v>
      </c>
      <c r="R149" s="83">
        <v>46</v>
      </c>
      <c r="S149" s="88">
        <v>33847</v>
      </c>
      <c r="T149" s="89">
        <v>6029</v>
      </c>
      <c r="Z149" s="83">
        <v>46</v>
      </c>
      <c r="AA149" s="88">
        <v>33847</v>
      </c>
      <c r="AB149" s="89">
        <v>6029</v>
      </c>
    </row>
    <row r="150" spans="1:31" ht="12.95">
      <c r="A150" s="91" t="s">
        <v>155</v>
      </c>
      <c r="B150" s="92">
        <v>47</v>
      </c>
      <c r="C150" s="93">
        <v>33877</v>
      </c>
      <c r="D150" s="94">
        <v>6024</v>
      </c>
      <c r="I150" s="95"/>
      <c r="J150" s="83">
        <v>47</v>
      </c>
      <c r="K150" s="88">
        <v>33877</v>
      </c>
      <c r="L150" s="89">
        <v>6024</v>
      </c>
      <c r="M150" s="90" t="s">
        <v>155</v>
      </c>
      <c r="Q150" s="95"/>
      <c r="R150" s="83">
        <v>47</v>
      </c>
      <c r="S150" s="88">
        <v>33877</v>
      </c>
      <c r="T150" s="89">
        <v>6024</v>
      </c>
      <c r="Y150" s="95"/>
      <c r="Z150" s="83">
        <v>47</v>
      </c>
      <c r="AA150" s="88">
        <v>33877</v>
      </c>
      <c r="AB150" s="89">
        <v>6024</v>
      </c>
    </row>
    <row r="151" spans="1:31" ht="12.95">
      <c r="A151" s="96" t="s">
        <v>157</v>
      </c>
      <c r="B151" s="97">
        <v>48</v>
      </c>
      <c r="C151" s="98">
        <v>33908</v>
      </c>
      <c r="D151" s="99">
        <v>6036</v>
      </c>
      <c r="E151" s="85">
        <v>6310.049028677151</v>
      </c>
      <c r="F151" s="89">
        <f t="shared" ref="F151:F162" si="36">E151-$D151</f>
        <v>274.049028677151</v>
      </c>
      <c r="G151" s="100">
        <f t="shared" ref="G151:G162" si="37">ABS(F151/$D151)</f>
        <v>4.5402423571429922E-2</v>
      </c>
      <c r="I151" s="101" t="s">
        <v>158</v>
      </c>
      <c r="J151" s="102">
        <v>48</v>
      </c>
      <c r="K151" s="103">
        <v>33908</v>
      </c>
      <c r="L151" s="104">
        <v>6036</v>
      </c>
      <c r="M151" s="90" t="s">
        <v>159</v>
      </c>
      <c r="N151" s="89"/>
      <c r="Q151" s="101" t="s">
        <v>158</v>
      </c>
      <c r="R151" s="102">
        <v>48</v>
      </c>
      <c r="S151" s="103">
        <v>33908</v>
      </c>
      <c r="T151" s="104">
        <v>6036</v>
      </c>
      <c r="V151" s="89"/>
      <c r="Y151" s="101" t="s">
        <v>158</v>
      </c>
      <c r="Z151" s="102">
        <v>48</v>
      </c>
      <c r="AA151" s="103">
        <v>33908</v>
      </c>
      <c r="AB151" s="104">
        <v>6036</v>
      </c>
      <c r="AD151" s="89"/>
    </row>
    <row r="152" spans="1:31" ht="12.95">
      <c r="A152" s="96" t="s">
        <v>160</v>
      </c>
      <c r="B152" s="97">
        <v>49</v>
      </c>
      <c r="C152" s="98">
        <v>33938</v>
      </c>
      <c r="D152" s="99">
        <v>6026</v>
      </c>
      <c r="E152" s="85">
        <v>6369.4358233117491</v>
      </c>
      <c r="F152" s="89">
        <f t="shared" si="36"/>
        <v>343.43582331174912</v>
      </c>
      <c r="G152" s="105">
        <f t="shared" si="37"/>
        <v>5.6992337091229528E-2</v>
      </c>
      <c r="I152" s="101" t="s">
        <v>161</v>
      </c>
      <c r="J152" s="102">
        <v>49</v>
      </c>
      <c r="K152" s="103">
        <v>33938</v>
      </c>
      <c r="L152" s="104">
        <v>6026</v>
      </c>
      <c r="M152" s="106" t="s">
        <v>162</v>
      </c>
      <c r="N152" s="89"/>
      <c r="Q152" s="101" t="s">
        <v>161</v>
      </c>
      <c r="R152" s="102">
        <v>49</v>
      </c>
      <c r="S152" s="103">
        <v>33938</v>
      </c>
      <c r="T152" s="104">
        <v>6026</v>
      </c>
      <c r="U152" s="107"/>
      <c r="V152" s="89"/>
      <c r="Y152" s="101" t="s">
        <v>161</v>
      </c>
      <c r="Z152" s="102">
        <v>49</v>
      </c>
      <c r="AA152" s="103">
        <v>33938</v>
      </c>
      <c r="AB152" s="104">
        <v>6026</v>
      </c>
      <c r="AC152" s="107"/>
      <c r="AD152" s="89"/>
    </row>
    <row r="153" spans="1:31" ht="12.95">
      <c r="A153" s="96" t="s">
        <v>163</v>
      </c>
      <c r="B153" s="97">
        <v>50</v>
      </c>
      <c r="C153" s="98">
        <v>33969</v>
      </c>
      <c r="D153" s="99">
        <v>6021</v>
      </c>
      <c r="E153" s="85">
        <v>6428.8226179463454</v>
      </c>
      <c r="F153" s="89">
        <f t="shared" si="36"/>
        <v>407.82261794634542</v>
      </c>
      <c r="G153" s="105">
        <f t="shared" si="37"/>
        <v>6.7733369531032289E-2</v>
      </c>
      <c r="I153" s="91" t="s">
        <v>155</v>
      </c>
      <c r="J153" s="92">
        <v>50</v>
      </c>
      <c r="K153" s="108">
        <v>33969</v>
      </c>
      <c r="L153" s="109">
        <v>6021</v>
      </c>
      <c r="N153" s="89"/>
      <c r="Q153" s="110"/>
      <c r="R153" s="102">
        <v>50</v>
      </c>
      <c r="S153" s="103">
        <v>33969</v>
      </c>
      <c r="T153" s="104">
        <v>6021</v>
      </c>
      <c r="U153" s="90" t="s">
        <v>155</v>
      </c>
      <c r="V153" s="89"/>
      <c r="Y153" s="110"/>
      <c r="Z153" s="102">
        <v>50</v>
      </c>
      <c r="AA153" s="103">
        <v>33969</v>
      </c>
      <c r="AB153" s="104">
        <v>6021</v>
      </c>
      <c r="AD153" s="89"/>
    </row>
    <row r="154" spans="1:31" ht="12.95">
      <c r="A154" s="96" t="s">
        <v>161</v>
      </c>
      <c r="B154" s="97">
        <v>51</v>
      </c>
      <c r="C154" s="98">
        <v>34000</v>
      </c>
      <c r="D154" s="99">
        <v>5996</v>
      </c>
      <c r="E154" s="85">
        <v>6488.2094125809435</v>
      </c>
      <c r="F154" s="89">
        <f t="shared" si="36"/>
        <v>492.20941258094354</v>
      </c>
      <c r="G154" s="105">
        <f t="shared" si="37"/>
        <v>8.2089628515834484E-2</v>
      </c>
      <c r="I154" s="96"/>
      <c r="J154" s="97">
        <v>51</v>
      </c>
      <c r="K154" s="98">
        <v>34000</v>
      </c>
      <c r="L154" s="99">
        <v>5996</v>
      </c>
      <c r="M154" s="85">
        <v>6302.0258849666925</v>
      </c>
      <c r="N154" s="89">
        <f>M154-$D154</f>
        <v>306.0258849666925</v>
      </c>
      <c r="O154" s="100">
        <f>ABS(N154/$D154)</f>
        <v>5.1038339720929367E-2</v>
      </c>
      <c r="Q154" s="101"/>
      <c r="R154" s="102">
        <v>51</v>
      </c>
      <c r="S154" s="103">
        <v>34000</v>
      </c>
      <c r="T154" s="104">
        <v>5996</v>
      </c>
      <c r="U154" s="90" t="s">
        <v>164</v>
      </c>
      <c r="V154" s="89"/>
      <c r="W154" s="105"/>
      <c r="Y154" s="101"/>
      <c r="Z154" s="102">
        <v>51</v>
      </c>
      <c r="AA154" s="103">
        <v>34000</v>
      </c>
      <c r="AB154" s="104">
        <v>5996</v>
      </c>
      <c r="AD154" s="89"/>
      <c r="AE154" s="105"/>
    </row>
    <row r="155" spans="1:31" ht="12.95">
      <c r="A155" s="97"/>
      <c r="B155" s="97">
        <v>52</v>
      </c>
      <c r="C155" s="98">
        <v>34028</v>
      </c>
      <c r="D155" s="99">
        <v>6026</v>
      </c>
      <c r="E155" s="85">
        <v>6547.5962072155417</v>
      </c>
      <c r="F155" s="89">
        <f t="shared" si="36"/>
        <v>521.59620721554165</v>
      </c>
      <c r="G155" s="100">
        <f t="shared" si="37"/>
        <v>8.6557618190431743E-2</v>
      </c>
      <c r="I155" s="97"/>
      <c r="J155" s="97">
        <v>52</v>
      </c>
      <c r="K155" s="98">
        <v>34028</v>
      </c>
      <c r="L155" s="99">
        <v>6026</v>
      </c>
      <c r="M155" s="85">
        <v>6364.7703169362458</v>
      </c>
      <c r="N155" s="89">
        <f>M155-$D155</f>
        <v>338.77031693624576</v>
      </c>
      <c r="O155" s="105">
        <f>ABS(N155/$D155)</f>
        <v>5.6218107689386954E-2</v>
      </c>
      <c r="Q155" s="102"/>
      <c r="R155" s="102">
        <v>52</v>
      </c>
      <c r="S155" s="103">
        <v>34028</v>
      </c>
      <c r="T155" s="104">
        <v>6026</v>
      </c>
      <c r="U155" s="106" t="s">
        <v>162</v>
      </c>
      <c r="V155" s="89"/>
      <c r="W155" s="105"/>
      <c r="Y155" s="102"/>
      <c r="Z155" s="102">
        <v>52</v>
      </c>
      <c r="AA155" s="103">
        <v>34028</v>
      </c>
      <c r="AB155" s="104">
        <v>6026</v>
      </c>
      <c r="AD155" s="89"/>
      <c r="AE155" s="105"/>
    </row>
    <row r="156" spans="1:31" ht="12.95">
      <c r="A156" s="97"/>
      <c r="B156" s="97">
        <v>53</v>
      </c>
      <c r="C156" s="98">
        <v>34059</v>
      </c>
      <c r="D156" s="99">
        <v>6094</v>
      </c>
      <c r="E156" s="85">
        <v>6606.9830018501389</v>
      </c>
      <c r="F156" s="89">
        <f t="shared" si="36"/>
        <v>512.98300185013886</v>
      </c>
      <c r="G156" s="105">
        <f t="shared" si="37"/>
        <v>8.4178372472946975E-2</v>
      </c>
      <c r="I156" s="97"/>
      <c r="J156" s="97">
        <v>53</v>
      </c>
      <c r="K156" s="98">
        <v>34059</v>
      </c>
      <c r="L156" s="99">
        <v>6094</v>
      </c>
      <c r="M156" s="85">
        <v>6465.4150226378151</v>
      </c>
      <c r="N156" s="89">
        <f>M156-$D156</f>
        <v>371.41502263781513</v>
      </c>
      <c r="O156" s="105">
        <f>ABS(N156/$D156)</f>
        <v>6.0947657144373994E-2</v>
      </c>
      <c r="Q156" s="91" t="s">
        <v>155</v>
      </c>
      <c r="R156" s="92">
        <v>53</v>
      </c>
      <c r="S156" s="108">
        <v>34059</v>
      </c>
      <c r="T156" s="109">
        <v>6094</v>
      </c>
      <c r="V156" s="89"/>
      <c r="W156" s="105"/>
      <c r="Y156" s="110"/>
      <c r="Z156" s="102">
        <v>53</v>
      </c>
      <c r="AA156" s="103">
        <v>34059</v>
      </c>
      <c r="AB156" s="104">
        <v>6094</v>
      </c>
      <c r="AC156" s="90" t="s">
        <v>155</v>
      </c>
      <c r="AD156" s="89"/>
      <c r="AE156" s="105"/>
    </row>
    <row r="157" spans="1:31" ht="12.95">
      <c r="A157" s="97"/>
      <c r="B157" s="97">
        <v>54</v>
      </c>
      <c r="C157" s="98">
        <v>34089</v>
      </c>
      <c r="D157" s="99">
        <v>6083</v>
      </c>
      <c r="E157" s="85">
        <v>6666.3697964847361</v>
      </c>
      <c r="F157" s="89">
        <f t="shared" si="36"/>
        <v>583.36979648473607</v>
      </c>
      <c r="G157" s="105">
        <f t="shared" si="37"/>
        <v>9.590165978706823E-2</v>
      </c>
      <c r="I157" s="96" t="s">
        <v>157</v>
      </c>
      <c r="J157" s="97">
        <v>54</v>
      </c>
      <c r="K157" s="98">
        <v>34089</v>
      </c>
      <c r="L157" s="99">
        <v>6083</v>
      </c>
      <c r="M157" s="85">
        <v>6420.7960479204548</v>
      </c>
      <c r="N157" s="89">
        <f>M157-$D157</f>
        <v>337.79604792045484</v>
      </c>
      <c r="O157" s="105">
        <f>ABS(N157/$D157)</f>
        <v>5.5531160269678588E-2</v>
      </c>
      <c r="Q157" s="96" t="s">
        <v>157</v>
      </c>
      <c r="R157" s="97">
        <v>54</v>
      </c>
      <c r="S157" s="98">
        <v>34089</v>
      </c>
      <c r="T157" s="99">
        <v>6083</v>
      </c>
      <c r="U157" s="85">
        <v>6346.9788500482582</v>
      </c>
      <c r="V157" s="89">
        <f>U157-$D157</f>
        <v>263.97885004825821</v>
      </c>
      <c r="W157" s="100">
        <f>ABS(V157/$D157)</f>
        <v>4.3396161441436494E-2</v>
      </c>
      <c r="Y157" s="101"/>
      <c r="Z157" s="102">
        <v>54</v>
      </c>
      <c r="AA157" s="103">
        <v>34089</v>
      </c>
      <c r="AB157" s="104">
        <v>6083</v>
      </c>
      <c r="AC157" s="90" t="s">
        <v>165</v>
      </c>
    </row>
    <row r="158" spans="1:31" ht="12.95">
      <c r="A158" s="97"/>
      <c r="B158" s="97">
        <v>55</v>
      </c>
      <c r="C158" s="98">
        <v>34120</v>
      </c>
      <c r="D158" s="99">
        <v>6057</v>
      </c>
      <c r="E158" s="85">
        <v>6725.7565911193342</v>
      </c>
      <c r="F158" s="89">
        <f t="shared" si="36"/>
        <v>668.75659111933419</v>
      </c>
      <c r="G158" s="105">
        <f t="shared" si="37"/>
        <v>0.11041053180111181</v>
      </c>
      <c r="I158" s="96" t="s">
        <v>160</v>
      </c>
      <c r="J158" s="97">
        <v>55</v>
      </c>
      <c r="K158" s="98">
        <v>34120</v>
      </c>
      <c r="L158" s="99">
        <v>6057</v>
      </c>
      <c r="M158" s="85">
        <v>6551.6639627254399</v>
      </c>
      <c r="N158" s="89">
        <f>M158-$D158</f>
        <v>494.66396272543989</v>
      </c>
      <c r="O158" s="100">
        <f>ABS(N158/$D158)</f>
        <v>8.1668146396803684E-2</v>
      </c>
      <c r="Q158" s="96" t="s">
        <v>160</v>
      </c>
      <c r="R158" s="97">
        <v>55</v>
      </c>
      <c r="S158" s="98">
        <v>34120</v>
      </c>
      <c r="T158" s="99">
        <v>6057</v>
      </c>
      <c r="U158" s="85">
        <v>6474.9297775386804</v>
      </c>
      <c r="V158" s="89">
        <f>U158-$D158</f>
        <v>417.92977753868036</v>
      </c>
      <c r="W158" s="105">
        <f>ABS(V158/$D158)</f>
        <v>6.8999467977328768E-2</v>
      </c>
      <c r="Y158" s="101"/>
      <c r="Z158" s="102">
        <v>55</v>
      </c>
      <c r="AA158" s="103">
        <v>34120</v>
      </c>
      <c r="AB158" s="104">
        <v>6057</v>
      </c>
      <c r="AC158" s="106" t="s">
        <v>162</v>
      </c>
    </row>
    <row r="159" spans="1:31" ht="12.95">
      <c r="A159" s="97"/>
      <c r="B159" s="97">
        <v>56</v>
      </c>
      <c r="C159" s="98">
        <v>34150</v>
      </c>
      <c r="D159" s="99">
        <v>6198</v>
      </c>
      <c r="E159" s="85">
        <v>6785.1433857539314</v>
      </c>
      <c r="F159" s="89">
        <f t="shared" si="36"/>
        <v>587.1433857539314</v>
      </c>
      <c r="G159" s="100">
        <f t="shared" si="37"/>
        <v>9.4731104510153499E-2</v>
      </c>
      <c r="I159" s="96" t="s">
        <v>163</v>
      </c>
      <c r="J159" s="97">
        <v>56</v>
      </c>
      <c r="K159" s="98">
        <v>34150</v>
      </c>
      <c r="L159" s="99">
        <v>6198</v>
      </c>
      <c r="M159" s="85">
        <v>6786.2506328048867</v>
      </c>
      <c r="N159" s="89">
        <f t="shared" ref="N159:N162" si="38">M159-$D159</f>
        <v>588.25063280488666</v>
      </c>
      <c r="O159" s="105">
        <f t="shared" ref="O159:O162" si="39">ABS(N159/$D159)</f>
        <v>9.4909750371875878E-2</v>
      </c>
      <c r="Q159" s="96" t="s">
        <v>163</v>
      </c>
      <c r="R159" s="97">
        <v>56</v>
      </c>
      <c r="S159" s="98">
        <v>34150</v>
      </c>
      <c r="T159" s="99">
        <v>6198</v>
      </c>
      <c r="U159" s="85">
        <v>6705.3306585587216</v>
      </c>
      <c r="V159" s="89">
        <f t="shared" ref="V159:V162" si="40">U159-$D159</f>
        <v>507.33065855872155</v>
      </c>
      <c r="W159" s="105">
        <f t="shared" ref="W159:W162" si="41">ABS(V159/$D159)</f>
        <v>8.185393006755752E-2</v>
      </c>
      <c r="Y159" s="91" t="s">
        <v>155</v>
      </c>
      <c r="Z159" s="92">
        <v>56</v>
      </c>
      <c r="AA159" s="108">
        <v>34150</v>
      </c>
      <c r="AB159" s="109">
        <v>6198</v>
      </c>
    </row>
    <row r="160" spans="1:31" ht="12.95">
      <c r="A160" s="97"/>
      <c r="B160" s="97">
        <v>57</v>
      </c>
      <c r="C160" s="98">
        <v>34181</v>
      </c>
      <c r="D160" s="99">
        <v>6507</v>
      </c>
      <c r="E160" s="85">
        <v>6844.5301803885286</v>
      </c>
      <c r="F160" s="89">
        <f t="shared" si="36"/>
        <v>337.53018038852861</v>
      </c>
      <c r="G160" s="105">
        <f t="shared" si="37"/>
        <v>5.1871858058787246E-2</v>
      </c>
      <c r="I160" s="96" t="s">
        <v>161</v>
      </c>
      <c r="J160" s="97">
        <v>57</v>
      </c>
      <c r="K160" s="98">
        <v>34181</v>
      </c>
      <c r="L160" s="99">
        <v>6507</v>
      </c>
      <c r="M160" s="85">
        <v>6893.0423935928065</v>
      </c>
      <c r="N160" s="89">
        <f t="shared" si="38"/>
        <v>386.04239359280655</v>
      </c>
      <c r="O160" s="105">
        <f t="shared" si="39"/>
        <v>5.9327246594868072E-2</v>
      </c>
      <c r="Q160" s="96" t="s">
        <v>161</v>
      </c>
      <c r="R160" s="97">
        <v>57</v>
      </c>
      <c r="S160" s="98">
        <v>34181</v>
      </c>
      <c r="T160" s="99">
        <v>6507</v>
      </c>
      <c r="U160" s="85">
        <v>6809.4126326067126</v>
      </c>
      <c r="V160" s="89">
        <f t="shared" si="40"/>
        <v>302.41263260671258</v>
      </c>
      <c r="W160" s="105">
        <f t="shared" si="41"/>
        <v>4.6474970432874227E-2</v>
      </c>
      <c r="Y160" s="96" t="s">
        <v>166</v>
      </c>
      <c r="Z160" s="97">
        <v>57</v>
      </c>
      <c r="AA160" s="98">
        <v>34181</v>
      </c>
      <c r="AB160" s="99">
        <v>6507</v>
      </c>
      <c r="AC160" s="85">
        <v>6724.2182898908995</v>
      </c>
      <c r="AD160" s="89">
        <f>AC160-$D160</f>
        <v>217.21828989089954</v>
      </c>
      <c r="AE160" s="100">
        <f>ABS(AD160/$D160)</f>
        <v>3.3382248331166368E-2</v>
      </c>
    </row>
    <row r="161" spans="1:31" ht="12.95">
      <c r="A161" s="97"/>
      <c r="B161" s="97">
        <v>58</v>
      </c>
      <c r="C161" s="98">
        <v>34212</v>
      </c>
      <c r="D161" s="99">
        <v>6653</v>
      </c>
      <c r="E161" s="85">
        <v>6903.9169750231267</v>
      </c>
      <c r="F161" s="89">
        <f t="shared" si="36"/>
        <v>250.91697502312672</v>
      </c>
      <c r="G161" s="105">
        <f t="shared" si="37"/>
        <v>3.7714861719994996E-2</v>
      </c>
      <c r="I161" s="97"/>
      <c r="J161" s="97">
        <v>58</v>
      </c>
      <c r="K161" s="98">
        <v>34212</v>
      </c>
      <c r="L161" s="99">
        <v>6653</v>
      </c>
      <c r="M161" s="85">
        <v>6904.8653390926929</v>
      </c>
      <c r="N161" s="89">
        <f t="shared" si="38"/>
        <v>251.86533909269292</v>
      </c>
      <c r="O161" s="105">
        <f t="shared" si="39"/>
        <v>3.7857408551434379E-2</v>
      </c>
      <c r="Q161" s="97"/>
      <c r="R161" s="97">
        <v>58</v>
      </c>
      <c r="S161" s="98">
        <v>34212</v>
      </c>
      <c r="T161" s="99">
        <v>6653</v>
      </c>
      <c r="U161" s="85">
        <v>6819.6772249678806</v>
      </c>
      <c r="V161" s="89">
        <f t="shared" si="40"/>
        <v>166.67722496788065</v>
      </c>
      <c r="W161" s="100">
        <f t="shared" si="41"/>
        <v>2.5052942276849639E-2</v>
      </c>
      <c r="Y161" s="96" t="s">
        <v>163</v>
      </c>
      <c r="Z161" s="97">
        <v>58</v>
      </c>
      <c r="AA161" s="98">
        <v>34212</v>
      </c>
      <c r="AB161" s="99">
        <v>6653</v>
      </c>
      <c r="AC161" s="85">
        <v>6732.8363971645222</v>
      </c>
      <c r="AD161" s="89">
        <f>AC161-$D161</f>
        <v>79.836397164522168</v>
      </c>
      <c r="AE161" s="105">
        <f>ABS(AD161/$D161)</f>
        <v>1.2000059697057293E-2</v>
      </c>
    </row>
    <row r="162" spans="1:31" ht="12.95">
      <c r="A162" s="97"/>
      <c r="B162" s="97">
        <v>59</v>
      </c>
      <c r="C162" s="98">
        <v>34242</v>
      </c>
      <c r="D162" s="99">
        <v>6725</v>
      </c>
      <c r="E162" s="85">
        <v>6963.3037696577248</v>
      </c>
      <c r="F162" s="89">
        <f t="shared" si="36"/>
        <v>238.30376965772484</v>
      </c>
      <c r="G162" s="100">
        <f t="shared" si="37"/>
        <v>3.5435504781817818E-2</v>
      </c>
      <c r="I162" s="97"/>
      <c r="J162" s="97">
        <v>59</v>
      </c>
      <c r="K162" s="98">
        <v>34242</v>
      </c>
      <c r="L162" s="99">
        <v>6725</v>
      </c>
      <c r="M162" s="85">
        <v>6921.4777471572497</v>
      </c>
      <c r="N162" s="89">
        <f t="shared" si="38"/>
        <v>196.47774715724972</v>
      </c>
      <c r="O162" s="100">
        <f t="shared" si="39"/>
        <v>2.9216021882118918E-2</v>
      </c>
      <c r="Q162" s="97"/>
      <c r="R162" s="97">
        <v>59</v>
      </c>
      <c r="S162" s="98">
        <v>34242</v>
      </c>
      <c r="T162" s="99">
        <v>6725</v>
      </c>
      <c r="U162" s="85">
        <v>6834.6897697587538</v>
      </c>
      <c r="V162" s="89">
        <f t="shared" si="40"/>
        <v>109.68976975875376</v>
      </c>
      <c r="W162" s="105">
        <f t="shared" si="41"/>
        <v>1.6310746432528441E-2</v>
      </c>
      <c r="Y162" s="96" t="s">
        <v>161</v>
      </c>
      <c r="Z162" s="97">
        <v>59</v>
      </c>
      <c r="AA162" s="98">
        <v>34242</v>
      </c>
      <c r="AB162" s="99">
        <v>6725</v>
      </c>
      <c r="AC162" s="85">
        <v>6746.1608619946574</v>
      </c>
      <c r="AD162" s="89">
        <f>AC162-$D162</f>
        <v>21.160861994657353</v>
      </c>
      <c r="AE162" s="105">
        <f>ABS(AD162/$D162)</f>
        <v>3.146596579131205E-3</v>
      </c>
    </row>
    <row r="163" spans="1:31">
      <c r="G163" s="105"/>
      <c r="O163" s="105"/>
      <c r="W163" s="105"/>
      <c r="AE163" s="105"/>
    </row>
    <row r="164" spans="1:31" ht="12.95">
      <c r="F164" s="89">
        <f>AVERAGE(F151:F162)</f>
        <v>434.84306583410427</v>
      </c>
      <c r="G164" s="111">
        <f>AVERAGE(G151:G162)</f>
        <v>7.0751605835986553E-2</v>
      </c>
      <c r="U164" s="83"/>
      <c r="AC164" s="83"/>
    </row>
    <row r="165" spans="1:31">
      <c r="U165" s="83"/>
      <c r="AC165" s="83"/>
    </row>
    <row r="166" spans="1:31">
      <c r="F166" s="95" t="str">
        <f ca="1">_xlfn.FORMULATEXT(G166)</f>
        <v>=MAX(G151:G162)</v>
      </c>
      <c r="G166" s="105">
        <f>MAX(G151:G162)</f>
        <v>0.11041053180111181</v>
      </c>
      <c r="I166" s="95"/>
      <c r="U166" s="83"/>
      <c r="AC166" s="83"/>
    </row>
    <row r="167" spans="1:31">
      <c r="F167" s="95" t="str">
        <f ca="1">_xlfn.FORMULATEXT(G167)</f>
        <v>=MIN(G151:G162)</v>
      </c>
      <c r="G167" s="105">
        <f>MIN(G151:G162)</f>
        <v>3.5435504781817818E-2</v>
      </c>
      <c r="U167" s="83"/>
      <c r="AC167" s="83"/>
    </row>
    <row r="172" spans="1:31" ht="12.95">
      <c r="C172" s="84" t="s">
        <v>149</v>
      </c>
      <c r="L172" s="84"/>
      <c r="M172" s="84" t="s">
        <v>149</v>
      </c>
      <c r="T172" s="84" t="s">
        <v>149</v>
      </c>
      <c r="AB172" s="84" t="s">
        <v>149</v>
      </c>
    </row>
    <row r="173" spans="1:31" ht="12.95">
      <c r="C173" s="84" t="s">
        <v>172</v>
      </c>
      <c r="M173" s="84" t="s">
        <v>172</v>
      </c>
      <c r="T173" s="84" t="s">
        <v>172</v>
      </c>
      <c r="AB173" s="84" t="s">
        <v>172</v>
      </c>
    </row>
    <row r="174" spans="1:31" ht="12.95">
      <c r="K174" s="84"/>
      <c r="S174" s="84"/>
      <c r="AA174" s="84"/>
    </row>
    <row r="175" spans="1:31" ht="12.95">
      <c r="C175" s="84"/>
      <c r="F175" s="86" t="s">
        <v>151</v>
      </c>
      <c r="G175" s="86" t="s">
        <v>152</v>
      </c>
      <c r="K175" s="84"/>
      <c r="N175" s="86" t="s">
        <v>151</v>
      </c>
      <c r="O175" s="86" t="s">
        <v>152</v>
      </c>
      <c r="S175" s="84"/>
      <c r="V175" s="86" t="s">
        <v>151</v>
      </c>
      <c r="W175" s="86" t="s">
        <v>152</v>
      </c>
      <c r="AA175" s="84"/>
      <c r="AD175" s="86" t="s">
        <v>151</v>
      </c>
      <c r="AE175" s="86" t="s">
        <v>152</v>
      </c>
    </row>
    <row r="176" spans="1:31">
      <c r="B176" s="87" t="s">
        <v>154</v>
      </c>
      <c r="C176" s="87" t="s">
        <v>147</v>
      </c>
      <c r="D176" s="87" t="s">
        <v>0</v>
      </c>
      <c r="E176" s="85" t="s">
        <v>96</v>
      </c>
      <c r="F176" s="85" t="s">
        <v>96</v>
      </c>
      <c r="G176" s="85" t="s">
        <v>96</v>
      </c>
      <c r="J176" s="87" t="s">
        <v>154</v>
      </c>
      <c r="K176" s="87" t="s">
        <v>147</v>
      </c>
      <c r="L176" s="87" t="s">
        <v>0</v>
      </c>
      <c r="M176" s="85" t="s">
        <v>96</v>
      </c>
      <c r="N176" s="85" t="s">
        <v>96</v>
      </c>
      <c r="O176" s="85" t="s">
        <v>96</v>
      </c>
      <c r="R176" s="87" t="s">
        <v>154</v>
      </c>
      <c r="S176" s="87" t="s">
        <v>147</v>
      </c>
      <c r="T176" s="87" t="s">
        <v>0</v>
      </c>
      <c r="U176" s="85" t="s">
        <v>96</v>
      </c>
      <c r="V176" s="85" t="s">
        <v>96</v>
      </c>
      <c r="W176" s="85" t="s">
        <v>96</v>
      </c>
      <c r="Z176" s="87" t="s">
        <v>154</v>
      </c>
      <c r="AA176" s="87" t="s">
        <v>147</v>
      </c>
      <c r="AB176" s="87" t="s">
        <v>0</v>
      </c>
      <c r="AC176" s="85" t="s">
        <v>96</v>
      </c>
      <c r="AD176" s="85" t="s">
        <v>96</v>
      </c>
      <c r="AE176" s="85" t="s">
        <v>96</v>
      </c>
    </row>
    <row r="177" spans="1:31">
      <c r="B177" s="83">
        <v>44</v>
      </c>
      <c r="C177" s="88">
        <v>33785</v>
      </c>
      <c r="D177" s="89">
        <v>5975</v>
      </c>
      <c r="J177" s="83">
        <f>B177</f>
        <v>44</v>
      </c>
      <c r="K177" s="88">
        <v>33785</v>
      </c>
      <c r="L177" s="89">
        <v>5975</v>
      </c>
      <c r="R177" s="83">
        <v>44</v>
      </c>
      <c r="S177" s="88">
        <v>33785</v>
      </c>
      <c r="T177" s="89">
        <v>5975</v>
      </c>
      <c r="Z177" s="83">
        <v>44</v>
      </c>
      <c r="AA177" s="88">
        <v>33785</v>
      </c>
      <c r="AB177" s="89">
        <v>5975</v>
      </c>
    </row>
    <row r="178" spans="1:31" ht="12.95">
      <c r="B178" s="83">
        <v>45</v>
      </c>
      <c r="C178" s="88">
        <v>33816</v>
      </c>
      <c r="D178" s="89">
        <v>5985</v>
      </c>
      <c r="E178" s="90" t="s">
        <v>155</v>
      </c>
      <c r="J178" s="83">
        <v>45</v>
      </c>
      <c r="K178" s="88">
        <v>33816</v>
      </c>
      <c r="L178" s="89">
        <v>5985</v>
      </c>
      <c r="R178" s="83">
        <v>45</v>
      </c>
      <c r="S178" s="88">
        <v>33816</v>
      </c>
      <c r="T178" s="89">
        <v>5985</v>
      </c>
      <c r="Z178" s="83">
        <v>45</v>
      </c>
      <c r="AA178" s="88">
        <v>33816</v>
      </c>
      <c r="AB178" s="89">
        <v>5985</v>
      </c>
    </row>
    <row r="179" spans="1:31" ht="12.95">
      <c r="B179" s="83">
        <v>46</v>
      </c>
      <c r="C179" s="88">
        <v>33847</v>
      </c>
      <c r="D179" s="89">
        <v>6029</v>
      </c>
      <c r="E179" s="90" t="s">
        <v>156</v>
      </c>
      <c r="J179" s="83">
        <v>46</v>
      </c>
      <c r="K179" s="88">
        <v>33847</v>
      </c>
      <c r="L179" s="89">
        <v>6029</v>
      </c>
      <c r="R179" s="83">
        <v>46</v>
      </c>
      <c r="S179" s="88">
        <v>33847</v>
      </c>
      <c r="T179" s="89">
        <v>6029</v>
      </c>
      <c r="Z179" s="83">
        <v>46</v>
      </c>
      <c r="AA179" s="88">
        <v>33847</v>
      </c>
      <c r="AB179" s="89">
        <v>6029</v>
      </c>
    </row>
    <row r="180" spans="1:31" ht="12.95">
      <c r="A180" s="91" t="s">
        <v>155</v>
      </c>
      <c r="B180" s="92">
        <v>47</v>
      </c>
      <c r="C180" s="93">
        <v>33877</v>
      </c>
      <c r="D180" s="94">
        <v>6024</v>
      </c>
      <c r="I180" s="95"/>
      <c r="J180" s="83">
        <v>47</v>
      </c>
      <c r="K180" s="88">
        <v>33877</v>
      </c>
      <c r="L180" s="89">
        <v>6024</v>
      </c>
      <c r="M180" s="90" t="s">
        <v>155</v>
      </c>
      <c r="Q180" s="95"/>
      <c r="R180" s="83">
        <v>47</v>
      </c>
      <c r="S180" s="88">
        <v>33877</v>
      </c>
      <c r="T180" s="89">
        <v>6024</v>
      </c>
      <c r="Y180" s="95"/>
      <c r="Z180" s="83">
        <v>47</v>
      </c>
      <c r="AA180" s="88">
        <v>33877</v>
      </c>
      <c r="AB180" s="89">
        <v>6024</v>
      </c>
    </row>
    <row r="181" spans="1:31" ht="12.95">
      <c r="A181" s="96" t="s">
        <v>157</v>
      </c>
      <c r="B181" s="97">
        <v>48</v>
      </c>
      <c r="C181" s="98">
        <v>33908</v>
      </c>
      <c r="D181" s="99">
        <v>6036</v>
      </c>
      <c r="E181" s="85">
        <v>6099.7044872198449</v>
      </c>
      <c r="F181" s="89">
        <f t="shared" ref="F181:F192" si="42">E181-$D181</f>
        <v>63.70448721984485</v>
      </c>
      <c r="G181" s="100">
        <f t="shared" ref="G181:G192" si="43">ABS(F181/$D181)</f>
        <v>1.0554089996660843E-2</v>
      </c>
      <c r="I181" s="101" t="s">
        <v>158</v>
      </c>
      <c r="J181" s="102">
        <v>48</v>
      </c>
      <c r="K181" s="103">
        <v>33908</v>
      </c>
      <c r="L181" s="104">
        <v>6036</v>
      </c>
      <c r="M181" s="90" t="s">
        <v>159</v>
      </c>
      <c r="N181" s="89"/>
      <c r="Q181" s="101" t="s">
        <v>158</v>
      </c>
      <c r="R181" s="102">
        <v>48</v>
      </c>
      <c r="S181" s="103">
        <v>33908</v>
      </c>
      <c r="T181" s="104">
        <v>6036</v>
      </c>
      <c r="V181" s="89"/>
      <c r="Y181" s="101" t="s">
        <v>158</v>
      </c>
      <c r="Z181" s="102">
        <v>48</v>
      </c>
      <c r="AA181" s="103">
        <v>33908</v>
      </c>
      <c r="AB181" s="104">
        <v>6036</v>
      </c>
      <c r="AD181" s="89"/>
    </row>
    <row r="182" spans="1:31" ht="12.95">
      <c r="A182" s="96" t="s">
        <v>160</v>
      </c>
      <c r="B182" s="97">
        <v>49</v>
      </c>
      <c r="C182" s="98">
        <v>33938</v>
      </c>
      <c r="D182" s="99">
        <v>6026</v>
      </c>
      <c r="E182" s="85">
        <v>6088.1578419077514</v>
      </c>
      <c r="F182" s="89">
        <f t="shared" si="42"/>
        <v>62.15784190775139</v>
      </c>
      <c r="G182" s="105">
        <f t="shared" si="43"/>
        <v>1.0314942234940489E-2</v>
      </c>
      <c r="I182" s="101" t="s">
        <v>161</v>
      </c>
      <c r="J182" s="102">
        <v>49</v>
      </c>
      <c r="K182" s="103">
        <v>33938</v>
      </c>
      <c r="L182" s="104">
        <v>6026</v>
      </c>
      <c r="M182" s="106" t="s">
        <v>162</v>
      </c>
      <c r="N182" s="89"/>
      <c r="Q182" s="101" t="s">
        <v>161</v>
      </c>
      <c r="R182" s="102">
        <v>49</v>
      </c>
      <c r="S182" s="103">
        <v>33938</v>
      </c>
      <c r="T182" s="104">
        <v>6026</v>
      </c>
      <c r="U182" s="107"/>
      <c r="V182" s="89"/>
      <c r="Y182" s="101" t="s">
        <v>161</v>
      </c>
      <c r="Z182" s="102">
        <v>49</v>
      </c>
      <c r="AA182" s="103">
        <v>33938</v>
      </c>
      <c r="AB182" s="104">
        <v>6026</v>
      </c>
      <c r="AC182" s="107"/>
      <c r="AD182" s="89"/>
    </row>
    <row r="183" spans="1:31" ht="12.95">
      <c r="A183" s="96" t="s">
        <v>163</v>
      </c>
      <c r="B183" s="97">
        <v>50</v>
      </c>
      <c r="C183" s="98">
        <v>33969</v>
      </c>
      <c r="D183" s="99">
        <v>6021</v>
      </c>
      <c r="E183" s="85">
        <v>6079.8833664319318</v>
      </c>
      <c r="F183" s="89">
        <f t="shared" si="42"/>
        <v>58.88336643193179</v>
      </c>
      <c r="G183" s="105">
        <f t="shared" si="43"/>
        <v>9.7796655758066418E-3</v>
      </c>
      <c r="I183" s="91" t="s">
        <v>155</v>
      </c>
      <c r="J183" s="92">
        <v>50</v>
      </c>
      <c r="K183" s="108">
        <v>33969</v>
      </c>
      <c r="L183" s="109">
        <v>6021</v>
      </c>
      <c r="N183" s="89"/>
      <c r="Q183" s="110"/>
      <c r="R183" s="102">
        <v>50</v>
      </c>
      <c r="S183" s="103">
        <v>33969</v>
      </c>
      <c r="T183" s="104">
        <v>6021</v>
      </c>
      <c r="U183" s="90" t="s">
        <v>155</v>
      </c>
      <c r="V183" s="89"/>
      <c r="Y183" s="110"/>
      <c r="Z183" s="102">
        <v>50</v>
      </c>
      <c r="AA183" s="103">
        <v>33969</v>
      </c>
      <c r="AB183" s="104">
        <v>6021</v>
      </c>
      <c r="AD183" s="89"/>
    </row>
    <row r="184" spans="1:31" ht="12.95">
      <c r="A184" s="96" t="s">
        <v>161</v>
      </c>
      <c r="B184" s="97">
        <v>51</v>
      </c>
      <c r="C184" s="98">
        <v>34000</v>
      </c>
      <c r="D184" s="99">
        <v>5996</v>
      </c>
      <c r="E184" s="85">
        <v>6082.8560245714716</v>
      </c>
      <c r="F184" s="89">
        <f t="shared" si="42"/>
        <v>86.856024571471607</v>
      </c>
      <c r="G184" s="105">
        <f t="shared" si="43"/>
        <v>1.4485661202713744E-2</v>
      </c>
      <c r="I184" s="96"/>
      <c r="J184" s="97">
        <v>51</v>
      </c>
      <c r="K184" s="98">
        <v>34000</v>
      </c>
      <c r="L184" s="99">
        <v>5996</v>
      </c>
      <c r="M184" s="85">
        <v>6035.626542122518</v>
      </c>
      <c r="N184" s="89">
        <f>M184-$D184</f>
        <v>39.626542122518003</v>
      </c>
      <c r="O184" s="100">
        <f>ABS(N184/$D184)</f>
        <v>6.6088295734686459E-3</v>
      </c>
      <c r="Q184" s="101"/>
      <c r="R184" s="102">
        <v>51</v>
      </c>
      <c r="S184" s="103">
        <v>34000</v>
      </c>
      <c r="T184" s="104">
        <v>5996</v>
      </c>
      <c r="U184" s="90" t="s">
        <v>164</v>
      </c>
      <c r="V184" s="89"/>
      <c r="W184" s="105"/>
      <c r="Y184" s="101"/>
      <c r="Z184" s="102">
        <v>51</v>
      </c>
      <c r="AA184" s="103">
        <v>34000</v>
      </c>
      <c r="AB184" s="104">
        <v>5996</v>
      </c>
      <c r="AD184" s="89"/>
      <c r="AE184" s="105"/>
    </row>
    <row r="185" spans="1:31" ht="12.95">
      <c r="A185" s="97"/>
      <c r="B185" s="97">
        <v>52</v>
      </c>
      <c r="C185" s="98">
        <v>34028</v>
      </c>
      <c r="D185" s="99">
        <v>6026</v>
      </c>
      <c r="E185" s="85">
        <v>6127.8811570977241</v>
      </c>
      <c r="F185" s="89">
        <f t="shared" si="42"/>
        <v>101.8811570977241</v>
      </c>
      <c r="G185" s="100">
        <f t="shared" si="43"/>
        <v>1.6906929488503832E-2</v>
      </c>
      <c r="I185" s="97"/>
      <c r="J185" s="97">
        <v>52</v>
      </c>
      <c r="K185" s="98">
        <v>34028</v>
      </c>
      <c r="L185" s="99">
        <v>6026</v>
      </c>
      <c r="M185" s="85">
        <v>6188.5751374214678</v>
      </c>
      <c r="N185" s="89">
        <f>M185-$D185</f>
        <v>162.57513742146784</v>
      </c>
      <c r="O185" s="105">
        <f>ABS(N185/$D185)</f>
        <v>2.6978947464564858E-2</v>
      </c>
      <c r="Q185" s="102"/>
      <c r="R185" s="102">
        <v>52</v>
      </c>
      <c r="S185" s="103">
        <v>34028</v>
      </c>
      <c r="T185" s="104">
        <v>6026</v>
      </c>
      <c r="U185" s="106" t="s">
        <v>162</v>
      </c>
      <c r="V185" s="89"/>
      <c r="W185" s="105"/>
      <c r="Y185" s="102"/>
      <c r="Z185" s="102">
        <v>52</v>
      </c>
      <c r="AA185" s="103">
        <v>34028</v>
      </c>
      <c r="AB185" s="104">
        <v>6026</v>
      </c>
      <c r="AD185" s="89"/>
      <c r="AE185" s="105"/>
    </row>
    <row r="186" spans="1:31" ht="12.95">
      <c r="A186" s="97"/>
      <c r="B186" s="97">
        <v>53</v>
      </c>
      <c r="C186" s="98">
        <v>34059</v>
      </c>
      <c r="D186" s="99">
        <v>6094</v>
      </c>
      <c r="E186" s="85">
        <v>6209.5132260608043</v>
      </c>
      <c r="F186" s="89">
        <f t="shared" si="42"/>
        <v>115.5132260608043</v>
      </c>
      <c r="G186" s="105">
        <f t="shared" si="43"/>
        <v>1.8955238933509075E-2</v>
      </c>
      <c r="I186" s="97"/>
      <c r="J186" s="97">
        <v>53</v>
      </c>
      <c r="K186" s="98">
        <v>34059</v>
      </c>
      <c r="L186" s="99">
        <v>6094</v>
      </c>
      <c r="M186" s="85">
        <v>6269.2286247107131</v>
      </c>
      <c r="N186" s="89">
        <f>M186-$D186</f>
        <v>175.22862471071312</v>
      </c>
      <c r="O186" s="105">
        <f>ABS(N186/$D186)</f>
        <v>2.8754286956139338E-2</v>
      </c>
      <c r="Q186" s="91" t="s">
        <v>155</v>
      </c>
      <c r="R186" s="92">
        <v>53</v>
      </c>
      <c r="S186" s="108">
        <v>34059</v>
      </c>
      <c r="T186" s="109">
        <v>6094</v>
      </c>
      <c r="V186" s="89"/>
      <c r="W186" s="105"/>
      <c r="Y186" s="110"/>
      <c r="Z186" s="102">
        <v>53</v>
      </c>
      <c r="AA186" s="103">
        <v>34059</v>
      </c>
      <c r="AB186" s="104">
        <v>6094</v>
      </c>
      <c r="AC186" s="90" t="s">
        <v>155</v>
      </c>
      <c r="AD186" s="89"/>
      <c r="AE186" s="105"/>
    </row>
    <row r="187" spans="1:31" ht="12.95">
      <c r="A187" s="97"/>
      <c r="B187" s="97">
        <v>54</v>
      </c>
      <c r="C187" s="98">
        <v>34089</v>
      </c>
      <c r="D187" s="99">
        <v>6083</v>
      </c>
      <c r="E187" s="85">
        <v>6151.9996934098754</v>
      </c>
      <c r="F187" s="89">
        <f t="shared" si="42"/>
        <v>68.999693409875363</v>
      </c>
      <c r="G187" s="105">
        <f t="shared" si="43"/>
        <v>1.1343036891316022E-2</v>
      </c>
      <c r="I187" s="96" t="s">
        <v>157</v>
      </c>
      <c r="J187" s="97">
        <v>54</v>
      </c>
      <c r="K187" s="98">
        <v>34089</v>
      </c>
      <c r="L187" s="99">
        <v>6083</v>
      </c>
      <c r="M187" s="85">
        <v>6209.3919437302002</v>
      </c>
      <c r="N187" s="89">
        <f>M187-$D187</f>
        <v>126.39194373020018</v>
      </c>
      <c r="O187" s="105">
        <f>ABS(N187/$D187)</f>
        <v>2.0777896388328158E-2</v>
      </c>
      <c r="Q187" s="96" t="s">
        <v>157</v>
      </c>
      <c r="R187" s="97">
        <v>54</v>
      </c>
      <c r="S187" s="98">
        <v>34089</v>
      </c>
      <c r="T187" s="99">
        <v>6083</v>
      </c>
      <c r="U187" s="85">
        <v>6267.8520062726539</v>
      </c>
      <c r="V187" s="89">
        <f>U187-$D187</f>
        <v>184.85200627265385</v>
      </c>
      <c r="W187" s="100">
        <f>ABS(V187/$D187)</f>
        <v>3.0388296280232426E-2</v>
      </c>
      <c r="Y187" s="101"/>
      <c r="Z187" s="102">
        <v>54</v>
      </c>
      <c r="AA187" s="103">
        <v>34089</v>
      </c>
      <c r="AB187" s="104">
        <v>6083</v>
      </c>
      <c r="AC187" s="90" t="s">
        <v>165</v>
      </c>
    </row>
    <row r="188" spans="1:31" ht="12.95">
      <c r="A188" s="97"/>
      <c r="B188" s="97">
        <v>55</v>
      </c>
      <c r="C188" s="98">
        <v>34120</v>
      </c>
      <c r="D188" s="99">
        <v>6057</v>
      </c>
      <c r="E188" s="85">
        <v>6262.9291114841844</v>
      </c>
      <c r="F188" s="89">
        <f t="shared" si="42"/>
        <v>205.92911148418443</v>
      </c>
      <c r="G188" s="105">
        <f t="shared" si="43"/>
        <v>3.3998532521740864E-2</v>
      </c>
      <c r="I188" s="96" t="s">
        <v>160</v>
      </c>
      <c r="J188" s="97">
        <v>55</v>
      </c>
      <c r="K188" s="98">
        <v>34120</v>
      </c>
      <c r="L188" s="99">
        <v>6057</v>
      </c>
      <c r="M188" s="85">
        <v>6319.5547691719248</v>
      </c>
      <c r="N188" s="89">
        <f>M188-$D188</f>
        <v>262.55476917192482</v>
      </c>
      <c r="O188" s="100">
        <f>ABS(N188/$D188)</f>
        <v>4.3347328573869047E-2</v>
      </c>
      <c r="Q188" s="96" t="s">
        <v>160</v>
      </c>
      <c r="R188" s="97">
        <v>55</v>
      </c>
      <c r="S188" s="98">
        <v>34120</v>
      </c>
      <c r="T188" s="99">
        <v>6057</v>
      </c>
      <c r="U188" s="85">
        <v>6377.3991726782306</v>
      </c>
      <c r="V188" s="89">
        <f>U188-$D188</f>
        <v>320.39917267823057</v>
      </c>
      <c r="W188" s="105">
        <f>ABS(V188/$D188)</f>
        <v>5.2897337407665605E-2</v>
      </c>
      <c r="Y188" s="101"/>
      <c r="Z188" s="102">
        <v>55</v>
      </c>
      <c r="AA188" s="103">
        <v>34120</v>
      </c>
      <c r="AB188" s="104">
        <v>6057</v>
      </c>
      <c r="AC188" s="106" t="s">
        <v>162</v>
      </c>
    </row>
    <row r="189" spans="1:31" ht="12.95">
      <c r="A189" s="97"/>
      <c r="B189" s="97">
        <v>56</v>
      </c>
      <c r="C189" s="98">
        <v>34150</v>
      </c>
      <c r="D189" s="99">
        <v>6198</v>
      </c>
      <c r="E189" s="85">
        <v>6472.7055697225533</v>
      </c>
      <c r="F189" s="89">
        <f t="shared" si="42"/>
        <v>274.70556972255326</v>
      </c>
      <c r="G189" s="100">
        <f t="shared" si="43"/>
        <v>4.4321647260818532E-2</v>
      </c>
      <c r="I189" s="96" t="s">
        <v>163</v>
      </c>
      <c r="J189" s="97">
        <v>56</v>
      </c>
      <c r="K189" s="98">
        <v>34150</v>
      </c>
      <c r="L189" s="99">
        <v>6198</v>
      </c>
      <c r="M189" s="85">
        <v>6529.3666338875173</v>
      </c>
      <c r="N189" s="89">
        <f t="shared" ref="N189:N192" si="44">M189-$D189</f>
        <v>331.36663388751731</v>
      </c>
      <c r="O189" s="105">
        <f t="shared" ref="O189:O192" si="45">ABS(N189/$D189)</f>
        <v>5.3463477555262554E-2</v>
      </c>
      <c r="Q189" s="96" t="s">
        <v>163</v>
      </c>
      <c r="R189" s="97">
        <v>56</v>
      </c>
      <c r="S189" s="98">
        <v>34150</v>
      </c>
      <c r="T189" s="99">
        <v>6198</v>
      </c>
      <c r="U189" s="85">
        <v>6587.4242461692611</v>
      </c>
      <c r="V189" s="89">
        <f t="shared" ref="V189:V192" si="46">U189-$D189</f>
        <v>389.4242461692611</v>
      </c>
      <c r="W189" s="105">
        <f t="shared" ref="W189:W192" si="47">ABS(V189/$D189)</f>
        <v>6.2830630230600371E-2</v>
      </c>
      <c r="Y189" s="91" t="s">
        <v>155</v>
      </c>
      <c r="Z189" s="92">
        <v>56</v>
      </c>
      <c r="AA189" s="108">
        <v>34150</v>
      </c>
      <c r="AB189" s="109">
        <v>6198</v>
      </c>
    </row>
    <row r="190" spans="1:31" ht="12.95">
      <c r="A190" s="97"/>
      <c r="B190" s="97">
        <v>57</v>
      </c>
      <c r="C190" s="98">
        <v>34181</v>
      </c>
      <c r="D190" s="99">
        <v>6507</v>
      </c>
      <c r="E190" s="85">
        <v>6560.3660505501612</v>
      </c>
      <c r="F190" s="89">
        <f t="shared" si="42"/>
        <v>53.366050550161162</v>
      </c>
      <c r="G190" s="105">
        <f t="shared" si="43"/>
        <v>8.2013294221855177E-3</v>
      </c>
      <c r="I190" s="96" t="s">
        <v>161</v>
      </c>
      <c r="J190" s="97">
        <v>57</v>
      </c>
      <c r="K190" s="98">
        <v>34181</v>
      </c>
      <c r="L190" s="99">
        <v>6507</v>
      </c>
      <c r="M190" s="85">
        <v>6615.9085445648016</v>
      </c>
      <c r="N190" s="89">
        <f t="shared" si="44"/>
        <v>108.90854456480156</v>
      </c>
      <c r="O190" s="105">
        <f t="shared" si="45"/>
        <v>1.6737136094175743E-2</v>
      </c>
      <c r="Q190" s="96" t="s">
        <v>161</v>
      </c>
      <c r="R190" s="97">
        <v>57</v>
      </c>
      <c r="S190" s="98">
        <v>34181</v>
      </c>
      <c r="T190" s="99">
        <v>6507</v>
      </c>
      <c r="U190" s="85">
        <v>6673.0062376666419</v>
      </c>
      <c r="V190" s="89">
        <f t="shared" si="46"/>
        <v>166.00623766664194</v>
      </c>
      <c r="W190" s="105">
        <f t="shared" si="47"/>
        <v>2.5511946775263861E-2</v>
      </c>
      <c r="Y190" s="96" t="s">
        <v>166</v>
      </c>
      <c r="Z190" s="97">
        <v>57</v>
      </c>
      <c r="AA190" s="98">
        <v>34181</v>
      </c>
      <c r="AB190" s="99">
        <v>6507</v>
      </c>
      <c r="AC190" s="85">
        <v>6669.2865954338686</v>
      </c>
      <c r="AD190" s="89">
        <f>AC190-$D190</f>
        <v>162.28659543386857</v>
      </c>
      <c r="AE190" s="100">
        <f>ABS(AD190/$D190)</f>
        <v>2.494030973319019E-2</v>
      </c>
    </row>
    <row r="191" spans="1:31" ht="12.95">
      <c r="A191" s="97"/>
      <c r="B191" s="97">
        <v>58</v>
      </c>
      <c r="C191" s="98">
        <v>34212</v>
      </c>
      <c r="D191" s="99">
        <v>6653</v>
      </c>
      <c r="E191" s="85">
        <v>6557.8891773829546</v>
      </c>
      <c r="F191" s="89">
        <f t="shared" si="42"/>
        <v>-95.110822617045415</v>
      </c>
      <c r="G191" s="105">
        <f t="shared" si="43"/>
        <v>1.4295930049157586E-2</v>
      </c>
      <c r="I191" s="97"/>
      <c r="J191" s="97">
        <v>58</v>
      </c>
      <c r="K191" s="98">
        <v>34212</v>
      </c>
      <c r="L191" s="99">
        <v>6653</v>
      </c>
      <c r="M191" s="85">
        <v>6611.5260141067411</v>
      </c>
      <c r="N191" s="89">
        <f t="shared" si="44"/>
        <v>-41.473985893258941</v>
      </c>
      <c r="O191" s="105">
        <f t="shared" si="45"/>
        <v>6.2338773325205082E-3</v>
      </c>
      <c r="Q191" s="97"/>
      <c r="R191" s="97">
        <v>58</v>
      </c>
      <c r="S191" s="98">
        <v>34212</v>
      </c>
      <c r="T191" s="99">
        <v>6653</v>
      </c>
      <c r="U191" s="85">
        <v>6666.8580480349428</v>
      </c>
      <c r="V191" s="89">
        <f t="shared" si="46"/>
        <v>13.85804803494284</v>
      </c>
      <c r="W191" s="100">
        <f t="shared" si="47"/>
        <v>2.0829773087243106E-3</v>
      </c>
      <c r="Y191" s="96" t="s">
        <v>163</v>
      </c>
      <c r="Z191" s="97">
        <v>58</v>
      </c>
      <c r="AA191" s="98">
        <v>34212</v>
      </c>
      <c r="AB191" s="99">
        <v>6653</v>
      </c>
      <c r="AC191" s="85">
        <v>6659.7968619200974</v>
      </c>
      <c r="AD191" s="89">
        <f>AC191-$D191</f>
        <v>6.796861920097399</v>
      </c>
      <c r="AE191" s="105">
        <f>ABS(AD191/$D191)</f>
        <v>1.0216236164282879E-3</v>
      </c>
    </row>
    <row r="192" spans="1:31" ht="12.95">
      <c r="A192" s="97"/>
      <c r="B192" s="97">
        <v>59</v>
      </c>
      <c r="C192" s="98">
        <v>34242</v>
      </c>
      <c r="D192" s="99">
        <v>6725</v>
      </c>
      <c r="E192" s="85">
        <v>6560.3874378515347</v>
      </c>
      <c r="F192" s="89">
        <f t="shared" si="42"/>
        <v>-164.61256214846526</v>
      </c>
      <c r="G192" s="100">
        <f t="shared" si="43"/>
        <v>2.4477704408693717E-2</v>
      </c>
      <c r="I192" s="97"/>
      <c r="J192" s="97">
        <v>59</v>
      </c>
      <c r="K192" s="98">
        <v>34242</v>
      </c>
      <c r="L192" s="99">
        <v>6725</v>
      </c>
      <c r="M192" s="85">
        <v>6612.1598399525956</v>
      </c>
      <c r="N192" s="89">
        <f t="shared" si="44"/>
        <v>-112.84016004740442</v>
      </c>
      <c r="O192" s="100">
        <f t="shared" si="45"/>
        <v>1.6779205955004376E-2</v>
      </c>
      <c r="Q192" s="97"/>
      <c r="R192" s="97">
        <v>59</v>
      </c>
      <c r="S192" s="98">
        <v>34242</v>
      </c>
      <c r="T192" s="99">
        <v>6725</v>
      </c>
      <c r="U192" s="85">
        <v>6665.7696241261146</v>
      </c>
      <c r="V192" s="89">
        <f t="shared" si="46"/>
        <v>-59.23037587388535</v>
      </c>
      <c r="W192" s="105">
        <f t="shared" si="47"/>
        <v>8.8074908362654799E-3</v>
      </c>
      <c r="Y192" s="96" t="s">
        <v>161</v>
      </c>
      <c r="Z192" s="97">
        <v>59</v>
      </c>
      <c r="AA192" s="98">
        <v>34242</v>
      </c>
      <c r="AB192" s="99">
        <v>6725</v>
      </c>
      <c r="AC192" s="85">
        <v>6655.3668448643493</v>
      </c>
      <c r="AD192" s="89">
        <f>AC192-$D192</f>
        <v>-69.633155135650668</v>
      </c>
      <c r="AE192" s="105">
        <f>ABS(AD192/$D192)</f>
        <v>1.0354372510877423E-2</v>
      </c>
    </row>
    <row r="193" spans="6:31">
      <c r="G193" s="105"/>
      <c r="O193" s="105"/>
      <c r="W193" s="105"/>
      <c r="AE193" s="105"/>
    </row>
    <row r="194" spans="6:31" ht="12.95">
      <c r="F194" s="89">
        <f>AVERAGE(F181:F192)</f>
        <v>69.356095307565965</v>
      </c>
      <c r="G194" s="111">
        <f>AVERAGE(G181:G192)</f>
        <v>1.8136225665503904E-2</v>
      </c>
      <c r="U194" s="83"/>
      <c r="AC194" s="83"/>
    </row>
    <row r="195" spans="6:31">
      <c r="U195" s="83"/>
      <c r="AC195" s="83"/>
    </row>
    <row r="196" spans="6:31">
      <c r="F196" s="95" t="str">
        <f ca="1">_xlfn.FORMULATEXT(G196)</f>
        <v>=MAX(G181:G192)</v>
      </c>
      <c r="G196" s="105">
        <f>MAX(G181:G192)</f>
        <v>4.4321647260818532E-2</v>
      </c>
      <c r="I196" s="95"/>
      <c r="U196" s="83"/>
      <c r="AC196" s="83"/>
    </row>
    <row r="197" spans="6:31">
      <c r="F197" s="95" t="str">
        <f ca="1">_xlfn.FORMULATEXT(G197)</f>
        <v>=MIN(G181:G192)</v>
      </c>
      <c r="G197" s="105">
        <f>MIN(G181:G192)</f>
        <v>8.2013294221855177E-3</v>
      </c>
      <c r="U197" s="83"/>
      <c r="AC197" s="8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A7758-2455-489A-877D-8202357AAC73}">
  <dimension ref="A3:AE41"/>
  <sheetViews>
    <sheetView tabSelected="1" topLeftCell="A29" zoomScale="80" zoomScaleNormal="80" workbookViewId="0">
      <selection activeCell="H56" sqref="H56"/>
    </sheetView>
  </sheetViews>
  <sheetFormatPr defaultColWidth="8.7109375" defaultRowHeight="17.45"/>
  <cols>
    <col min="1" max="1" width="9.140625" style="115" customWidth="1"/>
    <col min="2" max="2" width="47.42578125" style="115" customWidth="1"/>
    <col min="3" max="3" width="16.42578125" style="115" bestFit="1" customWidth="1"/>
    <col min="4" max="5" width="10.7109375" style="115" customWidth="1"/>
    <col min="6" max="6" width="9.85546875" style="115" bestFit="1" customWidth="1"/>
    <col min="7" max="7" width="9.140625" style="115" customWidth="1"/>
    <col min="8" max="8" width="24.42578125" style="115" bestFit="1" customWidth="1"/>
    <col min="9" max="9" width="9.7109375" style="115" bestFit="1" customWidth="1"/>
    <col min="10" max="10" width="10.7109375" style="115" customWidth="1"/>
    <col min="11" max="11" width="9.140625" style="115" bestFit="1" customWidth="1"/>
    <col min="12" max="12" width="9.7109375" style="115" bestFit="1" customWidth="1"/>
    <col min="13" max="13" width="9.140625" style="115" customWidth="1"/>
    <col min="14" max="14" width="24.42578125" style="116" bestFit="1" customWidth="1"/>
    <col min="15" max="15" width="9.7109375" style="116" bestFit="1" customWidth="1"/>
    <col min="16" max="16" width="10.7109375" style="116" customWidth="1"/>
    <col min="17" max="17" width="8.7109375" style="116"/>
    <col min="18" max="18" width="9.7109375" style="116" bestFit="1" customWidth="1"/>
    <col min="19" max="19" width="8.7109375" style="116"/>
    <col min="20" max="20" width="24.42578125" style="116" customWidth="1"/>
    <col min="21" max="24" width="10.7109375" style="116" customWidth="1"/>
    <col min="25" max="25" width="8.7109375" style="116"/>
    <col min="26" max="26" width="24.42578125" style="116" bestFit="1" customWidth="1"/>
    <col min="27" max="30" width="10.7109375" style="116" customWidth="1"/>
    <col min="31" max="31" width="8.7109375" style="116"/>
    <col min="32" max="32" width="24.42578125" style="116" bestFit="1" customWidth="1"/>
    <col min="33" max="36" width="10.7109375" style="116" customWidth="1"/>
    <col min="37" max="37" width="8.7109375" style="116"/>
    <col min="38" max="38" width="24.42578125" style="116" bestFit="1" customWidth="1"/>
    <col min="39" max="42" width="10.7109375" style="116" customWidth="1"/>
    <col min="43" max="16384" width="8.7109375" style="116"/>
  </cols>
  <sheetData>
    <row r="3" spans="1:30">
      <c r="F3" s="115" t="s">
        <v>173</v>
      </c>
    </row>
    <row r="4" spans="1:30">
      <c r="F4" s="115" t="s">
        <v>174</v>
      </c>
    </row>
    <row r="5" spans="1:30" ht="18" thickBot="1"/>
    <row r="6" spans="1:30" ht="18.600000000000001" thickTop="1">
      <c r="B6" s="117"/>
      <c r="C6" s="118" t="s">
        <v>175</v>
      </c>
      <c r="D6" s="120" t="s">
        <v>176</v>
      </c>
      <c r="E6" s="118"/>
      <c r="F6" s="119"/>
      <c r="H6" s="117"/>
      <c r="I6" s="118" t="s">
        <v>175</v>
      </c>
      <c r="J6" s="120" t="s">
        <v>169</v>
      </c>
      <c r="K6" s="118"/>
      <c r="L6" s="119"/>
      <c r="N6" s="117"/>
      <c r="O6" s="118" t="s">
        <v>175</v>
      </c>
      <c r="P6" s="120" t="s">
        <v>170</v>
      </c>
      <c r="Q6" s="118"/>
      <c r="R6" s="119"/>
      <c r="T6" s="117"/>
      <c r="U6" s="118" t="s">
        <v>175</v>
      </c>
      <c r="V6" s="120" t="s">
        <v>143</v>
      </c>
      <c r="W6" s="118"/>
      <c r="X6" s="119"/>
      <c r="Z6" s="117"/>
      <c r="AA6" s="118" t="s">
        <v>175</v>
      </c>
      <c r="AB6" s="120" t="s">
        <v>130</v>
      </c>
      <c r="AC6" s="118"/>
      <c r="AD6" s="119"/>
    </row>
    <row r="7" spans="1:30">
      <c r="B7" s="122"/>
      <c r="C7" s="123"/>
      <c r="D7" s="123"/>
      <c r="E7" s="123"/>
      <c r="F7" s="124"/>
      <c r="H7" s="122"/>
      <c r="I7" s="123"/>
      <c r="J7" s="123"/>
      <c r="K7" s="123"/>
      <c r="L7" s="124"/>
      <c r="N7" s="122"/>
      <c r="O7" s="123"/>
      <c r="P7" s="123"/>
      <c r="Q7" s="123"/>
      <c r="R7" s="124"/>
      <c r="T7" s="122"/>
      <c r="U7" s="123"/>
      <c r="V7" s="123"/>
      <c r="W7" s="123"/>
      <c r="X7" s="124"/>
      <c r="Z7" s="122"/>
      <c r="AA7" s="123"/>
      <c r="AB7" s="123"/>
      <c r="AC7" s="123"/>
      <c r="AD7" s="124"/>
    </row>
    <row r="8" spans="1:30" ht="18">
      <c r="B8" s="122"/>
      <c r="C8" s="123"/>
      <c r="D8" s="125" t="s">
        <v>177</v>
      </c>
      <c r="E8" s="123"/>
      <c r="F8" s="124"/>
      <c r="H8" s="122"/>
      <c r="I8" s="123"/>
      <c r="J8" s="125" t="s">
        <v>177</v>
      </c>
      <c r="K8" s="123"/>
      <c r="L8" s="124"/>
      <c r="N8" s="122"/>
      <c r="O8" s="123"/>
      <c r="P8" s="125" t="s">
        <v>177</v>
      </c>
      <c r="Q8" s="123"/>
      <c r="R8" s="124"/>
      <c r="T8" s="122"/>
      <c r="U8" s="123"/>
      <c r="V8" s="125" t="s">
        <v>177</v>
      </c>
      <c r="W8" s="123"/>
      <c r="X8" s="124"/>
      <c r="Z8" s="122"/>
      <c r="AA8" s="123"/>
      <c r="AB8" s="125" t="s">
        <v>177</v>
      </c>
      <c r="AC8" s="123"/>
      <c r="AD8" s="124"/>
    </row>
    <row r="9" spans="1:30" ht="18">
      <c r="B9" s="126" t="s">
        <v>178</v>
      </c>
      <c r="C9" s="123" t="s">
        <v>179</v>
      </c>
      <c r="D9" s="123" t="s">
        <v>180</v>
      </c>
      <c r="E9" s="123" t="s">
        <v>181</v>
      </c>
      <c r="F9" s="124" t="s">
        <v>182</v>
      </c>
      <c r="H9" s="126" t="s">
        <v>178</v>
      </c>
      <c r="I9" s="123" t="s">
        <v>179</v>
      </c>
      <c r="J9" s="123" t="s">
        <v>180</v>
      </c>
      <c r="K9" s="123" t="s">
        <v>181</v>
      </c>
      <c r="L9" s="124" t="s">
        <v>182</v>
      </c>
      <c r="N9" s="126" t="s">
        <v>178</v>
      </c>
      <c r="O9" s="123" t="s">
        <v>179</v>
      </c>
      <c r="P9" s="123" t="s">
        <v>180</v>
      </c>
      <c r="Q9" s="123" t="s">
        <v>181</v>
      </c>
      <c r="R9" s="124" t="s">
        <v>182</v>
      </c>
      <c r="T9" s="126" t="s">
        <v>178</v>
      </c>
      <c r="U9" s="123" t="s">
        <v>179</v>
      </c>
      <c r="V9" s="123" t="s">
        <v>180</v>
      </c>
      <c r="W9" s="123" t="s">
        <v>181</v>
      </c>
      <c r="X9" s="124" t="s">
        <v>182</v>
      </c>
      <c r="Z9" s="126" t="s">
        <v>178</v>
      </c>
      <c r="AA9" s="123" t="s">
        <v>179</v>
      </c>
      <c r="AB9" s="123" t="s">
        <v>180</v>
      </c>
      <c r="AC9" s="123" t="s">
        <v>181</v>
      </c>
      <c r="AD9" s="124" t="s">
        <v>182</v>
      </c>
    </row>
    <row r="10" spans="1:30" s="127" customFormat="1">
      <c r="B10" s="128">
        <v>33877</v>
      </c>
      <c r="C10" s="112">
        <f>'Comp Naive'!G9</f>
        <v>1.9880715705765406E-3</v>
      </c>
      <c r="D10" s="129">
        <f>'Comp Naive'!G13</f>
        <v>3.3189512114171923E-4</v>
      </c>
      <c r="E10" s="129">
        <f>'Comp Naive'!G17</f>
        <v>2.8073572120038724E-2</v>
      </c>
      <c r="F10" s="130">
        <f>'Comp Naive'!G20</f>
        <v>0.10423791821561339</v>
      </c>
      <c r="H10" s="128">
        <v>33877</v>
      </c>
      <c r="I10" s="129">
        <f>'Comp Naive'!G34</f>
        <v>3.2450609241592296E-4</v>
      </c>
      <c r="J10" s="129">
        <f>'Comp Naive'!G38</f>
        <v>1.0970851620269607E-3</v>
      </c>
      <c r="K10" s="129">
        <f>'Comp Naive'!G42</f>
        <v>1.7627561992833076E-2</v>
      </c>
      <c r="L10" s="130">
        <f>'Comp Naive'!G45</f>
        <v>0.10423791821561339</v>
      </c>
      <c r="N10" s="128">
        <v>33877</v>
      </c>
      <c r="O10" s="129">
        <f>'Comp Naive'!G61</f>
        <v>1.0893817565915861E-2</v>
      </c>
      <c r="P10" s="129">
        <f>'Comp Naive'!G65</f>
        <v>2.4385647359747648E-2</v>
      </c>
      <c r="Q10" s="129">
        <f>'Comp Naive'!G69</f>
        <v>2.287438627540167E-2</v>
      </c>
      <c r="R10" s="130">
        <f>'Comp Naive'!G72</f>
        <v>0.10423791821561339</v>
      </c>
      <c r="T10" s="128">
        <v>33877</v>
      </c>
      <c r="U10" s="129">
        <f>'Comp Naive'!G92</f>
        <v>6.510841154923903E-4</v>
      </c>
      <c r="V10" s="129">
        <f>'Comp Naive'!G96</f>
        <v>7.6779024262801851E-3</v>
      </c>
      <c r="W10" s="129">
        <f>'Comp Naive'!G100</f>
        <v>3.4929404967043984E-2</v>
      </c>
      <c r="X10" s="130">
        <f>'Comp Naive'!G103</f>
        <v>3.3583823319196134E-2</v>
      </c>
      <c r="Z10" s="128">
        <v>33877</v>
      </c>
      <c r="AA10" s="129">
        <f>'Comp Naive'!G121</f>
        <v>3.4775469183942129E-3</v>
      </c>
      <c r="AB10" s="129">
        <f>'Comp Naive'!G125</f>
        <v>1.2814787250073366E-2</v>
      </c>
      <c r="AC10" s="129">
        <f>'Comp Naive'!G129</f>
        <v>2.4248669917194196E-3</v>
      </c>
      <c r="AD10" s="130">
        <f>'Comp Naive'!G132</f>
        <v>7.960975406048254E-2</v>
      </c>
    </row>
    <row r="11" spans="1:30" s="132" customFormat="1">
      <c r="A11" s="127"/>
      <c r="B11" s="131">
        <v>33969</v>
      </c>
      <c r="C11" s="112">
        <f>'Comp Naive'!O12</f>
        <v>4.1694462975316879E-3</v>
      </c>
      <c r="D11" s="129">
        <f>'Comp Naive'!O16</f>
        <v>5.9435364041604752E-3</v>
      </c>
      <c r="E11" s="129">
        <f>'Comp Naive'!O20</f>
        <v>0.10468401486988847</v>
      </c>
      <c r="F11" s="130"/>
      <c r="H11" s="131">
        <v>33969</v>
      </c>
      <c r="I11" s="129">
        <f>'Comp Naive'!O37</f>
        <v>3.6012961153424742E-3</v>
      </c>
      <c r="J11" s="129">
        <f>'Comp Naive'!O41</f>
        <v>6.8596284362860676E-3</v>
      </c>
      <c r="K11" s="129">
        <f>'Comp Naive'!O45</f>
        <v>0.10357534425839389</v>
      </c>
      <c r="L11" s="130"/>
      <c r="M11" s="127"/>
      <c r="N11" s="131">
        <v>33969</v>
      </c>
      <c r="O11" s="129">
        <f>'Comp Naive'!O64</f>
        <v>8.3721656589011689E-3</v>
      </c>
      <c r="P11" s="129">
        <f>'Comp Naive'!O68</f>
        <v>7.5874887958569618E-3</v>
      </c>
      <c r="Q11" s="129">
        <f>'Comp Naive'!O72</f>
        <v>8.6878326124906757E-2</v>
      </c>
      <c r="R11" s="130"/>
      <c r="T11" s="131">
        <v>33969</v>
      </c>
      <c r="U11" s="129">
        <f>'Comp Naive'!O95</f>
        <v>4.8250067689654163E-3</v>
      </c>
      <c r="V11" s="129">
        <f>'Comp Naive'!O99</f>
        <v>2.4408068198865818E-2</v>
      </c>
      <c r="W11" s="129">
        <f>'Comp Naive'!O103</f>
        <v>3.3887754952593781E-2</v>
      </c>
      <c r="X11" s="130"/>
      <c r="Z11" s="131">
        <v>33969</v>
      </c>
      <c r="AA11" s="129">
        <f>'Comp Naive'!O124</f>
        <v>3.4516332358312651E-3</v>
      </c>
      <c r="AB11" s="129">
        <f>'Comp Naive'!O128</f>
        <v>1.6500656898096808E-2</v>
      </c>
      <c r="AC11" s="129">
        <f>'Comp Naive'!O132</f>
        <v>4.7873760534450659E-2</v>
      </c>
      <c r="AD11" s="130"/>
    </row>
    <row r="12" spans="1:30" s="132" customFormat="1">
      <c r="A12" s="127"/>
      <c r="B12" s="131">
        <v>34059</v>
      </c>
      <c r="C12" s="112">
        <f>'Comp Naive'!W15</f>
        <v>1.8083182640144665E-3</v>
      </c>
      <c r="D12" s="129">
        <f>'Comp Naive'!W19</f>
        <v>8.4022245603487145E-2</v>
      </c>
      <c r="E12" s="129"/>
      <c r="F12" s="130"/>
      <c r="H12" s="131">
        <v>34059</v>
      </c>
      <c r="I12" s="129">
        <f>'Comp Naive'!W40</f>
        <v>4.5301972062688775E-3</v>
      </c>
      <c r="J12" s="129">
        <f>'Comp Naive'!W44</f>
        <v>8.9503321743601205E-2</v>
      </c>
      <c r="K12" s="129"/>
      <c r="L12" s="130"/>
      <c r="M12" s="127"/>
      <c r="N12" s="131">
        <v>34059</v>
      </c>
      <c r="O12" s="129">
        <f>'Comp Naive'!W67</f>
        <v>1.7852187695961405E-2</v>
      </c>
      <c r="P12" s="129">
        <f>'Comp Naive'!W71</f>
        <v>6.2458777149626034E-2</v>
      </c>
      <c r="Q12" s="129"/>
      <c r="R12" s="130"/>
      <c r="T12" s="131">
        <v>34059</v>
      </c>
      <c r="U12" s="129">
        <f>'Comp Naive'!W98</f>
        <v>7.3696696579383259E-3</v>
      </c>
      <c r="V12" s="129">
        <f>'Comp Naive'!W102</f>
        <v>3.2525403985060763E-2</v>
      </c>
      <c r="W12" s="129"/>
      <c r="X12" s="130"/>
      <c r="Z12" s="131">
        <v>34059</v>
      </c>
      <c r="AA12" s="129">
        <f>'Comp Naive'!W127</f>
        <v>1.0027824830249858E-2</v>
      </c>
      <c r="AB12" s="129">
        <f>'Comp Naive'!W131</f>
        <v>4.4540985755837488E-2</v>
      </c>
      <c r="AC12" s="129"/>
      <c r="AD12" s="130"/>
    </row>
    <row r="13" spans="1:30" s="132" customFormat="1">
      <c r="A13" s="127"/>
      <c r="B13" s="131">
        <v>34150</v>
      </c>
      <c r="C13" s="112">
        <f>'Comp Naive'!AE18</f>
        <v>4.7487321346242506E-2</v>
      </c>
      <c r="D13" s="129"/>
      <c r="E13" s="129"/>
      <c r="F13" s="130"/>
      <c r="H13" s="131">
        <v>34150</v>
      </c>
      <c r="I13" s="129">
        <f>'Comp Naive'!AE43</f>
        <v>4.9682797711780698E-2</v>
      </c>
      <c r="J13" s="129"/>
      <c r="K13" s="129"/>
      <c r="L13" s="130"/>
      <c r="M13" s="127"/>
      <c r="N13" s="131">
        <v>34150</v>
      </c>
      <c r="O13" s="129">
        <f>'Comp Naive'!AE70</f>
        <v>3.7087299285254963E-2</v>
      </c>
      <c r="P13" s="129"/>
      <c r="Q13" s="129"/>
      <c r="R13" s="130"/>
      <c r="T13" s="131">
        <v>34150</v>
      </c>
      <c r="U13" s="129">
        <f>'Comp Naive'!AE101</f>
        <v>3.4453551832371448E-2</v>
      </c>
      <c r="V13" s="129"/>
      <c r="W13" s="129"/>
      <c r="X13" s="130"/>
      <c r="Z13" s="131">
        <v>34150</v>
      </c>
      <c r="AA13" s="129">
        <f>'Comp Naive'!AE130</f>
        <v>3.7105576962133603E-2</v>
      </c>
      <c r="AB13" s="129"/>
      <c r="AC13" s="129"/>
      <c r="AD13" s="130"/>
    </row>
    <row r="14" spans="1:30" ht="18" thickBot="1">
      <c r="B14" s="133" t="s">
        <v>183</v>
      </c>
      <c r="C14" s="134">
        <f>AVERAGE(C10:C13)</f>
        <v>1.3863289369591299E-2</v>
      </c>
      <c r="D14" s="134">
        <f>AVERAGE(D10:D13)</f>
        <v>3.0099225709596444E-2</v>
      </c>
      <c r="E14" s="134">
        <f>AVERAGE(E10:E13)</f>
        <v>6.6378793494963603E-2</v>
      </c>
      <c r="F14" s="135">
        <f>AVERAGE(F10:F13)</f>
        <v>0.10423791821561339</v>
      </c>
      <c r="H14" s="133" t="s">
        <v>183</v>
      </c>
      <c r="I14" s="134">
        <f>AVERAGE(I10:I13)</f>
        <v>1.4534699281451994E-2</v>
      </c>
      <c r="J14" s="134">
        <f>AVERAGE(J10:J13)</f>
        <v>3.2486678447304747E-2</v>
      </c>
      <c r="K14" s="134">
        <f>AVERAGE(K10:K13)</f>
        <v>6.0601453125613484E-2</v>
      </c>
      <c r="L14" s="135">
        <f>AVERAGE(L10:L13)</f>
        <v>0.10423791821561339</v>
      </c>
      <c r="N14" s="133" t="s">
        <v>183</v>
      </c>
      <c r="O14" s="134">
        <f>AVERAGE(O10:O13)</f>
        <v>1.8551367551508349E-2</v>
      </c>
      <c r="P14" s="134">
        <f>AVERAGE(P10:P13)</f>
        <v>3.1477304435076882E-2</v>
      </c>
      <c r="Q14" s="134">
        <f>AVERAGE(Q10:Q13)</f>
        <v>5.4876356200154214E-2</v>
      </c>
      <c r="R14" s="135">
        <f>AVERAGE(R10:R13)</f>
        <v>0.10423791821561339</v>
      </c>
      <c r="T14" s="133" t="s">
        <v>183</v>
      </c>
      <c r="U14" s="134">
        <f>AVERAGE(U10:U13)</f>
        <v>1.1824828093691895E-2</v>
      </c>
      <c r="V14" s="134">
        <f>AVERAGE(V10:V13)</f>
        <v>2.1537124870068924E-2</v>
      </c>
      <c r="W14" s="134">
        <f>AVERAGE(W10:W13)</f>
        <v>3.4408579959818886E-2</v>
      </c>
      <c r="X14" s="135">
        <f>AVERAGE(X10:X13)</f>
        <v>3.3583823319196134E-2</v>
      </c>
      <c r="Z14" s="133" t="s">
        <v>183</v>
      </c>
      <c r="AA14" s="134">
        <f>AVERAGE(AA10:AA13)</f>
        <v>1.3515645486652236E-2</v>
      </c>
      <c r="AB14" s="134">
        <f>AVERAGE(AB10:AB13)</f>
        <v>2.4618809968002555E-2</v>
      </c>
      <c r="AC14" s="134">
        <f>AVERAGE(AC10:AC13)</f>
        <v>2.5149313763085039E-2</v>
      </c>
      <c r="AD14" s="135">
        <f>AVERAGE(AD10:AD13)</f>
        <v>7.960975406048254E-2</v>
      </c>
    </row>
    <row r="15" spans="1:30" ht="18" thickTop="1"/>
    <row r="19" spans="2:31" ht="18" thickBot="1"/>
    <row r="20" spans="2:31" ht="18.95" thickTop="1" thickBot="1">
      <c r="B20" s="136"/>
      <c r="C20" s="137"/>
      <c r="D20" s="138" t="s">
        <v>184</v>
      </c>
      <c r="E20" s="137"/>
      <c r="F20" s="139"/>
      <c r="G20" s="116"/>
      <c r="H20" s="117" t="s">
        <v>175</v>
      </c>
      <c r="I20" s="120" t="s">
        <v>171</v>
      </c>
      <c r="J20" s="121"/>
      <c r="K20" s="118"/>
      <c r="L20" s="119"/>
      <c r="M20" s="116"/>
      <c r="N20" s="117" t="s">
        <v>175</v>
      </c>
      <c r="O20" s="120" t="s">
        <v>185</v>
      </c>
      <c r="P20" s="120"/>
      <c r="Q20" s="118"/>
      <c r="R20" s="119"/>
    </row>
    <row r="21" spans="2:31" s="144" customFormat="1" ht="18.600000000000001" thickTop="1">
      <c r="B21" s="140"/>
      <c r="C21" s="141"/>
      <c r="D21" s="142" t="s">
        <v>177</v>
      </c>
      <c r="E21" s="141"/>
      <c r="F21" s="143"/>
      <c r="G21" s="116"/>
      <c r="H21" s="122"/>
      <c r="I21" s="123"/>
      <c r="J21" s="123"/>
      <c r="K21" s="123"/>
      <c r="L21" s="124"/>
      <c r="M21" s="116"/>
      <c r="N21" s="122"/>
      <c r="O21" s="123"/>
      <c r="P21" s="123"/>
      <c r="Q21" s="123"/>
      <c r="R21" s="124"/>
      <c r="Y21" s="116"/>
      <c r="Z21" s="116"/>
      <c r="AA21" s="116"/>
      <c r="AB21" s="116"/>
      <c r="AC21" s="116"/>
      <c r="AD21" s="116"/>
      <c r="AE21" s="116"/>
    </row>
    <row r="22" spans="2:31" ht="18">
      <c r="B22" s="145"/>
      <c r="C22" s="146" t="s">
        <v>179</v>
      </c>
      <c r="D22" s="146" t="s">
        <v>180</v>
      </c>
      <c r="E22" s="146" t="s">
        <v>181</v>
      </c>
      <c r="F22" s="147" t="s">
        <v>182</v>
      </c>
      <c r="H22" s="122"/>
      <c r="I22" s="123"/>
      <c r="J22" s="125" t="s">
        <v>177</v>
      </c>
      <c r="K22" s="123"/>
      <c r="L22" s="124"/>
      <c r="N22" s="122"/>
      <c r="O22" s="123"/>
      <c r="P22" s="125" t="s">
        <v>177</v>
      </c>
      <c r="Q22" s="123"/>
      <c r="R22" s="124"/>
    </row>
    <row r="23" spans="2:31" ht="18">
      <c r="B23" s="148" t="s">
        <v>169</v>
      </c>
      <c r="C23" s="167">
        <f>I14/C14</f>
        <v>1.0484307795906944</v>
      </c>
      <c r="D23" s="167">
        <f>J14/D14</f>
        <v>1.07931940710844</v>
      </c>
      <c r="E23" s="167">
        <f>K14/E14</f>
        <v>0.9129640647989713</v>
      </c>
      <c r="F23" s="168">
        <f>L14/F14</f>
        <v>1</v>
      </c>
      <c r="G23" s="173">
        <f>AVERAGE(C23:F23)</f>
        <v>1.0101785628745263</v>
      </c>
      <c r="H23" s="126" t="s">
        <v>178</v>
      </c>
      <c r="I23" s="123" t="s">
        <v>179</v>
      </c>
      <c r="J23" s="123" t="s">
        <v>180</v>
      </c>
      <c r="K23" s="123" t="s">
        <v>181</v>
      </c>
      <c r="L23" s="124" t="s">
        <v>182</v>
      </c>
      <c r="N23" s="126" t="s">
        <v>178</v>
      </c>
      <c r="O23" s="123" t="s">
        <v>179</v>
      </c>
      <c r="P23" s="123" t="s">
        <v>180</v>
      </c>
      <c r="Q23" s="123" t="s">
        <v>181</v>
      </c>
      <c r="R23" s="124" t="s">
        <v>182</v>
      </c>
    </row>
    <row r="24" spans="2:31" ht="18">
      <c r="B24" s="148" t="s">
        <v>170</v>
      </c>
      <c r="C24" s="167">
        <f>O14/C14</f>
        <v>1.3381649229799824</v>
      </c>
      <c r="D24" s="167">
        <f>P14/D14</f>
        <v>1.045784524119538</v>
      </c>
      <c r="E24" s="167">
        <f>Q14/E14</f>
        <v>0.82671517981594345</v>
      </c>
      <c r="F24" s="168">
        <f>R14/F14</f>
        <v>1</v>
      </c>
      <c r="G24" s="173">
        <f t="shared" ref="G24:G28" si="0">AVERAGE(C24:F24)</f>
        <v>1.052666156728866</v>
      </c>
      <c r="H24" s="128">
        <v>33877</v>
      </c>
      <c r="I24" s="129">
        <f>'Comp Naive'!G151</f>
        <v>4.5402423571429922E-2</v>
      </c>
      <c r="J24" s="129">
        <f>'Comp Naive'!G155</f>
        <v>8.6557618190431743E-2</v>
      </c>
      <c r="K24" s="129">
        <f>'Comp Naive'!G159</f>
        <v>9.4731104510153499E-2</v>
      </c>
      <c r="L24" s="130">
        <f>'Comp Naive'!G162</f>
        <v>3.5435504781817818E-2</v>
      </c>
      <c r="N24" s="128">
        <v>33877</v>
      </c>
      <c r="O24" s="129">
        <f>'Comp Naive'!G181</f>
        <v>1.0554089996660843E-2</v>
      </c>
      <c r="P24" s="129">
        <f>'Comp Naive'!G185</f>
        <v>1.6906929488503832E-2</v>
      </c>
      <c r="Q24" s="129">
        <f>'Comp Naive'!G189</f>
        <v>4.4321647260818532E-2</v>
      </c>
      <c r="R24" s="130">
        <f>'Comp Naive'!G192</f>
        <v>2.4477704408693717E-2</v>
      </c>
    </row>
    <row r="25" spans="2:31" ht="18">
      <c r="B25" s="148" t="s">
        <v>143</v>
      </c>
      <c r="C25" s="167">
        <f>U14/C14</f>
        <v>0.85295976867000223</v>
      </c>
      <c r="D25" s="167">
        <f>V14/D14</f>
        <v>0.71553750511270819</v>
      </c>
      <c r="E25" s="167">
        <f>W14/E14</f>
        <v>0.51836705893772517</v>
      </c>
      <c r="F25" s="168">
        <f>X14/F14</f>
        <v>0.32218432499514121</v>
      </c>
      <c r="G25" s="173">
        <f t="shared" si="0"/>
        <v>0.60226216442889413</v>
      </c>
      <c r="H25" s="131">
        <v>33969</v>
      </c>
      <c r="I25" s="129">
        <f>'Comp Naive'!O154</f>
        <v>5.1038339720929367E-2</v>
      </c>
      <c r="J25" s="129">
        <f>'Comp Naive'!O158</f>
        <v>8.1668146396803684E-2</v>
      </c>
      <c r="K25" s="129">
        <f>'Comp Naive'!O162</f>
        <v>2.9216021882118918E-2</v>
      </c>
      <c r="L25" s="130"/>
      <c r="N25" s="131">
        <v>33969</v>
      </c>
      <c r="O25" s="129">
        <f>'Comp Naive'!O184</f>
        <v>6.6088295734686459E-3</v>
      </c>
      <c r="P25" s="129">
        <f>'Comp Naive'!O188</f>
        <v>4.3347328573869047E-2</v>
      </c>
      <c r="Q25" s="129">
        <f>'Comp Naive'!O192</f>
        <v>1.6779205955004376E-2</v>
      </c>
      <c r="R25" s="130"/>
    </row>
    <row r="26" spans="2:31" ht="18.600000000000001" thickBot="1">
      <c r="B26" s="148" t="s">
        <v>130</v>
      </c>
      <c r="C26" s="169">
        <f>AA14/C14</f>
        <v>0.97492342014431221</v>
      </c>
      <c r="D26" s="169">
        <f>AB14/D14</f>
        <v>0.81792170355244109</v>
      </c>
      <c r="E26" s="169">
        <f>AC14/E14</f>
        <v>0.37887572881229314</v>
      </c>
      <c r="F26" s="170">
        <f>AD14/F14</f>
        <v>0.76373123545898014</v>
      </c>
      <c r="G26" s="173">
        <f t="shared" si="0"/>
        <v>0.7338630219920067</v>
      </c>
      <c r="H26" s="131">
        <v>34059</v>
      </c>
      <c r="I26" s="129">
        <f>'Comp Naive'!W157</f>
        <v>4.3396161441436494E-2</v>
      </c>
      <c r="J26" s="129">
        <f>'Comp Naive'!W161</f>
        <v>2.5052942276849639E-2</v>
      </c>
      <c r="K26" s="129"/>
      <c r="L26" s="130"/>
      <c r="N26" s="131">
        <v>34059</v>
      </c>
      <c r="O26" s="129">
        <f>'Comp Naive'!W187</f>
        <v>3.0388296280232426E-2</v>
      </c>
      <c r="P26" s="129">
        <f>'Comp Naive'!W191</f>
        <v>2.0829773087243106E-3</v>
      </c>
      <c r="Q26" s="129"/>
      <c r="R26" s="130"/>
    </row>
    <row r="27" spans="2:31" ht="18.600000000000001" thickTop="1">
      <c r="B27" s="150" t="s">
        <v>171</v>
      </c>
      <c r="C27" s="171">
        <f>I28/C14</f>
        <v>3.1237026157174701</v>
      </c>
      <c r="D27" s="171">
        <f>J28/D14</f>
        <v>2.1404615601397641</v>
      </c>
      <c r="E27" s="171">
        <f>K28/E14</f>
        <v>0.93363497486344582</v>
      </c>
      <c r="F27" s="172">
        <f>L28/F14</f>
        <v>0.33994831620217519</v>
      </c>
      <c r="G27" s="173">
        <f t="shared" si="0"/>
        <v>1.6344368667307136</v>
      </c>
      <c r="H27" s="131">
        <v>34150</v>
      </c>
      <c r="I27" s="129">
        <f>'Comp Naive'!AE160</f>
        <v>3.3382248331166368E-2</v>
      </c>
      <c r="J27" s="129"/>
      <c r="K27" s="129"/>
      <c r="L27" s="130"/>
      <c r="N27" s="131">
        <v>34150</v>
      </c>
      <c r="O27" s="129">
        <f>'Comp Naive'!AE190</f>
        <v>2.494030973319019E-2</v>
      </c>
      <c r="P27" s="129"/>
      <c r="Q27" s="129"/>
      <c r="R27" s="130"/>
    </row>
    <row r="28" spans="2:31" ht="18.600000000000001" thickBot="1">
      <c r="B28" s="149" t="s">
        <v>172</v>
      </c>
      <c r="C28" s="169">
        <f>O28/C14</f>
        <v>1.3072569512716088</v>
      </c>
      <c r="D28" s="169">
        <f>P28/D14</f>
        <v>0.69035259104381097</v>
      </c>
      <c r="E28" s="169">
        <f>Q28/E14</f>
        <v>0.46024377665480504</v>
      </c>
      <c r="F28" s="170">
        <f>R28/F14</f>
        <v>0.23482533830023572</v>
      </c>
      <c r="G28" s="173">
        <f t="shared" si="0"/>
        <v>0.67316966431761516</v>
      </c>
      <c r="H28" s="133" t="s">
        <v>183</v>
      </c>
      <c r="I28" s="134">
        <f>AVERAGE(I24:I27)</f>
        <v>4.3304793266240538E-2</v>
      </c>
      <c r="J28" s="134">
        <f>AVERAGE(J24:J27)</f>
        <v>6.4426235621361697E-2</v>
      </c>
      <c r="K28" s="134">
        <f>AVERAGE(K24:K27)</f>
        <v>6.1973563196136207E-2</v>
      </c>
      <c r="L28" s="135">
        <f>AVERAGE(L24:L27)</f>
        <v>3.5435504781817818E-2</v>
      </c>
      <c r="N28" s="133" t="s">
        <v>183</v>
      </c>
      <c r="O28" s="134">
        <f>AVERAGE(O24:O27)</f>
        <v>1.8122881395888024E-2</v>
      </c>
      <c r="P28" s="134">
        <f>AVERAGE(P24:P27)</f>
        <v>2.0779078457032394E-2</v>
      </c>
      <c r="Q28" s="134">
        <f>AVERAGE(Q24:Q27)</f>
        <v>3.0550426607911456E-2</v>
      </c>
      <c r="R28" s="135">
        <f>AVERAGE(R24:R27)</f>
        <v>2.4477704408693717E-2</v>
      </c>
    </row>
    <row r="29" spans="2:31" ht="18" thickTop="1"/>
    <row r="31" spans="2:31" ht="18" thickBot="1"/>
    <row r="32" spans="2:31" ht="18.600000000000001" thickTop="1">
      <c r="B32" s="152"/>
      <c r="C32" s="153"/>
      <c r="D32" s="154" t="s">
        <v>177</v>
      </c>
      <c r="E32" s="153"/>
      <c r="F32" s="155"/>
    </row>
    <row r="33" spans="2:7" ht="18">
      <c r="B33" s="156"/>
      <c r="C33" s="157" t="s">
        <v>179</v>
      </c>
      <c r="D33" s="157" t="s">
        <v>180</v>
      </c>
      <c r="E33" s="157" t="s">
        <v>181</v>
      </c>
      <c r="F33" s="158" t="s">
        <v>182</v>
      </c>
    </row>
    <row r="34" spans="2:7" ht="18">
      <c r="B34" s="159" t="s">
        <v>176</v>
      </c>
      <c r="C34" s="160">
        <f>C14</f>
        <v>1.3863289369591299E-2</v>
      </c>
      <c r="D34" s="160">
        <f t="shared" ref="D34:F34" si="1">D14</f>
        <v>3.0099225709596444E-2</v>
      </c>
      <c r="E34" s="160">
        <f t="shared" si="1"/>
        <v>6.6378793494963603E-2</v>
      </c>
      <c r="F34" s="160">
        <f t="shared" si="1"/>
        <v>0.10423791821561339</v>
      </c>
      <c r="G34" s="127"/>
    </row>
    <row r="35" spans="2:7" ht="18">
      <c r="B35" s="159" t="s">
        <v>169</v>
      </c>
      <c r="C35" s="160">
        <f>I14</f>
        <v>1.4534699281451994E-2</v>
      </c>
      <c r="D35" s="160">
        <f t="shared" ref="D35:F35" si="2">J14</f>
        <v>3.2486678447304747E-2</v>
      </c>
      <c r="E35" s="160">
        <f t="shared" si="2"/>
        <v>6.0601453125613484E-2</v>
      </c>
      <c r="F35" s="160">
        <f t="shared" si="2"/>
        <v>0.10423791821561339</v>
      </c>
      <c r="G35" s="127"/>
    </row>
    <row r="36" spans="2:7" ht="18">
      <c r="B36" s="159" t="s">
        <v>170</v>
      </c>
      <c r="C36" s="160">
        <f>O14</f>
        <v>1.8551367551508349E-2</v>
      </c>
      <c r="D36" s="160">
        <f t="shared" ref="D36:F36" si="3">P14</f>
        <v>3.1477304435076882E-2</v>
      </c>
      <c r="E36" s="160">
        <f t="shared" si="3"/>
        <v>5.4876356200154214E-2</v>
      </c>
      <c r="F36" s="160">
        <f t="shared" si="3"/>
        <v>0.10423791821561339</v>
      </c>
      <c r="G36" s="127"/>
    </row>
    <row r="37" spans="2:7" ht="18">
      <c r="B37" s="159" t="s">
        <v>143</v>
      </c>
      <c r="C37" s="160">
        <f>U14</f>
        <v>1.1824828093691895E-2</v>
      </c>
      <c r="D37" s="160">
        <f t="shared" ref="D37:F37" si="4">V14</f>
        <v>2.1537124870068924E-2</v>
      </c>
      <c r="E37" s="160">
        <f t="shared" si="4"/>
        <v>3.4408579959818886E-2</v>
      </c>
      <c r="F37" s="160">
        <f t="shared" si="4"/>
        <v>3.3583823319196134E-2</v>
      </c>
      <c r="G37" s="127"/>
    </row>
    <row r="38" spans="2:7" ht="18.600000000000001" thickBot="1">
      <c r="B38" s="159" t="s">
        <v>130</v>
      </c>
      <c r="C38" s="161">
        <f>AA14</f>
        <v>1.3515645486652236E-2</v>
      </c>
      <c r="D38" s="161">
        <f t="shared" ref="D38:F38" si="5">AB14</f>
        <v>2.4618809968002555E-2</v>
      </c>
      <c r="E38" s="161">
        <f t="shared" si="5"/>
        <v>2.5149313763085039E-2</v>
      </c>
      <c r="F38" s="161">
        <f t="shared" si="5"/>
        <v>7.960975406048254E-2</v>
      </c>
      <c r="G38" s="127"/>
    </row>
    <row r="39" spans="2:7" ht="18.600000000000001" thickTop="1">
      <c r="B39" s="162" t="s">
        <v>171</v>
      </c>
      <c r="C39" s="163">
        <f>I28</f>
        <v>4.3304793266240538E-2</v>
      </c>
      <c r="D39" s="163">
        <f t="shared" ref="D39:F39" si="6">J28</f>
        <v>6.4426235621361697E-2</v>
      </c>
      <c r="E39" s="163">
        <f t="shared" si="6"/>
        <v>6.1973563196136207E-2</v>
      </c>
      <c r="F39" s="163">
        <f t="shared" si="6"/>
        <v>3.5435504781817818E-2</v>
      </c>
      <c r="G39" s="127"/>
    </row>
    <row r="40" spans="2:7" ht="18.600000000000001" thickBot="1">
      <c r="B40" s="164" t="s">
        <v>172</v>
      </c>
      <c r="C40" s="161">
        <f>O28</f>
        <v>1.8122881395888024E-2</v>
      </c>
      <c r="D40" s="161">
        <f t="shared" ref="D40:F40" si="7">P28</f>
        <v>2.0779078457032394E-2</v>
      </c>
      <c r="E40" s="161">
        <f t="shared" si="7"/>
        <v>3.0550426607911456E-2</v>
      </c>
      <c r="F40" s="161">
        <f t="shared" si="7"/>
        <v>2.4477704408693717E-2</v>
      </c>
      <c r="G40" s="127"/>
    </row>
    <row r="41" spans="2:7" ht="18" thickTop="1"/>
  </sheetData>
  <conditionalFormatting sqref="C34:C40">
    <cfRule type="top10" dxfId="4" priority="2" bottom="1" rank="2"/>
    <cfRule type="top10" dxfId="3" priority="6" bottom="1" rank="2"/>
  </conditionalFormatting>
  <conditionalFormatting sqref="D34:D40">
    <cfRule type="top10" dxfId="2" priority="5" bottom="1" rank="2"/>
  </conditionalFormatting>
  <conditionalFormatting sqref="E34:E40">
    <cfRule type="top10" dxfId="1" priority="4" bottom="1" rank="2"/>
  </conditionalFormatting>
  <conditionalFormatting sqref="F34:F40">
    <cfRule type="top10" dxfId="0" priority="3" bottom="1" rank="2"/>
  </conditionalFormatting>
  <conditionalFormatting sqref="C23:F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25AC-6C63-47E2-B14C-36B5C60AE5B9}">
  <dimension ref="A1:J53"/>
  <sheetViews>
    <sheetView zoomScale="85" zoomScaleNormal="85" workbookViewId="0">
      <pane ySplit="3" topLeftCell="A4" activePane="bottomLeft" state="frozen"/>
      <selection pane="bottomLeft" activeCell="L6" sqref="L6"/>
    </sheetView>
  </sheetViews>
  <sheetFormatPr defaultRowHeight="14.45"/>
  <cols>
    <col min="1" max="1" width="13.140625" bestFit="1" customWidth="1"/>
    <col min="2" max="2" width="11" bestFit="1" customWidth="1"/>
    <col min="3" max="3" width="10" style="11" bestFit="1" customWidth="1"/>
    <col min="5" max="5" width="11.5703125" customWidth="1"/>
    <col min="6" max="7" width="10.42578125" bestFit="1" customWidth="1"/>
    <col min="8" max="10" width="9.42578125" bestFit="1" customWidth="1"/>
  </cols>
  <sheetData>
    <row r="1" spans="1:10">
      <c r="A1" s="2" t="s">
        <v>0</v>
      </c>
      <c r="B1" s="5"/>
      <c r="C1" s="8"/>
    </row>
    <row r="2" spans="1:10">
      <c r="B2" s="5"/>
      <c r="C2" s="8"/>
    </row>
    <row r="3" spans="1:10" ht="43.5">
      <c r="A3" s="3" t="s">
        <v>1</v>
      </c>
      <c r="B3" s="6" t="s">
        <v>2</v>
      </c>
      <c r="C3" s="9" t="s">
        <v>3</v>
      </c>
    </row>
    <row r="4" spans="1:10">
      <c r="A4" s="4">
        <v>1</v>
      </c>
      <c r="B4" s="7">
        <v>32477</v>
      </c>
      <c r="C4" s="10">
        <v>3761</v>
      </c>
      <c r="F4">
        <v>1988</v>
      </c>
      <c r="G4">
        <v>1989</v>
      </c>
      <c r="H4">
        <v>1990</v>
      </c>
      <c r="I4">
        <v>1991</v>
      </c>
      <c r="J4">
        <v>1992</v>
      </c>
    </row>
    <row r="5" spans="1:10">
      <c r="A5" s="4">
        <f>1+A4</f>
        <v>2</v>
      </c>
      <c r="B5" s="7">
        <v>32508</v>
      </c>
      <c r="C5" s="10">
        <v>3770</v>
      </c>
      <c r="E5" s="7" t="s">
        <v>10</v>
      </c>
      <c r="G5" s="10">
        <v>3777</v>
      </c>
      <c r="H5" s="10">
        <v>4164</v>
      </c>
      <c r="I5" s="10">
        <v>4836</v>
      </c>
      <c r="J5" s="10">
        <v>5917</v>
      </c>
    </row>
    <row r="6" spans="1:10">
      <c r="A6" s="4">
        <f t="shared" ref="A6:A50" si="0">1+A5</f>
        <v>3</v>
      </c>
      <c r="B6" s="7">
        <v>32539</v>
      </c>
      <c r="C6" s="10">
        <v>3777</v>
      </c>
      <c r="E6" s="7" t="s">
        <v>11</v>
      </c>
      <c r="G6" s="10">
        <v>3831</v>
      </c>
      <c r="H6" s="10">
        <v>4222</v>
      </c>
      <c r="I6" s="10">
        <v>4937</v>
      </c>
      <c r="J6" s="10">
        <v>5938</v>
      </c>
    </row>
    <row r="7" spans="1:10">
      <c r="A7" s="4">
        <f t="shared" si="0"/>
        <v>4</v>
      </c>
      <c r="B7" s="7">
        <v>32567</v>
      </c>
      <c r="C7" s="10">
        <v>3831</v>
      </c>
      <c r="E7" s="7" t="s">
        <v>12</v>
      </c>
      <c r="G7" s="10">
        <v>3916</v>
      </c>
      <c r="H7" s="10">
        <v>4321</v>
      </c>
      <c r="I7" s="10">
        <v>5054</v>
      </c>
      <c r="J7" s="10">
        <v>5987</v>
      </c>
    </row>
    <row r="8" spans="1:10">
      <c r="A8" s="4">
        <f t="shared" si="0"/>
        <v>5</v>
      </c>
      <c r="B8" s="7">
        <v>32598</v>
      </c>
      <c r="C8" s="10">
        <v>3916</v>
      </c>
      <c r="E8" s="7" t="s">
        <v>13</v>
      </c>
      <c r="G8" s="10">
        <v>3956</v>
      </c>
      <c r="H8" s="10">
        <v>4335</v>
      </c>
      <c r="I8" s="10">
        <v>5103</v>
      </c>
      <c r="J8" s="10">
        <v>5983</v>
      </c>
    </row>
    <row r="9" spans="1:10">
      <c r="A9" s="4">
        <f t="shared" si="0"/>
        <v>6</v>
      </c>
      <c r="B9" s="7">
        <v>32628</v>
      </c>
      <c r="C9" s="10">
        <v>3956</v>
      </c>
      <c r="E9" s="7" t="s">
        <v>14</v>
      </c>
      <c r="G9" s="10">
        <v>3995</v>
      </c>
      <c r="H9" s="10">
        <v>4454</v>
      </c>
      <c r="I9" s="10">
        <v>5105</v>
      </c>
      <c r="J9" s="10">
        <v>5981</v>
      </c>
    </row>
    <row r="10" spans="1:10">
      <c r="A10" s="4">
        <f t="shared" si="0"/>
        <v>7</v>
      </c>
      <c r="B10" s="7">
        <v>32659</v>
      </c>
      <c r="C10" s="10">
        <v>3995</v>
      </c>
      <c r="E10" s="7" t="s">
        <v>15</v>
      </c>
      <c r="G10" s="10">
        <v>3949</v>
      </c>
      <c r="H10" s="10">
        <v>4536</v>
      </c>
      <c r="I10" s="13">
        <v>5704</v>
      </c>
      <c r="J10" s="10">
        <v>5975</v>
      </c>
    </row>
    <row r="11" spans="1:10">
      <c r="A11" s="4">
        <f t="shared" si="0"/>
        <v>8</v>
      </c>
      <c r="B11" s="7">
        <v>32689</v>
      </c>
      <c r="C11" s="10">
        <v>3949</v>
      </c>
      <c r="E11" s="7" t="s">
        <v>16</v>
      </c>
      <c r="G11" s="10">
        <v>3986</v>
      </c>
      <c r="H11" s="10">
        <v>4597</v>
      </c>
      <c r="I11" s="13">
        <v>5907</v>
      </c>
      <c r="J11" s="10">
        <v>5985</v>
      </c>
    </row>
    <row r="12" spans="1:10">
      <c r="A12" s="4">
        <f t="shared" si="0"/>
        <v>9</v>
      </c>
      <c r="B12" s="7">
        <v>32720</v>
      </c>
      <c r="C12" s="10">
        <v>3986</v>
      </c>
      <c r="E12" s="7" t="s">
        <v>17</v>
      </c>
      <c r="G12" s="10">
        <v>4026</v>
      </c>
      <c r="H12" s="10">
        <v>4643</v>
      </c>
      <c r="I12" s="10">
        <v>5889</v>
      </c>
      <c r="J12" s="10">
        <v>6029</v>
      </c>
    </row>
    <row r="13" spans="1:10">
      <c r="A13" s="4">
        <f t="shared" si="0"/>
        <v>10</v>
      </c>
      <c r="B13" s="7">
        <v>32751</v>
      </c>
      <c r="C13" s="10">
        <v>4026</v>
      </c>
      <c r="E13" s="7" t="s">
        <v>18</v>
      </c>
      <c r="G13" s="10">
        <v>4050</v>
      </c>
      <c r="H13" s="10">
        <v>4701</v>
      </c>
      <c r="I13" s="10">
        <v>5887</v>
      </c>
      <c r="J13" s="10">
        <v>6024</v>
      </c>
    </row>
    <row r="14" spans="1:10">
      <c r="A14" s="4">
        <f t="shared" si="0"/>
        <v>11</v>
      </c>
      <c r="B14" s="7">
        <v>32781</v>
      </c>
      <c r="C14" s="10">
        <v>4050</v>
      </c>
      <c r="E14" s="7" t="s">
        <v>19</v>
      </c>
      <c r="G14" s="10">
        <v>4095</v>
      </c>
      <c r="H14" s="10">
        <v>4766</v>
      </c>
      <c r="I14" s="10">
        <v>5876</v>
      </c>
    </row>
    <row r="15" spans="1:10">
      <c r="A15" s="4">
        <f t="shared" si="0"/>
        <v>12</v>
      </c>
      <c r="B15" s="7">
        <v>32812</v>
      </c>
      <c r="C15" s="10">
        <v>4095</v>
      </c>
      <c r="E15" s="7" t="s">
        <v>20</v>
      </c>
      <c r="F15" s="10">
        <v>3761</v>
      </c>
      <c r="G15" s="10">
        <v>4105</v>
      </c>
      <c r="H15" s="10">
        <v>4781</v>
      </c>
      <c r="I15" s="10">
        <v>5896</v>
      </c>
    </row>
    <row r="16" spans="1:10">
      <c r="A16" s="4">
        <f t="shared" si="0"/>
        <v>13</v>
      </c>
      <c r="B16" s="7">
        <v>32842</v>
      </c>
      <c r="C16" s="10">
        <v>4105</v>
      </c>
      <c r="E16" s="7" t="s">
        <v>21</v>
      </c>
      <c r="F16" s="10">
        <v>3770</v>
      </c>
      <c r="G16" s="10">
        <v>4126</v>
      </c>
      <c r="H16" s="10">
        <v>4808</v>
      </c>
      <c r="I16" s="10">
        <v>5900</v>
      </c>
    </row>
    <row r="17" spans="1:5">
      <c r="A17" s="4">
        <f t="shared" si="0"/>
        <v>14</v>
      </c>
      <c r="B17" s="7">
        <v>32873</v>
      </c>
      <c r="C17" s="10">
        <v>4126</v>
      </c>
    </row>
    <row r="18" spans="1:5">
      <c r="A18" s="4">
        <f t="shared" si="0"/>
        <v>15</v>
      </c>
      <c r="B18" s="7">
        <v>32904</v>
      </c>
      <c r="C18" s="10">
        <v>4164</v>
      </c>
      <c r="E18" s="7"/>
    </row>
    <row r="19" spans="1:5">
      <c r="A19" s="4">
        <f t="shared" si="0"/>
        <v>16</v>
      </c>
      <c r="B19" s="7">
        <v>32932</v>
      </c>
      <c r="C19" s="10">
        <v>4222</v>
      </c>
      <c r="E19" s="7"/>
    </row>
    <row r="20" spans="1:5">
      <c r="A20" s="4">
        <f t="shared" si="0"/>
        <v>17</v>
      </c>
      <c r="B20" s="7">
        <v>32963</v>
      </c>
      <c r="C20" s="10">
        <v>4321</v>
      </c>
      <c r="E20" s="7"/>
    </row>
    <row r="21" spans="1:5">
      <c r="A21" s="4">
        <f t="shared" si="0"/>
        <v>18</v>
      </c>
      <c r="B21" s="7">
        <v>32993</v>
      </c>
      <c r="C21" s="10">
        <v>4335</v>
      </c>
    </row>
    <row r="22" spans="1:5">
      <c r="A22" s="4">
        <f t="shared" si="0"/>
        <v>19</v>
      </c>
      <c r="B22" s="7">
        <v>33024</v>
      </c>
      <c r="C22" s="10">
        <v>4454</v>
      </c>
    </row>
    <row r="23" spans="1:5">
      <c r="A23" s="4">
        <f t="shared" si="0"/>
        <v>20</v>
      </c>
      <c r="B23" s="7">
        <v>33054</v>
      </c>
      <c r="C23" s="10">
        <v>4536</v>
      </c>
    </row>
    <row r="24" spans="1:5">
      <c r="A24" s="4">
        <f t="shared" si="0"/>
        <v>21</v>
      </c>
      <c r="B24" s="7">
        <v>33085</v>
      </c>
      <c r="C24" s="10">
        <v>4597</v>
      </c>
    </row>
    <row r="25" spans="1:5">
      <c r="A25" s="4">
        <f t="shared" si="0"/>
        <v>22</v>
      </c>
      <c r="B25" s="7">
        <v>33116</v>
      </c>
      <c r="C25" s="10">
        <v>4643</v>
      </c>
    </row>
    <row r="26" spans="1:5">
      <c r="A26" s="4">
        <f t="shared" si="0"/>
        <v>23</v>
      </c>
      <c r="B26" s="7">
        <v>33146</v>
      </c>
      <c r="C26" s="10">
        <v>4701</v>
      </c>
    </row>
    <row r="27" spans="1:5">
      <c r="A27" s="4">
        <f t="shared" si="0"/>
        <v>24</v>
      </c>
      <c r="B27" s="7">
        <v>33177</v>
      </c>
      <c r="C27" s="10">
        <v>4766</v>
      </c>
    </row>
    <row r="28" spans="1:5">
      <c r="A28" s="4">
        <f t="shared" si="0"/>
        <v>25</v>
      </c>
      <c r="B28" s="7">
        <v>33207</v>
      </c>
      <c r="C28" s="10">
        <v>4781</v>
      </c>
    </row>
    <row r="29" spans="1:5">
      <c r="A29" s="4">
        <f t="shared" si="0"/>
        <v>26</v>
      </c>
      <c r="B29" s="7">
        <v>33238</v>
      </c>
      <c r="C29" s="10">
        <v>4808</v>
      </c>
    </row>
    <row r="30" spans="1:5">
      <c r="A30" s="4">
        <f t="shared" si="0"/>
        <v>27</v>
      </c>
      <c r="B30" s="7">
        <v>33269</v>
      </c>
      <c r="C30" s="10">
        <v>4836</v>
      </c>
    </row>
    <row r="31" spans="1:5">
      <c r="A31" s="4">
        <f t="shared" si="0"/>
        <v>28</v>
      </c>
      <c r="B31" s="7">
        <v>33297</v>
      </c>
      <c r="C31" s="10">
        <v>4937</v>
      </c>
    </row>
    <row r="32" spans="1:5">
      <c r="A32" s="4">
        <f t="shared" si="0"/>
        <v>29</v>
      </c>
      <c r="B32" s="7">
        <v>33328</v>
      </c>
      <c r="C32" s="10">
        <v>5054</v>
      </c>
    </row>
    <row r="33" spans="1:3">
      <c r="A33" s="4">
        <f t="shared" si="0"/>
        <v>30</v>
      </c>
      <c r="B33" s="7">
        <v>33358</v>
      </c>
      <c r="C33" s="10">
        <v>5103</v>
      </c>
    </row>
    <row r="34" spans="1:3">
      <c r="A34" s="4">
        <f t="shared" si="0"/>
        <v>31</v>
      </c>
      <c r="B34" s="7">
        <v>33389</v>
      </c>
      <c r="C34" s="10">
        <v>5105</v>
      </c>
    </row>
    <row r="35" spans="1:3">
      <c r="A35" s="1">
        <f t="shared" si="0"/>
        <v>32</v>
      </c>
      <c r="B35" s="12">
        <v>33419</v>
      </c>
      <c r="C35" s="13">
        <v>5704</v>
      </c>
    </row>
    <row r="36" spans="1:3">
      <c r="A36" s="1">
        <f t="shared" si="0"/>
        <v>33</v>
      </c>
      <c r="B36" s="12">
        <v>33450</v>
      </c>
      <c r="C36" s="13">
        <v>5907</v>
      </c>
    </row>
    <row r="37" spans="1:3">
      <c r="A37" s="4">
        <f t="shared" si="0"/>
        <v>34</v>
      </c>
      <c r="B37" s="7">
        <v>33481</v>
      </c>
      <c r="C37" s="10">
        <v>5889</v>
      </c>
    </row>
    <row r="38" spans="1:3">
      <c r="A38" s="4">
        <f t="shared" si="0"/>
        <v>35</v>
      </c>
      <c r="B38" s="7">
        <v>33511</v>
      </c>
      <c r="C38" s="10">
        <v>5887</v>
      </c>
    </row>
    <row r="39" spans="1:3">
      <c r="A39" s="4">
        <f t="shared" si="0"/>
        <v>36</v>
      </c>
      <c r="B39" s="7">
        <v>33542</v>
      </c>
      <c r="C39" s="10">
        <v>5876</v>
      </c>
    </row>
    <row r="40" spans="1:3">
      <c r="A40" s="4">
        <f t="shared" si="0"/>
        <v>37</v>
      </c>
      <c r="B40" s="7">
        <v>33572</v>
      </c>
      <c r="C40" s="10">
        <v>5896</v>
      </c>
    </row>
    <row r="41" spans="1:3">
      <c r="A41" s="4">
        <f t="shared" si="0"/>
        <v>38</v>
      </c>
      <c r="B41" s="7">
        <v>33603</v>
      </c>
      <c r="C41" s="10">
        <v>5900</v>
      </c>
    </row>
    <row r="42" spans="1:3">
      <c r="A42" s="4">
        <f t="shared" si="0"/>
        <v>39</v>
      </c>
      <c r="B42" s="7">
        <v>33634</v>
      </c>
      <c r="C42" s="10">
        <v>5917</v>
      </c>
    </row>
    <row r="43" spans="1:3">
      <c r="A43" s="4">
        <f t="shared" si="0"/>
        <v>40</v>
      </c>
      <c r="B43" s="7">
        <v>33663</v>
      </c>
      <c r="C43" s="10">
        <v>5938</v>
      </c>
    </row>
    <row r="44" spans="1:3">
      <c r="A44" s="4">
        <f t="shared" si="0"/>
        <v>41</v>
      </c>
      <c r="B44" s="7">
        <v>33694</v>
      </c>
      <c r="C44" s="10">
        <v>5987</v>
      </c>
    </row>
    <row r="45" spans="1:3">
      <c r="A45" s="4">
        <f t="shared" si="0"/>
        <v>42</v>
      </c>
      <c r="B45" s="7">
        <v>33724</v>
      </c>
      <c r="C45" s="10">
        <v>5983</v>
      </c>
    </row>
    <row r="46" spans="1:3">
      <c r="A46" s="4">
        <f t="shared" si="0"/>
        <v>43</v>
      </c>
      <c r="B46" s="7">
        <v>33755</v>
      </c>
      <c r="C46" s="10">
        <v>5981</v>
      </c>
    </row>
    <row r="47" spans="1:3">
      <c r="A47" s="4">
        <f t="shared" si="0"/>
        <v>44</v>
      </c>
      <c r="B47" s="7">
        <v>33785</v>
      </c>
      <c r="C47" s="10">
        <v>5975</v>
      </c>
    </row>
    <row r="48" spans="1:3">
      <c r="A48" s="4">
        <f t="shared" si="0"/>
        <v>45</v>
      </c>
      <c r="B48" s="7">
        <v>33816</v>
      </c>
      <c r="C48" s="10">
        <v>5985</v>
      </c>
    </row>
    <row r="49" spans="1:3">
      <c r="A49" s="4">
        <f t="shared" si="0"/>
        <v>46</v>
      </c>
      <c r="B49" s="7">
        <v>33847</v>
      </c>
      <c r="C49" s="10">
        <v>6029</v>
      </c>
    </row>
    <row r="50" spans="1:3">
      <c r="A50" s="4">
        <f t="shared" si="0"/>
        <v>47</v>
      </c>
      <c r="B50" s="7">
        <v>33877</v>
      </c>
      <c r="C50" s="10">
        <v>6024</v>
      </c>
    </row>
    <row r="52" spans="1:3">
      <c r="B52" t="s">
        <v>8</v>
      </c>
      <c r="C52" s="11">
        <f>AVERAGE(C4:C50)</f>
        <v>4884.7659574468089</v>
      </c>
    </row>
    <row r="53" spans="1:3">
      <c r="B53" t="s">
        <v>9</v>
      </c>
      <c r="C53" s="11">
        <f>STDEV(C4:C50)</f>
        <v>836.03097541860757</v>
      </c>
    </row>
  </sheetData>
  <phoneticPr fontId="4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E5EAB-230C-4A75-AAF9-07E0EAADD30F}">
  <dimension ref="A1:F64"/>
  <sheetViews>
    <sheetView zoomScaleNormal="100" workbookViewId="0">
      <pane ySplit="2" topLeftCell="A42" activePane="bottomLeft" state="frozen"/>
      <selection pane="bottomLeft" activeCell="D64" sqref="D64"/>
    </sheetView>
  </sheetViews>
  <sheetFormatPr defaultRowHeight="14.45"/>
  <cols>
    <col min="2" max="2" width="10.42578125" bestFit="1" customWidth="1"/>
  </cols>
  <sheetData>
    <row r="1" spans="1:6">
      <c r="B1" s="5"/>
      <c r="C1" s="8"/>
      <c r="D1" t="str">
        <f ca="1">_xlfn.FORMULATEXT(D4)</f>
        <v>=C4-C3</v>
      </c>
      <c r="E1" t="str">
        <f t="shared" ref="E1:F1" ca="1" si="0">_xlfn.FORMULATEXT(E4)</f>
        <v>=LN(C4)</v>
      </c>
      <c r="F1" t="str">
        <f t="shared" ca="1" si="0"/>
        <v>=E3-E4</v>
      </c>
    </row>
    <row r="2" spans="1:6" ht="72.599999999999994">
      <c r="A2" s="3" t="s">
        <v>1</v>
      </c>
      <c r="B2" s="6" t="s">
        <v>2</v>
      </c>
      <c r="C2" s="9" t="s">
        <v>3</v>
      </c>
      <c r="D2" s="14" t="s">
        <v>5</v>
      </c>
      <c r="E2" t="s">
        <v>6</v>
      </c>
      <c r="F2" t="s">
        <v>7</v>
      </c>
    </row>
    <row r="3" spans="1:6">
      <c r="A3" s="4">
        <v>1</v>
      </c>
      <c r="B3" s="7">
        <v>32477</v>
      </c>
      <c r="C3" s="10">
        <v>3761</v>
      </c>
      <c r="D3" s="15"/>
      <c r="E3">
        <f t="shared" ref="E3:E49" si="1">LN(C3)</f>
        <v>8.2324401584703359</v>
      </c>
    </row>
    <row r="4" spans="1:6">
      <c r="A4" s="4">
        <f>1+A3</f>
        <v>2</v>
      </c>
      <c r="B4" s="7">
        <v>32508</v>
      </c>
      <c r="C4" s="10">
        <v>3770</v>
      </c>
      <c r="D4" s="15">
        <f t="shared" ref="D4:D49" si="2">C4-C3</f>
        <v>9</v>
      </c>
      <c r="E4">
        <f t="shared" si="1"/>
        <v>8.2348302804420559</v>
      </c>
      <c r="F4">
        <f>E3-E4</f>
        <v>-2.3901219717199496E-3</v>
      </c>
    </row>
    <row r="5" spans="1:6">
      <c r="A5" s="4">
        <f t="shared" ref="A5:A64" si="3">1+A4</f>
        <v>3</v>
      </c>
      <c r="B5" s="7">
        <v>32539</v>
      </c>
      <c r="C5" s="10">
        <v>3777</v>
      </c>
      <c r="D5" s="15">
        <f t="shared" si="2"/>
        <v>7</v>
      </c>
      <c r="E5">
        <f t="shared" si="1"/>
        <v>8.2366853227124572</v>
      </c>
      <c r="F5">
        <f t="shared" ref="F5:F49" si="4">E4-E5</f>
        <v>-1.8550422704013414E-3</v>
      </c>
    </row>
    <row r="6" spans="1:6">
      <c r="A6" s="4">
        <f t="shared" si="3"/>
        <v>4</v>
      </c>
      <c r="B6" s="7">
        <v>32567</v>
      </c>
      <c r="C6" s="10">
        <v>3831</v>
      </c>
      <c r="D6" s="15">
        <f t="shared" si="2"/>
        <v>54</v>
      </c>
      <c r="E6">
        <f t="shared" si="1"/>
        <v>8.2508811447006494</v>
      </c>
      <c r="F6">
        <f t="shared" si="4"/>
        <v>-1.4195821988192137E-2</v>
      </c>
    </row>
    <row r="7" spans="1:6">
      <c r="A7" s="4">
        <f t="shared" si="3"/>
        <v>5</v>
      </c>
      <c r="B7" s="7">
        <v>32598</v>
      </c>
      <c r="C7" s="10">
        <v>3916</v>
      </c>
      <c r="D7" s="15">
        <f t="shared" si="2"/>
        <v>85</v>
      </c>
      <c r="E7">
        <f t="shared" si="1"/>
        <v>8.2728260036504011</v>
      </c>
      <c r="F7">
        <f t="shared" si="4"/>
        <v>-2.1944858949751733E-2</v>
      </c>
    </row>
    <row r="8" spans="1:6">
      <c r="A8" s="4">
        <f t="shared" si="3"/>
        <v>6</v>
      </c>
      <c r="B8" s="7">
        <v>32628</v>
      </c>
      <c r="C8" s="10">
        <v>3956</v>
      </c>
      <c r="D8" s="15">
        <f t="shared" si="2"/>
        <v>40</v>
      </c>
      <c r="E8">
        <f t="shared" si="1"/>
        <v>8.2829886927426024</v>
      </c>
      <c r="F8">
        <f t="shared" si="4"/>
        <v>-1.0162689092201305E-2</v>
      </c>
    </row>
    <row r="9" spans="1:6">
      <c r="A9" s="4">
        <f t="shared" si="3"/>
        <v>7</v>
      </c>
      <c r="B9" s="7">
        <v>32659</v>
      </c>
      <c r="C9" s="10">
        <v>3995</v>
      </c>
      <c r="D9" s="15">
        <f t="shared" si="2"/>
        <v>39</v>
      </c>
      <c r="E9">
        <f t="shared" si="1"/>
        <v>8.2927988582003742</v>
      </c>
      <c r="F9">
        <f t="shared" si="4"/>
        <v>-9.8101654577718023E-3</v>
      </c>
    </row>
    <row r="10" spans="1:6">
      <c r="A10" s="4">
        <f t="shared" si="3"/>
        <v>8</v>
      </c>
      <c r="B10" s="7">
        <v>32689</v>
      </c>
      <c r="C10" s="10">
        <v>3949</v>
      </c>
      <c r="D10" s="15">
        <f t="shared" si="2"/>
        <v>-46</v>
      </c>
      <c r="E10">
        <f t="shared" si="1"/>
        <v>8.2812176612866502</v>
      </c>
      <c r="F10">
        <f t="shared" si="4"/>
        <v>1.1581196913724057E-2</v>
      </c>
    </row>
    <row r="11" spans="1:6">
      <c r="A11" s="4">
        <f t="shared" si="3"/>
        <v>9</v>
      </c>
      <c r="B11" s="7">
        <v>32720</v>
      </c>
      <c r="C11" s="10">
        <v>3986</v>
      </c>
      <c r="D11" s="15">
        <f t="shared" si="2"/>
        <v>37</v>
      </c>
      <c r="E11">
        <f t="shared" si="1"/>
        <v>8.2905435007727402</v>
      </c>
      <c r="F11">
        <f t="shared" si="4"/>
        <v>-9.325839486090004E-3</v>
      </c>
    </row>
    <row r="12" spans="1:6">
      <c r="A12" s="4">
        <f t="shared" si="3"/>
        <v>10</v>
      </c>
      <c r="B12" s="7">
        <v>32751</v>
      </c>
      <c r="C12" s="10">
        <v>4026</v>
      </c>
      <c r="D12" s="15">
        <f t="shared" si="2"/>
        <v>40</v>
      </c>
      <c r="E12">
        <f t="shared" si="1"/>
        <v>8.3005286061997374</v>
      </c>
      <c r="F12">
        <f t="shared" si="4"/>
        <v>-9.985105426997265E-3</v>
      </c>
    </row>
    <row r="13" spans="1:6">
      <c r="A13" s="4">
        <f t="shared" si="3"/>
        <v>11</v>
      </c>
      <c r="B13" s="7">
        <v>32781</v>
      </c>
      <c r="C13" s="10">
        <v>4050</v>
      </c>
      <c r="D13" s="15">
        <f t="shared" si="2"/>
        <v>24</v>
      </c>
      <c r="E13">
        <f t="shared" si="1"/>
        <v>8.3064721601005846</v>
      </c>
      <c r="F13">
        <f t="shared" si="4"/>
        <v>-5.9435539008472205E-3</v>
      </c>
    </row>
    <row r="14" spans="1:6">
      <c r="A14" s="4">
        <f t="shared" si="3"/>
        <v>12</v>
      </c>
      <c r="B14" s="7">
        <v>32812</v>
      </c>
      <c r="C14" s="10">
        <v>4095</v>
      </c>
      <c r="D14" s="15">
        <f t="shared" si="2"/>
        <v>45</v>
      </c>
      <c r="E14">
        <f t="shared" si="1"/>
        <v>8.3175219962871694</v>
      </c>
      <c r="F14">
        <f t="shared" si="4"/>
        <v>-1.1049836186584727E-2</v>
      </c>
    </row>
    <row r="15" spans="1:6">
      <c r="A15" s="4">
        <f t="shared" si="3"/>
        <v>13</v>
      </c>
      <c r="B15" s="7">
        <v>32842</v>
      </c>
      <c r="C15" s="10">
        <v>4105</v>
      </c>
      <c r="D15" s="15">
        <f t="shared" si="2"/>
        <v>10</v>
      </c>
      <c r="E15">
        <f t="shared" si="1"/>
        <v>8.3199610218865292</v>
      </c>
      <c r="F15">
        <f t="shared" si="4"/>
        <v>-2.4390255993598231E-3</v>
      </c>
    </row>
    <row r="16" spans="1:6">
      <c r="A16" s="4">
        <f t="shared" si="3"/>
        <v>14</v>
      </c>
      <c r="B16" s="7">
        <v>32873</v>
      </c>
      <c r="C16" s="10">
        <v>4126</v>
      </c>
      <c r="D16" s="15">
        <f t="shared" si="2"/>
        <v>21</v>
      </c>
      <c r="E16">
        <f t="shared" si="1"/>
        <v>8.325063693631197</v>
      </c>
      <c r="F16">
        <f t="shared" si="4"/>
        <v>-5.1026717446678305E-3</v>
      </c>
    </row>
    <row r="17" spans="1:6">
      <c r="A17" s="4">
        <f t="shared" si="3"/>
        <v>15</v>
      </c>
      <c r="B17" s="7">
        <v>32904</v>
      </c>
      <c r="C17" s="10">
        <v>4164</v>
      </c>
      <c r="D17" s="15">
        <f t="shared" si="2"/>
        <v>38</v>
      </c>
      <c r="E17">
        <f t="shared" si="1"/>
        <v>8.3342314297348601</v>
      </c>
      <c r="F17">
        <f t="shared" si="4"/>
        <v>-9.16773610366306E-3</v>
      </c>
    </row>
    <row r="18" spans="1:6">
      <c r="A18" s="4">
        <f t="shared" si="3"/>
        <v>16</v>
      </c>
      <c r="B18" s="7">
        <v>32932</v>
      </c>
      <c r="C18" s="10">
        <v>4222</v>
      </c>
      <c r="D18" s="15">
        <f t="shared" si="2"/>
        <v>58</v>
      </c>
      <c r="E18">
        <f t="shared" si="1"/>
        <v>8.3480642284082656</v>
      </c>
      <c r="F18">
        <f t="shared" si="4"/>
        <v>-1.3832798673405478E-2</v>
      </c>
    </row>
    <row r="19" spans="1:6">
      <c r="A19" s="4">
        <f t="shared" si="3"/>
        <v>17</v>
      </c>
      <c r="B19" s="7">
        <v>32963</v>
      </c>
      <c r="C19" s="10">
        <v>4321</v>
      </c>
      <c r="D19" s="15">
        <f t="shared" si="2"/>
        <v>99</v>
      </c>
      <c r="E19">
        <f t="shared" si="1"/>
        <v>8.3712421359319329</v>
      </c>
      <c r="F19">
        <f t="shared" si="4"/>
        <v>-2.3177907523667329E-2</v>
      </c>
    </row>
    <row r="20" spans="1:6">
      <c r="A20" s="4">
        <f t="shared" si="3"/>
        <v>18</v>
      </c>
      <c r="B20" s="7">
        <v>32993</v>
      </c>
      <c r="C20" s="10">
        <v>4335</v>
      </c>
      <c r="D20" s="15">
        <f t="shared" si="2"/>
        <v>14</v>
      </c>
      <c r="E20">
        <f t="shared" si="1"/>
        <v>8.3744768892146428</v>
      </c>
      <c r="F20">
        <f t="shared" si="4"/>
        <v>-3.2347532827099457E-3</v>
      </c>
    </row>
    <row r="21" spans="1:6">
      <c r="A21" s="4">
        <f t="shared" si="3"/>
        <v>19</v>
      </c>
      <c r="B21" s="7">
        <v>33024</v>
      </c>
      <c r="C21" s="10">
        <v>4454</v>
      </c>
      <c r="D21" s="15">
        <f t="shared" si="2"/>
        <v>119</v>
      </c>
      <c r="E21">
        <f t="shared" si="1"/>
        <v>8.4015578478173136</v>
      </c>
      <c r="F21">
        <f t="shared" si="4"/>
        <v>-2.708095860267079E-2</v>
      </c>
    </row>
    <row r="22" spans="1:6">
      <c r="A22" s="4">
        <f t="shared" si="3"/>
        <v>20</v>
      </c>
      <c r="B22" s="7">
        <v>33054</v>
      </c>
      <c r="C22" s="10">
        <v>4536</v>
      </c>
      <c r="D22" s="15">
        <f t="shared" si="2"/>
        <v>82</v>
      </c>
      <c r="E22">
        <f t="shared" si="1"/>
        <v>8.4198008454075879</v>
      </c>
      <c r="F22">
        <f t="shared" si="4"/>
        <v>-1.8242997590274257E-2</v>
      </c>
    </row>
    <row r="23" spans="1:6">
      <c r="A23" s="4">
        <f t="shared" si="3"/>
        <v>21</v>
      </c>
      <c r="B23" s="7">
        <v>33085</v>
      </c>
      <c r="C23" s="10">
        <v>4597</v>
      </c>
      <c r="D23" s="15">
        <f t="shared" si="2"/>
        <v>61</v>
      </c>
      <c r="E23">
        <f t="shared" si="1"/>
        <v>8.433159195806228</v>
      </c>
      <c r="F23">
        <f t="shared" si="4"/>
        <v>-1.3358350398640084E-2</v>
      </c>
    </row>
    <row r="24" spans="1:6">
      <c r="A24" s="4">
        <f t="shared" si="3"/>
        <v>22</v>
      </c>
      <c r="B24" s="7">
        <v>33116</v>
      </c>
      <c r="C24" s="10">
        <v>4643</v>
      </c>
      <c r="D24" s="15">
        <f t="shared" si="2"/>
        <v>46</v>
      </c>
      <c r="E24">
        <f t="shared" si="1"/>
        <v>8.4431159880199225</v>
      </c>
      <c r="F24">
        <f t="shared" si="4"/>
        <v>-9.9567922136944986E-3</v>
      </c>
    </row>
    <row r="25" spans="1:6">
      <c r="A25" s="4">
        <f t="shared" si="3"/>
        <v>23</v>
      </c>
      <c r="B25" s="7">
        <v>33146</v>
      </c>
      <c r="C25" s="10">
        <v>4701</v>
      </c>
      <c r="D25" s="15">
        <f t="shared" si="2"/>
        <v>58</v>
      </c>
      <c r="E25">
        <f t="shared" si="1"/>
        <v>8.4555305310241309</v>
      </c>
      <c r="F25">
        <f t="shared" si="4"/>
        <v>-1.2414543004208412E-2</v>
      </c>
    </row>
    <row r="26" spans="1:6">
      <c r="A26" s="4">
        <f t="shared" si="3"/>
        <v>24</v>
      </c>
      <c r="B26" s="7">
        <v>33177</v>
      </c>
      <c r="C26" s="10">
        <v>4766</v>
      </c>
      <c r="D26" s="15">
        <f t="shared" si="2"/>
        <v>65</v>
      </c>
      <c r="E26">
        <f t="shared" si="1"/>
        <v>8.4692626576586871</v>
      </c>
      <c r="F26">
        <f t="shared" si="4"/>
        <v>-1.3732126634556252E-2</v>
      </c>
    </row>
    <row r="27" spans="1:6">
      <c r="A27" s="4">
        <f t="shared" si="3"/>
        <v>25</v>
      </c>
      <c r="B27" s="7">
        <v>33207</v>
      </c>
      <c r="C27" s="10">
        <v>4781</v>
      </c>
      <c r="D27" s="15">
        <f t="shared" si="2"/>
        <v>15</v>
      </c>
      <c r="E27">
        <f t="shared" si="1"/>
        <v>8.4724050086261027</v>
      </c>
      <c r="F27">
        <f t="shared" si="4"/>
        <v>-3.1423509674155525E-3</v>
      </c>
    </row>
    <row r="28" spans="1:6">
      <c r="A28" s="4">
        <f t="shared" si="3"/>
        <v>26</v>
      </c>
      <c r="B28" s="7">
        <v>33238</v>
      </c>
      <c r="C28" s="10">
        <v>4808</v>
      </c>
      <c r="D28" s="15">
        <f t="shared" si="2"/>
        <v>27</v>
      </c>
      <c r="E28">
        <f t="shared" si="1"/>
        <v>8.4780364762150437</v>
      </c>
      <c r="F28">
        <f t="shared" si="4"/>
        <v>-5.6314675889410637E-3</v>
      </c>
    </row>
    <row r="29" spans="1:6">
      <c r="A29" s="4">
        <f t="shared" si="3"/>
        <v>27</v>
      </c>
      <c r="B29" s="7">
        <v>33269</v>
      </c>
      <c r="C29" s="10">
        <v>4836</v>
      </c>
      <c r="D29" s="15">
        <f t="shared" si="2"/>
        <v>28</v>
      </c>
      <c r="E29">
        <f t="shared" si="1"/>
        <v>8.4838432117346834</v>
      </c>
      <c r="F29">
        <f t="shared" si="4"/>
        <v>-5.8067355196396164E-3</v>
      </c>
    </row>
    <row r="30" spans="1:6">
      <c r="A30" s="4">
        <f t="shared" si="3"/>
        <v>28</v>
      </c>
      <c r="B30" s="7">
        <v>33297</v>
      </c>
      <c r="C30" s="10">
        <v>4937</v>
      </c>
      <c r="D30" s="15">
        <f t="shared" si="2"/>
        <v>101</v>
      </c>
      <c r="E30">
        <f t="shared" si="1"/>
        <v>8.5045131382588632</v>
      </c>
      <c r="F30">
        <f t="shared" si="4"/>
        <v>-2.0669926524179871E-2</v>
      </c>
    </row>
    <row r="31" spans="1:6">
      <c r="A31" s="4">
        <f t="shared" si="3"/>
        <v>29</v>
      </c>
      <c r="B31" s="7">
        <v>33328</v>
      </c>
      <c r="C31" s="10">
        <v>5054</v>
      </c>
      <c r="D31" s="15">
        <f t="shared" si="2"/>
        <v>117</v>
      </c>
      <c r="E31">
        <f t="shared" si="1"/>
        <v>8.5279352879481394</v>
      </c>
      <c r="F31">
        <f t="shared" si="4"/>
        <v>-2.3422149689276139E-2</v>
      </c>
    </row>
    <row r="32" spans="1:6">
      <c r="A32" s="4">
        <f t="shared" si="3"/>
        <v>30</v>
      </c>
      <c r="B32" s="7">
        <v>33358</v>
      </c>
      <c r="C32" s="10">
        <v>5103</v>
      </c>
      <c r="D32" s="15">
        <f t="shared" si="2"/>
        <v>49</v>
      </c>
      <c r="E32">
        <f t="shared" si="1"/>
        <v>8.5375838810639717</v>
      </c>
      <c r="F32">
        <f t="shared" si="4"/>
        <v>-9.6485931158323268E-3</v>
      </c>
    </row>
    <row r="33" spans="1:6">
      <c r="A33" s="4">
        <f t="shared" si="3"/>
        <v>31</v>
      </c>
      <c r="B33" s="7">
        <v>33389</v>
      </c>
      <c r="C33" s="10">
        <v>5105</v>
      </c>
      <c r="D33" s="15">
        <f t="shared" si="2"/>
        <v>2</v>
      </c>
      <c r="E33">
        <f t="shared" si="1"/>
        <v>8.5379757305987667</v>
      </c>
      <c r="F33">
        <f t="shared" si="4"/>
        <v>-3.9184953479498574E-4</v>
      </c>
    </row>
    <row r="34" spans="1:6">
      <c r="A34" s="1">
        <f t="shared" si="3"/>
        <v>32</v>
      </c>
      <c r="B34" s="12">
        <v>33419</v>
      </c>
      <c r="C34" s="13">
        <v>5704</v>
      </c>
      <c r="D34" s="15">
        <f t="shared" si="2"/>
        <v>599</v>
      </c>
      <c r="E34">
        <f t="shared" si="1"/>
        <v>8.6489229620941313</v>
      </c>
      <c r="F34">
        <f t="shared" si="4"/>
        <v>-0.11094723149536456</v>
      </c>
    </row>
    <row r="35" spans="1:6">
      <c r="A35" s="1">
        <f t="shared" si="3"/>
        <v>33</v>
      </c>
      <c r="B35" s="12">
        <v>33450</v>
      </c>
      <c r="C35" s="13">
        <v>5907</v>
      </c>
      <c r="D35" s="15">
        <f t="shared" si="2"/>
        <v>203</v>
      </c>
      <c r="E35">
        <f t="shared" si="1"/>
        <v>8.6838933673072347</v>
      </c>
      <c r="F35">
        <f t="shared" si="4"/>
        <v>-3.4970405213103462E-2</v>
      </c>
    </row>
    <row r="36" spans="1:6">
      <c r="A36" s="4">
        <f t="shared" si="3"/>
        <v>34</v>
      </c>
      <c r="B36" s="7">
        <v>33481</v>
      </c>
      <c r="C36" s="10">
        <v>5889</v>
      </c>
      <c r="D36" s="15">
        <f t="shared" si="2"/>
        <v>-18</v>
      </c>
      <c r="E36">
        <f t="shared" si="1"/>
        <v>8.6808414829445706</v>
      </c>
      <c r="F36">
        <f t="shared" si="4"/>
        <v>3.0518843626641257E-3</v>
      </c>
    </row>
    <row r="37" spans="1:6">
      <c r="A37" s="4">
        <f t="shared" si="3"/>
        <v>35</v>
      </c>
      <c r="B37" s="7">
        <v>33511</v>
      </c>
      <c r="C37" s="10">
        <v>5887</v>
      </c>
      <c r="D37" s="15">
        <f t="shared" si="2"/>
        <v>-2</v>
      </c>
      <c r="E37">
        <f t="shared" si="1"/>
        <v>8.6805018090282609</v>
      </c>
      <c r="F37">
        <f t="shared" si="4"/>
        <v>3.3967391630973509E-4</v>
      </c>
    </row>
    <row r="38" spans="1:6">
      <c r="A38" s="4">
        <f t="shared" si="3"/>
        <v>36</v>
      </c>
      <c r="B38" s="7">
        <v>33542</v>
      </c>
      <c r="C38" s="10">
        <v>5876</v>
      </c>
      <c r="D38" s="15">
        <f t="shared" si="2"/>
        <v>-11</v>
      </c>
      <c r="E38">
        <f t="shared" si="1"/>
        <v>8.6786315372937679</v>
      </c>
      <c r="F38">
        <f t="shared" si="4"/>
        <v>1.8702717344929454E-3</v>
      </c>
    </row>
    <row r="39" spans="1:6">
      <c r="A39" s="4">
        <f t="shared" si="3"/>
        <v>37</v>
      </c>
      <c r="B39" s="7">
        <v>33572</v>
      </c>
      <c r="C39" s="10">
        <v>5896</v>
      </c>
      <c r="D39" s="15">
        <f t="shared" si="2"/>
        <v>20</v>
      </c>
      <c r="E39">
        <f t="shared" si="1"/>
        <v>8.6820294338691717</v>
      </c>
      <c r="F39">
        <f t="shared" si="4"/>
        <v>-3.3978965754037915E-3</v>
      </c>
    </row>
    <row r="40" spans="1:6">
      <c r="A40" s="4">
        <f t="shared" si="3"/>
        <v>38</v>
      </c>
      <c r="B40" s="7">
        <v>33603</v>
      </c>
      <c r="C40" s="10">
        <v>5900</v>
      </c>
      <c r="D40" s="15">
        <f t="shared" si="2"/>
        <v>4</v>
      </c>
      <c r="E40">
        <f t="shared" si="1"/>
        <v>8.6827076298938106</v>
      </c>
      <c r="F40">
        <f t="shared" si="4"/>
        <v>-6.7819602463892181E-4</v>
      </c>
    </row>
    <row r="41" spans="1:6">
      <c r="A41" s="4">
        <f t="shared" si="3"/>
        <v>39</v>
      </c>
      <c r="B41" s="7">
        <v>33634</v>
      </c>
      <c r="C41" s="10">
        <v>5917</v>
      </c>
      <c r="D41" s="15">
        <f t="shared" si="2"/>
        <v>17</v>
      </c>
      <c r="E41">
        <f t="shared" si="1"/>
        <v>8.6855848426766933</v>
      </c>
      <c r="F41">
        <f t="shared" si="4"/>
        <v>-2.8772127828826655E-3</v>
      </c>
    </row>
    <row r="42" spans="1:6">
      <c r="A42" s="4">
        <f t="shared" si="3"/>
        <v>40</v>
      </c>
      <c r="B42" s="7">
        <v>33663</v>
      </c>
      <c r="C42" s="10">
        <v>5938</v>
      </c>
      <c r="D42" s="15">
        <f t="shared" si="2"/>
        <v>21</v>
      </c>
      <c r="E42">
        <f t="shared" si="1"/>
        <v>8.6891276553237056</v>
      </c>
      <c r="F42">
        <f t="shared" si="4"/>
        <v>-3.5428126470122834E-3</v>
      </c>
    </row>
    <row r="43" spans="1:6">
      <c r="A43" s="4">
        <f t="shared" si="3"/>
        <v>41</v>
      </c>
      <c r="B43" s="7">
        <v>33694</v>
      </c>
      <c r="C43" s="10">
        <v>5987</v>
      </c>
      <c r="D43" s="15">
        <f t="shared" si="2"/>
        <v>49</v>
      </c>
      <c r="E43">
        <f t="shared" si="1"/>
        <v>8.6973457309253526</v>
      </c>
      <c r="F43">
        <f t="shared" si="4"/>
        <v>-8.2180756016470013E-3</v>
      </c>
    </row>
    <row r="44" spans="1:6">
      <c r="A44" s="4">
        <f t="shared" si="3"/>
        <v>42</v>
      </c>
      <c r="B44" s="7">
        <v>33724</v>
      </c>
      <c r="C44" s="10">
        <v>5983</v>
      </c>
      <c r="D44" s="15">
        <f t="shared" si="2"/>
        <v>-4</v>
      </c>
      <c r="E44">
        <f t="shared" si="1"/>
        <v>8.696677393390031</v>
      </c>
      <c r="F44">
        <f t="shared" si="4"/>
        <v>6.6833753532158369E-4</v>
      </c>
    </row>
    <row r="45" spans="1:6">
      <c r="A45" s="4">
        <f t="shared" si="3"/>
        <v>43</v>
      </c>
      <c r="B45" s="7">
        <v>33755</v>
      </c>
      <c r="C45" s="10">
        <v>5981</v>
      </c>
      <c r="D45" s="15">
        <f t="shared" si="2"/>
        <v>-2</v>
      </c>
      <c r="E45">
        <f t="shared" si="1"/>
        <v>8.6963430570445563</v>
      </c>
      <c r="F45">
        <f t="shared" si="4"/>
        <v>3.3433634547463953E-4</v>
      </c>
    </row>
    <row r="46" spans="1:6">
      <c r="A46" s="4">
        <f t="shared" si="3"/>
        <v>44</v>
      </c>
      <c r="B46" s="7">
        <v>33785</v>
      </c>
      <c r="C46" s="10">
        <v>5975</v>
      </c>
      <c r="D46" s="15">
        <f t="shared" si="2"/>
        <v>-6</v>
      </c>
      <c r="E46">
        <f t="shared" si="1"/>
        <v>8.695339376799712</v>
      </c>
      <c r="F46">
        <f t="shared" si="4"/>
        <v>1.0036802448443183E-3</v>
      </c>
    </row>
    <row r="47" spans="1:6">
      <c r="A47" s="4">
        <f t="shared" si="3"/>
        <v>45</v>
      </c>
      <c r="B47" s="7">
        <v>33816</v>
      </c>
      <c r="C47" s="10">
        <v>5985</v>
      </c>
      <c r="D47" s="15">
        <f t="shared" si="2"/>
        <v>10</v>
      </c>
      <c r="E47">
        <f t="shared" si="1"/>
        <v>8.6970116179920733</v>
      </c>
      <c r="F47">
        <f t="shared" si="4"/>
        <v>-1.6722411923613123E-3</v>
      </c>
    </row>
    <row r="48" spans="1:6">
      <c r="A48" s="4">
        <f t="shared" si="3"/>
        <v>46</v>
      </c>
      <c r="B48" s="7">
        <v>33847</v>
      </c>
      <c r="C48" s="10">
        <v>6029</v>
      </c>
      <c r="D48" s="15">
        <f t="shared" si="2"/>
        <v>44</v>
      </c>
      <c r="E48">
        <f t="shared" si="1"/>
        <v>8.7043364384894062</v>
      </c>
      <c r="F48">
        <f t="shared" si="4"/>
        <v>-7.3248204973328512E-3</v>
      </c>
    </row>
    <row r="49" spans="1:6">
      <c r="A49" s="4">
        <f t="shared" si="3"/>
        <v>47</v>
      </c>
      <c r="B49" s="7">
        <v>33877</v>
      </c>
      <c r="C49" s="10">
        <v>6024</v>
      </c>
      <c r="D49" s="15">
        <f t="shared" si="2"/>
        <v>-5</v>
      </c>
      <c r="E49">
        <f t="shared" si="1"/>
        <v>8.7035067694797288</v>
      </c>
      <c r="F49">
        <f t="shared" si="4"/>
        <v>8.2966900967740287E-4</v>
      </c>
    </row>
    <row r="50" spans="1:6">
      <c r="A50" s="4">
        <f t="shared" si="3"/>
        <v>48</v>
      </c>
      <c r="B50" s="7">
        <v>33908</v>
      </c>
      <c r="C50" s="13">
        <v>6044.7424242424204</v>
      </c>
    </row>
    <row r="51" spans="1:6">
      <c r="A51" s="4">
        <f t="shared" si="3"/>
        <v>49</v>
      </c>
      <c r="B51" s="7">
        <v>33938</v>
      </c>
      <c r="C51" s="13">
        <v>6058.1515151515196</v>
      </c>
    </row>
    <row r="52" spans="1:6">
      <c r="A52" s="4">
        <f t="shared" si="3"/>
        <v>50</v>
      </c>
      <c r="B52" s="7">
        <v>33969</v>
      </c>
      <c r="C52" s="13">
        <v>6071.5606060606096</v>
      </c>
    </row>
    <row r="53" spans="1:6">
      <c r="A53" s="4">
        <f t="shared" si="3"/>
        <v>51</v>
      </c>
      <c r="B53" s="7">
        <v>34000</v>
      </c>
      <c r="C53" s="13">
        <v>6084.9696969696997</v>
      </c>
    </row>
    <row r="54" spans="1:6">
      <c r="A54" s="4">
        <f t="shared" si="3"/>
        <v>52</v>
      </c>
      <c r="B54" s="7">
        <v>34028</v>
      </c>
      <c r="C54" s="13">
        <v>6098.3787878787898</v>
      </c>
    </row>
    <row r="55" spans="1:6">
      <c r="A55" s="4">
        <f t="shared" si="3"/>
        <v>53</v>
      </c>
      <c r="B55" s="7">
        <v>34059</v>
      </c>
      <c r="C55" s="13">
        <v>6111.7878787878799</v>
      </c>
    </row>
    <row r="56" spans="1:6">
      <c r="A56" s="4">
        <f t="shared" si="3"/>
        <v>54</v>
      </c>
      <c r="B56" s="7">
        <v>34089</v>
      </c>
      <c r="C56" s="13">
        <v>6125.19696969697</v>
      </c>
    </row>
    <row r="57" spans="1:6">
      <c r="A57" s="4">
        <f t="shared" si="3"/>
        <v>55</v>
      </c>
      <c r="B57" s="7">
        <v>34120</v>
      </c>
      <c r="C57" s="13">
        <v>6138.6060606060601</v>
      </c>
    </row>
    <row r="58" spans="1:6">
      <c r="A58" s="4">
        <f t="shared" si="3"/>
        <v>56</v>
      </c>
      <c r="B58" s="7">
        <v>34150</v>
      </c>
      <c r="C58" s="13">
        <v>6152.0151515151501</v>
      </c>
    </row>
    <row r="59" spans="1:6">
      <c r="A59" s="4">
        <f t="shared" si="3"/>
        <v>57</v>
      </c>
      <c r="B59" s="7">
        <v>34181</v>
      </c>
      <c r="C59" s="13">
        <v>6165.4242424242402</v>
      </c>
    </row>
    <row r="60" spans="1:6">
      <c r="A60" s="4">
        <f t="shared" si="3"/>
        <v>58</v>
      </c>
      <c r="B60" s="7">
        <v>34212</v>
      </c>
      <c r="C60" s="13">
        <v>6178.8333333333303</v>
      </c>
    </row>
    <row r="61" spans="1:6">
      <c r="A61" s="4">
        <f t="shared" si="3"/>
        <v>59</v>
      </c>
      <c r="B61" s="7">
        <v>34242</v>
      </c>
      <c r="C61" s="13">
        <v>6192.2424242424204</v>
      </c>
    </row>
    <row r="62" spans="1:6">
      <c r="A62" s="4">
        <f t="shared" si="3"/>
        <v>60</v>
      </c>
      <c r="B62" s="7">
        <v>34273</v>
      </c>
      <c r="C62" s="13">
        <v>6205.6515151515196</v>
      </c>
    </row>
    <row r="63" spans="1:6">
      <c r="A63" s="4">
        <f t="shared" si="3"/>
        <v>61</v>
      </c>
      <c r="B63" s="7">
        <v>34303</v>
      </c>
      <c r="C63" s="13">
        <v>6219.0606060606096</v>
      </c>
    </row>
    <row r="64" spans="1:6">
      <c r="A64" s="4">
        <f t="shared" si="3"/>
        <v>62</v>
      </c>
      <c r="B64" s="7">
        <v>34334</v>
      </c>
      <c r="C64" s="13">
        <v>6232.4696969696997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2EA5-C296-4895-BAAA-E4B399655258}">
  <dimension ref="A1:G64"/>
  <sheetViews>
    <sheetView topLeftCell="B1" zoomScaleNormal="100" workbookViewId="0">
      <pane ySplit="2" topLeftCell="A33" activePane="bottomLeft" state="frozen"/>
      <selection pane="bottomLeft" activeCell="G50" sqref="G50"/>
    </sheetView>
  </sheetViews>
  <sheetFormatPr defaultRowHeight="14.45"/>
  <cols>
    <col min="2" max="2" width="10.85546875" customWidth="1"/>
    <col min="3" max="3" width="9.42578125" customWidth="1"/>
    <col min="4" max="5" width="9.7109375" customWidth="1"/>
    <col min="8" max="8" width="10.42578125" customWidth="1"/>
  </cols>
  <sheetData>
    <row r="1" spans="1:7">
      <c r="B1" s="5"/>
      <c r="C1" s="8"/>
      <c r="D1" s="8"/>
      <c r="E1" s="8"/>
      <c r="F1" t="str">
        <f ca="1">_xlfn.FORMULATEXT(F4)</f>
        <v>=C4-C3</v>
      </c>
    </row>
    <row r="2" spans="1:7" ht="57.95">
      <c r="A2" s="3" t="s">
        <v>1</v>
      </c>
      <c r="B2" s="6" t="s">
        <v>2</v>
      </c>
      <c r="C2" s="9" t="s">
        <v>3</v>
      </c>
      <c r="D2" s="16" t="s">
        <v>22</v>
      </c>
      <c r="E2" s="14" t="s">
        <v>23</v>
      </c>
      <c r="F2" s="14" t="s">
        <v>5</v>
      </c>
      <c r="G2" s="14" t="s">
        <v>24</v>
      </c>
    </row>
    <row r="3" spans="1:7">
      <c r="A3" s="4">
        <v>1</v>
      </c>
      <c r="B3" s="7">
        <v>32477</v>
      </c>
      <c r="C3" s="10">
        <v>3761</v>
      </c>
      <c r="D3" s="10"/>
      <c r="E3" s="10"/>
      <c r="F3" s="15" t="str">
        <f ca="1">_xlfn.FORMULATEXT(F4)</f>
        <v>=C4-C3</v>
      </c>
    </row>
    <row r="4" spans="1:7">
      <c r="A4" s="4">
        <f>1+A3</f>
        <v>2</v>
      </c>
      <c r="B4" s="7">
        <v>32508</v>
      </c>
      <c r="C4" s="10">
        <v>3770</v>
      </c>
      <c r="D4" s="10"/>
      <c r="E4" s="10"/>
      <c r="F4" s="15">
        <f t="shared" ref="F4:F49" si="0">C4-C3</f>
        <v>9</v>
      </c>
    </row>
    <row r="5" spans="1:7">
      <c r="A5" s="4">
        <f t="shared" ref="A5:A64" si="1">1+A4</f>
        <v>3</v>
      </c>
      <c r="B5" s="7">
        <v>32539</v>
      </c>
      <c r="C5" s="10">
        <v>3777</v>
      </c>
      <c r="D5" s="10"/>
      <c r="E5" s="10"/>
      <c r="F5" s="15">
        <f t="shared" si="0"/>
        <v>7</v>
      </c>
    </row>
    <row r="6" spans="1:7">
      <c r="A6" s="4">
        <f t="shared" si="1"/>
        <v>4</v>
      </c>
      <c r="B6" s="7">
        <v>32567</v>
      </c>
      <c r="C6" s="10">
        <v>3831</v>
      </c>
      <c r="D6" s="10"/>
      <c r="E6" s="10"/>
      <c r="F6" s="15">
        <f t="shared" si="0"/>
        <v>54</v>
      </c>
    </row>
    <row r="7" spans="1:7">
      <c r="A7" s="4">
        <f t="shared" si="1"/>
        <v>5</v>
      </c>
      <c r="B7" s="7">
        <v>32598</v>
      </c>
      <c r="C7" s="10">
        <v>3916</v>
      </c>
      <c r="D7" s="10"/>
      <c r="E7" s="10"/>
      <c r="F7" s="15">
        <f t="shared" si="0"/>
        <v>85</v>
      </c>
    </row>
    <row r="8" spans="1:7">
      <c r="A8" s="4">
        <f t="shared" si="1"/>
        <v>6</v>
      </c>
      <c r="B8" s="7">
        <v>32628</v>
      </c>
      <c r="C8" s="10">
        <v>3956</v>
      </c>
      <c r="D8" s="10"/>
      <c r="E8" s="10"/>
      <c r="F8" s="15">
        <f t="shared" si="0"/>
        <v>40</v>
      </c>
    </row>
    <row r="9" spans="1:7">
      <c r="A9" s="4">
        <f t="shared" si="1"/>
        <v>7</v>
      </c>
      <c r="B9" s="7">
        <v>32659</v>
      </c>
      <c r="C9" s="10">
        <v>3995</v>
      </c>
      <c r="D9" s="10"/>
      <c r="E9" s="10"/>
      <c r="F9" s="15">
        <f t="shared" si="0"/>
        <v>39</v>
      </c>
    </row>
    <row r="10" spans="1:7">
      <c r="A10" s="4">
        <f t="shared" si="1"/>
        <v>8</v>
      </c>
      <c r="B10" s="7">
        <v>32689</v>
      </c>
      <c r="C10" s="10">
        <v>3949</v>
      </c>
      <c r="D10" s="10"/>
      <c r="E10" s="10"/>
      <c r="F10" s="15">
        <f t="shared" si="0"/>
        <v>-46</v>
      </c>
    </row>
    <row r="11" spans="1:7">
      <c r="A11" s="4">
        <f t="shared" si="1"/>
        <v>9</v>
      </c>
      <c r="B11" s="7">
        <v>32720</v>
      </c>
      <c r="C11" s="10">
        <v>3986</v>
      </c>
      <c r="D11" s="10"/>
      <c r="E11" s="10"/>
      <c r="F11" s="15">
        <f t="shared" si="0"/>
        <v>37</v>
      </c>
    </row>
    <row r="12" spans="1:7">
      <c r="A12" s="4">
        <f t="shared" si="1"/>
        <v>10</v>
      </c>
      <c r="B12" s="7">
        <v>32751</v>
      </c>
      <c r="C12" s="10">
        <v>4026</v>
      </c>
      <c r="D12" s="10"/>
      <c r="E12" s="10"/>
      <c r="F12" s="15">
        <f t="shared" si="0"/>
        <v>40</v>
      </c>
    </row>
    <row r="13" spans="1:7">
      <c r="A13" s="4">
        <f t="shared" si="1"/>
        <v>11</v>
      </c>
      <c r="B13" s="7">
        <v>32781</v>
      </c>
      <c r="C13" s="10">
        <v>4050</v>
      </c>
      <c r="D13" s="10"/>
      <c r="E13" s="10"/>
      <c r="F13" s="15">
        <f t="shared" si="0"/>
        <v>24</v>
      </c>
    </row>
    <row r="14" spans="1:7">
      <c r="A14" s="4">
        <f t="shared" si="1"/>
        <v>12</v>
      </c>
      <c r="B14" s="7">
        <v>32812</v>
      </c>
      <c r="C14" s="10">
        <v>4095</v>
      </c>
      <c r="D14" s="10"/>
      <c r="E14" s="10"/>
      <c r="F14" s="15">
        <f t="shared" si="0"/>
        <v>45</v>
      </c>
    </row>
    <row r="15" spans="1:7">
      <c r="A15" s="4">
        <f t="shared" si="1"/>
        <v>13</v>
      </c>
      <c r="B15" s="7">
        <v>32842</v>
      </c>
      <c r="C15" s="10">
        <v>4105</v>
      </c>
      <c r="D15" s="10"/>
      <c r="E15" s="10"/>
      <c r="F15" s="15">
        <f t="shared" si="0"/>
        <v>10</v>
      </c>
    </row>
    <row r="16" spans="1:7">
      <c r="A16" s="4">
        <f t="shared" si="1"/>
        <v>14</v>
      </c>
      <c r="B16" s="7">
        <v>32873</v>
      </c>
      <c r="C16" s="10">
        <v>4126</v>
      </c>
      <c r="D16" s="10"/>
      <c r="E16" s="10"/>
      <c r="F16" s="15">
        <f t="shared" si="0"/>
        <v>21</v>
      </c>
    </row>
    <row r="17" spans="1:6">
      <c r="A17" s="4">
        <f t="shared" si="1"/>
        <v>15</v>
      </c>
      <c r="B17" s="7">
        <v>32904</v>
      </c>
      <c r="C17" s="10">
        <v>4164</v>
      </c>
      <c r="D17" s="10"/>
      <c r="E17" s="10"/>
      <c r="F17" s="15">
        <f t="shared" si="0"/>
        <v>38</v>
      </c>
    </row>
    <row r="18" spans="1:6">
      <c r="A18" s="4">
        <f t="shared" si="1"/>
        <v>16</v>
      </c>
      <c r="B18" s="7">
        <v>32932</v>
      </c>
      <c r="C18" s="10">
        <v>4222</v>
      </c>
      <c r="D18" s="10"/>
      <c r="E18" s="10"/>
      <c r="F18" s="15">
        <f t="shared" si="0"/>
        <v>58</v>
      </c>
    </row>
    <row r="19" spans="1:6">
      <c r="A19" s="4">
        <f t="shared" si="1"/>
        <v>17</v>
      </c>
      <c r="B19" s="7">
        <v>32963</v>
      </c>
      <c r="C19" s="10">
        <v>4321</v>
      </c>
      <c r="D19" s="10"/>
      <c r="E19" s="10"/>
      <c r="F19" s="15">
        <f t="shared" si="0"/>
        <v>99</v>
      </c>
    </row>
    <row r="20" spans="1:6">
      <c r="A20" s="4">
        <f t="shared" si="1"/>
        <v>18</v>
      </c>
      <c r="B20" s="7">
        <v>32993</v>
      </c>
      <c r="C20" s="10">
        <v>4335</v>
      </c>
      <c r="D20" s="10"/>
      <c r="E20" s="10"/>
      <c r="F20" s="15">
        <f t="shared" si="0"/>
        <v>14</v>
      </c>
    </row>
    <row r="21" spans="1:6">
      <c r="A21" s="4">
        <f t="shared" si="1"/>
        <v>19</v>
      </c>
      <c r="B21" s="7">
        <v>33024</v>
      </c>
      <c r="C21" s="10">
        <v>4454</v>
      </c>
      <c r="D21" s="10"/>
      <c r="E21" s="10"/>
      <c r="F21" s="15">
        <f t="shared" si="0"/>
        <v>119</v>
      </c>
    </row>
    <row r="22" spans="1:6">
      <c r="A22" s="4">
        <f t="shared" si="1"/>
        <v>20</v>
      </c>
      <c r="B22" s="7">
        <v>33054</v>
      </c>
      <c r="C22" s="10">
        <v>4536</v>
      </c>
      <c r="D22" s="10"/>
      <c r="E22" s="10"/>
      <c r="F22" s="15">
        <f t="shared" si="0"/>
        <v>82</v>
      </c>
    </row>
    <row r="23" spans="1:6">
      <c r="A23" s="4">
        <f t="shared" si="1"/>
        <v>21</v>
      </c>
      <c r="B23" s="7">
        <v>33085</v>
      </c>
      <c r="C23" s="10">
        <v>4597</v>
      </c>
      <c r="D23" s="10"/>
      <c r="E23" s="10"/>
      <c r="F23" s="15">
        <f t="shared" si="0"/>
        <v>61</v>
      </c>
    </row>
    <row r="24" spans="1:6">
      <c r="A24" s="4">
        <f t="shared" si="1"/>
        <v>22</v>
      </c>
      <c r="B24" s="7">
        <v>33116</v>
      </c>
      <c r="C24" s="10">
        <v>4643</v>
      </c>
      <c r="D24" s="10"/>
      <c r="E24" s="10"/>
      <c r="F24" s="15">
        <f t="shared" si="0"/>
        <v>46</v>
      </c>
    </row>
    <row r="25" spans="1:6">
      <c r="A25" s="4">
        <f t="shared" si="1"/>
        <v>23</v>
      </c>
      <c r="B25" s="7">
        <v>33146</v>
      </c>
      <c r="C25" s="10">
        <v>4701</v>
      </c>
      <c r="D25" s="10"/>
      <c r="E25" s="10"/>
      <c r="F25" s="15">
        <f t="shared" si="0"/>
        <v>58</v>
      </c>
    </row>
    <row r="26" spans="1:6">
      <c r="A26" s="4">
        <f t="shared" si="1"/>
        <v>24</v>
      </c>
      <c r="B26" s="7">
        <v>33177</v>
      </c>
      <c r="C26" s="10">
        <v>4766</v>
      </c>
      <c r="D26" s="10"/>
      <c r="E26" s="10"/>
      <c r="F26" s="15">
        <f t="shared" si="0"/>
        <v>65</v>
      </c>
    </row>
    <row r="27" spans="1:6">
      <c r="A27" s="4">
        <f t="shared" si="1"/>
        <v>25</v>
      </c>
      <c r="B27" s="7">
        <v>33207</v>
      </c>
      <c r="C27" s="10">
        <v>4781</v>
      </c>
      <c r="D27" s="10"/>
      <c r="E27" s="10"/>
      <c r="F27" s="15">
        <f t="shared" si="0"/>
        <v>15</v>
      </c>
    </row>
    <row r="28" spans="1:6">
      <c r="A28" s="4">
        <f t="shared" si="1"/>
        <v>26</v>
      </c>
      <c r="B28" s="7">
        <v>33238</v>
      </c>
      <c r="C28" s="10">
        <v>4808</v>
      </c>
      <c r="D28" s="10"/>
      <c r="E28" s="10"/>
      <c r="F28" s="15">
        <f t="shared" si="0"/>
        <v>27</v>
      </c>
    </row>
    <row r="29" spans="1:6">
      <c r="A29" s="4">
        <f t="shared" si="1"/>
        <v>27</v>
      </c>
      <c r="B29" s="7">
        <v>33269</v>
      </c>
      <c r="C29" s="10">
        <v>4836</v>
      </c>
      <c r="D29" s="10"/>
      <c r="E29" s="10"/>
      <c r="F29" s="15">
        <f t="shared" si="0"/>
        <v>28</v>
      </c>
    </row>
    <row r="30" spans="1:6">
      <c r="A30" s="4">
        <f t="shared" si="1"/>
        <v>28</v>
      </c>
      <c r="B30" s="7">
        <v>33297</v>
      </c>
      <c r="C30" s="10">
        <v>4937</v>
      </c>
      <c r="D30" s="10"/>
      <c r="E30" s="10"/>
      <c r="F30" s="15">
        <f t="shared" si="0"/>
        <v>101</v>
      </c>
    </row>
    <row r="31" spans="1:6">
      <c r="A31" s="4">
        <f t="shared" si="1"/>
        <v>29</v>
      </c>
      <c r="B31" s="7">
        <v>33328</v>
      </c>
      <c r="C31" s="10">
        <v>5054</v>
      </c>
      <c r="D31" s="10"/>
      <c r="E31" s="10"/>
      <c r="F31" s="15">
        <f t="shared" si="0"/>
        <v>117</v>
      </c>
    </row>
    <row r="32" spans="1:6">
      <c r="A32" s="4">
        <f t="shared" si="1"/>
        <v>30</v>
      </c>
      <c r="B32" s="7">
        <v>33358</v>
      </c>
      <c r="C32" s="10">
        <v>5103</v>
      </c>
      <c r="D32" s="10"/>
      <c r="E32" s="10"/>
      <c r="F32" s="15">
        <f t="shared" si="0"/>
        <v>49</v>
      </c>
    </row>
    <row r="33" spans="1:6">
      <c r="A33" s="4">
        <f t="shared" si="1"/>
        <v>31</v>
      </c>
      <c r="B33" s="7">
        <v>33389</v>
      </c>
      <c r="C33" s="10">
        <v>5105</v>
      </c>
      <c r="D33" s="10"/>
      <c r="E33" s="10"/>
      <c r="F33" s="15">
        <f t="shared" si="0"/>
        <v>2</v>
      </c>
    </row>
    <row r="34" spans="1:6">
      <c r="A34" s="1">
        <f t="shared" si="1"/>
        <v>32</v>
      </c>
      <c r="B34" s="12">
        <v>33419</v>
      </c>
      <c r="C34" s="13">
        <v>5704</v>
      </c>
      <c r="D34" s="10"/>
      <c r="E34" s="10"/>
      <c r="F34" s="15">
        <f t="shared" si="0"/>
        <v>599</v>
      </c>
    </row>
    <row r="35" spans="1:6">
      <c r="A35" s="1">
        <f t="shared" si="1"/>
        <v>33</v>
      </c>
      <c r="B35" s="12">
        <v>33450</v>
      </c>
      <c r="C35" s="13">
        <v>5907</v>
      </c>
      <c r="D35" s="10"/>
      <c r="E35" s="10"/>
      <c r="F35" s="15">
        <f t="shared" si="0"/>
        <v>203</v>
      </c>
    </row>
    <row r="36" spans="1:6">
      <c r="A36" s="4">
        <f t="shared" si="1"/>
        <v>34</v>
      </c>
      <c r="B36" s="7">
        <v>33481</v>
      </c>
      <c r="C36" s="10">
        <v>5889</v>
      </c>
      <c r="D36" s="10"/>
      <c r="E36" s="10"/>
      <c r="F36" s="15">
        <f t="shared" si="0"/>
        <v>-18</v>
      </c>
    </row>
    <row r="37" spans="1:6">
      <c r="A37" s="4">
        <f t="shared" si="1"/>
        <v>35</v>
      </c>
      <c r="B37" s="7">
        <v>33511</v>
      </c>
      <c r="C37" s="10">
        <v>5887</v>
      </c>
      <c r="D37" s="10"/>
      <c r="E37" s="10"/>
      <c r="F37" s="15">
        <f t="shared" si="0"/>
        <v>-2</v>
      </c>
    </row>
    <row r="38" spans="1:6">
      <c r="A38" s="4">
        <f t="shared" si="1"/>
        <v>36</v>
      </c>
      <c r="B38" s="7">
        <v>33542</v>
      </c>
      <c r="C38" s="10">
        <v>5876</v>
      </c>
      <c r="D38" s="10"/>
      <c r="E38" s="10"/>
      <c r="F38" s="15">
        <f t="shared" si="0"/>
        <v>-11</v>
      </c>
    </row>
    <row r="39" spans="1:6">
      <c r="A39" s="4">
        <f t="shared" si="1"/>
        <v>37</v>
      </c>
      <c r="B39" s="7">
        <v>33572</v>
      </c>
      <c r="C39" s="10">
        <v>5896</v>
      </c>
      <c r="D39" s="10"/>
      <c r="E39" s="10"/>
      <c r="F39" s="15">
        <f t="shared" si="0"/>
        <v>20</v>
      </c>
    </row>
    <row r="40" spans="1:6">
      <c r="A40" s="4">
        <f t="shared" si="1"/>
        <v>38</v>
      </c>
      <c r="B40" s="7">
        <v>33603</v>
      </c>
      <c r="C40" s="10">
        <v>5900</v>
      </c>
      <c r="D40" s="10"/>
      <c r="E40" s="10"/>
      <c r="F40" s="15">
        <f t="shared" si="0"/>
        <v>4</v>
      </c>
    </row>
    <row r="41" spans="1:6">
      <c r="A41" s="4">
        <f t="shared" si="1"/>
        <v>39</v>
      </c>
      <c r="B41" s="7">
        <v>33634</v>
      </c>
      <c r="C41" s="10">
        <v>5917</v>
      </c>
      <c r="D41" s="10"/>
      <c r="E41" s="10"/>
      <c r="F41" s="15">
        <f t="shared" si="0"/>
        <v>17</v>
      </c>
    </row>
    <row r="42" spans="1:6">
      <c r="A42" s="4">
        <f t="shared" si="1"/>
        <v>40</v>
      </c>
      <c r="B42" s="7">
        <v>33663</v>
      </c>
      <c r="C42" s="10">
        <v>5938</v>
      </c>
      <c r="D42" s="10"/>
      <c r="E42" s="10"/>
      <c r="F42" s="15">
        <f t="shared" si="0"/>
        <v>21</v>
      </c>
    </row>
    <row r="43" spans="1:6">
      <c r="A43" s="4">
        <f t="shared" si="1"/>
        <v>41</v>
      </c>
      <c r="B43" s="7">
        <v>33694</v>
      </c>
      <c r="C43" s="10">
        <v>5987</v>
      </c>
      <c r="D43" s="10"/>
      <c r="E43" s="10"/>
      <c r="F43" s="15">
        <f t="shared" si="0"/>
        <v>49</v>
      </c>
    </row>
    <row r="44" spans="1:6">
      <c r="A44" s="4">
        <f t="shared" si="1"/>
        <v>42</v>
      </c>
      <c r="B44" s="7">
        <v>33724</v>
      </c>
      <c r="C44" s="10">
        <v>5983</v>
      </c>
      <c r="D44" s="10"/>
      <c r="E44" s="10"/>
      <c r="F44" s="15">
        <f t="shared" si="0"/>
        <v>-4</v>
      </c>
    </row>
    <row r="45" spans="1:6">
      <c r="A45" s="4">
        <f t="shared" si="1"/>
        <v>43</v>
      </c>
      <c r="B45" s="7">
        <v>33755</v>
      </c>
      <c r="C45" s="10">
        <v>5981</v>
      </c>
      <c r="D45" s="10"/>
      <c r="E45" s="10"/>
      <c r="F45" s="15">
        <f t="shared" si="0"/>
        <v>-2</v>
      </c>
    </row>
    <row r="46" spans="1:6">
      <c r="A46" s="4">
        <f t="shared" si="1"/>
        <v>44</v>
      </c>
      <c r="B46" s="7">
        <v>33785</v>
      </c>
      <c r="C46" s="10">
        <v>5975</v>
      </c>
      <c r="D46" s="10"/>
      <c r="E46" s="10"/>
      <c r="F46" s="15">
        <f t="shared" si="0"/>
        <v>-6</v>
      </c>
    </row>
    <row r="47" spans="1:6">
      <c r="A47" s="4">
        <f t="shared" si="1"/>
        <v>45</v>
      </c>
      <c r="B47" s="7">
        <v>33816</v>
      </c>
      <c r="C47" s="10">
        <v>5985</v>
      </c>
      <c r="D47" s="10"/>
      <c r="E47" s="10"/>
      <c r="F47" s="15">
        <f t="shared" si="0"/>
        <v>10</v>
      </c>
    </row>
    <row r="48" spans="1:6">
      <c r="A48" s="4">
        <f t="shared" si="1"/>
        <v>46</v>
      </c>
      <c r="B48" s="7">
        <v>33847</v>
      </c>
      <c r="C48" s="10">
        <v>6029</v>
      </c>
      <c r="D48" s="10"/>
      <c r="E48" s="10"/>
      <c r="F48" s="15">
        <f t="shared" si="0"/>
        <v>44</v>
      </c>
    </row>
    <row r="49" spans="1:7">
      <c r="A49" s="4">
        <f t="shared" si="1"/>
        <v>47</v>
      </c>
      <c r="B49" s="7">
        <v>33877</v>
      </c>
      <c r="C49" s="10">
        <v>6024</v>
      </c>
      <c r="D49" s="10"/>
      <c r="E49" s="10"/>
      <c r="F49" s="15">
        <f t="shared" si="0"/>
        <v>-5</v>
      </c>
    </row>
    <row r="50" spans="1:7">
      <c r="A50" s="4">
        <f t="shared" si="1"/>
        <v>48</v>
      </c>
      <c r="B50" s="7">
        <v>33908</v>
      </c>
      <c r="C50" s="10"/>
      <c r="D50" s="27">
        <f>C49</f>
        <v>6024</v>
      </c>
      <c r="E50" s="15">
        <f>C49+G50</f>
        <v>6019</v>
      </c>
      <c r="G50" s="15">
        <f>F49</f>
        <v>-5</v>
      </c>
    </row>
    <row r="51" spans="1:7">
      <c r="A51" s="4">
        <f t="shared" si="1"/>
        <v>49</v>
      </c>
      <c r="B51" s="7">
        <v>33938</v>
      </c>
      <c r="C51" s="10"/>
      <c r="D51" s="27">
        <f>D50</f>
        <v>6024</v>
      </c>
      <c r="E51" s="15">
        <f t="shared" ref="E51:E64" si="2">E50+G51</f>
        <v>6014</v>
      </c>
      <c r="G51" s="15">
        <f>G50</f>
        <v>-5</v>
      </c>
    </row>
    <row r="52" spans="1:7">
      <c r="A52" s="4">
        <f t="shared" si="1"/>
        <v>50</v>
      </c>
      <c r="B52" s="7">
        <v>33969</v>
      </c>
      <c r="C52" s="10"/>
      <c r="D52" s="27">
        <f t="shared" ref="D52:D64" si="3">D51</f>
        <v>6024</v>
      </c>
      <c r="E52" s="15">
        <f t="shared" si="2"/>
        <v>6009</v>
      </c>
      <c r="G52" s="15">
        <f t="shared" ref="G52:G64" si="4">G51</f>
        <v>-5</v>
      </c>
    </row>
    <row r="53" spans="1:7">
      <c r="A53" s="4">
        <f t="shared" si="1"/>
        <v>51</v>
      </c>
      <c r="B53" s="7">
        <v>34000</v>
      </c>
      <c r="C53" s="10"/>
      <c r="D53" s="27">
        <f t="shared" si="3"/>
        <v>6024</v>
      </c>
      <c r="E53" s="15">
        <f t="shared" si="2"/>
        <v>6004</v>
      </c>
      <c r="G53" s="15">
        <f t="shared" si="4"/>
        <v>-5</v>
      </c>
    </row>
    <row r="54" spans="1:7">
      <c r="A54" s="4">
        <f t="shared" si="1"/>
        <v>52</v>
      </c>
      <c r="B54" s="7">
        <v>34028</v>
      </c>
      <c r="C54" s="10"/>
      <c r="D54" s="27">
        <f t="shared" si="3"/>
        <v>6024</v>
      </c>
      <c r="E54" s="15">
        <f t="shared" si="2"/>
        <v>5999</v>
      </c>
      <c r="G54" s="15">
        <f t="shared" si="4"/>
        <v>-5</v>
      </c>
    </row>
    <row r="55" spans="1:7">
      <c r="A55" s="4">
        <f t="shared" si="1"/>
        <v>53</v>
      </c>
      <c r="B55" s="7">
        <v>34059</v>
      </c>
      <c r="C55" s="10"/>
      <c r="D55" s="27">
        <f t="shared" si="3"/>
        <v>6024</v>
      </c>
      <c r="E55" s="15">
        <f t="shared" si="2"/>
        <v>5994</v>
      </c>
      <c r="G55" s="15">
        <f t="shared" si="4"/>
        <v>-5</v>
      </c>
    </row>
    <row r="56" spans="1:7">
      <c r="A56" s="4">
        <f t="shared" si="1"/>
        <v>54</v>
      </c>
      <c r="B56" s="7">
        <v>34089</v>
      </c>
      <c r="C56" s="10"/>
      <c r="D56" s="27">
        <f t="shared" si="3"/>
        <v>6024</v>
      </c>
      <c r="E56" s="15">
        <f t="shared" si="2"/>
        <v>5989</v>
      </c>
      <c r="G56" s="15">
        <f t="shared" si="4"/>
        <v>-5</v>
      </c>
    </row>
    <row r="57" spans="1:7">
      <c r="A57" s="4">
        <f t="shared" si="1"/>
        <v>55</v>
      </c>
      <c r="B57" s="7">
        <v>34120</v>
      </c>
      <c r="C57" s="10"/>
      <c r="D57" s="27">
        <f t="shared" si="3"/>
        <v>6024</v>
      </c>
      <c r="E57" s="15">
        <f t="shared" si="2"/>
        <v>5984</v>
      </c>
      <c r="G57" s="15">
        <f t="shared" si="4"/>
        <v>-5</v>
      </c>
    </row>
    <row r="58" spans="1:7">
      <c r="A58" s="4">
        <f t="shared" si="1"/>
        <v>56</v>
      </c>
      <c r="B58" s="7">
        <v>34150</v>
      </c>
      <c r="C58" s="10"/>
      <c r="D58" s="27">
        <f t="shared" si="3"/>
        <v>6024</v>
      </c>
      <c r="E58" s="15">
        <f t="shared" si="2"/>
        <v>5979</v>
      </c>
      <c r="G58" s="15">
        <f t="shared" si="4"/>
        <v>-5</v>
      </c>
    </row>
    <row r="59" spans="1:7">
      <c r="A59" s="4">
        <f t="shared" si="1"/>
        <v>57</v>
      </c>
      <c r="B59" s="7">
        <v>34181</v>
      </c>
      <c r="C59" s="10"/>
      <c r="D59" s="27">
        <f t="shared" si="3"/>
        <v>6024</v>
      </c>
      <c r="E59" s="15">
        <f t="shared" si="2"/>
        <v>5974</v>
      </c>
      <c r="G59" s="15">
        <f t="shared" si="4"/>
        <v>-5</v>
      </c>
    </row>
    <row r="60" spans="1:7">
      <c r="A60" s="4">
        <f t="shared" si="1"/>
        <v>58</v>
      </c>
      <c r="B60" s="7">
        <v>34212</v>
      </c>
      <c r="C60" s="10"/>
      <c r="D60" s="27">
        <f t="shared" si="3"/>
        <v>6024</v>
      </c>
      <c r="E60" s="15">
        <f t="shared" si="2"/>
        <v>5969</v>
      </c>
      <c r="G60" s="15">
        <f t="shared" si="4"/>
        <v>-5</v>
      </c>
    </row>
    <row r="61" spans="1:7">
      <c r="A61" s="4">
        <f t="shared" si="1"/>
        <v>59</v>
      </c>
      <c r="B61" s="7">
        <v>34242</v>
      </c>
      <c r="C61" s="10"/>
      <c r="D61" s="27">
        <f t="shared" si="3"/>
        <v>6024</v>
      </c>
      <c r="E61" s="15">
        <f t="shared" si="2"/>
        <v>5964</v>
      </c>
      <c r="G61" s="15">
        <f t="shared" si="4"/>
        <v>-5</v>
      </c>
    </row>
    <row r="62" spans="1:7">
      <c r="A62" s="4">
        <f t="shared" si="1"/>
        <v>60</v>
      </c>
      <c r="B62" s="7">
        <v>34273</v>
      </c>
      <c r="C62" s="10"/>
      <c r="D62" s="27">
        <f t="shared" si="3"/>
        <v>6024</v>
      </c>
      <c r="E62" s="15">
        <f t="shared" si="2"/>
        <v>5959</v>
      </c>
      <c r="G62" s="15">
        <f t="shared" si="4"/>
        <v>-5</v>
      </c>
    </row>
    <row r="63" spans="1:7">
      <c r="A63" s="4">
        <f t="shared" si="1"/>
        <v>61</v>
      </c>
      <c r="B63" s="7">
        <v>34303</v>
      </c>
      <c r="C63" s="10"/>
      <c r="D63" s="27">
        <f t="shared" si="3"/>
        <v>6024</v>
      </c>
      <c r="E63" s="15">
        <f t="shared" si="2"/>
        <v>5954</v>
      </c>
      <c r="G63" s="15">
        <f t="shared" si="4"/>
        <v>-5</v>
      </c>
    </row>
    <row r="64" spans="1:7">
      <c r="A64" s="4">
        <f t="shared" si="1"/>
        <v>62</v>
      </c>
      <c r="B64" s="7">
        <v>34334</v>
      </c>
      <c r="C64" s="10"/>
      <c r="D64" s="27">
        <f t="shared" si="3"/>
        <v>6024</v>
      </c>
      <c r="E64" s="15">
        <f t="shared" si="2"/>
        <v>5949</v>
      </c>
      <c r="G64" s="15">
        <f t="shared" si="4"/>
        <v>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0CF0-AFD5-4D0E-88DA-A7989B9D860D}">
  <dimension ref="A1:N63"/>
  <sheetViews>
    <sheetView zoomScale="85" zoomScaleNormal="85" workbookViewId="0">
      <pane ySplit="1" topLeftCell="A2" activePane="bottomLeft" state="frozen"/>
      <selection pane="bottomLeft" activeCell="H9" sqref="H9"/>
    </sheetView>
  </sheetViews>
  <sheetFormatPr defaultRowHeight="14.45"/>
  <cols>
    <col min="2" max="2" width="10.85546875" customWidth="1"/>
    <col min="3" max="3" width="11.140625" bestFit="1" customWidth="1"/>
    <col min="4" max="7" width="9.7109375" customWidth="1"/>
  </cols>
  <sheetData>
    <row r="1" spans="1:14" ht="43.5">
      <c r="A1" s="3" t="s">
        <v>1</v>
      </c>
      <c r="B1" s="6" t="s">
        <v>2</v>
      </c>
      <c r="C1" s="9" t="s">
        <v>3</v>
      </c>
      <c r="D1" s="16" t="s">
        <v>22</v>
      </c>
      <c r="E1" s="16" t="s">
        <v>25</v>
      </c>
      <c r="F1" s="16" t="s">
        <v>26</v>
      </c>
      <c r="G1" s="16" t="s">
        <v>27</v>
      </c>
      <c r="H1" s="14" t="s">
        <v>28</v>
      </c>
      <c r="I1" s="14" t="s">
        <v>29</v>
      </c>
      <c r="J1" s="14" t="s">
        <v>30</v>
      </c>
      <c r="K1" s="14" t="s">
        <v>31</v>
      </c>
    </row>
    <row r="2" spans="1:14">
      <c r="A2" s="4">
        <v>1</v>
      </c>
      <c r="B2" s="7">
        <v>32477</v>
      </c>
      <c r="C2" s="10">
        <v>3761</v>
      </c>
      <c r="E2" s="19"/>
      <c r="F2" s="19"/>
    </row>
    <row r="3" spans="1:14">
      <c r="A3" s="4">
        <f>1+A2</f>
        <v>2</v>
      </c>
      <c r="B3" s="7">
        <v>32508</v>
      </c>
      <c r="C3" s="10">
        <v>3770</v>
      </c>
      <c r="D3" s="15">
        <f>C2</f>
        <v>3761</v>
      </c>
      <c r="E3" s="15">
        <f>AVERAGE(C2:C4)</f>
        <v>3769.3333333333335</v>
      </c>
      <c r="F3" s="19"/>
    </row>
    <row r="4" spans="1:14">
      <c r="A4" s="4">
        <f t="shared" ref="A4:A63" si="0">1+A3</f>
        <v>3</v>
      </c>
      <c r="B4" s="7">
        <v>32539</v>
      </c>
      <c r="C4" s="10">
        <v>3777</v>
      </c>
      <c r="D4" s="15">
        <f t="shared" ref="D4:D8" si="1">C3</f>
        <v>3770</v>
      </c>
      <c r="E4" s="15">
        <f t="shared" ref="E4:E47" si="2">AVERAGE(C3:C5)</f>
        <v>3792.6666666666665</v>
      </c>
      <c r="F4" s="15">
        <f>AVERAGE(C2:C6)</f>
        <v>3811</v>
      </c>
      <c r="G4" s="15">
        <f>(SUM(C3:C5)+0.5*(C2+C6))/4</f>
        <v>3804.125</v>
      </c>
      <c r="M4" s="21" t="s">
        <v>32</v>
      </c>
      <c r="N4" s="21"/>
    </row>
    <row r="5" spans="1:14">
      <c r="A5" s="4">
        <f t="shared" si="0"/>
        <v>4</v>
      </c>
      <c r="B5" s="7">
        <v>32567</v>
      </c>
      <c r="C5" s="10">
        <v>3831</v>
      </c>
      <c r="D5" s="15">
        <f t="shared" si="1"/>
        <v>3777</v>
      </c>
      <c r="E5" s="15">
        <f t="shared" si="2"/>
        <v>3841.3333333333335</v>
      </c>
      <c r="F5" s="15">
        <f t="shared" ref="F5:F45" si="3">AVERAGE(C3:C7)</f>
        <v>3850</v>
      </c>
      <c r="G5" s="15">
        <f t="shared" ref="G5:G45" si="4">(SUM(C4:C6)+0.5*(C3+C7))/4</f>
        <v>3846.75</v>
      </c>
    </row>
    <row r="6" spans="1:14">
      <c r="A6" s="4">
        <f t="shared" si="0"/>
        <v>5</v>
      </c>
      <c r="B6" s="7">
        <v>32598</v>
      </c>
      <c r="C6" s="10">
        <v>3916</v>
      </c>
      <c r="D6" s="15">
        <f t="shared" si="1"/>
        <v>3831</v>
      </c>
      <c r="E6" s="15">
        <f t="shared" si="2"/>
        <v>3901</v>
      </c>
      <c r="F6" s="15">
        <f t="shared" si="3"/>
        <v>3895</v>
      </c>
      <c r="G6" s="15">
        <f t="shared" si="4"/>
        <v>3897.25</v>
      </c>
    </row>
    <row r="7" spans="1:14">
      <c r="A7" s="4">
        <f t="shared" si="0"/>
        <v>6</v>
      </c>
      <c r="B7" s="7">
        <v>32628</v>
      </c>
      <c r="C7" s="10">
        <v>3956</v>
      </c>
      <c r="D7" s="15">
        <f t="shared" si="1"/>
        <v>3916</v>
      </c>
      <c r="E7" s="15">
        <f t="shared" si="2"/>
        <v>3955.6666666666665</v>
      </c>
      <c r="F7" s="15">
        <f t="shared" si="3"/>
        <v>3929.4</v>
      </c>
      <c r="G7" s="15">
        <f t="shared" si="4"/>
        <v>3939.25</v>
      </c>
    </row>
    <row r="8" spans="1:14">
      <c r="A8" s="4">
        <f t="shared" si="0"/>
        <v>7</v>
      </c>
      <c r="B8" s="7">
        <v>32659</v>
      </c>
      <c r="C8" s="10">
        <v>3995</v>
      </c>
      <c r="D8" s="15">
        <f t="shared" si="1"/>
        <v>3956</v>
      </c>
      <c r="E8" s="15">
        <f t="shared" si="2"/>
        <v>3966.6666666666665</v>
      </c>
      <c r="F8" s="15">
        <f t="shared" si="3"/>
        <v>3960.4</v>
      </c>
      <c r="G8" s="15">
        <f t="shared" si="4"/>
        <v>3962.75</v>
      </c>
      <c r="H8" s="15">
        <f>ABS(D8-C8)</f>
        <v>39</v>
      </c>
      <c r="I8" s="15">
        <f t="shared" ref="I8:I47" si="5">ABS(E8-C8)</f>
        <v>28.333333333333485</v>
      </c>
      <c r="J8" s="15">
        <f t="shared" ref="J8:J46" si="6">ABS(F8-C8)</f>
        <v>34.599999999999909</v>
      </c>
      <c r="K8" s="15">
        <f t="shared" ref="K8:K46" si="7">ABS(G8-C8)</f>
        <v>32.25</v>
      </c>
    </row>
    <row r="9" spans="1:14">
      <c r="A9" s="4">
        <f t="shared" si="0"/>
        <v>8</v>
      </c>
      <c r="B9" s="7">
        <v>32689</v>
      </c>
      <c r="C9" s="10">
        <v>3949</v>
      </c>
      <c r="D9" s="15">
        <f t="shared" ref="D9:D47" si="8">C8</f>
        <v>3995</v>
      </c>
      <c r="E9" s="15">
        <f t="shared" si="2"/>
        <v>3976.6666666666665</v>
      </c>
      <c r="F9" s="15">
        <f t="shared" si="3"/>
        <v>3982.4</v>
      </c>
      <c r="G9" s="15">
        <f t="shared" si="4"/>
        <v>3980.25</v>
      </c>
      <c r="H9" s="15">
        <f t="shared" ref="H9:H48" si="9">ABS(D9-C9)</f>
        <v>46</v>
      </c>
      <c r="I9" s="15">
        <f t="shared" si="5"/>
        <v>27.666666666666515</v>
      </c>
      <c r="J9" s="15">
        <f t="shared" si="6"/>
        <v>33.400000000000091</v>
      </c>
      <c r="K9" s="15">
        <f t="shared" si="7"/>
        <v>31.25</v>
      </c>
    </row>
    <row r="10" spans="1:14">
      <c r="A10" s="4">
        <f t="shared" si="0"/>
        <v>9</v>
      </c>
      <c r="B10" s="7">
        <v>32720</v>
      </c>
      <c r="C10" s="10">
        <v>3986</v>
      </c>
      <c r="D10" s="15">
        <f t="shared" si="8"/>
        <v>3949</v>
      </c>
      <c r="E10" s="15">
        <f t="shared" si="2"/>
        <v>3987</v>
      </c>
      <c r="F10" s="15">
        <f t="shared" si="3"/>
        <v>4001.2</v>
      </c>
      <c r="G10" s="15">
        <f t="shared" si="4"/>
        <v>3995.875</v>
      </c>
      <c r="H10" s="15">
        <f t="shared" si="9"/>
        <v>37</v>
      </c>
      <c r="I10" s="15">
        <f t="shared" si="5"/>
        <v>1</v>
      </c>
      <c r="J10" s="15">
        <f t="shared" si="6"/>
        <v>15.199999999999818</v>
      </c>
      <c r="K10" s="15">
        <f t="shared" si="7"/>
        <v>9.875</v>
      </c>
    </row>
    <row r="11" spans="1:14">
      <c r="A11" s="4">
        <f t="shared" si="0"/>
        <v>10</v>
      </c>
      <c r="B11" s="7">
        <v>32751</v>
      </c>
      <c r="C11" s="10">
        <v>4026</v>
      </c>
      <c r="D11" s="15">
        <f t="shared" si="8"/>
        <v>3986</v>
      </c>
      <c r="E11" s="15">
        <f t="shared" si="2"/>
        <v>4020.6666666666665</v>
      </c>
      <c r="F11" s="15">
        <f t="shared" si="3"/>
        <v>4021.2</v>
      </c>
      <c r="G11" s="15">
        <f t="shared" si="4"/>
        <v>4021</v>
      </c>
      <c r="H11" s="15">
        <f t="shared" si="9"/>
        <v>40</v>
      </c>
      <c r="I11" s="15">
        <f t="shared" si="5"/>
        <v>5.3333333333334849</v>
      </c>
      <c r="J11" s="15">
        <f t="shared" si="6"/>
        <v>4.8000000000001819</v>
      </c>
      <c r="K11" s="15">
        <f t="shared" si="7"/>
        <v>5</v>
      </c>
    </row>
    <row r="12" spans="1:14">
      <c r="A12" s="4">
        <f t="shared" si="0"/>
        <v>11</v>
      </c>
      <c r="B12" s="7">
        <v>32781</v>
      </c>
      <c r="C12" s="10">
        <v>4050</v>
      </c>
      <c r="D12" s="15">
        <f t="shared" si="8"/>
        <v>4026</v>
      </c>
      <c r="E12" s="15">
        <f t="shared" si="2"/>
        <v>4057</v>
      </c>
      <c r="F12" s="15">
        <f t="shared" si="3"/>
        <v>4052.4</v>
      </c>
      <c r="G12" s="15">
        <f t="shared" si="4"/>
        <v>4054.125</v>
      </c>
      <c r="H12" s="15">
        <f t="shared" si="9"/>
        <v>24</v>
      </c>
      <c r="I12" s="15">
        <f t="shared" si="5"/>
        <v>7</v>
      </c>
      <c r="J12" s="15">
        <f t="shared" si="6"/>
        <v>2.4000000000000909</v>
      </c>
      <c r="K12" s="15">
        <f t="shared" si="7"/>
        <v>4.125</v>
      </c>
    </row>
    <row r="13" spans="1:14">
      <c r="A13" s="4">
        <f t="shared" si="0"/>
        <v>12</v>
      </c>
      <c r="B13" s="7">
        <v>32812</v>
      </c>
      <c r="C13" s="10">
        <v>4095</v>
      </c>
      <c r="D13" s="15">
        <f t="shared" si="8"/>
        <v>4050</v>
      </c>
      <c r="E13" s="15">
        <f t="shared" si="2"/>
        <v>4083.3333333333335</v>
      </c>
      <c r="F13" s="15">
        <f t="shared" si="3"/>
        <v>4080.4</v>
      </c>
      <c r="G13" s="15">
        <f t="shared" si="4"/>
        <v>4081.5</v>
      </c>
      <c r="H13" s="15">
        <f t="shared" si="9"/>
        <v>45</v>
      </c>
      <c r="I13" s="15">
        <f t="shared" si="5"/>
        <v>11.666666666666515</v>
      </c>
      <c r="J13" s="15">
        <f t="shared" si="6"/>
        <v>14.599999999999909</v>
      </c>
      <c r="K13" s="15">
        <f t="shared" si="7"/>
        <v>13.5</v>
      </c>
    </row>
    <row r="14" spans="1:14">
      <c r="A14" s="4">
        <f t="shared" si="0"/>
        <v>13</v>
      </c>
      <c r="B14" s="7">
        <v>32842</v>
      </c>
      <c r="C14" s="10">
        <v>4105</v>
      </c>
      <c r="D14" s="15">
        <f t="shared" si="8"/>
        <v>4095</v>
      </c>
      <c r="E14" s="15">
        <f t="shared" si="2"/>
        <v>4108.666666666667</v>
      </c>
      <c r="F14" s="15">
        <f t="shared" si="3"/>
        <v>4108</v>
      </c>
      <c r="G14" s="15">
        <f t="shared" si="4"/>
        <v>4108.25</v>
      </c>
      <c r="H14" s="15">
        <f t="shared" si="9"/>
        <v>10</v>
      </c>
      <c r="I14" s="15">
        <f t="shared" si="5"/>
        <v>3.6666666666669698</v>
      </c>
      <c r="J14" s="15">
        <f t="shared" si="6"/>
        <v>3</v>
      </c>
      <c r="K14" s="15">
        <f t="shared" si="7"/>
        <v>3.25</v>
      </c>
    </row>
    <row r="15" spans="1:14">
      <c r="A15" s="4">
        <f t="shared" si="0"/>
        <v>14</v>
      </c>
      <c r="B15" s="7">
        <v>32873</v>
      </c>
      <c r="C15" s="10">
        <v>4126</v>
      </c>
      <c r="D15" s="15">
        <f t="shared" si="8"/>
        <v>4105</v>
      </c>
      <c r="E15" s="15">
        <f t="shared" si="2"/>
        <v>4131.666666666667</v>
      </c>
      <c r="F15" s="15">
        <f t="shared" si="3"/>
        <v>4142.3999999999996</v>
      </c>
      <c r="G15" s="15">
        <f t="shared" si="4"/>
        <v>4138.375</v>
      </c>
      <c r="H15" s="15">
        <f t="shared" si="9"/>
        <v>21</v>
      </c>
      <c r="I15" s="15">
        <f t="shared" si="5"/>
        <v>5.6666666666669698</v>
      </c>
      <c r="J15" s="15">
        <f t="shared" si="6"/>
        <v>16.399999999999636</v>
      </c>
      <c r="K15" s="15">
        <f t="shared" si="7"/>
        <v>12.375</v>
      </c>
    </row>
    <row r="16" spans="1:14">
      <c r="A16" s="4">
        <f t="shared" si="0"/>
        <v>15</v>
      </c>
      <c r="B16" s="7">
        <v>32904</v>
      </c>
      <c r="C16" s="10">
        <v>4164</v>
      </c>
      <c r="D16" s="15">
        <f t="shared" si="8"/>
        <v>4126</v>
      </c>
      <c r="E16" s="15">
        <f t="shared" si="2"/>
        <v>4170.666666666667</v>
      </c>
      <c r="F16" s="15">
        <f t="shared" si="3"/>
        <v>4187.6000000000004</v>
      </c>
      <c r="G16" s="15">
        <f t="shared" si="4"/>
        <v>4181.25</v>
      </c>
      <c r="H16" s="15">
        <f t="shared" si="9"/>
        <v>38</v>
      </c>
      <c r="I16" s="15">
        <f t="shared" si="5"/>
        <v>6.6666666666669698</v>
      </c>
      <c r="J16" s="15">
        <f t="shared" si="6"/>
        <v>23.600000000000364</v>
      </c>
      <c r="K16" s="15">
        <f t="shared" si="7"/>
        <v>17.25</v>
      </c>
    </row>
    <row r="17" spans="1:11">
      <c r="A17" s="4">
        <f t="shared" si="0"/>
        <v>16</v>
      </c>
      <c r="B17" s="7">
        <v>32932</v>
      </c>
      <c r="C17" s="10">
        <v>4222</v>
      </c>
      <c r="D17" s="15">
        <f t="shared" si="8"/>
        <v>4164</v>
      </c>
      <c r="E17" s="15">
        <f t="shared" si="2"/>
        <v>4235.666666666667</v>
      </c>
      <c r="F17" s="15">
        <f t="shared" si="3"/>
        <v>4233.6000000000004</v>
      </c>
      <c r="G17" s="15">
        <f t="shared" si="4"/>
        <v>4234.375</v>
      </c>
      <c r="H17" s="15">
        <f t="shared" si="9"/>
        <v>58</v>
      </c>
      <c r="I17" s="15">
        <f t="shared" si="5"/>
        <v>13.66666666666697</v>
      </c>
      <c r="J17" s="15">
        <f t="shared" si="6"/>
        <v>11.600000000000364</v>
      </c>
      <c r="K17" s="15">
        <f t="shared" si="7"/>
        <v>12.375</v>
      </c>
    </row>
    <row r="18" spans="1:11">
      <c r="A18" s="4">
        <f t="shared" si="0"/>
        <v>17</v>
      </c>
      <c r="B18" s="7">
        <v>32963</v>
      </c>
      <c r="C18" s="10">
        <v>4321</v>
      </c>
      <c r="D18" s="15">
        <f t="shared" si="8"/>
        <v>4222</v>
      </c>
      <c r="E18" s="15">
        <f t="shared" si="2"/>
        <v>4292.666666666667</v>
      </c>
      <c r="F18" s="15">
        <f t="shared" si="3"/>
        <v>4299.2</v>
      </c>
      <c r="G18" s="15">
        <f t="shared" si="4"/>
        <v>4296.75</v>
      </c>
      <c r="H18" s="15">
        <f t="shared" si="9"/>
        <v>99</v>
      </c>
      <c r="I18" s="15">
        <f t="shared" si="5"/>
        <v>28.33333333333303</v>
      </c>
      <c r="J18" s="15">
        <f t="shared" si="6"/>
        <v>21.800000000000182</v>
      </c>
      <c r="K18" s="15">
        <f t="shared" si="7"/>
        <v>24.25</v>
      </c>
    </row>
    <row r="19" spans="1:11">
      <c r="A19" s="4">
        <f t="shared" si="0"/>
        <v>18</v>
      </c>
      <c r="B19" s="7">
        <v>32993</v>
      </c>
      <c r="C19" s="10">
        <v>4335</v>
      </c>
      <c r="D19" s="15">
        <f t="shared" si="8"/>
        <v>4321</v>
      </c>
      <c r="E19" s="15">
        <f t="shared" si="2"/>
        <v>4370</v>
      </c>
      <c r="F19" s="15">
        <f t="shared" si="3"/>
        <v>4373.6000000000004</v>
      </c>
      <c r="G19" s="15">
        <f t="shared" si="4"/>
        <v>4372.25</v>
      </c>
      <c r="H19" s="15">
        <f t="shared" si="9"/>
        <v>14</v>
      </c>
      <c r="I19" s="15">
        <f t="shared" si="5"/>
        <v>35</v>
      </c>
      <c r="J19" s="15">
        <f t="shared" si="6"/>
        <v>38.600000000000364</v>
      </c>
      <c r="K19" s="15">
        <f t="shared" si="7"/>
        <v>37.25</v>
      </c>
    </row>
    <row r="20" spans="1:11">
      <c r="A20" s="4">
        <f t="shared" si="0"/>
        <v>19</v>
      </c>
      <c r="B20" s="7">
        <v>33024</v>
      </c>
      <c r="C20" s="10">
        <v>4454</v>
      </c>
      <c r="D20" s="15">
        <f t="shared" si="8"/>
        <v>4335</v>
      </c>
      <c r="E20" s="15">
        <f t="shared" si="2"/>
        <v>4441.666666666667</v>
      </c>
      <c r="F20" s="15">
        <f t="shared" si="3"/>
        <v>4448.6000000000004</v>
      </c>
      <c r="G20" s="15">
        <f t="shared" si="4"/>
        <v>4446</v>
      </c>
      <c r="H20" s="15">
        <f t="shared" si="9"/>
        <v>119</v>
      </c>
      <c r="I20" s="15">
        <f t="shared" si="5"/>
        <v>12.33333333333303</v>
      </c>
      <c r="J20" s="15">
        <f t="shared" si="6"/>
        <v>5.3999999999996362</v>
      </c>
      <c r="K20" s="15">
        <f t="shared" si="7"/>
        <v>8</v>
      </c>
    </row>
    <row r="21" spans="1:11">
      <c r="A21" s="4">
        <f t="shared" si="0"/>
        <v>20</v>
      </c>
      <c r="B21" s="7">
        <v>33054</v>
      </c>
      <c r="C21" s="10">
        <v>4536</v>
      </c>
      <c r="D21" s="15">
        <f t="shared" si="8"/>
        <v>4454</v>
      </c>
      <c r="E21" s="15">
        <f t="shared" si="2"/>
        <v>4529</v>
      </c>
      <c r="F21" s="15">
        <f t="shared" si="3"/>
        <v>4513</v>
      </c>
      <c r="G21" s="15">
        <f t="shared" si="4"/>
        <v>4519</v>
      </c>
      <c r="H21" s="15">
        <f t="shared" si="9"/>
        <v>82</v>
      </c>
      <c r="I21" s="15">
        <f t="shared" si="5"/>
        <v>7</v>
      </c>
      <c r="J21" s="15">
        <f t="shared" si="6"/>
        <v>23</v>
      </c>
      <c r="K21" s="15">
        <f t="shared" si="7"/>
        <v>17</v>
      </c>
    </row>
    <row r="22" spans="1:11">
      <c r="A22" s="4">
        <f t="shared" si="0"/>
        <v>21</v>
      </c>
      <c r="B22" s="7">
        <v>33085</v>
      </c>
      <c r="C22" s="10">
        <v>4597</v>
      </c>
      <c r="D22" s="15">
        <f t="shared" si="8"/>
        <v>4536</v>
      </c>
      <c r="E22" s="15">
        <f t="shared" si="2"/>
        <v>4592</v>
      </c>
      <c r="F22" s="15">
        <f t="shared" si="3"/>
        <v>4586.2</v>
      </c>
      <c r="G22" s="15">
        <f t="shared" si="4"/>
        <v>4588.375</v>
      </c>
      <c r="H22" s="15">
        <f t="shared" si="9"/>
        <v>61</v>
      </c>
      <c r="I22" s="15">
        <f t="shared" si="5"/>
        <v>5</v>
      </c>
      <c r="J22" s="15">
        <f t="shared" si="6"/>
        <v>10.800000000000182</v>
      </c>
      <c r="K22" s="15">
        <f t="shared" si="7"/>
        <v>8.625</v>
      </c>
    </row>
    <row r="23" spans="1:11">
      <c r="A23" s="4">
        <f t="shared" si="0"/>
        <v>22</v>
      </c>
      <c r="B23" s="7">
        <v>33116</v>
      </c>
      <c r="C23" s="10">
        <v>4643</v>
      </c>
      <c r="D23" s="15">
        <f t="shared" si="8"/>
        <v>4597</v>
      </c>
      <c r="E23" s="15">
        <f t="shared" si="2"/>
        <v>4647</v>
      </c>
      <c r="F23" s="15">
        <f t="shared" si="3"/>
        <v>4648.6000000000004</v>
      </c>
      <c r="G23" s="15">
        <f t="shared" si="4"/>
        <v>4648</v>
      </c>
      <c r="H23" s="15">
        <f t="shared" si="9"/>
        <v>46</v>
      </c>
      <c r="I23" s="15">
        <f t="shared" si="5"/>
        <v>4</v>
      </c>
      <c r="J23" s="15">
        <f t="shared" si="6"/>
        <v>5.6000000000003638</v>
      </c>
      <c r="K23" s="15">
        <f t="shared" si="7"/>
        <v>5</v>
      </c>
    </row>
    <row r="24" spans="1:11">
      <c r="A24" s="4">
        <f t="shared" si="0"/>
        <v>23</v>
      </c>
      <c r="B24" s="7">
        <v>33146</v>
      </c>
      <c r="C24" s="10">
        <v>4701</v>
      </c>
      <c r="D24" s="15">
        <f t="shared" si="8"/>
        <v>4643</v>
      </c>
      <c r="E24" s="15">
        <f t="shared" si="2"/>
        <v>4703.333333333333</v>
      </c>
      <c r="F24" s="15">
        <f t="shared" si="3"/>
        <v>4697.6000000000004</v>
      </c>
      <c r="G24" s="15">
        <f t="shared" si="4"/>
        <v>4699.75</v>
      </c>
      <c r="H24" s="15">
        <f t="shared" si="9"/>
        <v>58</v>
      </c>
      <c r="I24" s="15">
        <f t="shared" si="5"/>
        <v>2.3333333333330302</v>
      </c>
      <c r="J24" s="15">
        <f t="shared" si="6"/>
        <v>3.3999999999996362</v>
      </c>
      <c r="K24" s="15">
        <f t="shared" si="7"/>
        <v>1.25</v>
      </c>
    </row>
    <row r="25" spans="1:11">
      <c r="A25" s="4">
        <f t="shared" si="0"/>
        <v>24</v>
      </c>
      <c r="B25" s="7">
        <v>33177</v>
      </c>
      <c r="C25" s="10">
        <v>4766</v>
      </c>
      <c r="D25" s="15">
        <f t="shared" si="8"/>
        <v>4701</v>
      </c>
      <c r="E25" s="15">
        <f t="shared" si="2"/>
        <v>4749.333333333333</v>
      </c>
      <c r="F25" s="15">
        <f t="shared" si="3"/>
        <v>4739.8</v>
      </c>
      <c r="G25" s="15">
        <f t="shared" si="4"/>
        <v>4743.375</v>
      </c>
      <c r="H25" s="15">
        <f t="shared" si="9"/>
        <v>65</v>
      </c>
      <c r="I25" s="15">
        <f t="shared" si="5"/>
        <v>16.66666666666697</v>
      </c>
      <c r="J25" s="15">
        <f t="shared" si="6"/>
        <v>26.199999999999818</v>
      </c>
      <c r="K25" s="15">
        <f t="shared" si="7"/>
        <v>22.625</v>
      </c>
    </row>
    <row r="26" spans="1:11">
      <c r="A26" s="4">
        <f t="shared" si="0"/>
        <v>25</v>
      </c>
      <c r="B26" s="7">
        <v>33207</v>
      </c>
      <c r="C26" s="10">
        <v>4781</v>
      </c>
      <c r="D26" s="15">
        <f t="shared" si="8"/>
        <v>4766</v>
      </c>
      <c r="E26" s="15">
        <f t="shared" si="2"/>
        <v>4785</v>
      </c>
      <c r="F26" s="15">
        <f t="shared" si="3"/>
        <v>4778.3999999999996</v>
      </c>
      <c r="G26" s="15">
        <f t="shared" si="4"/>
        <v>4780.875</v>
      </c>
      <c r="H26" s="15">
        <f t="shared" si="9"/>
        <v>15</v>
      </c>
      <c r="I26" s="15">
        <f t="shared" si="5"/>
        <v>4</v>
      </c>
      <c r="J26" s="15">
        <f t="shared" si="6"/>
        <v>2.6000000000003638</v>
      </c>
      <c r="K26" s="15">
        <f t="shared" si="7"/>
        <v>0.125</v>
      </c>
    </row>
    <row r="27" spans="1:11">
      <c r="A27" s="4">
        <f t="shared" si="0"/>
        <v>26</v>
      </c>
      <c r="B27" s="7">
        <v>33238</v>
      </c>
      <c r="C27" s="10">
        <v>4808</v>
      </c>
      <c r="D27" s="15">
        <f t="shared" si="8"/>
        <v>4781</v>
      </c>
      <c r="E27" s="15">
        <f t="shared" si="2"/>
        <v>4808.333333333333</v>
      </c>
      <c r="F27" s="15">
        <f t="shared" si="3"/>
        <v>4825.6000000000004</v>
      </c>
      <c r="G27" s="15">
        <f t="shared" si="4"/>
        <v>4819.125</v>
      </c>
      <c r="H27" s="15">
        <f t="shared" si="9"/>
        <v>27</v>
      </c>
      <c r="I27" s="15">
        <f t="shared" si="5"/>
        <v>0.33333333333303017</v>
      </c>
      <c r="J27" s="15">
        <f t="shared" si="6"/>
        <v>17.600000000000364</v>
      </c>
      <c r="K27" s="15">
        <f t="shared" si="7"/>
        <v>11.125</v>
      </c>
    </row>
    <row r="28" spans="1:11">
      <c r="A28" s="4">
        <f t="shared" si="0"/>
        <v>27</v>
      </c>
      <c r="B28" s="7">
        <v>33269</v>
      </c>
      <c r="C28" s="10">
        <v>4836</v>
      </c>
      <c r="D28" s="15">
        <f t="shared" si="8"/>
        <v>4808</v>
      </c>
      <c r="E28" s="15">
        <f t="shared" si="2"/>
        <v>4860.333333333333</v>
      </c>
      <c r="F28" s="15">
        <f t="shared" si="3"/>
        <v>4883.2</v>
      </c>
      <c r="G28" s="15">
        <f t="shared" si="4"/>
        <v>4874.625</v>
      </c>
      <c r="H28" s="15">
        <f t="shared" si="9"/>
        <v>28</v>
      </c>
      <c r="I28" s="15">
        <f t="shared" si="5"/>
        <v>24.33333333333303</v>
      </c>
      <c r="J28" s="15">
        <f t="shared" si="6"/>
        <v>47.199999999999818</v>
      </c>
      <c r="K28" s="15">
        <f t="shared" si="7"/>
        <v>38.625</v>
      </c>
    </row>
    <row r="29" spans="1:11">
      <c r="A29" s="4">
        <f t="shared" si="0"/>
        <v>28</v>
      </c>
      <c r="B29" s="7">
        <v>33297</v>
      </c>
      <c r="C29" s="10">
        <v>4937</v>
      </c>
      <c r="D29" s="15">
        <f t="shared" si="8"/>
        <v>4836</v>
      </c>
      <c r="E29" s="15">
        <f t="shared" si="2"/>
        <v>4942.333333333333</v>
      </c>
      <c r="F29" s="15">
        <f t="shared" si="3"/>
        <v>4947.6000000000004</v>
      </c>
      <c r="G29" s="15">
        <f t="shared" si="4"/>
        <v>4945.625</v>
      </c>
      <c r="H29" s="15">
        <f t="shared" si="9"/>
        <v>101</v>
      </c>
      <c r="I29" s="15">
        <f t="shared" si="5"/>
        <v>5.3333333333330302</v>
      </c>
      <c r="J29" s="15">
        <f t="shared" si="6"/>
        <v>10.600000000000364</v>
      </c>
      <c r="K29" s="15">
        <f t="shared" si="7"/>
        <v>8.625</v>
      </c>
    </row>
    <row r="30" spans="1:11">
      <c r="A30" s="4">
        <f t="shared" si="0"/>
        <v>29</v>
      </c>
      <c r="B30" s="7">
        <v>33328</v>
      </c>
      <c r="C30" s="10">
        <v>5054</v>
      </c>
      <c r="D30" s="15">
        <f t="shared" si="8"/>
        <v>4937</v>
      </c>
      <c r="E30" s="15">
        <f t="shared" si="2"/>
        <v>5031.333333333333</v>
      </c>
      <c r="F30" s="15">
        <f t="shared" si="3"/>
        <v>5007</v>
      </c>
      <c r="G30" s="15">
        <f t="shared" si="4"/>
        <v>5016.125</v>
      </c>
      <c r="H30" s="15">
        <f t="shared" si="9"/>
        <v>117</v>
      </c>
      <c r="I30" s="15">
        <f t="shared" si="5"/>
        <v>22.66666666666697</v>
      </c>
      <c r="J30" s="15">
        <f t="shared" si="6"/>
        <v>47</v>
      </c>
      <c r="K30" s="15">
        <f t="shared" si="7"/>
        <v>37.875</v>
      </c>
    </row>
    <row r="31" spans="1:11">
      <c r="A31" s="4">
        <f t="shared" si="0"/>
        <v>30</v>
      </c>
      <c r="B31" s="7">
        <v>33358</v>
      </c>
      <c r="C31" s="10">
        <v>5103</v>
      </c>
      <c r="D31" s="15">
        <f t="shared" si="8"/>
        <v>5054</v>
      </c>
      <c r="E31" s="15">
        <f t="shared" si="2"/>
        <v>5087.333333333333</v>
      </c>
      <c r="F31" s="15">
        <f t="shared" si="3"/>
        <v>5180.6000000000004</v>
      </c>
      <c r="G31" s="15">
        <f t="shared" si="4"/>
        <v>5145.625</v>
      </c>
      <c r="H31" s="15">
        <f t="shared" si="9"/>
        <v>49</v>
      </c>
      <c r="I31" s="15">
        <f t="shared" si="5"/>
        <v>15.66666666666697</v>
      </c>
      <c r="J31" s="15">
        <f t="shared" si="6"/>
        <v>77.600000000000364</v>
      </c>
      <c r="K31" s="15">
        <f t="shared" si="7"/>
        <v>42.625</v>
      </c>
    </row>
    <row r="32" spans="1:11">
      <c r="A32" s="4">
        <f t="shared" si="0"/>
        <v>31</v>
      </c>
      <c r="B32" s="7">
        <v>33389</v>
      </c>
      <c r="C32" s="10">
        <v>5105</v>
      </c>
      <c r="D32" s="15">
        <f t="shared" si="8"/>
        <v>5103</v>
      </c>
      <c r="E32" s="15">
        <f t="shared" si="2"/>
        <v>5304</v>
      </c>
      <c r="F32" s="15">
        <f t="shared" si="3"/>
        <v>5374.6</v>
      </c>
      <c r="G32" s="15">
        <f t="shared" si="4"/>
        <v>5348.125</v>
      </c>
      <c r="H32" s="15">
        <f t="shared" si="9"/>
        <v>2</v>
      </c>
      <c r="I32" s="15">
        <f t="shared" si="5"/>
        <v>199</v>
      </c>
      <c r="J32" s="15">
        <f t="shared" si="6"/>
        <v>269.60000000000036</v>
      </c>
      <c r="K32" s="15">
        <f t="shared" si="7"/>
        <v>243.125</v>
      </c>
    </row>
    <row r="33" spans="1:11">
      <c r="A33" s="1">
        <f t="shared" si="0"/>
        <v>32</v>
      </c>
      <c r="B33" s="12">
        <v>33419</v>
      </c>
      <c r="C33" s="13">
        <v>5704</v>
      </c>
      <c r="D33" s="15">
        <f t="shared" si="8"/>
        <v>5105</v>
      </c>
      <c r="E33" s="15">
        <f t="shared" si="2"/>
        <v>5572</v>
      </c>
      <c r="F33" s="15">
        <f t="shared" si="3"/>
        <v>5541.6</v>
      </c>
      <c r="G33" s="15">
        <f t="shared" si="4"/>
        <v>5553</v>
      </c>
      <c r="H33" s="15">
        <f t="shared" si="9"/>
        <v>599</v>
      </c>
      <c r="I33" s="15">
        <f t="shared" si="5"/>
        <v>132</v>
      </c>
      <c r="J33" s="15">
        <f t="shared" si="6"/>
        <v>162.39999999999964</v>
      </c>
      <c r="K33" s="15">
        <f t="shared" si="7"/>
        <v>151</v>
      </c>
    </row>
    <row r="34" spans="1:11">
      <c r="A34" s="1">
        <f t="shared" si="0"/>
        <v>33</v>
      </c>
      <c r="B34" s="12">
        <v>33450</v>
      </c>
      <c r="C34" s="13">
        <v>5907</v>
      </c>
      <c r="D34" s="15">
        <f t="shared" si="8"/>
        <v>5704</v>
      </c>
      <c r="E34" s="15">
        <f t="shared" si="2"/>
        <v>5833.333333333333</v>
      </c>
      <c r="F34" s="15">
        <f t="shared" si="3"/>
        <v>5698.4</v>
      </c>
      <c r="G34" s="15">
        <f t="shared" si="4"/>
        <v>5749</v>
      </c>
      <c r="H34" s="15">
        <f t="shared" si="9"/>
        <v>203</v>
      </c>
      <c r="I34" s="15">
        <f t="shared" si="5"/>
        <v>73.66666666666697</v>
      </c>
      <c r="J34" s="15">
        <f t="shared" si="6"/>
        <v>208.60000000000036</v>
      </c>
      <c r="K34" s="15">
        <f t="shared" si="7"/>
        <v>158</v>
      </c>
    </row>
    <row r="35" spans="1:11">
      <c r="A35" s="4">
        <f t="shared" si="0"/>
        <v>34</v>
      </c>
      <c r="B35" s="7">
        <v>33481</v>
      </c>
      <c r="C35" s="10">
        <v>5889</v>
      </c>
      <c r="D35" s="15">
        <f t="shared" si="8"/>
        <v>5907</v>
      </c>
      <c r="E35" s="15">
        <f t="shared" si="2"/>
        <v>5894.333333333333</v>
      </c>
      <c r="F35" s="15">
        <f t="shared" si="3"/>
        <v>5852.6</v>
      </c>
      <c r="G35" s="15">
        <f t="shared" si="4"/>
        <v>5868.25</v>
      </c>
      <c r="H35" s="15">
        <f t="shared" si="9"/>
        <v>18</v>
      </c>
      <c r="I35" s="15">
        <f t="shared" si="5"/>
        <v>5.3333333333330302</v>
      </c>
      <c r="J35" s="15">
        <f t="shared" si="6"/>
        <v>36.399999999999636</v>
      </c>
      <c r="K35" s="15">
        <f t="shared" si="7"/>
        <v>20.75</v>
      </c>
    </row>
    <row r="36" spans="1:11">
      <c r="A36" s="4">
        <f t="shared" si="0"/>
        <v>35</v>
      </c>
      <c r="B36" s="7">
        <v>33511</v>
      </c>
      <c r="C36" s="10">
        <v>5887</v>
      </c>
      <c r="D36" s="15">
        <f t="shared" si="8"/>
        <v>5889</v>
      </c>
      <c r="E36" s="15">
        <f t="shared" si="2"/>
        <v>5884</v>
      </c>
      <c r="F36" s="15">
        <f t="shared" si="3"/>
        <v>5891</v>
      </c>
      <c r="G36" s="15">
        <f t="shared" si="4"/>
        <v>5888.375</v>
      </c>
      <c r="H36" s="15">
        <f t="shared" si="9"/>
        <v>2</v>
      </c>
      <c r="I36" s="15">
        <f t="shared" si="5"/>
        <v>3</v>
      </c>
      <c r="J36" s="15">
        <f t="shared" si="6"/>
        <v>4</v>
      </c>
      <c r="K36" s="15">
        <f t="shared" si="7"/>
        <v>1.375</v>
      </c>
    </row>
    <row r="37" spans="1:11">
      <c r="A37" s="4">
        <f t="shared" si="0"/>
        <v>36</v>
      </c>
      <c r="B37" s="7">
        <v>33542</v>
      </c>
      <c r="C37" s="10">
        <v>5876</v>
      </c>
      <c r="D37" s="15">
        <f t="shared" si="8"/>
        <v>5887</v>
      </c>
      <c r="E37" s="15">
        <f t="shared" si="2"/>
        <v>5886.333333333333</v>
      </c>
      <c r="F37" s="15">
        <f t="shared" si="3"/>
        <v>5889.6</v>
      </c>
      <c r="G37" s="15">
        <f t="shared" si="4"/>
        <v>5888.375</v>
      </c>
      <c r="H37" s="15">
        <f t="shared" si="9"/>
        <v>11</v>
      </c>
      <c r="I37" s="15">
        <f t="shared" si="5"/>
        <v>10.33333333333303</v>
      </c>
      <c r="J37" s="15">
        <f t="shared" si="6"/>
        <v>13.600000000000364</v>
      </c>
      <c r="K37" s="15">
        <f t="shared" si="7"/>
        <v>12.375</v>
      </c>
    </row>
    <row r="38" spans="1:11">
      <c r="A38" s="4">
        <f t="shared" si="0"/>
        <v>37</v>
      </c>
      <c r="B38" s="7">
        <v>33572</v>
      </c>
      <c r="C38" s="10">
        <v>5896</v>
      </c>
      <c r="D38" s="15">
        <f t="shared" si="8"/>
        <v>5876</v>
      </c>
      <c r="E38" s="15">
        <f t="shared" si="2"/>
        <v>5890.666666666667</v>
      </c>
      <c r="F38" s="15">
        <f t="shared" si="3"/>
        <v>5895.2</v>
      </c>
      <c r="G38" s="15">
        <f t="shared" si="4"/>
        <v>5893.5</v>
      </c>
      <c r="H38" s="15">
        <f t="shared" si="9"/>
        <v>20</v>
      </c>
      <c r="I38" s="15">
        <f t="shared" si="5"/>
        <v>5.3333333333330302</v>
      </c>
      <c r="J38" s="15">
        <f t="shared" si="6"/>
        <v>0.8000000000001819</v>
      </c>
      <c r="K38" s="15">
        <f t="shared" si="7"/>
        <v>2.5</v>
      </c>
    </row>
    <row r="39" spans="1:11">
      <c r="A39" s="4">
        <f t="shared" si="0"/>
        <v>38</v>
      </c>
      <c r="B39" s="7">
        <v>33603</v>
      </c>
      <c r="C39" s="10">
        <v>5900</v>
      </c>
      <c r="D39" s="15">
        <f t="shared" si="8"/>
        <v>5896</v>
      </c>
      <c r="E39" s="15">
        <f t="shared" si="2"/>
        <v>5904.333333333333</v>
      </c>
      <c r="F39" s="15">
        <f t="shared" si="3"/>
        <v>5905.4</v>
      </c>
      <c r="G39" s="15">
        <f t="shared" si="4"/>
        <v>5905</v>
      </c>
      <c r="H39" s="15">
        <f t="shared" si="9"/>
        <v>4</v>
      </c>
      <c r="I39" s="15">
        <f t="shared" si="5"/>
        <v>4.3333333333330302</v>
      </c>
      <c r="J39" s="15">
        <f t="shared" si="6"/>
        <v>5.3999999999996362</v>
      </c>
      <c r="K39" s="15">
        <f t="shared" si="7"/>
        <v>5</v>
      </c>
    </row>
    <row r="40" spans="1:11">
      <c r="A40" s="4">
        <f t="shared" si="0"/>
        <v>39</v>
      </c>
      <c r="B40" s="7">
        <v>33634</v>
      </c>
      <c r="C40" s="10">
        <v>5917</v>
      </c>
      <c r="D40" s="15">
        <f t="shared" si="8"/>
        <v>5900</v>
      </c>
      <c r="E40" s="15">
        <f t="shared" si="2"/>
        <v>5918.333333333333</v>
      </c>
      <c r="F40" s="15">
        <f t="shared" si="3"/>
        <v>5927.6</v>
      </c>
      <c r="G40" s="15">
        <f t="shared" si="4"/>
        <v>5924.125</v>
      </c>
      <c r="H40" s="15">
        <f t="shared" si="9"/>
        <v>17</v>
      </c>
      <c r="I40" s="15">
        <f t="shared" si="5"/>
        <v>1.3333333333330302</v>
      </c>
      <c r="J40" s="15">
        <f t="shared" si="6"/>
        <v>10.600000000000364</v>
      </c>
      <c r="K40" s="15">
        <f t="shared" si="7"/>
        <v>7.125</v>
      </c>
    </row>
    <row r="41" spans="1:11">
      <c r="A41" s="4">
        <f t="shared" si="0"/>
        <v>40</v>
      </c>
      <c r="B41" s="7">
        <v>33663</v>
      </c>
      <c r="C41" s="10">
        <v>5938</v>
      </c>
      <c r="D41" s="15">
        <f t="shared" si="8"/>
        <v>5917</v>
      </c>
      <c r="E41" s="15">
        <f t="shared" si="2"/>
        <v>5947.333333333333</v>
      </c>
      <c r="F41" s="15">
        <f t="shared" si="3"/>
        <v>5945</v>
      </c>
      <c r="G41" s="15">
        <f t="shared" si="4"/>
        <v>5945.875</v>
      </c>
      <c r="H41" s="15">
        <f t="shared" si="9"/>
        <v>21</v>
      </c>
      <c r="I41" s="15">
        <f t="shared" si="5"/>
        <v>9.3333333333330302</v>
      </c>
      <c r="J41" s="15">
        <f t="shared" si="6"/>
        <v>7</v>
      </c>
      <c r="K41" s="15">
        <f t="shared" si="7"/>
        <v>7.875</v>
      </c>
    </row>
    <row r="42" spans="1:11">
      <c r="A42" s="4">
        <f t="shared" si="0"/>
        <v>41</v>
      </c>
      <c r="B42" s="7">
        <v>33694</v>
      </c>
      <c r="C42" s="10">
        <v>5987</v>
      </c>
      <c r="D42" s="15">
        <f t="shared" si="8"/>
        <v>5938</v>
      </c>
      <c r="E42" s="15">
        <f t="shared" si="2"/>
        <v>5969.333333333333</v>
      </c>
      <c r="F42" s="15">
        <f t="shared" si="3"/>
        <v>5961.2</v>
      </c>
      <c r="G42" s="15">
        <f t="shared" si="4"/>
        <v>5964.25</v>
      </c>
      <c r="H42" s="15">
        <f t="shared" si="9"/>
        <v>49</v>
      </c>
      <c r="I42" s="15">
        <f t="shared" si="5"/>
        <v>17.66666666666697</v>
      </c>
      <c r="J42" s="15">
        <f t="shared" si="6"/>
        <v>25.800000000000182</v>
      </c>
      <c r="K42" s="15">
        <f t="shared" si="7"/>
        <v>22.75</v>
      </c>
    </row>
    <row r="43" spans="1:11">
      <c r="A43" s="4">
        <f t="shared" si="0"/>
        <v>42</v>
      </c>
      <c r="B43" s="7">
        <v>33724</v>
      </c>
      <c r="C43" s="10">
        <v>5983</v>
      </c>
      <c r="D43" s="15">
        <f t="shared" si="8"/>
        <v>5987</v>
      </c>
      <c r="E43" s="15">
        <f t="shared" si="2"/>
        <v>5983.666666666667</v>
      </c>
      <c r="F43" s="15">
        <f t="shared" si="3"/>
        <v>5972.8</v>
      </c>
      <c r="G43" s="15">
        <f t="shared" si="4"/>
        <v>5976.875</v>
      </c>
      <c r="H43" s="15">
        <f t="shared" si="9"/>
        <v>4</v>
      </c>
      <c r="I43" s="15">
        <f t="shared" si="5"/>
        <v>0.66666666666696983</v>
      </c>
      <c r="J43" s="15">
        <f t="shared" si="6"/>
        <v>10.199999999999818</v>
      </c>
      <c r="K43" s="15">
        <f t="shared" si="7"/>
        <v>6.125</v>
      </c>
    </row>
    <row r="44" spans="1:11">
      <c r="A44" s="4">
        <f t="shared" si="0"/>
        <v>43</v>
      </c>
      <c r="B44" s="7">
        <v>33755</v>
      </c>
      <c r="C44" s="10">
        <v>5981</v>
      </c>
      <c r="D44" s="15">
        <f t="shared" si="8"/>
        <v>5983</v>
      </c>
      <c r="E44" s="15">
        <f t="shared" si="2"/>
        <v>5979.666666666667</v>
      </c>
      <c r="F44" s="15">
        <f t="shared" si="3"/>
        <v>5982.2</v>
      </c>
      <c r="G44" s="15">
        <f t="shared" si="4"/>
        <v>5981.25</v>
      </c>
      <c r="H44" s="15">
        <f t="shared" si="9"/>
        <v>2</v>
      </c>
      <c r="I44" s="15">
        <f t="shared" si="5"/>
        <v>1.3333333333330302</v>
      </c>
      <c r="J44" s="15">
        <f t="shared" si="6"/>
        <v>1.1999999999998181</v>
      </c>
      <c r="K44" s="15">
        <f t="shared" si="7"/>
        <v>0.25</v>
      </c>
    </row>
    <row r="45" spans="1:11">
      <c r="A45" s="4">
        <f t="shared" si="0"/>
        <v>44</v>
      </c>
      <c r="B45" s="7">
        <v>33785</v>
      </c>
      <c r="C45" s="10">
        <v>5975</v>
      </c>
      <c r="D45" s="15">
        <f t="shared" si="8"/>
        <v>5981</v>
      </c>
      <c r="E45" s="15">
        <f t="shared" si="2"/>
        <v>5980.333333333333</v>
      </c>
      <c r="F45" s="15">
        <f t="shared" si="3"/>
        <v>5990.6</v>
      </c>
      <c r="G45" s="15">
        <f t="shared" si="4"/>
        <v>5986.75</v>
      </c>
      <c r="H45" s="15">
        <f t="shared" si="9"/>
        <v>6</v>
      </c>
      <c r="I45" s="15">
        <f t="shared" si="5"/>
        <v>5.3333333333330302</v>
      </c>
      <c r="J45" s="15">
        <f t="shared" si="6"/>
        <v>15.600000000000364</v>
      </c>
      <c r="K45" s="15">
        <f t="shared" si="7"/>
        <v>11.75</v>
      </c>
    </row>
    <row r="46" spans="1:11">
      <c r="A46" s="4">
        <f t="shared" si="0"/>
        <v>45</v>
      </c>
      <c r="B46" s="7">
        <v>33816</v>
      </c>
      <c r="C46" s="10">
        <v>5985</v>
      </c>
      <c r="D46" s="15">
        <f t="shared" si="8"/>
        <v>5975</v>
      </c>
      <c r="E46" s="15">
        <f t="shared" si="2"/>
        <v>5996.333333333333</v>
      </c>
      <c r="F46" s="15">
        <f>AVERAGE(C44:C48)</f>
        <v>5998.8</v>
      </c>
      <c r="G46" s="15">
        <f>(SUM(C45:C47)+0.5*(C44+C48))/4</f>
        <v>5997.875</v>
      </c>
      <c r="H46" s="15">
        <f t="shared" si="9"/>
        <v>10</v>
      </c>
      <c r="I46" s="15">
        <f t="shared" si="5"/>
        <v>11.33333333333303</v>
      </c>
      <c r="J46" s="15">
        <f t="shared" si="6"/>
        <v>13.800000000000182</v>
      </c>
      <c r="K46" s="15">
        <f t="shared" si="7"/>
        <v>12.875</v>
      </c>
    </row>
    <row r="47" spans="1:11">
      <c r="A47" s="4">
        <f t="shared" si="0"/>
        <v>46</v>
      </c>
      <c r="B47" s="7">
        <v>33847</v>
      </c>
      <c r="C47" s="18">
        <v>6029</v>
      </c>
      <c r="D47" s="15">
        <f t="shared" si="8"/>
        <v>5985</v>
      </c>
      <c r="E47" s="15">
        <f t="shared" si="2"/>
        <v>6012.666666666667</v>
      </c>
      <c r="F47" s="20"/>
      <c r="G47" s="20"/>
      <c r="H47" s="15">
        <f t="shared" si="9"/>
        <v>44</v>
      </c>
      <c r="I47" s="15">
        <f t="shared" si="5"/>
        <v>16.33333333333303</v>
      </c>
      <c r="J47" s="20"/>
      <c r="K47" s="20"/>
    </row>
    <row r="48" spans="1:11">
      <c r="A48" s="4">
        <f t="shared" si="0"/>
        <v>47</v>
      </c>
      <c r="B48" s="7">
        <v>33877</v>
      </c>
      <c r="C48" s="17">
        <v>6024</v>
      </c>
      <c r="D48" s="15">
        <f>C47</f>
        <v>6029</v>
      </c>
      <c r="E48" s="20"/>
      <c r="F48" s="20"/>
      <c r="G48" s="20"/>
      <c r="H48" s="15">
        <f t="shared" si="9"/>
        <v>5</v>
      </c>
      <c r="I48" s="20"/>
      <c r="J48" s="20"/>
      <c r="K48" s="20"/>
    </row>
    <row r="49" spans="1:11">
      <c r="A49" s="4">
        <f t="shared" si="0"/>
        <v>48</v>
      </c>
      <c r="B49" s="7">
        <v>33908</v>
      </c>
      <c r="C49" s="10"/>
      <c r="D49" s="15">
        <f>C48</f>
        <v>6024</v>
      </c>
      <c r="E49" s="15"/>
      <c r="F49" s="15"/>
      <c r="G49" s="15"/>
    </row>
    <row r="50" spans="1:11">
      <c r="A50" s="4">
        <f t="shared" si="0"/>
        <v>49</v>
      </c>
      <c r="B50" s="7">
        <v>33938</v>
      </c>
      <c r="C50" s="10"/>
      <c r="D50" s="15">
        <f>D49</f>
        <v>6024</v>
      </c>
      <c r="E50" s="15"/>
      <c r="F50" s="15"/>
      <c r="G50" s="15"/>
      <c r="H50" s="27">
        <f>AVERAGE(H8:H48)</f>
        <v>55.024390243902438</v>
      </c>
      <c r="I50" s="30">
        <f>AVERAGE(I8:I47)</f>
        <v>19.749999999999954</v>
      </c>
      <c r="J50" s="29">
        <f>AVERAGE(J8:J46)</f>
        <v>32.87179487179494</v>
      </c>
      <c r="K50" s="29">
        <f>AVERAGE(K8:K46)</f>
        <v>27.362179487179485</v>
      </c>
    </row>
    <row r="51" spans="1:11">
      <c r="A51" s="4">
        <f t="shared" si="0"/>
        <v>50</v>
      </c>
      <c r="B51" s="7">
        <v>33969</v>
      </c>
      <c r="C51" s="10"/>
      <c r="D51" s="15">
        <f t="shared" ref="D51:D63" si="10">D50</f>
        <v>6024</v>
      </c>
      <c r="E51" s="15"/>
      <c r="F51" s="15"/>
      <c r="G51" s="15"/>
      <c r="H51" s="21"/>
      <c r="I51" s="21"/>
      <c r="J51" s="21"/>
      <c r="K51" s="21"/>
    </row>
    <row r="52" spans="1:11">
      <c r="A52" s="4">
        <f t="shared" si="0"/>
        <v>51</v>
      </c>
      <c r="B52" s="7">
        <v>34000</v>
      </c>
      <c r="C52" s="10"/>
      <c r="D52" s="15">
        <f t="shared" si="10"/>
        <v>6024</v>
      </c>
      <c r="E52" s="15"/>
      <c r="F52" s="15"/>
      <c r="G52" s="15"/>
    </row>
    <row r="53" spans="1:11">
      <c r="A53" s="4">
        <f t="shared" si="0"/>
        <v>52</v>
      </c>
      <c r="B53" s="7">
        <v>34028</v>
      </c>
      <c r="C53" s="10"/>
      <c r="D53" s="15">
        <f t="shared" si="10"/>
        <v>6024</v>
      </c>
      <c r="E53" s="15"/>
      <c r="F53" s="15"/>
      <c r="G53" s="15"/>
    </row>
    <row r="54" spans="1:11">
      <c r="A54" s="4">
        <f t="shared" si="0"/>
        <v>53</v>
      </c>
      <c r="B54" s="7">
        <v>34059</v>
      </c>
      <c r="C54" s="10"/>
      <c r="D54" s="15">
        <f t="shared" si="10"/>
        <v>6024</v>
      </c>
      <c r="E54" s="15"/>
      <c r="F54" s="15"/>
      <c r="G54" s="15"/>
    </row>
    <row r="55" spans="1:11">
      <c r="A55" s="4">
        <f t="shared" si="0"/>
        <v>54</v>
      </c>
      <c r="B55" s="7">
        <v>34089</v>
      </c>
      <c r="C55" s="10"/>
      <c r="D55" s="15">
        <f t="shared" si="10"/>
        <v>6024</v>
      </c>
      <c r="E55" s="15"/>
      <c r="F55" s="15"/>
      <c r="G55" s="15"/>
    </row>
    <row r="56" spans="1:11">
      <c r="A56" s="4">
        <f t="shared" si="0"/>
        <v>55</v>
      </c>
      <c r="B56" s="7">
        <v>34120</v>
      </c>
      <c r="C56" s="10"/>
      <c r="D56" s="15">
        <f t="shared" si="10"/>
        <v>6024</v>
      </c>
      <c r="E56" s="15"/>
      <c r="F56" s="15"/>
      <c r="G56" s="15"/>
    </row>
    <row r="57" spans="1:11">
      <c r="A57" s="4">
        <f t="shared" si="0"/>
        <v>56</v>
      </c>
      <c r="B57" s="7">
        <v>34150</v>
      </c>
      <c r="C57" s="10"/>
      <c r="D57" s="15">
        <f t="shared" si="10"/>
        <v>6024</v>
      </c>
      <c r="E57" s="15"/>
      <c r="F57" s="15"/>
      <c r="G57" s="15"/>
    </row>
    <row r="58" spans="1:11">
      <c r="A58" s="4">
        <f t="shared" si="0"/>
        <v>57</v>
      </c>
      <c r="B58" s="7">
        <v>34181</v>
      </c>
      <c r="C58" s="10"/>
      <c r="D58" s="15">
        <f t="shared" si="10"/>
        <v>6024</v>
      </c>
      <c r="E58" s="15"/>
      <c r="F58" s="15"/>
      <c r="G58" s="15"/>
    </row>
    <row r="59" spans="1:11">
      <c r="A59" s="4">
        <f t="shared" si="0"/>
        <v>58</v>
      </c>
      <c r="B59" s="7">
        <v>34212</v>
      </c>
      <c r="C59" s="10"/>
      <c r="D59" s="15">
        <f t="shared" si="10"/>
        <v>6024</v>
      </c>
      <c r="E59" s="15"/>
      <c r="F59" s="15"/>
      <c r="G59" s="15"/>
    </row>
    <row r="60" spans="1:11">
      <c r="A60" s="4">
        <f t="shared" si="0"/>
        <v>59</v>
      </c>
      <c r="B60" s="7">
        <v>34242</v>
      </c>
      <c r="C60" s="10"/>
      <c r="D60" s="15">
        <f t="shared" si="10"/>
        <v>6024</v>
      </c>
      <c r="E60" s="15"/>
      <c r="F60" s="15"/>
      <c r="G60" s="15"/>
    </row>
    <row r="61" spans="1:11">
      <c r="A61" s="4">
        <f t="shared" si="0"/>
        <v>60</v>
      </c>
      <c r="B61" s="7">
        <v>34273</v>
      </c>
      <c r="C61" s="10"/>
      <c r="D61" s="15">
        <f t="shared" si="10"/>
        <v>6024</v>
      </c>
      <c r="E61" s="15"/>
      <c r="F61" s="15"/>
      <c r="G61" s="15"/>
    </row>
    <row r="62" spans="1:11">
      <c r="A62" s="4">
        <f t="shared" si="0"/>
        <v>61</v>
      </c>
      <c r="B62" s="7">
        <v>34303</v>
      </c>
      <c r="C62" s="10"/>
      <c r="D62" s="15">
        <f t="shared" si="10"/>
        <v>6024</v>
      </c>
      <c r="E62" s="15"/>
      <c r="F62" s="15"/>
      <c r="G62" s="15"/>
    </row>
    <row r="63" spans="1:11">
      <c r="A63" s="4">
        <f t="shared" si="0"/>
        <v>62</v>
      </c>
      <c r="B63" s="7">
        <v>34334</v>
      </c>
      <c r="C63" s="10"/>
      <c r="D63" s="15">
        <f t="shared" si="10"/>
        <v>6024</v>
      </c>
      <c r="E63" s="15"/>
      <c r="F63" s="15"/>
      <c r="G63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8A5A-84F8-45AD-B82E-C3FFCAAE1C7E}">
  <dimension ref="A1:AB91"/>
  <sheetViews>
    <sheetView workbookViewId="0">
      <pane ySplit="1" topLeftCell="A2" activePane="bottomLeft" state="frozen"/>
      <selection pane="bottomLeft" activeCell="N9" sqref="N9"/>
    </sheetView>
  </sheetViews>
  <sheetFormatPr defaultRowHeight="14.45"/>
  <cols>
    <col min="2" max="2" width="10.85546875" customWidth="1"/>
    <col min="3" max="3" width="10.42578125" bestFit="1" customWidth="1"/>
    <col min="4" max="4" width="9.7109375" customWidth="1"/>
    <col min="5" max="5" width="8.7109375" customWidth="1"/>
    <col min="6" max="7" width="8.7109375" style="64" customWidth="1"/>
    <col min="8" max="8" width="11.5703125" style="66" bestFit="1" customWidth="1"/>
    <col min="9" max="9" width="11.140625" style="66" customWidth="1"/>
    <col min="10" max="10" width="11.5703125" style="66" bestFit="1" customWidth="1"/>
    <col min="13" max="13" width="8.7109375" style="64"/>
    <col min="14" max="14" width="11.5703125" style="66" bestFit="1" customWidth="1"/>
    <col min="15" max="15" width="11.140625" style="66" customWidth="1"/>
    <col min="16" max="16" width="11.5703125" style="66" bestFit="1" customWidth="1"/>
    <col min="19" max="19" width="22.5703125" bestFit="1" customWidth="1"/>
    <col min="20" max="20" width="15.5703125" bestFit="1" customWidth="1"/>
    <col min="21" max="24" width="11.85546875" bestFit="1" customWidth="1"/>
    <col min="25" max="25" width="7.85546875" customWidth="1"/>
    <col min="26" max="26" width="11.85546875" bestFit="1" customWidth="1"/>
  </cols>
  <sheetData>
    <row r="1" spans="1:20" ht="43.5">
      <c r="A1" s="3" t="s">
        <v>1</v>
      </c>
      <c r="B1" s="6" t="s">
        <v>2</v>
      </c>
      <c r="C1" s="9" t="s">
        <v>3</v>
      </c>
      <c r="D1" s="16" t="s">
        <v>22</v>
      </c>
      <c r="E1" t="s">
        <v>33</v>
      </c>
      <c r="F1" s="65" t="s">
        <v>34</v>
      </c>
      <c r="G1" s="65" t="s">
        <v>35</v>
      </c>
      <c r="H1" s="68" t="s">
        <v>36</v>
      </c>
      <c r="I1" s="14" t="s">
        <v>37</v>
      </c>
      <c r="J1" s="26" t="s">
        <v>38</v>
      </c>
      <c r="K1" t="s">
        <v>39</v>
      </c>
      <c r="L1" s="65" t="s">
        <v>34</v>
      </c>
      <c r="M1" s="65" t="s">
        <v>35</v>
      </c>
      <c r="N1" s="68" t="s">
        <v>40</v>
      </c>
      <c r="O1" s="14" t="s">
        <v>41</v>
      </c>
      <c r="P1" s="26" t="s">
        <v>42</v>
      </c>
      <c r="R1" s="14" t="s">
        <v>28</v>
      </c>
      <c r="S1" s="14" t="s">
        <v>29</v>
      </c>
      <c r="T1" s="14" t="s">
        <v>30</v>
      </c>
    </row>
    <row r="2" spans="1:20">
      <c r="A2" s="4">
        <v>1</v>
      </c>
      <c r="B2" s="7">
        <v>32477</v>
      </c>
      <c r="C2" s="10">
        <v>3761</v>
      </c>
      <c r="D2" s="10"/>
    </row>
    <row r="3" spans="1:20">
      <c r="A3" s="4">
        <f>1+A2</f>
        <v>2</v>
      </c>
      <c r="B3" s="7">
        <v>32508</v>
      </c>
      <c r="C3" s="10">
        <v>3770</v>
      </c>
      <c r="D3" s="15">
        <f>C2</f>
        <v>3761</v>
      </c>
      <c r="E3" s="19"/>
      <c r="K3" s="19"/>
      <c r="L3" s="19"/>
      <c r="Q3" s="19"/>
      <c r="R3" s="19"/>
      <c r="S3" s="19"/>
      <c r="T3" s="19"/>
    </row>
    <row r="4" spans="1:20">
      <c r="A4" s="4">
        <f t="shared" ref="A4:A60" si="0">1+A3</f>
        <v>3</v>
      </c>
      <c r="B4" s="7">
        <v>32539</v>
      </c>
      <c r="C4" s="10">
        <v>3777</v>
      </c>
      <c r="D4" s="15">
        <f>C3</f>
        <v>3770</v>
      </c>
      <c r="E4" s="19"/>
      <c r="K4" s="19"/>
      <c r="L4" s="19"/>
      <c r="Q4" s="19"/>
      <c r="R4" s="19"/>
      <c r="S4" s="19"/>
      <c r="T4" s="19"/>
    </row>
    <row r="5" spans="1:20">
      <c r="A5" s="4">
        <f t="shared" si="0"/>
        <v>4</v>
      </c>
      <c r="B5" s="7">
        <v>32567</v>
      </c>
      <c r="C5" s="10">
        <v>3831</v>
      </c>
      <c r="D5" s="15">
        <f t="shared" ref="D5:D8" si="1">C4</f>
        <v>3777</v>
      </c>
      <c r="E5" s="15">
        <f>AVERAGE(C2:C4)</f>
        <v>3769.3333333333335</v>
      </c>
      <c r="F5" s="64">
        <f>C5/E5</f>
        <v>1.016360099044924</v>
      </c>
      <c r="G5" s="64">
        <f>Z56</f>
        <v>0.98905006754005886</v>
      </c>
      <c r="H5" s="66">
        <f>C5/G5</f>
        <v>3873.4136175010526</v>
      </c>
      <c r="K5" s="19"/>
      <c r="L5" s="19"/>
      <c r="Q5" s="19"/>
      <c r="R5" s="19"/>
      <c r="S5" s="19"/>
      <c r="T5" s="19"/>
    </row>
    <row r="6" spans="1:20">
      <c r="A6" s="4">
        <f t="shared" si="0"/>
        <v>5</v>
      </c>
      <c r="B6" s="7">
        <v>32598</v>
      </c>
      <c r="C6" s="10">
        <v>3916</v>
      </c>
      <c r="D6" s="15">
        <f t="shared" si="1"/>
        <v>3831</v>
      </c>
      <c r="E6" s="15">
        <f>AVERAGE(C3:C5)</f>
        <v>3792.6666666666665</v>
      </c>
      <c r="F6" s="64">
        <f t="shared" ref="F6:F48" si="2">C6/E6</f>
        <v>1.0325188961153102</v>
      </c>
      <c r="G6" s="64">
        <f t="shared" ref="G6:G16" si="3">Z57</f>
        <v>0.99702411399114099</v>
      </c>
      <c r="H6" s="66">
        <f t="shared" ref="H6:H48" si="4">C6/G6</f>
        <v>3927.6883528163044</v>
      </c>
      <c r="K6" s="19"/>
      <c r="L6" s="19"/>
      <c r="Q6" s="19"/>
      <c r="R6" s="19"/>
      <c r="S6" s="19"/>
      <c r="T6" s="19"/>
    </row>
    <row r="7" spans="1:20">
      <c r="A7" s="4">
        <f t="shared" si="0"/>
        <v>6</v>
      </c>
      <c r="B7" s="7">
        <v>32628</v>
      </c>
      <c r="C7" s="10">
        <v>3956</v>
      </c>
      <c r="D7" s="15">
        <f t="shared" si="1"/>
        <v>3916</v>
      </c>
      <c r="E7" s="15">
        <f t="shared" ref="E7:E8" si="5">AVERAGE(C4:C6)</f>
        <v>3841.3333333333335</v>
      </c>
      <c r="F7" s="64">
        <f t="shared" si="2"/>
        <v>1.0298507462686566</v>
      </c>
      <c r="G7" s="64">
        <f t="shared" si="3"/>
        <v>1.0091059529663722</v>
      </c>
      <c r="H7" s="66">
        <f t="shared" si="4"/>
        <v>3920.3019151466956</v>
      </c>
      <c r="K7" s="19"/>
      <c r="L7" s="19"/>
      <c r="Q7" s="19"/>
      <c r="R7" s="19"/>
      <c r="S7" s="19"/>
      <c r="T7" s="19"/>
    </row>
    <row r="8" spans="1:20">
      <c r="A8" s="4">
        <f t="shared" si="0"/>
        <v>7</v>
      </c>
      <c r="B8" s="7">
        <v>32659</v>
      </c>
      <c r="C8" s="10">
        <v>3995</v>
      </c>
      <c r="D8" s="15">
        <f t="shared" si="1"/>
        <v>3956</v>
      </c>
      <c r="E8" s="15">
        <f t="shared" si="5"/>
        <v>3901</v>
      </c>
      <c r="F8" s="64">
        <f t="shared" si="2"/>
        <v>1.0240963855421688</v>
      </c>
      <c r="G8" s="64">
        <f t="shared" si="3"/>
        <v>1.0021976896186724</v>
      </c>
      <c r="H8" s="66">
        <f t="shared" si="4"/>
        <v>3986.2394828709525</v>
      </c>
      <c r="K8" s="15">
        <f>AVERAGE(C2:C7)</f>
        <v>3835.1666666666665</v>
      </c>
      <c r="L8" s="64">
        <f>C8/K8</f>
        <v>1.041675720307679</v>
      </c>
      <c r="M8" s="64">
        <f>AB80</f>
        <v>0.99904548335653753</v>
      </c>
      <c r="N8" s="66">
        <f>C8/M8</f>
        <v>3998.8169373208325</v>
      </c>
      <c r="Q8" s="64"/>
      <c r="R8" s="20"/>
      <c r="S8" s="20"/>
      <c r="T8" s="20"/>
    </row>
    <row r="9" spans="1:20">
      <c r="A9" s="4">
        <f t="shared" si="0"/>
        <v>8</v>
      </c>
      <c r="B9" s="7">
        <v>32689</v>
      </c>
      <c r="C9" s="10">
        <v>3949</v>
      </c>
      <c r="D9" s="15">
        <f t="shared" ref="D9:D45" si="6">C8</f>
        <v>3995</v>
      </c>
      <c r="E9" s="15">
        <f>AVERAGE(C6:C8)</f>
        <v>3955.6666666666665</v>
      </c>
      <c r="F9" s="64">
        <f t="shared" si="2"/>
        <v>0.99831465408275055</v>
      </c>
      <c r="G9" s="64">
        <f t="shared" si="3"/>
        <v>0.99888336014804691</v>
      </c>
      <c r="H9" s="66">
        <f t="shared" si="4"/>
        <v>3953.4145402269082</v>
      </c>
      <c r="K9" s="15">
        <f t="shared" ref="K9:K45" si="7">AVERAGE(C3:C8)</f>
        <v>3874.1666666666665</v>
      </c>
      <c r="L9" s="64">
        <f t="shared" ref="L9:L48" si="8">C9/K9</f>
        <v>1.0193159819315982</v>
      </c>
      <c r="M9" s="64">
        <f t="shared" ref="M9:M14" si="9">AB81</f>
        <v>1.0203075495132896</v>
      </c>
      <c r="N9" s="66">
        <f t="shared" ref="N9:N48" si="10">C9/M9</f>
        <v>3870.4016273169445</v>
      </c>
      <c r="Q9" s="64"/>
      <c r="R9" s="15">
        <f t="shared" ref="R9:R48" si="11">ABS(D9-C9)</f>
        <v>46</v>
      </c>
      <c r="S9" s="15">
        <f t="shared" ref="S9:S48" si="12">ABS(E9-C9)</f>
        <v>6.6666666666665151</v>
      </c>
      <c r="T9" s="15">
        <f t="shared" ref="T9:T48" si="13">ABS(K9-C9)</f>
        <v>74.833333333333485</v>
      </c>
    </row>
    <row r="10" spans="1:20">
      <c r="A10" s="4">
        <f t="shared" si="0"/>
        <v>9</v>
      </c>
      <c r="B10" s="7">
        <v>32720</v>
      </c>
      <c r="C10" s="10">
        <v>3986</v>
      </c>
      <c r="D10" s="15">
        <f t="shared" si="6"/>
        <v>3949</v>
      </c>
      <c r="E10" s="15">
        <f>AVERAGE(C7:C9)</f>
        <v>3966.6666666666665</v>
      </c>
      <c r="F10" s="64">
        <f t="shared" si="2"/>
        <v>1.004873949579832</v>
      </c>
      <c r="G10" s="64">
        <f t="shared" si="3"/>
        <v>1.0179369726405254</v>
      </c>
      <c r="H10" s="66">
        <f t="shared" si="4"/>
        <v>3915.763065035675</v>
      </c>
      <c r="K10" s="15">
        <f t="shared" si="7"/>
        <v>3904</v>
      </c>
      <c r="L10" s="64">
        <f t="shared" si="8"/>
        <v>1.0210040983606556</v>
      </c>
      <c r="M10" s="64">
        <f t="shared" si="9"/>
        <v>1.0214614715279648</v>
      </c>
      <c r="N10" s="66">
        <f t="shared" si="10"/>
        <v>3902.2519312818486</v>
      </c>
      <c r="Q10" s="64"/>
      <c r="R10" s="15">
        <f t="shared" si="11"/>
        <v>37</v>
      </c>
      <c r="S10" s="15">
        <f t="shared" si="12"/>
        <v>19.333333333333485</v>
      </c>
      <c r="T10" s="15">
        <f t="shared" si="13"/>
        <v>82</v>
      </c>
    </row>
    <row r="11" spans="1:20">
      <c r="A11" s="4">
        <f t="shared" si="0"/>
        <v>10</v>
      </c>
      <c r="B11" s="7">
        <v>32751</v>
      </c>
      <c r="C11" s="10">
        <v>4026</v>
      </c>
      <c r="D11" s="15">
        <f t="shared" si="6"/>
        <v>3986</v>
      </c>
      <c r="E11" s="15">
        <f>AVERAGE(C8:C10)</f>
        <v>3976.6666666666665</v>
      </c>
      <c r="F11" s="64">
        <f t="shared" si="2"/>
        <v>1.0124056999161777</v>
      </c>
      <c r="G11" s="64">
        <f t="shared" si="3"/>
        <v>1.0175345248711647</v>
      </c>
      <c r="H11" s="66">
        <f t="shared" si="4"/>
        <v>3956.6225042926703</v>
      </c>
      <c r="K11" s="15">
        <f t="shared" si="7"/>
        <v>3938.8333333333335</v>
      </c>
      <c r="L11" s="64">
        <f t="shared" si="8"/>
        <v>1.0221300723564506</v>
      </c>
      <c r="M11" s="64">
        <f t="shared" si="9"/>
        <v>1.0112074201948784</v>
      </c>
      <c r="N11" s="66">
        <f t="shared" si="10"/>
        <v>3981.3790124523762</v>
      </c>
      <c r="Q11" s="64"/>
      <c r="R11" s="15">
        <f t="shared" si="11"/>
        <v>40</v>
      </c>
      <c r="S11" s="15">
        <f t="shared" si="12"/>
        <v>49.333333333333485</v>
      </c>
      <c r="T11" s="15">
        <f t="shared" si="13"/>
        <v>87.166666666666515</v>
      </c>
    </row>
    <row r="12" spans="1:20">
      <c r="A12" s="4">
        <f t="shared" si="0"/>
        <v>11</v>
      </c>
      <c r="B12" s="7">
        <v>32781</v>
      </c>
      <c r="C12" s="10">
        <v>4050</v>
      </c>
      <c r="D12" s="15">
        <f t="shared" si="6"/>
        <v>4026</v>
      </c>
      <c r="E12" s="15">
        <f t="shared" ref="E12:E45" si="14">AVERAGE(C9:C11)</f>
        <v>3987</v>
      </c>
      <c r="F12" s="64">
        <f t="shared" si="2"/>
        <v>1.0158013544018059</v>
      </c>
      <c r="G12" s="64">
        <f t="shared" si="3"/>
        <v>1.004842535858038</v>
      </c>
      <c r="H12" s="66">
        <f t="shared" si="4"/>
        <v>4030.4822452024218</v>
      </c>
      <c r="K12" s="15">
        <f t="shared" si="7"/>
        <v>3971.3333333333335</v>
      </c>
      <c r="L12" s="64">
        <f t="shared" si="8"/>
        <v>1.0198086285042807</v>
      </c>
      <c r="M12" s="64">
        <f t="shared" si="9"/>
        <v>1.0011079260890934</v>
      </c>
      <c r="N12" s="66">
        <f t="shared" si="10"/>
        <v>4045.5178652132367</v>
      </c>
      <c r="Q12" s="64"/>
      <c r="R12" s="15">
        <f t="shared" si="11"/>
        <v>24</v>
      </c>
      <c r="S12" s="15">
        <f t="shared" si="12"/>
        <v>63</v>
      </c>
      <c r="T12" s="15">
        <f t="shared" si="13"/>
        <v>78.666666666666515</v>
      </c>
    </row>
    <row r="13" spans="1:20">
      <c r="A13" s="4">
        <f t="shared" si="0"/>
        <v>12</v>
      </c>
      <c r="B13" s="7">
        <v>32812</v>
      </c>
      <c r="C13" s="10">
        <v>4095</v>
      </c>
      <c r="D13" s="15">
        <f t="shared" si="6"/>
        <v>4050</v>
      </c>
      <c r="E13" s="15">
        <f t="shared" si="14"/>
        <v>4020.6666666666665</v>
      </c>
      <c r="F13" s="64">
        <f t="shared" si="2"/>
        <v>1.0184878129663406</v>
      </c>
      <c r="G13" s="64">
        <f t="shared" si="3"/>
        <v>0.99277886267666682</v>
      </c>
      <c r="H13" s="66">
        <f t="shared" si="4"/>
        <v>4124.7856435614704</v>
      </c>
      <c r="K13" s="15">
        <f t="shared" si="7"/>
        <v>3993.6666666666665</v>
      </c>
      <c r="L13" s="64">
        <f t="shared" si="8"/>
        <v>1.0253735080544195</v>
      </c>
      <c r="M13" s="64">
        <f t="shared" si="9"/>
        <v>1.0040181257638539</v>
      </c>
      <c r="N13" s="66">
        <f t="shared" si="10"/>
        <v>4078.6116255466372</v>
      </c>
      <c r="Q13" s="64"/>
      <c r="R13" s="15">
        <f t="shared" si="11"/>
        <v>45</v>
      </c>
      <c r="S13" s="15">
        <f t="shared" si="12"/>
        <v>74.333333333333485</v>
      </c>
      <c r="T13" s="15">
        <f t="shared" si="13"/>
        <v>101.33333333333348</v>
      </c>
    </row>
    <row r="14" spans="1:20">
      <c r="A14" s="4">
        <f t="shared" si="0"/>
        <v>13</v>
      </c>
      <c r="B14" s="7">
        <v>32842</v>
      </c>
      <c r="C14" s="10">
        <v>4105</v>
      </c>
      <c r="D14" s="15">
        <f t="shared" si="6"/>
        <v>4095</v>
      </c>
      <c r="E14" s="15">
        <f t="shared" si="14"/>
        <v>4057</v>
      </c>
      <c r="F14" s="64">
        <f t="shared" si="2"/>
        <v>1.011831402514173</v>
      </c>
      <c r="G14" s="64">
        <f t="shared" si="3"/>
        <v>0.99309603964211801</v>
      </c>
      <c r="H14" s="66">
        <f t="shared" si="4"/>
        <v>4133.5377809776774</v>
      </c>
      <c r="K14" s="15">
        <f t="shared" si="7"/>
        <v>4016.8333333333335</v>
      </c>
      <c r="L14" s="64">
        <f t="shared" si="8"/>
        <v>1.0219492967096802</v>
      </c>
      <c r="M14" s="64">
        <f t="shared" si="9"/>
        <v>0.99225141220686164</v>
      </c>
      <c r="N14" s="66">
        <f t="shared" si="10"/>
        <v>4137.0563442888824</v>
      </c>
      <c r="Q14" s="64"/>
      <c r="R14" s="15">
        <f t="shared" si="11"/>
        <v>10</v>
      </c>
      <c r="S14" s="15">
        <f t="shared" si="12"/>
        <v>48</v>
      </c>
      <c r="T14" s="15">
        <f t="shared" si="13"/>
        <v>88.166666666666515</v>
      </c>
    </row>
    <row r="15" spans="1:20">
      <c r="A15" s="4">
        <f t="shared" si="0"/>
        <v>14</v>
      </c>
      <c r="B15" s="7">
        <v>32873</v>
      </c>
      <c r="C15" s="10">
        <v>4126</v>
      </c>
      <c r="D15" s="15">
        <f t="shared" si="6"/>
        <v>4105</v>
      </c>
      <c r="E15" s="15">
        <f t="shared" si="14"/>
        <v>4083.3333333333335</v>
      </c>
      <c r="F15" s="64">
        <f t="shared" si="2"/>
        <v>1.0104489795918368</v>
      </c>
      <c r="G15" s="64">
        <f t="shared" si="3"/>
        <v>0.98963391670250578</v>
      </c>
      <c r="H15" s="66">
        <f t="shared" si="4"/>
        <v>4169.2184659030017</v>
      </c>
      <c r="K15" s="15">
        <f t="shared" si="7"/>
        <v>4035.1666666666665</v>
      </c>
      <c r="L15" s="64">
        <f t="shared" si="8"/>
        <v>1.0225104291437777</v>
      </c>
      <c r="M15" s="64">
        <f>AB87</f>
        <v>0.98318116953352208</v>
      </c>
      <c r="N15" s="66">
        <f t="shared" si="10"/>
        <v>4196.5815943745265</v>
      </c>
      <c r="Q15" s="64"/>
      <c r="R15" s="15">
        <f t="shared" si="11"/>
        <v>21</v>
      </c>
      <c r="S15" s="15">
        <f t="shared" si="12"/>
        <v>42.666666666666515</v>
      </c>
      <c r="T15" s="15">
        <f t="shared" si="13"/>
        <v>90.833333333333485</v>
      </c>
    </row>
    <row r="16" spans="1:20">
      <c r="A16" s="4">
        <f t="shared" si="0"/>
        <v>15</v>
      </c>
      <c r="B16" s="7">
        <v>32904</v>
      </c>
      <c r="C16" s="10">
        <v>4164</v>
      </c>
      <c r="D16" s="15">
        <f t="shared" si="6"/>
        <v>4126</v>
      </c>
      <c r="E16" s="15">
        <f t="shared" si="14"/>
        <v>4108.666666666667</v>
      </c>
      <c r="F16" s="64">
        <f t="shared" si="2"/>
        <v>1.0134674671426254</v>
      </c>
      <c r="G16" s="64">
        <f t="shared" si="3"/>
        <v>0.98791596334468756</v>
      </c>
      <c r="H16" s="66">
        <f t="shared" si="4"/>
        <v>4214.9334098240142</v>
      </c>
      <c r="K16" s="15">
        <f t="shared" si="7"/>
        <v>4064.6666666666665</v>
      </c>
      <c r="L16" s="64">
        <f t="shared" si="8"/>
        <v>1.0244382483188454</v>
      </c>
      <c r="M16" s="64">
        <f>AB76</f>
        <v>0.98166176672645855</v>
      </c>
      <c r="N16" s="66">
        <f t="shared" si="10"/>
        <v>4241.7868772516886</v>
      </c>
      <c r="Q16" s="64"/>
      <c r="R16" s="15">
        <f t="shared" si="11"/>
        <v>38</v>
      </c>
      <c r="S16" s="15">
        <f t="shared" si="12"/>
        <v>55.33333333333303</v>
      </c>
      <c r="T16" s="15">
        <f t="shared" si="13"/>
        <v>99.333333333333485</v>
      </c>
    </row>
    <row r="17" spans="1:20">
      <c r="A17" s="4">
        <f t="shared" si="0"/>
        <v>16</v>
      </c>
      <c r="B17" s="7">
        <v>32932</v>
      </c>
      <c r="C17" s="10">
        <v>4222</v>
      </c>
      <c r="D17" s="15">
        <f t="shared" si="6"/>
        <v>4164</v>
      </c>
      <c r="E17" s="15">
        <f>AVERAGE(C14:C16)</f>
        <v>4131.666666666667</v>
      </c>
      <c r="F17" s="64">
        <f t="shared" si="2"/>
        <v>1.0218636546994755</v>
      </c>
      <c r="G17" s="64">
        <f>G5</f>
        <v>0.98905006754005886</v>
      </c>
      <c r="H17" s="66">
        <f t="shared" si="4"/>
        <v>4268.7424414224606</v>
      </c>
      <c r="K17" s="15">
        <f t="shared" si="7"/>
        <v>4094.3333333333335</v>
      </c>
      <c r="L17" s="64">
        <f t="shared" si="8"/>
        <v>1.0311813074981682</v>
      </c>
      <c r="M17" s="64">
        <f t="shared" ref="M17:M19" si="15">AB77</f>
        <v>0.98894867103441886</v>
      </c>
      <c r="N17" s="66">
        <f t="shared" si="10"/>
        <v>4269.1801138514902</v>
      </c>
      <c r="Q17" s="64"/>
      <c r="R17" s="15">
        <f t="shared" si="11"/>
        <v>58</v>
      </c>
      <c r="S17" s="15">
        <f t="shared" si="12"/>
        <v>90.33333333333303</v>
      </c>
      <c r="T17" s="15">
        <f t="shared" si="13"/>
        <v>127.66666666666652</v>
      </c>
    </row>
    <row r="18" spans="1:20">
      <c r="A18" s="4">
        <f t="shared" si="0"/>
        <v>17</v>
      </c>
      <c r="B18" s="7">
        <v>32963</v>
      </c>
      <c r="C18" s="10">
        <v>4321</v>
      </c>
      <c r="D18" s="15">
        <f t="shared" si="6"/>
        <v>4222</v>
      </c>
      <c r="E18" s="15">
        <f t="shared" si="14"/>
        <v>4170.666666666667</v>
      </c>
      <c r="F18" s="64">
        <f t="shared" si="2"/>
        <v>1.0360453964194372</v>
      </c>
      <c r="G18" s="64">
        <f t="shared" ref="G18:G60" si="16">G6</f>
        <v>0.99702411399114099</v>
      </c>
      <c r="H18" s="66">
        <f t="shared" si="4"/>
        <v>4333.8971839936803</v>
      </c>
      <c r="K18" s="15">
        <f t="shared" si="7"/>
        <v>4127</v>
      </c>
      <c r="L18" s="64">
        <f t="shared" si="8"/>
        <v>1.0470075115095712</v>
      </c>
      <c r="M18" s="64">
        <f t="shared" si="15"/>
        <v>1.0006802437495481</v>
      </c>
      <c r="N18" s="66">
        <f t="shared" si="10"/>
        <v>4318.0626648620701</v>
      </c>
      <c r="Q18" s="64"/>
      <c r="R18" s="15">
        <f t="shared" si="11"/>
        <v>99</v>
      </c>
      <c r="S18" s="15">
        <f t="shared" si="12"/>
        <v>150.33333333333303</v>
      </c>
      <c r="T18" s="15">
        <f t="shared" si="13"/>
        <v>194</v>
      </c>
    </row>
    <row r="19" spans="1:20">
      <c r="A19" s="4">
        <f t="shared" si="0"/>
        <v>18</v>
      </c>
      <c r="B19" s="7">
        <v>32993</v>
      </c>
      <c r="C19" s="10">
        <v>4335</v>
      </c>
      <c r="D19" s="15">
        <f t="shared" si="6"/>
        <v>4321</v>
      </c>
      <c r="E19" s="15">
        <f t="shared" si="14"/>
        <v>4235.666666666667</v>
      </c>
      <c r="F19" s="64">
        <f t="shared" si="2"/>
        <v>1.02345164082789</v>
      </c>
      <c r="G19" s="64">
        <f t="shared" si="16"/>
        <v>1.0091059529663722</v>
      </c>
      <c r="H19" s="66">
        <f t="shared" si="4"/>
        <v>4295.8819014562496</v>
      </c>
      <c r="K19" s="15">
        <f t="shared" si="7"/>
        <v>4172.166666666667</v>
      </c>
      <c r="L19" s="64">
        <f t="shared" si="8"/>
        <v>1.0390284824032276</v>
      </c>
      <c r="M19" s="64">
        <f t="shared" si="15"/>
        <v>0.99612876030357123</v>
      </c>
      <c r="N19" s="66">
        <f t="shared" si="10"/>
        <v>4351.8470430257476</v>
      </c>
      <c r="Q19" s="64"/>
      <c r="R19" s="15">
        <f t="shared" si="11"/>
        <v>14</v>
      </c>
      <c r="S19" s="15">
        <f t="shared" si="12"/>
        <v>99.33333333333303</v>
      </c>
      <c r="T19" s="15">
        <f t="shared" si="13"/>
        <v>162.83333333333303</v>
      </c>
    </row>
    <row r="20" spans="1:20">
      <c r="A20" s="4">
        <f t="shared" si="0"/>
        <v>19</v>
      </c>
      <c r="B20" s="7">
        <v>33024</v>
      </c>
      <c r="C20" s="10">
        <v>4454</v>
      </c>
      <c r="D20" s="15">
        <f t="shared" si="6"/>
        <v>4335</v>
      </c>
      <c r="E20" s="15">
        <f t="shared" si="14"/>
        <v>4292.666666666667</v>
      </c>
      <c r="F20" s="64">
        <f t="shared" si="2"/>
        <v>1.0375834756949835</v>
      </c>
      <c r="G20" s="64">
        <f t="shared" si="16"/>
        <v>1.0021976896186724</v>
      </c>
      <c r="H20" s="66">
        <f t="shared" si="4"/>
        <v>4444.2329553710197</v>
      </c>
      <c r="K20" s="15">
        <f t="shared" si="7"/>
        <v>4212.166666666667</v>
      </c>
      <c r="L20" s="64">
        <f t="shared" si="8"/>
        <v>1.0574130494994658</v>
      </c>
      <c r="M20" s="64">
        <f t="shared" ref="M20:M60" si="17">M8</f>
        <v>0.99904548335653753</v>
      </c>
      <c r="N20" s="66">
        <f t="shared" si="10"/>
        <v>4458.255479055566</v>
      </c>
      <c r="Q20" s="64"/>
      <c r="R20" s="15">
        <f t="shared" si="11"/>
        <v>119</v>
      </c>
      <c r="S20" s="15">
        <f t="shared" si="12"/>
        <v>161.33333333333303</v>
      </c>
      <c r="T20" s="15">
        <f t="shared" si="13"/>
        <v>241.83333333333303</v>
      </c>
    </row>
    <row r="21" spans="1:20">
      <c r="A21" s="4">
        <f t="shared" si="0"/>
        <v>20</v>
      </c>
      <c r="B21" s="7">
        <v>33054</v>
      </c>
      <c r="C21" s="10">
        <v>4536</v>
      </c>
      <c r="D21" s="15">
        <f t="shared" si="6"/>
        <v>4454</v>
      </c>
      <c r="E21" s="15">
        <f t="shared" si="14"/>
        <v>4370</v>
      </c>
      <c r="F21" s="64">
        <f t="shared" si="2"/>
        <v>1.0379862700228832</v>
      </c>
      <c r="G21" s="64">
        <f t="shared" si="16"/>
        <v>0.99888336014804691</v>
      </c>
      <c r="H21" s="66">
        <f t="shared" si="4"/>
        <v>4541.0707405594467</v>
      </c>
      <c r="K21" s="15">
        <f t="shared" si="7"/>
        <v>4270.333333333333</v>
      </c>
      <c r="L21" s="64">
        <f t="shared" si="8"/>
        <v>1.0622121614237765</v>
      </c>
      <c r="M21" s="64">
        <f t="shared" si="17"/>
        <v>1.0203075495132896</v>
      </c>
      <c r="N21" s="66">
        <f t="shared" si="10"/>
        <v>4445.7183543959636</v>
      </c>
      <c r="Q21" s="64"/>
      <c r="R21" s="15">
        <f t="shared" si="11"/>
        <v>82</v>
      </c>
      <c r="S21" s="15">
        <f t="shared" si="12"/>
        <v>166</v>
      </c>
      <c r="T21" s="15">
        <f t="shared" si="13"/>
        <v>265.66666666666697</v>
      </c>
    </row>
    <row r="22" spans="1:20">
      <c r="A22" s="4">
        <f t="shared" si="0"/>
        <v>21</v>
      </c>
      <c r="B22" s="7">
        <v>33085</v>
      </c>
      <c r="C22" s="10">
        <v>4597</v>
      </c>
      <c r="D22" s="15">
        <f t="shared" si="6"/>
        <v>4536</v>
      </c>
      <c r="E22" s="15">
        <f t="shared" si="14"/>
        <v>4441.666666666667</v>
      </c>
      <c r="F22" s="64">
        <f t="shared" si="2"/>
        <v>1.0349718574108817</v>
      </c>
      <c r="G22" s="64">
        <f t="shared" si="16"/>
        <v>1.0179369726405254</v>
      </c>
      <c r="H22" s="66">
        <f t="shared" si="4"/>
        <v>4515.996690910436</v>
      </c>
      <c r="K22" s="15">
        <f t="shared" si="7"/>
        <v>4338.666666666667</v>
      </c>
      <c r="L22" s="64">
        <f t="shared" si="8"/>
        <v>1.0595421020282729</v>
      </c>
      <c r="M22" s="64">
        <f t="shared" si="17"/>
        <v>1.0214614715279648</v>
      </c>
      <c r="N22" s="66">
        <f t="shared" si="10"/>
        <v>4500.4144827151677</v>
      </c>
      <c r="Q22" s="64"/>
      <c r="R22" s="15">
        <f t="shared" si="11"/>
        <v>61</v>
      </c>
      <c r="S22" s="15">
        <f t="shared" si="12"/>
        <v>155.33333333333303</v>
      </c>
      <c r="T22" s="15">
        <f t="shared" si="13"/>
        <v>258.33333333333303</v>
      </c>
    </row>
    <row r="23" spans="1:20">
      <c r="A23" s="4">
        <f t="shared" si="0"/>
        <v>22</v>
      </c>
      <c r="B23" s="7">
        <v>33116</v>
      </c>
      <c r="C23" s="10">
        <v>4643</v>
      </c>
      <c r="D23" s="15">
        <f t="shared" si="6"/>
        <v>4597</v>
      </c>
      <c r="E23" s="15">
        <f t="shared" si="14"/>
        <v>4529</v>
      </c>
      <c r="F23" s="64">
        <f t="shared" si="2"/>
        <v>1.0251711194524178</v>
      </c>
      <c r="G23" s="64">
        <f t="shared" si="16"/>
        <v>1.0175345248711647</v>
      </c>
      <c r="H23" s="66">
        <f t="shared" si="4"/>
        <v>4562.9901359738869</v>
      </c>
      <c r="K23" s="15">
        <f t="shared" si="7"/>
        <v>4410.833333333333</v>
      </c>
      <c r="L23" s="64">
        <f t="shared" si="8"/>
        <v>1.052635556395239</v>
      </c>
      <c r="M23" s="64">
        <f t="shared" si="17"/>
        <v>1.0112074201948784</v>
      </c>
      <c r="N23" s="66">
        <f t="shared" si="10"/>
        <v>4591.5406743210087</v>
      </c>
      <c r="Q23" s="64"/>
      <c r="R23" s="15">
        <f t="shared" si="11"/>
        <v>46</v>
      </c>
      <c r="S23" s="15">
        <f t="shared" si="12"/>
        <v>114</v>
      </c>
      <c r="T23" s="15">
        <f t="shared" si="13"/>
        <v>232.16666666666697</v>
      </c>
    </row>
    <row r="24" spans="1:20">
      <c r="A24" s="4">
        <f t="shared" si="0"/>
        <v>23</v>
      </c>
      <c r="B24" s="7">
        <v>33146</v>
      </c>
      <c r="C24" s="10">
        <v>4701</v>
      </c>
      <c r="D24" s="15">
        <f t="shared" si="6"/>
        <v>4643</v>
      </c>
      <c r="E24" s="15">
        <f t="shared" si="14"/>
        <v>4592</v>
      </c>
      <c r="F24" s="64">
        <f t="shared" si="2"/>
        <v>1.0237369337979094</v>
      </c>
      <c r="G24" s="64">
        <f t="shared" si="16"/>
        <v>1.004842535858038</v>
      </c>
      <c r="H24" s="66">
        <f t="shared" si="4"/>
        <v>4678.3449468386634</v>
      </c>
      <c r="K24" s="15">
        <f t="shared" si="7"/>
        <v>4481</v>
      </c>
      <c r="L24" s="64">
        <f t="shared" si="8"/>
        <v>1.049096183887525</v>
      </c>
      <c r="M24" s="64">
        <f t="shared" si="17"/>
        <v>1.0011079260890934</v>
      </c>
      <c r="N24" s="66">
        <f t="shared" si="10"/>
        <v>4695.7974035475127</v>
      </c>
      <c r="Q24" s="64"/>
      <c r="R24" s="15">
        <f t="shared" si="11"/>
        <v>58</v>
      </c>
      <c r="S24" s="15">
        <f t="shared" si="12"/>
        <v>109</v>
      </c>
      <c r="T24" s="15">
        <f t="shared" si="13"/>
        <v>220</v>
      </c>
    </row>
    <row r="25" spans="1:20">
      <c r="A25" s="4">
        <f t="shared" si="0"/>
        <v>24</v>
      </c>
      <c r="B25" s="7">
        <v>33177</v>
      </c>
      <c r="C25" s="10">
        <v>4766</v>
      </c>
      <c r="D25" s="15">
        <f t="shared" si="6"/>
        <v>4701</v>
      </c>
      <c r="E25" s="15">
        <f t="shared" si="14"/>
        <v>4647</v>
      </c>
      <c r="F25" s="64">
        <f t="shared" si="2"/>
        <v>1.0256079190875833</v>
      </c>
      <c r="G25" s="64">
        <f t="shared" si="16"/>
        <v>0.99277886267666682</v>
      </c>
      <c r="H25" s="66">
        <f t="shared" si="4"/>
        <v>4800.666270381922</v>
      </c>
      <c r="K25" s="15">
        <f t="shared" si="7"/>
        <v>4544.333333333333</v>
      </c>
      <c r="L25" s="64">
        <f t="shared" si="8"/>
        <v>1.0487786987456906</v>
      </c>
      <c r="M25" s="64">
        <f t="shared" si="17"/>
        <v>1.0040181257638539</v>
      </c>
      <c r="N25" s="66">
        <f t="shared" si="10"/>
        <v>4746.926253322411</v>
      </c>
      <c r="Q25" s="64"/>
      <c r="R25" s="15">
        <f t="shared" si="11"/>
        <v>65</v>
      </c>
      <c r="S25" s="15">
        <f t="shared" si="12"/>
        <v>119</v>
      </c>
      <c r="T25" s="15">
        <f t="shared" si="13"/>
        <v>221.66666666666697</v>
      </c>
    </row>
    <row r="26" spans="1:20">
      <c r="A26" s="4">
        <f t="shared" si="0"/>
        <v>25</v>
      </c>
      <c r="B26" s="7">
        <v>33207</v>
      </c>
      <c r="C26" s="10">
        <v>4781</v>
      </c>
      <c r="D26" s="15">
        <f t="shared" si="6"/>
        <v>4766</v>
      </c>
      <c r="E26" s="15">
        <f t="shared" si="14"/>
        <v>4703.333333333333</v>
      </c>
      <c r="F26" s="64">
        <f t="shared" si="2"/>
        <v>1.0165131112686039</v>
      </c>
      <c r="G26" s="64">
        <f t="shared" si="16"/>
        <v>0.99309603964211801</v>
      </c>
      <c r="H26" s="66">
        <f t="shared" si="4"/>
        <v>4814.2373034967786</v>
      </c>
      <c r="K26" s="15">
        <f t="shared" si="7"/>
        <v>4616.166666666667</v>
      </c>
      <c r="L26" s="64">
        <f t="shared" si="8"/>
        <v>1.0357078383940499</v>
      </c>
      <c r="M26" s="64">
        <f t="shared" si="17"/>
        <v>0.99225141220686164</v>
      </c>
      <c r="N26" s="66">
        <f t="shared" si="10"/>
        <v>4818.3352940426666</v>
      </c>
      <c r="Q26" s="64"/>
      <c r="R26" s="15">
        <f t="shared" si="11"/>
        <v>15</v>
      </c>
      <c r="S26" s="15">
        <f t="shared" si="12"/>
        <v>77.66666666666697</v>
      </c>
      <c r="T26" s="15">
        <f t="shared" si="13"/>
        <v>164.83333333333303</v>
      </c>
    </row>
    <row r="27" spans="1:20">
      <c r="A27" s="4">
        <f t="shared" si="0"/>
        <v>26</v>
      </c>
      <c r="B27" s="7">
        <v>33238</v>
      </c>
      <c r="C27" s="10">
        <v>4808</v>
      </c>
      <c r="D27" s="15">
        <f t="shared" si="6"/>
        <v>4781</v>
      </c>
      <c r="E27" s="15">
        <f t="shared" si="14"/>
        <v>4749.333333333333</v>
      </c>
      <c r="F27" s="64">
        <f t="shared" si="2"/>
        <v>1.012352610892757</v>
      </c>
      <c r="G27" s="64">
        <f t="shared" si="16"/>
        <v>0.98963391670250578</v>
      </c>
      <c r="H27" s="66">
        <f t="shared" si="4"/>
        <v>4858.3621871210935</v>
      </c>
      <c r="K27" s="15">
        <f t="shared" si="7"/>
        <v>4670.666666666667</v>
      </c>
      <c r="L27" s="64">
        <f t="shared" si="8"/>
        <v>1.0294033685412503</v>
      </c>
      <c r="M27" s="64">
        <f t="shared" si="17"/>
        <v>0.98318116953352208</v>
      </c>
      <c r="N27" s="66">
        <f t="shared" si="10"/>
        <v>4890.2482563627545</v>
      </c>
      <c r="Q27" s="64"/>
      <c r="R27" s="15">
        <f t="shared" si="11"/>
        <v>27</v>
      </c>
      <c r="S27" s="15">
        <f t="shared" si="12"/>
        <v>58.66666666666697</v>
      </c>
      <c r="T27" s="15">
        <f t="shared" si="13"/>
        <v>137.33333333333303</v>
      </c>
    </row>
    <row r="28" spans="1:20">
      <c r="A28" s="4">
        <f t="shared" si="0"/>
        <v>27</v>
      </c>
      <c r="B28" s="7">
        <v>33269</v>
      </c>
      <c r="C28" s="10">
        <v>4836</v>
      </c>
      <c r="D28" s="15">
        <f t="shared" si="6"/>
        <v>4808</v>
      </c>
      <c r="E28" s="15">
        <f t="shared" si="14"/>
        <v>4785</v>
      </c>
      <c r="F28" s="64">
        <f t="shared" si="2"/>
        <v>1.0106583072100312</v>
      </c>
      <c r="G28" s="64">
        <f t="shared" si="16"/>
        <v>0.98791596334468756</v>
      </c>
      <c r="H28" s="66">
        <f t="shared" si="4"/>
        <v>4895.1532108330775</v>
      </c>
      <c r="K28" s="15">
        <f t="shared" si="7"/>
        <v>4716</v>
      </c>
      <c r="L28" s="64">
        <f t="shared" si="8"/>
        <v>1.025445292620865</v>
      </c>
      <c r="M28" s="64">
        <f t="shared" si="17"/>
        <v>0.98166176672645855</v>
      </c>
      <c r="N28" s="66">
        <f t="shared" si="10"/>
        <v>4926.3403790559951</v>
      </c>
      <c r="Q28" s="64"/>
      <c r="R28" s="15">
        <f t="shared" si="11"/>
        <v>28</v>
      </c>
      <c r="S28" s="15">
        <f t="shared" si="12"/>
        <v>51</v>
      </c>
      <c r="T28" s="15">
        <f t="shared" si="13"/>
        <v>120</v>
      </c>
    </row>
    <row r="29" spans="1:20">
      <c r="A29" s="4">
        <f t="shared" si="0"/>
        <v>28</v>
      </c>
      <c r="B29" s="7">
        <v>33297</v>
      </c>
      <c r="C29" s="10">
        <v>4937</v>
      </c>
      <c r="D29" s="15">
        <f t="shared" si="6"/>
        <v>4836</v>
      </c>
      <c r="E29" s="15">
        <f t="shared" si="14"/>
        <v>4808.333333333333</v>
      </c>
      <c r="F29" s="64">
        <f t="shared" si="2"/>
        <v>1.0267590987868285</v>
      </c>
      <c r="G29" s="64">
        <f t="shared" si="16"/>
        <v>0.98905006754005886</v>
      </c>
      <c r="H29" s="66">
        <f t="shared" si="4"/>
        <v>4991.6583214833454</v>
      </c>
      <c r="K29" s="15">
        <f t="shared" si="7"/>
        <v>4755.833333333333</v>
      </c>
      <c r="L29" s="64">
        <f t="shared" si="8"/>
        <v>1.0380935693008586</v>
      </c>
      <c r="M29" s="64">
        <f t="shared" si="17"/>
        <v>0.98894867103441886</v>
      </c>
      <c r="N29" s="66">
        <f t="shared" si="10"/>
        <v>4992.1701141839903</v>
      </c>
      <c r="Q29" s="64"/>
      <c r="R29" s="15">
        <f t="shared" si="11"/>
        <v>101</v>
      </c>
      <c r="S29" s="15">
        <f t="shared" si="12"/>
        <v>128.66666666666697</v>
      </c>
      <c r="T29" s="15">
        <f t="shared" si="13"/>
        <v>181.16666666666697</v>
      </c>
    </row>
    <row r="30" spans="1:20">
      <c r="A30" s="4">
        <f t="shared" si="0"/>
        <v>29</v>
      </c>
      <c r="B30" s="7">
        <v>33328</v>
      </c>
      <c r="C30" s="10">
        <v>5054</v>
      </c>
      <c r="D30" s="15">
        <f t="shared" si="6"/>
        <v>4937</v>
      </c>
      <c r="E30" s="15">
        <f t="shared" si="14"/>
        <v>4860.333333333333</v>
      </c>
      <c r="F30" s="64">
        <f t="shared" si="2"/>
        <v>1.0398463754200673</v>
      </c>
      <c r="G30" s="64">
        <f t="shared" si="16"/>
        <v>0.99702411399114099</v>
      </c>
      <c r="H30" s="66">
        <f t="shared" si="4"/>
        <v>5069.0850191863137</v>
      </c>
      <c r="K30" s="15">
        <f t="shared" si="7"/>
        <v>4804.833333333333</v>
      </c>
      <c r="L30" s="64">
        <f t="shared" si="8"/>
        <v>1.0518575045960665</v>
      </c>
      <c r="M30" s="64">
        <f t="shared" si="17"/>
        <v>1.0006802437495481</v>
      </c>
      <c r="N30" s="66">
        <f t="shared" si="10"/>
        <v>5050.5643851453142</v>
      </c>
      <c r="Q30" s="64"/>
      <c r="R30" s="15">
        <f t="shared" si="11"/>
        <v>117</v>
      </c>
      <c r="S30" s="15">
        <f t="shared" si="12"/>
        <v>193.66666666666697</v>
      </c>
      <c r="T30" s="15">
        <f t="shared" si="13"/>
        <v>249.16666666666697</v>
      </c>
    </row>
    <row r="31" spans="1:20">
      <c r="A31" s="4">
        <f t="shared" si="0"/>
        <v>30</v>
      </c>
      <c r="B31" s="7">
        <v>33358</v>
      </c>
      <c r="C31" s="10">
        <v>5103</v>
      </c>
      <c r="D31" s="15">
        <f t="shared" si="6"/>
        <v>5054</v>
      </c>
      <c r="E31" s="15">
        <f t="shared" si="14"/>
        <v>4942.333333333333</v>
      </c>
      <c r="F31" s="64">
        <f t="shared" si="2"/>
        <v>1.0325082619545425</v>
      </c>
      <c r="G31" s="64">
        <f t="shared" si="16"/>
        <v>1.0091059529663722</v>
      </c>
      <c r="H31" s="66">
        <f t="shared" si="4"/>
        <v>5056.9516362471149</v>
      </c>
      <c r="K31" s="15">
        <f t="shared" si="7"/>
        <v>4863.666666666667</v>
      </c>
      <c r="L31" s="64">
        <f t="shared" si="8"/>
        <v>1.0492084161469399</v>
      </c>
      <c r="M31" s="64">
        <f t="shared" si="17"/>
        <v>0.99612876030357123</v>
      </c>
      <c r="N31" s="66">
        <f t="shared" si="10"/>
        <v>5122.8317094718313</v>
      </c>
      <c r="Q31" s="64"/>
      <c r="R31" s="15">
        <f t="shared" si="11"/>
        <v>49</v>
      </c>
      <c r="S31" s="15">
        <f t="shared" si="12"/>
        <v>160.66666666666697</v>
      </c>
      <c r="T31" s="15">
        <f t="shared" si="13"/>
        <v>239.33333333333303</v>
      </c>
    </row>
    <row r="32" spans="1:20">
      <c r="A32" s="4">
        <f t="shared" si="0"/>
        <v>31</v>
      </c>
      <c r="B32" s="7">
        <v>33389</v>
      </c>
      <c r="C32" s="10">
        <v>5105</v>
      </c>
      <c r="D32" s="15">
        <f t="shared" si="6"/>
        <v>5103</v>
      </c>
      <c r="E32" s="15">
        <f>AVERAGE(C29:C31)</f>
        <v>5031.333333333333</v>
      </c>
      <c r="F32" s="64">
        <f>C32/E32</f>
        <v>1.0146415794355375</v>
      </c>
      <c r="G32" s="64">
        <f>G20</f>
        <v>1.0021976896186724</v>
      </c>
      <c r="H32" s="66">
        <f t="shared" si="4"/>
        <v>5093.8053967600035</v>
      </c>
      <c r="K32" s="15">
        <f t="shared" si="7"/>
        <v>4919.833333333333</v>
      </c>
      <c r="L32" s="64">
        <f t="shared" si="8"/>
        <v>1.0376367763135608</v>
      </c>
      <c r="M32" s="64">
        <f>M20</f>
        <v>0.99904548335653753</v>
      </c>
      <c r="N32" s="66">
        <f t="shared" si="10"/>
        <v>5109.8774630845683</v>
      </c>
      <c r="Q32" s="64"/>
      <c r="R32" s="15">
        <f t="shared" si="11"/>
        <v>2</v>
      </c>
      <c r="S32" s="15">
        <f t="shared" si="12"/>
        <v>73.66666666666697</v>
      </c>
      <c r="T32" s="15">
        <f t="shared" si="13"/>
        <v>185.16666666666697</v>
      </c>
    </row>
    <row r="33" spans="1:21">
      <c r="A33" s="1">
        <f t="shared" si="0"/>
        <v>32</v>
      </c>
      <c r="B33" s="12">
        <v>33419</v>
      </c>
      <c r="C33" s="13">
        <v>5704</v>
      </c>
      <c r="D33" s="15">
        <f t="shared" si="6"/>
        <v>5105</v>
      </c>
      <c r="E33" s="15">
        <f t="shared" si="14"/>
        <v>5087.333333333333</v>
      </c>
      <c r="F33" s="64">
        <f t="shared" si="2"/>
        <v>1.1212160922552745</v>
      </c>
      <c r="G33" s="64">
        <f t="shared" si="16"/>
        <v>0.99888336014804691</v>
      </c>
      <c r="H33" s="66">
        <f t="shared" si="4"/>
        <v>5710.3764338957417</v>
      </c>
      <c r="K33" s="15">
        <f t="shared" si="7"/>
        <v>4973.833333333333</v>
      </c>
      <c r="L33" s="64">
        <f t="shared" si="8"/>
        <v>1.1468015950139061</v>
      </c>
      <c r="M33" s="64">
        <f t="shared" si="17"/>
        <v>1.0203075495132896</v>
      </c>
      <c r="N33" s="66">
        <f t="shared" si="10"/>
        <v>5590.4712287201446</v>
      </c>
      <c r="Q33" s="64"/>
      <c r="R33" s="15">
        <f t="shared" si="11"/>
        <v>599</v>
      </c>
      <c r="S33" s="15">
        <f t="shared" si="12"/>
        <v>616.66666666666697</v>
      </c>
      <c r="T33" s="15">
        <f t="shared" si="13"/>
        <v>730.16666666666697</v>
      </c>
    </row>
    <row r="34" spans="1:21">
      <c r="A34" s="1">
        <f t="shared" si="0"/>
        <v>33</v>
      </c>
      <c r="B34" s="12">
        <v>33450</v>
      </c>
      <c r="C34" s="13">
        <v>5907</v>
      </c>
      <c r="D34" s="15">
        <f t="shared" si="6"/>
        <v>5704</v>
      </c>
      <c r="E34" s="15">
        <f t="shared" si="14"/>
        <v>5304</v>
      </c>
      <c r="F34" s="64">
        <f t="shared" si="2"/>
        <v>1.1136877828054299</v>
      </c>
      <c r="G34" s="64">
        <f t="shared" si="16"/>
        <v>1.0179369726405254</v>
      </c>
      <c r="H34" s="66">
        <f t="shared" si="4"/>
        <v>5802.9133028514134</v>
      </c>
      <c r="K34" s="15">
        <f t="shared" si="7"/>
        <v>5123.166666666667</v>
      </c>
      <c r="L34" s="64">
        <f t="shared" si="8"/>
        <v>1.1529978203585021</v>
      </c>
      <c r="M34" s="64">
        <f t="shared" si="17"/>
        <v>1.0214614715279648</v>
      </c>
      <c r="N34" s="66">
        <f t="shared" si="10"/>
        <v>5782.8906568193379</v>
      </c>
      <c r="Q34" s="64"/>
      <c r="R34" s="15">
        <f t="shared" si="11"/>
        <v>203</v>
      </c>
      <c r="S34" s="15">
        <f t="shared" si="12"/>
        <v>603</v>
      </c>
      <c r="T34" s="15">
        <f t="shared" si="13"/>
        <v>783.83333333333303</v>
      </c>
    </row>
    <row r="35" spans="1:21">
      <c r="A35" s="4">
        <f t="shared" si="0"/>
        <v>34</v>
      </c>
      <c r="B35" s="7">
        <v>33481</v>
      </c>
      <c r="C35" s="10">
        <v>5889</v>
      </c>
      <c r="D35" s="15">
        <f t="shared" si="6"/>
        <v>5907</v>
      </c>
      <c r="E35" s="15">
        <f t="shared" si="14"/>
        <v>5572</v>
      </c>
      <c r="F35" s="64">
        <f t="shared" si="2"/>
        <v>1.0568916008614502</v>
      </c>
      <c r="G35" s="64">
        <f t="shared" si="16"/>
        <v>1.0175345248711647</v>
      </c>
      <c r="H35" s="66">
        <f t="shared" si="4"/>
        <v>5787.518610973556</v>
      </c>
      <c r="K35" s="15">
        <f t="shared" si="7"/>
        <v>5301.666666666667</v>
      </c>
      <c r="L35" s="64">
        <f t="shared" si="8"/>
        <v>1.1107827727129833</v>
      </c>
      <c r="M35" s="64">
        <f t="shared" si="17"/>
        <v>1.0112074201948784</v>
      </c>
      <c r="N35" s="66">
        <f t="shared" si="10"/>
        <v>5823.730999585704</v>
      </c>
      <c r="Q35" s="64"/>
      <c r="R35" s="15">
        <f t="shared" si="11"/>
        <v>18</v>
      </c>
      <c r="S35" s="15">
        <f t="shared" si="12"/>
        <v>317</v>
      </c>
      <c r="T35" s="15">
        <f t="shared" si="13"/>
        <v>587.33333333333303</v>
      </c>
    </row>
    <row r="36" spans="1:21">
      <c r="A36" s="4">
        <f t="shared" si="0"/>
        <v>35</v>
      </c>
      <c r="B36" s="7">
        <v>33511</v>
      </c>
      <c r="C36" s="10">
        <v>5887</v>
      </c>
      <c r="D36" s="15">
        <f t="shared" si="6"/>
        <v>5889</v>
      </c>
      <c r="E36" s="15">
        <f t="shared" si="14"/>
        <v>5833.333333333333</v>
      </c>
      <c r="F36" s="64">
        <f t="shared" si="2"/>
        <v>1.0092000000000001</v>
      </c>
      <c r="G36" s="64">
        <f t="shared" si="16"/>
        <v>1.004842535858038</v>
      </c>
      <c r="H36" s="66">
        <f t="shared" si="4"/>
        <v>5858.6293771621376</v>
      </c>
      <c r="K36" s="15">
        <f t="shared" si="7"/>
        <v>5460.333333333333</v>
      </c>
      <c r="L36" s="64">
        <f t="shared" si="8"/>
        <v>1.0781393077345707</v>
      </c>
      <c r="M36" s="64">
        <f t="shared" si="17"/>
        <v>1.0011079260890934</v>
      </c>
      <c r="N36" s="66">
        <f t="shared" si="10"/>
        <v>5880.4848574099569</v>
      </c>
      <c r="Q36" s="64"/>
      <c r="R36" s="15">
        <f t="shared" si="11"/>
        <v>2</v>
      </c>
      <c r="S36" s="15">
        <f t="shared" si="12"/>
        <v>53.66666666666697</v>
      </c>
      <c r="T36" s="15">
        <f t="shared" si="13"/>
        <v>426.66666666666697</v>
      </c>
    </row>
    <row r="37" spans="1:21">
      <c r="A37" s="4">
        <f t="shared" si="0"/>
        <v>36</v>
      </c>
      <c r="B37" s="7">
        <v>33542</v>
      </c>
      <c r="C37" s="10">
        <v>5876</v>
      </c>
      <c r="D37" s="15">
        <f t="shared" si="6"/>
        <v>5887</v>
      </c>
      <c r="E37" s="15">
        <f t="shared" si="14"/>
        <v>5894.333333333333</v>
      </c>
      <c r="F37" s="64">
        <f t="shared" si="2"/>
        <v>0.99688966804275303</v>
      </c>
      <c r="G37" s="64">
        <f t="shared" si="16"/>
        <v>0.99277886267666682</v>
      </c>
      <c r="H37" s="66">
        <f t="shared" si="4"/>
        <v>5918.7400345707447</v>
      </c>
      <c r="K37" s="15">
        <f t="shared" si="7"/>
        <v>5599.166666666667</v>
      </c>
      <c r="L37" s="64">
        <f t="shared" si="8"/>
        <v>1.0494418812323263</v>
      </c>
      <c r="M37" s="64">
        <f t="shared" si="17"/>
        <v>1.0040181257638539</v>
      </c>
      <c r="N37" s="66">
        <f t="shared" si="10"/>
        <v>5852.483983324064</v>
      </c>
      <c r="Q37" s="64"/>
      <c r="R37" s="15">
        <f t="shared" si="11"/>
        <v>11</v>
      </c>
      <c r="S37" s="15">
        <f t="shared" si="12"/>
        <v>18.33333333333303</v>
      </c>
      <c r="T37" s="15">
        <f t="shared" si="13"/>
        <v>276.83333333333303</v>
      </c>
    </row>
    <row r="38" spans="1:21">
      <c r="A38" s="4">
        <f t="shared" si="0"/>
        <v>37</v>
      </c>
      <c r="B38" s="7">
        <v>33572</v>
      </c>
      <c r="C38" s="10">
        <v>5896</v>
      </c>
      <c r="D38" s="15">
        <f t="shared" si="6"/>
        <v>5876</v>
      </c>
      <c r="E38" s="15">
        <f t="shared" si="14"/>
        <v>5884</v>
      </c>
      <c r="F38" s="64">
        <f t="shared" si="2"/>
        <v>1.0020394289598913</v>
      </c>
      <c r="G38" s="64">
        <f t="shared" si="16"/>
        <v>0.99309603964211801</v>
      </c>
      <c r="H38" s="66">
        <f t="shared" si="4"/>
        <v>5936.9887348707398</v>
      </c>
      <c r="K38" s="15">
        <f t="shared" si="7"/>
        <v>5728</v>
      </c>
      <c r="L38" s="64">
        <f t="shared" si="8"/>
        <v>1.0293296089385475</v>
      </c>
      <c r="M38" s="64">
        <f t="shared" si="17"/>
        <v>0.99225141220686164</v>
      </c>
      <c r="N38" s="66">
        <f t="shared" si="10"/>
        <v>5942.0424374975037</v>
      </c>
      <c r="Q38" s="64"/>
      <c r="R38" s="15">
        <f t="shared" si="11"/>
        <v>20</v>
      </c>
      <c r="S38" s="15">
        <f t="shared" si="12"/>
        <v>12</v>
      </c>
      <c r="T38" s="15">
        <f t="shared" si="13"/>
        <v>168</v>
      </c>
    </row>
    <row r="39" spans="1:21">
      <c r="A39" s="4">
        <f t="shared" si="0"/>
        <v>38</v>
      </c>
      <c r="B39" s="7">
        <v>33603</v>
      </c>
      <c r="C39" s="10">
        <v>5900</v>
      </c>
      <c r="D39" s="15">
        <f t="shared" si="6"/>
        <v>5896</v>
      </c>
      <c r="E39" s="15">
        <f t="shared" si="14"/>
        <v>5886.333333333333</v>
      </c>
      <c r="F39" s="64">
        <f t="shared" si="2"/>
        <v>1.0023217622741944</v>
      </c>
      <c r="G39" s="64">
        <f t="shared" si="16"/>
        <v>0.98963391670250578</v>
      </c>
      <c r="H39" s="66">
        <f t="shared" si="4"/>
        <v>5961.8005208016748</v>
      </c>
      <c r="K39" s="15">
        <f t="shared" si="7"/>
        <v>5859.833333333333</v>
      </c>
      <c r="L39" s="64">
        <f t="shared" si="8"/>
        <v>1.0068545749310276</v>
      </c>
      <c r="M39" s="64">
        <f t="shared" si="17"/>
        <v>0.98318116953352208</v>
      </c>
      <c r="N39" s="66">
        <f t="shared" si="10"/>
        <v>6000.9286007779228</v>
      </c>
      <c r="Q39" s="64"/>
      <c r="R39" s="15">
        <f t="shared" si="11"/>
        <v>4</v>
      </c>
      <c r="S39" s="15">
        <f t="shared" si="12"/>
        <v>13.66666666666697</v>
      </c>
      <c r="T39" s="15">
        <f t="shared" si="13"/>
        <v>40.16666666666697</v>
      </c>
    </row>
    <row r="40" spans="1:21">
      <c r="A40" s="4">
        <f t="shared" si="0"/>
        <v>39</v>
      </c>
      <c r="B40" s="7">
        <v>33634</v>
      </c>
      <c r="C40" s="10">
        <v>5917</v>
      </c>
      <c r="D40" s="15">
        <f t="shared" si="6"/>
        <v>5900</v>
      </c>
      <c r="E40" s="15">
        <f t="shared" si="14"/>
        <v>5890.666666666667</v>
      </c>
      <c r="F40" s="64">
        <f t="shared" si="2"/>
        <v>1.0044703485740154</v>
      </c>
      <c r="G40" s="64">
        <f t="shared" si="16"/>
        <v>0.98791596334468756</v>
      </c>
      <c r="H40" s="66">
        <f t="shared" si="4"/>
        <v>5989.3758371586682</v>
      </c>
      <c r="K40" s="15">
        <f t="shared" si="7"/>
        <v>5892.5</v>
      </c>
      <c r="L40" s="64">
        <f t="shared" si="8"/>
        <v>1.0041578277471361</v>
      </c>
      <c r="M40" s="64">
        <f t="shared" si="17"/>
        <v>0.98166176672645855</v>
      </c>
      <c r="N40" s="66">
        <f t="shared" si="10"/>
        <v>6027.5343306191735</v>
      </c>
      <c r="Q40" s="64"/>
      <c r="R40" s="15">
        <f t="shared" si="11"/>
        <v>17</v>
      </c>
      <c r="S40" s="15">
        <f t="shared" si="12"/>
        <v>26.33333333333303</v>
      </c>
      <c r="T40" s="15">
        <f t="shared" si="13"/>
        <v>24.5</v>
      </c>
    </row>
    <row r="41" spans="1:21">
      <c r="A41" s="4">
        <f t="shared" si="0"/>
        <v>40</v>
      </c>
      <c r="B41" s="7">
        <v>33663</v>
      </c>
      <c r="C41" s="10">
        <v>5938</v>
      </c>
      <c r="D41" s="15">
        <f t="shared" si="6"/>
        <v>5917</v>
      </c>
      <c r="E41" s="15">
        <f t="shared" si="14"/>
        <v>5904.333333333333</v>
      </c>
      <c r="F41" s="64">
        <f t="shared" si="2"/>
        <v>1.0057020267600068</v>
      </c>
      <c r="G41" s="64">
        <f t="shared" si="16"/>
        <v>0.98905006754005886</v>
      </c>
      <c r="H41" s="66">
        <f t="shared" si="4"/>
        <v>6003.7405535685857</v>
      </c>
      <c r="K41" s="15">
        <f t="shared" si="7"/>
        <v>5894.166666666667</v>
      </c>
      <c r="L41" s="64">
        <f t="shared" si="8"/>
        <v>1.0074367312314434</v>
      </c>
      <c r="M41" s="64">
        <f t="shared" si="17"/>
        <v>0.98894867103441886</v>
      </c>
      <c r="N41" s="66">
        <f t="shared" si="10"/>
        <v>6004.3561146494903</v>
      </c>
      <c r="Q41" s="64"/>
      <c r="R41" s="15">
        <f t="shared" si="11"/>
        <v>21</v>
      </c>
      <c r="S41" s="15">
        <f t="shared" si="12"/>
        <v>33.66666666666697</v>
      </c>
      <c r="T41" s="15">
        <f t="shared" si="13"/>
        <v>43.83333333333303</v>
      </c>
    </row>
    <row r="42" spans="1:21">
      <c r="A42" s="4">
        <f t="shared" si="0"/>
        <v>41</v>
      </c>
      <c r="B42" s="7">
        <v>33694</v>
      </c>
      <c r="C42" s="10">
        <v>5987</v>
      </c>
      <c r="D42" s="15">
        <f t="shared" si="6"/>
        <v>5938</v>
      </c>
      <c r="E42" s="15">
        <f t="shared" si="14"/>
        <v>5918.333333333333</v>
      </c>
      <c r="F42" s="64">
        <f t="shared" si="2"/>
        <v>1.0116023655308364</v>
      </c>
      <c r="G42" s="64">
        <f t="shared" si="16"/>
        <v>0.99702411399114099</v>
      </c>
      <c r="H42" s="66">
        <f t="shared" si="4"/>
        <v>6004.8698080467866</v>
      </c>
      <c r="K42" s="15">
        <f t="shared" si="7"/>
        <v>5902.333333333333</v>
      </c>
      <c r="L42" s="64">
        <f t="shared" si="8"/>
        <v>1.0143446094764783</v>
      </c>
      <c r="M42" s="64">
        <f t="shared" si="17"/>
        <v>1.0006802437495481</v>
      </c>
      <c r="N42" s="66">
        <f t="shared" si="10"/>
        <v>5982.9301491620499</v>
      </c>
      <c r="Q42" s="64"/>
      <c r="R42" s="15">
        <f t="shared" si="11"/>
        <v>49</v>
      </c>
      <c r="S42" s="15">
        <f t="shared" si="12"/>
        <v>68.66666666666697</v>
      </c>
      <c r="T42" s="15">
        <f t="shared" si="13"/>
        <v>84.66666666666697</v>
      </c>
    </row>
    <row r="43" spans="1:21">
      <c r="A43" s="4">
        <f t="shared" si="0"/>
        <v>42</v>
      </c>
      <c r="B43" s="7">
        <v>33724</v>
      </c>
      <c r="C43" s="10">
        <v>5983</v>
      </c>
      <c r="D43" s="15">
        <f t="shared" si="6"/>
        <v>5987</v>
      </c>
      <c r="E43" s="15">
        <f t="shared" si="14"/>
        <v>5947.333333333333</v>
      </c>
      <c r="F43" s="64">
        <f t="shared" si="2"/>
        <v>1.0059970855285283</v>
      </c>
      <c r="G43" s="64">
        <f t="shared" si="16"/>
        <v>1.0091059529663722</v>
      </c>
      <c r="H43" s="66">
        <f t="shared" si="4"/>
        <v>5929.0107073616482</v>
      </c>
      <c r="K43" s="15">
        <f t="shared" si="7"/>
        <v>5919</v>
      </c>
      <c r="L43" s="64">
        <f t="shared" si="8"/>
        <v>1.0108126372698092</v>
      </c>
      <c r="M43" s="64">
        <f t="shared" si="17"/>
        <v>0.99612876030357123</v>
      </c>
      <c r="N43" s="66">
        <f t="shared" si="10"/>
        <v>6006.2516397746358</v>
      </c>
      <c r="Q43" s="64"/>
      <c r="R43" s="15">
        <f t="shared" si="11"/>
        <v>4</v>
      </c>
      <c r="S43" s="15">
        <f t="shared" si="12"/>
        <v>35.66666666666697</v>
      </c>
      <c r="T43" s="15">
        <f t="shared" si="13"/>
        <v>64</v>
      </c>
    </row>
    <row r="44" spans="1:21">
      <c r="A44" s="4">
        <f t="shared" si="0"/>
        <v>43</v>
      </c>
      <c r="B44" s="7">
        <v>33755</v>
      </c>
      <c r="C44" s="10">
        <v>5981</v>
      </c>
      <c r="D44" s="15">
        <f t="shared" si="6"/>
        <v>5983</v>
      </c>
      <c r="E44" s="15">
        <f t="shared" si="14"/>
        <v>5969.333333333333</v>
      </c>
      <c r="F44" s="64">
        <f t="shared" si="2"/>
        <v>1.0019544337726156</v>
      </c>
      <c r="G44" s="64">
        <f t="shared" si="16"/>
        <v>1.0021976896186724</v>
      </c>
      <c r="H44" s="66">
        <f t="shared" si="4"/>
        <v>5967.8844423156861</v>
      </c>
      <c r="K44" s="15">
        <f t="shared" si="7"/>
        <v>5936.833333333333</v>
      </c>
      <c r="L44" s="64">
        <f t="shared" si="8"/>
        <v>1.0074394317958508</v>
      </c>
      <c r="M44" s="64">
        <f t="shared" si="17"/>
        <v>0.99904548335653753</v>
      </c>
      <c r="N44" s="66">
        <f t="shared" si="10"/>
        <v>5986.7144185521647</v>
      </c>
      <c r="Q44" s="64"/>
      <c r="R44" s="15">
        <f t="shared" si="11"/>
        <v>2</v>
      </c>
      <c r="S44" s="15">
        <f t="shared" si="12"/>
        <v>11.66666666666697</v>
      </c>
      <c r="T44" s="15">
        <f t="shared" si="13"/>
        <v>44.16666666666697</v>
      </c>
    </row>
    <row r="45" spans="1:21">
      <c r="A45" s="4">
        <f t="shared" si="0"/>
        <v>44</v>
      </c>
      <c r="B45" s="7">
        <v>33785</v>
      </c>
      <c r="C45" s="10">
        <v>5975</v>
      </c>
      <c r="D45" s="15">
        <f t="shared" si="6"/>
        <v>5981</v>
      </c>
      <c r="E45" s="15">
        <f t="shared" si="14"/>
        <v>5983.666666666667</v>
      </c>
      <c r="F45" s="64">
        <f t="shared" si="2"/>
        <v>0.99855161272352511</v>
      </c>
      <c r="G45" s="64">
        <f t="shared" si="16"/>
        <v>0.99888336014804691</v>
      </c>
      <c r="H45" s="66">
        <f t="shared" si="4"/>
        <v>5981.679381579077</v>
      </c>
      <c r="K45" s="15">
        <f t="shared" si="7"/>
        <v>5951</v>
      </c>
      <c r="L45" s="64">
        <f t="shared" si="8"/>
        <v>1.0040329356410687</v>
      </c>
      <c r="M45" s="64">
        <f t="shared" si="17"/>
        <v>1.0203075495132896</v>
      </c>
      <c r="N45" s="66">
        <f t="shared" si="10"/>
        <v>5856.0774178826905</v>
      </c>
      <c r="Q45" s="64"/>
      <c r="R45" s="15">
        <f t="shared" si="11"/>
        <v>6</v>
      </c>
      <c r="S45" s="15">
        <f t="shared" si="12"/>
        <v>8.6666666666669698</v>
      </c>
      <c r="T45" s="15">
        <f t="shared" si="13"/>
        <v>24</v>
      </c>
    </row>
    <row r="46" spans="1:21">
      <c r="A46" s="4">
        <f t="shared" si="0"/>
        <v>45</v>
      </c>
      <c r="B46" s="7">
        <v>33816</v>
      </c>
      <c r="C46" s="10">
        <v>5985</v>
      </c>
      <c r="D46" s="15">
        <f t="shared" ref="D46:D47" si="18">C45</f>
        <v>5975</v>
      </c>
      <c r="E46" s="15">
        <f t="shared" ref="E46:E47" si="19">AVERAGE(C43:C45)</f>
        <v>5979.666666666667</v>
      </c>
      <c r="F46" s="64">
        <f t="shared" si="2"/>
        <v>1.0008919114777859</v>
      </c>
      <c r="G46" s="64">
        <f t="shared" si="16"/>
        <v>1.0179369726405254</v>
      </c>
      <c r="H46" s="66">
        <f t="shared" si="4"/>
        <v>5879.5388721120207</v>
      </c>
      <c r="K46" s="15">
        <f t="shared" ref="K46:K47" si="20">AVERAGE(C40:C45)</f>
        <v>5963.5</v>
      </c>
      <c r="L46" s="64">
        <f t="shared" si="8"/>
        <v>1.0036052653642995</v>
      </c>
      <c r="M46" s="64">
        <f t="shared" si="17"/>
        <v>1.0214614715279648</v>
      </c>
      <c r="N46" s="66">
        <f t="shared" si="10"/>
        <v>5859.2518335980594</v>
      </c>
      <c r="Q46" s="64"/>
      <c r="R46" s="15">
        <f t="shared" si="11"/>
        <v>10</v>
      </c>
      <c r="S46" s="30">
        <f t="shared" si="12"/>
        <v>5.3333333333330302</v>
      </c>
      <c r="T46" s="15">
        <f t="shared" si="13"/>
        <v>21.5</v>
      </c>
    </row>
    <row r="47" spans="1:21">
      <c r="A47" s="4">
        <f t="shared" si="0"/>
        <v>46</v>
      </c>
      <c r="B47" s="7">
        <v>33847</v>
      </c>
      <c r="C47" s="18">
        <v>6029</v>
      </c>
      <c r="D47" s="15">
        <f t="shared" si="18"/>
        <v>5985</v>
      </c>
      <c r="E47" s="15">
        <f t="shared" si="19"/>
        <v>5980.333333333333</v>
      </c>
      <c r="F47" s="64">
        <f t="shared" si="2"/>
        <v>1.0081377849618194</v>
      </c>
      <c r="G47" s="64">
        <f t="shared" si="16"/>
        <v>1.0175345248711647</v>
      </c>
      <c r="H47" s="66">
        <f t="shared" si="4"/>
        <v>5925.1060800746418</v>
      </c>
      <c r="K47" s="15">
        <f t="shared" si="20"/>
        <v>5974.833333333333</v>
      </c>
      <c r="L47" s="64">
        <f t="shared" si="8"/>
        <v>1.0090658037881113</v>
      </c>
      <c r="M47" s="64">
        <f t="shared" si="17"/>
        <v>1.0112074201948784</v>
      </c>
      <c r="N47" s="66">
        <f t="shared" si="10"/>
        <v>5962.1793507390403</v>
      </c>
      <c r="Q47" s="64"/>
      <c r="R47" s="30">
        <f t="shared" si="11"/>
        <v>44</v>
      </c>
      <c r="S47" s="15">
        <f t="shared" si="12"/>
        <v>48.66666666666697</v>
      </c>
      <c r="T47" s="15">
        <f t="shared" si="13"/>
        <v>54.16666666666697</v>
      </c>
    </row>
    <row r="48" spans="1:21">
      <c r="A48" s="4">
        <f t="shared" si="0"/>
        <v>47</v>
      </c>
      <c r="B48" s="7">
        <v>33877</v>
      </c>
      <c r="C48" s="17">
        <v>6024</v>
      </c>
      <c r="D48" s="15">
        <f>C47</f>
        <v>6029</v>
      </c>
      <c r="E48" s="15">
        <f>AVERAGE(C45:C47)</f>
        <v>5996.333333333333</v>
      </c>
      <c r="F48" s="64">
        <f t="shared" si="2"/>
        <v>1.0046139307354496</v>
      </c>
      <c r="G48" s="64">
        <f t="shared" si="16"/>
        <v>1.004842535858038</v>
      </c>
      <c r="H48" s="66">
        <f t="shared" si="4"/>
        <v>5994.9691469381205</v>
      </c>
      <c r="K48" s="15">
        <f>AVERAGE(C42:C47)</f>
        <v>5990</v>
      </c>
      <c r="L48" s="64">
        <f t="shared" si="8"/>
        <v>1.0056761268781302</v>
      </c>
      <c r="M48" s="64">
        <f t="shared" si="17"/>
        <v>1.0011079260890934</v>
      </c>
      <c r="N48" s="66">
        <f t="shared" si="10"/>
        <v>6017.3332395171701</v>
      </c>
      <c r="Q48" s="64"/>
      <c r="R48" s="30">
        <f t="shared" si="11"/>
        <v>5</v>
      </c>
      <c r="S48" s="15">
        <f t="shared" si="12"/>
        <v>27.66666666666697</v>
      </c>
      <c r="T48" s="15">
        <f t="shared" si="13"/>
        <v>34</v>
      </c>
      <c r="U48" t="str">
        <f ca="1">_xlfn.FORMULATEXT(T48)</f>
        <v>=ABS(K48-C48)</v>
      </c>
    </row>
    <row r="49" spans="1:26">
      <c r="A49" s="4">
        <f t="shared" si="0"/>
        <v>48</v>
      </c>
      <c r="B49" s="7">
        <v>33908</v>
      </c>
      <c r="C49" s="10"/>
      <c r="D49" s="15">
        <f>C48</f>
        <v>6024</v>
      </c>
      <c r="E49" s="15">
        <f>AVERAGE(C46:C48)</f>
        <v>6012.666666666667</v>
      </c>
      <c r="G49" s="64">
        <f t="shared" si="16"/>
        <v>0.99277886267666682</v>
      </c>
      <c r="I49" s="66">
        <f>H48</f>
        <v>5994.9691469381205</v>
      </c>
      <c r="J49" s="67">
        <f>I49*G49</f>
        <v>5951.6786514789346</v>
      </c>
      <c r="K49" s="15">
        <f>AVERAGE(C43:C48)</f>
        <v>5996.166666666667</v>
      </c>
      <c r="L49" s="64"/>
      <c r="M49" s="64">
        <f t="shared" si="17"/>
        <v>1.0040181257638539</v>
      </c>
      <c r="O49" s="66">
        <f>N48</f>
        <v>6017.3332395171701</v>
      </c>
      <c r="P49" s="67">
        <f>O49*M49</f>
        <v>6041.5116412365678</v>
      </c>
      <c r="Q49" s="64"/>
    </row>
    <row r="50" spans="1:26">
      <c r="A50" s="4">
        <f t="shared" si="0"/>
        <v>49</v>
      </c>
      <c r="B50" s="7">
        <v>33938</v>
      </c>
      <c r="C50" s="10"/>
      <c r="D50" s="15">
        <f>D49</f>
        <v>6024</v>
      </c>
      <c r="E50" s="15">
        <f>E49</f>
        <v>6012.666666666667</v>
      </c>
      <c r="G50" s="64">
        <f t="shared" si="16"/>
        <v>0.99309603964211801</v>
      </c>
      <c r="I50" s="66">
        <f>I49</f>
        <v>5994.9691469381205</v>
      </c>
      <c r="J50" s="67">
        <f t="shared" ref="J50:J59" si="21">I50*G50</f>
        <v>5953.5801176009345</v>
      </c>
      <c r="K50" s="15">
        <f>K49</f>
        <v>5996.166666666667</v>
      </c>
      <c r="L50" s="64"/>
      <c r="M50" s="64">
        <f t="shared" si="17"/>
        <v>0.99225141220686164</v>
      </c>
      <c r="O50" s="66">
        <f>O49</f>
        <v>6017.3332395171701</v>
      </c>
      <c r="P50" s="67">
        <f>O50*M50</f>
        <v>5970.7074046302014</v>
      </c>
      <c r="Q50" s="64"/>
      <c r="R50" s="31">
        <f>AVERAGE(R2:R48)</f>
        <v>55.424999999999997</v>
      </c>
      <c r="S50" s="21">
        <f t="shared" ref="S50:T50" si="22">AVERAGE(S2:S48)</f>
        <v>104.20000000000007</v>
      </c>
      <c r="T50" s="21">
        <f t="shared" si="22"/>
        <v>182.78333333333336</v>
      </c>
      <c r="U50" s="21" t="s">
        <v>43</v>
      </c>
      <c r="V50" t="str">
        <f ca="1">_xlfn.FORMULATEXT(T50)</f>
        <v>=AVERAGE(T2:T48)</v>
      </c>
    </row>
    <row r="51" spans="1:26">
      <c r="A51" s="4">
        <f t="shared" si="0"/>
        <v>50</v>
      </c>
      <c r="B51" s="7">
        <v>33969</v>
      </c>
      <c r="C51" s="10"/>
      <c r="D51" s="15">
        <f t="shared" ref="D51:D60" si="23">D50</f>
        <v>6024</v>
      </c>
      <c r="E51" s="15">
        <f t="shared" ref="E51:E60" si="24">E50</f>
        <v>6012.666666666667</v>
      </c>
      <c r="G51" s="64">
        <f t="shared" si="16"/>
        <v>0.98963391670250578</v>
      </c>
      <c r="I51" s="66">
        <f t="shared" ref="I51:I60" si="25">I50</f>
        <v>5994.9691469381205</v>
      </c>
      <c r="J51" s="67">
        <f t="shared" si="21"/>
        <v>5932.824797395052</v>
      </c>
      <c r="K51" s="15">
        <f t="shared" ref="K51:K60" si="26">K50</f>
        <v>5996.166666666667</v>
      </c>
      <c r="L51" s="64"/>
      <c r="M51" s="64">
        <f t="shared" si="17"/>
        <v>0.98318116953352208</v>
      </c>
      <c r="O51" s="66">
        <f t="shared" ref="O51:O60" si="27">O50</f>
        <v>6017.3332395171701</v>
      </c>
      <c r="P51" s="67">
        <f>O51*M51</f>
        <v>5916.1287319014282</v>
      </c>
      <c r="Q51" s="64"/>
      <c r="R51" s="21"/>
      <c r="S51" s="21"/>
      <c r="T51" s="21" t="s">
        <v>44</v>
      </c>
      <c r="U51" s="21"/>
    </row>
    <row r="52" spans="1:26">
      <c r="A52" s="4">
        <f t="shared" si="0"/>
        <v>51</v>
      </c>
      <c r="B52" s="7">
        <v>34000</v>
      </c>
      <c r="C52" s="10"/>
      <c r="D52" s="15">
        <f t="shared" si="23"/>
        <v>6024</v>
      </c>
      <c r="E52" s="15">
        <f t="shared" si="24"/>
        <v>6012.666666666667</v>
      </c>
      <c r="G52" s="64">
        <f t="shared" si="16"/>
        <v>0.98791596334468756</v>
      </c>
      <c r="I52" s="66">
        <f t="shared" si="25"/>
        <v>5994.9691469381205</v>
      </c>
      <c r="J52" s="67">
        <f t="shared" si="21"/>
        <v>5922.5257200190536</v>
      </c>
      <c r="K52" s="15">
        <f t="shared" si="26"/>
        <v>5996.166666666667</v>
      </c>
      <c r="L52" s="64"/>
      <c r="M52" s="64">
        <f t="shared" si="17"/>
        <v>0.98166176672645855</v>
      </c>
      <c r="O52" s="66">
        <f t="shared" si="27"/>
        <v>6017.3332395171701</v>
      </c>
      <c r="P52" s="67">
        <f t="shared" ref="P52:P59" si="28">O52*M52</f>
        <v>5906.9859788862695</v>
      </c>
      <c r="Q52" s="64"/>
    </row>
    <row r="53" spans="1:26">
      <c r="A53" s="4">
        <f t="shared" si="0"/>
        <v>52</v>
      </c>
      <c r="B53" s="7">
        <v>34028</v>
      </c>
      <c r="C53" s="10"/>
      <c r="D53" s="15">
        <f t="shared" si="23"/>
        <v>6024</v>
      </c>
      <c r="E53" s="15">
        <f t="shared" si="24"/>
        <v>6012.666666666667</v>
      </c>
      <c r="G53" s="64">
        <f t="shared" si="16"/>
        <v>0.98905006754005886</v>
      </c>
      <c r="I53" s="66">
        <f t="shared" si="25"/>
        <v>5994.9691469381205</v>
      </c>
      <c r="J53" s="67">
        <f t="shared" si="21"/>
        <v>5929.3246396797167</v>
      </c>
      <c r="K53" s="15">
        <f t="shared" si="26"/>
        <v>5996.166666666667</v>
      </c>
      <c r="L53" s="64"/>
      <c r="M53" s="64">
        <f t="shared" si="17"/>
        <v>0.98894867103441886</v>
      </c>
      <c r="O53" s="66">
        <f t="shared" si="27"/>
        <v>6017.3332395171701</v>
      </c>
      <c r="P53" s="67">
        <f t="shared" si="28"/>
        <v>5950.8337103917402</v>
      </c>
      <c r="Q53" s="64"/>
      <c r="S53" t="s">
        <v>45</v>
      </c>
    </row>
    <row r="54" spans="1:26">
      <c r="A54" s="4">
        <f t="shared" si="0"/>
        <v>53</v>
      </c>
      <c r="B54" s="7">
        <v>34059</v>
      </c>
      <c r="C54" s="10"/>
      <c r="D54" s="15">
        <f t="shared" si="23"/>
        <v>6024</v>
      </c>
      <c r="E54" s="15">
        <f t="shared" si="24"/>
        <v>6012.666666666667</v>
      </c>
      <c r="G54" s="64">
        <f t="shared" si="16"/>
        <v>0.99702411399114099</v>
      </c>
      <c r="I54" s="66">
        <f t="shared" si="25"/>
        <v>5994.9691469381205</v>
      </c>
      <c r="J54" s="67">
        <f t="shared" si="21"/>
        <v>5977.1288021302062</v>
      </c>
      <c r="K54" s="15">
        <f t="shared" si="26"/>
        <v>5996.166666666667</v>
      </c>
      <c r="L54" s="64"/>
      <c r="M54" s="64">
        <f t="shared" si="17"/>
        <v>1.0006802437495481</v>
      </c>
      <c r="O54" s="66">
        <f t="shared" si="27"/>
        <v>6017.3332395171701</v>
      </c>
      <c r="P54" s="67">
        <f t="shared" si="28"/>
        <v>6021.4264928422999</v>
      </c>
      <c r="Q54" s="64"/>
      <c r="S54" s="61" t="s">
        <v>46</v>
      </c>
      <c r="T54" s="61" t="s">
        <v>47</v>
      </c>
    </row>
    <row r="55" spans="1:26">
      <c r="A55" s="4">
        <f t="shared" si="0"/>
        <v>54</v>
      </c>
      <c r="B55" s="7">
        <v>34089</v>
      </c>
      <c r="C55" s="10"/>
      <c r="D55" s="15">
        <f t="shared" si="23"/>
        <v>6024</v>
      </c>
      <c r="E55" s="15">
        <f t="shared" si="24"/>
        <v>6012.666666666667</v>
      </c>
      <c r="G55" s="64">
        <f t="shared" si="16"/>
        <v>1.0091059529663722</v>
      </c>
      <c r="I55" s="66">
        <f t="shared" si="25"/>
        <v>5994.9691469381205</v>
      </c>
      <c r="J55" s="67">
        <f t="shared" si="21"/>
        <v>6049.5590540249914</v>
      </c>
      <c r="K55" s="15">
        <f t="shared" si="26"/>
        <v>5996.166666666667</v>
      </c>
      <c r="L55" s="64"/>
      <c r="M55" s="64">
        <f t="shared" si="17"/>
        <v>0.99612876030357123</v>
      </c>
      <c r="O55" s="66">
        <f t="shared" si="27"/>
        <v>6017.3332395171701</v>
      </c>
      <c r="P55" s="67">
        <f t="shared" si="28"/>
        <v>5994.0387002137113</v>
      </c>
      <c r="Q55" s="64"/>
      <c r="S55" s="61" t="s">
        <v>48</v>
      </c>
      <c r="T55" t="s">
        <v>49</v>
      </c>
      <c r="U55" t="s">
        <v>50</v>
      </c>
      <c r="V55" t="s">
        <v>51</v>
      </c>
      <c r="W55" t="s">
        <v>52</v>
      </c>
      <c r="X55" t="s">
        <v>53</v>
      </c>
      <c r="Y55" t="s">
        <v>54</v>
      </c>
    </row>
    <row r="56" spans="1:26">
      <c r="A56" s="4">
        <f t="shared" si="0"/>
        <v>55</v>
      </c>
      <c r="B56" s="7">
        <v>34120</v>
      </c>
      <c r="C56" s="10"/>
      <c r="D56" s="15">
        <f t="shared" si="23"/>
        <v>6024</v>
      </c>
      <c r="E56" s="15">
        <f t="shared" si="24"/>
        <v>6012.666666666667</v>
      </c>
      <c r="G56" s="64">
        <f t="shared" si="16"/>
        <v>1.0021976896186724</v>
      </c>
      <c r="I56" s="66">
        <f t="shared" si="25"/>
        <v>5994.9691469381205</v>
      </c>
      <c r="J56" s="67">
        <f t="shared" si="21"/>
        <v>6008.144228396608</v>
      </c>
      <c r="K56" s="15">
        <f t="shared" si="26"/>
        <v>5996.166666666667</v>
      </c>
      <c r="L56" s="64"/>
      <c r="M56" s="64">
        <f t="shared" si="17"/>
        <v>0.99904548335653753</v>
      </c>
      <c r="O56" s="66">
        <f t="shared" si="27"/>
        <v>6017.3332395171701</v>
      </c>
      <c r="P56" s="67">
        <f t="shared" si="28"/>
        <v>6011.5895947907911</v>
      </c>
      <c r="Q56" s="64"/>
      <c r="S56" s="62" t="s">
        <v>10</v>
      </c>
      <c r="U56" s="22"/>
      <c r="V56" s="22">
        <v>1.0134674671426254</v>
      </c>
      <c r="W56" s="22">
        <v>1.0106583072100312</v>
      </c>
      <c r="X56" s="22">
        <v>1.0044703485740154</v>
      </c>
      <c r="Y56" s="22">
        <v>1.0095320409755573</v>
      </c>
      <c r="Z56">
        <f>GETPIVOTDATA("Season Ratio",$S$54,"Month/Year",1)*$Y$71</f>
        <v>0.98905006754005886</v>
      </c>
    </row>
    <row r="57" spans="1:26">
      <c r="A57" s="4">
        <f t="shared" si="0"/>
        <v>56</v>
      </c>
      <c r="B57" s="7">
        <v>34150</v>
      </c>
      <c r="C57" s="10"/>
      <c r="D57" s="15">
        <f t="shared" si="23"/>
        <v>6024</v>
      </c>
      <c r="E57" s="15">
        <f t="shared" si="24"/>
        <v>6012.666666666667</v>
      </c>
      <c r="G57" s="64">
        <f t="shared" si="16"/>
        <v>0.99888336014804691</v>
      </c>
      <c r="I57" s="66">
        <f t="shared" si="25"/>
        <v>5994.9691469381205</v>
      </c>
      <c r="J57" s="67">
        <f t="shared" si="21"/>
        <v>5988.2749254774199</v>
      </c>
      <c r="K57" s="15">
        <f t="shared" si="26"/>
        <v>5996.166666666667</v>
      </c>
      <c r="L57" s="64"/>
      <c r="M57" s="64">
        <f t="shared" si="17"/>
        <v>1.0203075495132896</v>
      </c>
      <c r="O57" s="66">
        <f t="shared" si="27"/>
        <v>6017.3332395171701</v>
      </c>
      <c r="P57" s="67">
        <f t="shared" si="28"/>
        <v>6139.5305322166287</v>
      </c>
      <c r="Q57" s="64"/>
      <c r="S57" s="62" t="s">
        <v>11</v>
      </c>
      <c r="U57" s="22">
        <v>1.016360099044924</v>
      </c>
      <c r="V57" s="22">
        <v>1.0218636546994755</v>
      </c>
      <c r="W57" s="22">
        <v>1.0267590987868285</v>
      </c>
      <c r="X57" s="22">
        <v>1.0057020267600068</v>
      </c>
      <c r="Y57" s="22">
        <v>1.0176712198228088</v>
      </c>
      <c r="Z57">
        <f>GETPIVOTDATA("Season Ratio",$S$54,"Month/Year",2)*$Y$71</f>
        <v>0.99702411399114099</v>
      </c>
    </row>
    <row r="58" spans="1:26">
      <c r="A58" s="4">
        <f t="shared" si="0"/>
        <v>57</v>
      </c>
      <c r="B58" s="7">
        <v>34181</v>
      </c>
      <c r="C58" s="10"/>
      <c r="D58" s="15">
        <f t="shared" si="23"/>
        <v>6024</v>
      </c>
      <c r="E58" s="15">
        <f t="shared" si="24"/>
        <v>6012.666666666667</v>
      </c>
      <c r="G58" s="64">
        <f t="shared" si="16"/>
        <v>1.0179369726405254</v>
      </c>
      <c r="I58" s="66">
        <f t="shared" si="25"/>
        <v>5994.9691469381205</v>
      </c>
      <c r="J58" s="67">
        <f t="shared" si="21"/>
        <v>6102.5007445075435</v>
      </c>
      <c r="K58" s="15">
        <f t="shared" si="26"/>
        <v>5996.166666666667</v>
      </c>
      <c r="L58" s="64"/>
      <c r="M58" s="64">
        <f t="shared" si="17"/>
        <v>1.0214614715279648</v>
      </c>
      <c r="O58" s="66">
        <f t="shared" si="27"/>
        <v>6017.3332395171701</v>
      </c>
      <c r="P58" s="67">
        <f t="shared" si="28"/>
        <v>6146.4740655113446</v>
      </c>
      <c r="Q58" s="64"/>
      <c r="S58" s="62" t="s">
        <v>12</v>
      </c>
      <c r="U58" s="22">
        <v>1.0325188961153102</v>
      </c>
      <c r="V58" s="22">
        <v>1.0360453964194372</v>
      </c>
      <c r="W58" s="22">
        <v>1.0398463754200673</v>
      </c>
      <c r="X58" s="22">
        <v>1.0116023655308364</v>
      </c>
      <c r="Y58" s="22">
        <v>1.0300032583714127</v>
      </c>
      <c r="Z58">
        <f>GETPIVOTDATA("Season Ratio",$S$54,"Month/Year",3)*Y71</f>
        <v>1.0091059529663722</v>
      </c>
    </row>
    <row r="59" spans="1:26">
      <c r="A59" s="4">
        <f t="shared" si="0"/>
        <v>58</v>
      </c>
      <c r="B59" s="7">
        <v>34212</v>
      </c>
      <c r="C59" s="10"/>
      <c r="D59" s="15">
        <f t="shared" si="23"/>
        <v>6024</v>
      </c>
      <c r="E59" s="15">
        <f t="shared" si="24"/>
        <v>6012.666666666667</v>
      </c>
      <c r="G59" s="64">
        <f t="shared" si="16"/>
        <v>1.0175345248711647</v>
      </c>
      <c r="I59" s="66">
        <f t="shared" si="25"/>
        <v>5994.9691469381205</v>
      </c>
      <c r="J59" s="67">
        <f t="shared" si="21"/>
        <v>6100.0880825469721</v>
      </c>
      <c r="K59" s="15">
        <f t="shared" si="26"/>
        <v>5996.166666666667</v>
      </c>
      <c r="L59" s="64"/>
      <c r="M59" s="64">
        <f t="shared" si="17"/>
        <v>1.0112074201948784</v>
      </c>
      <c r="O59" s="66">
        <f t="shared" si="27"/>
        <v>6017.3332395171701</v>
      </c>
      <c r="P59" s="67">
        <f t="shared" si="28"/>
        <v>6084.7720215850477</v>
      </c>
      <c r="Q59" s="64"/>
      <c r="S59" s="62" t="s">
        <v>13</v>
      </c>
      <c r="U59" s="22">
        <v>1.0298507462686566</v>
      </c>
      <c r="V59" s="22">
        <v>1.02345164082789</v>
      </c>
      <c r="W59" s="22">
        <v>1.0325082619545425</v>
      </c>
      <c r="X59" s="22">
        <v>1.0059970855285283</v>
      </c>
      <c r="Y59" s="22">
        <v>1.0229519336449042</v>
      </c>
      <c r="Z59">
        <f>GETPIVOTDATA("Season Ratio",$S$54,"Month/Year",4)*Y71</f>
        <v>1.0021976896186724</v>
      </c>
    </row>
    <row r="60" spans="1:26">
      <c r="A60" s="4">
        <f t="shared" si="0"/>
        <v>59</v>
      </c>
      <c r="B60" s="7">
        <v>34242</v>
      </c>
      <c r="C60" s="10"/>
      <c r="D60" s="15">
        <f t="shared" si="23"/>
        <v>6024</v>
      </c>
      <c r="E60" s="15">
        <f t="shared" si="24"/>
        <v>6012.666666666667</v>
      </c>
      <c r="G60" s="64">
        <f t="shared" si="16"/>
        <v>1.004842535858038</v>
      </c>
      <c r="I60" s="66">
        <f t="shared" si="25"/>
        <v>5994.9691469381205</v>
      </c>
      <c r="J60" s="67">
        <f>I60*G60</f>
        <v>6024</v>
      </c>
      <c r="K60" s="15">
        <f t="shared" si="26"/>
        <v>5996.166666666667</v>
      </c>
      <c r="L60" s="64"/>
      <c r="M60" s="64">
        <f t="shared" si="17"/>
        <v>1.0011079260890934</v>
      </c>
      <c r="O60" s="66">
        <f t="shared" si="27"/>
        <v>6017.3332395171701</v>
      </c>
      <c r="P60" s="67">
        <f>O60*M60</f>
        <v>6024</v>
      </c>
      <c r="Q60" s="64"/>
      <c r="S60" s="62" t="s">
        <v>14</v>
      </c>
      <c r="U60" s="22">
        <v>1.0240963855421688</v>
      </c>
      <c r="V60" s="22">
        <v>1.0375834756949835</v>
      </c>
      <c r="W60" s="22">
        <v>1.0146415794355375</v>
      </c>
      <c r="X60" s="22">
        <v>1.0019544337726156</v>
      </c>
      <c r="Y60" s="22">
        <v>1.0195689686113263</v>
      </c>
      <c r="Z60">
        <f>GETPIVOTDATA("Season Ratio",$S$54,"Month/Year",5)*Y71</f>
        <v>0.99888336014804691</v>
      </c>
    </row>
    <row r="61" spans="1:26">
      <c r="A61" s="4"/>
      <c r="B61" s="7"/>
      <c r="C61" s="10"/>
      <c r="D61" s="15"/>
      <c r="E61" s="15"/>
      <c r="K61" s="15"/>
      <c r="L61" s="15"/>
      <c r="Q61" s="15"/>
      <c r="S61" s="62" t="s">
        <v>15</v>
      </c>
      <c r="U61" s="22">
        <v>0.99831465408275055</v>
      </c>
      <c r="V61" s="22">
        <v>1.0379862700228832</v>
      </c>
      <c r="W61" s="22">
        <v>1.1212160922552745</v>
      </c>
      <c r="X61" s="22">
        <v>0.99855161272352511</v>
      </c>
      <c r="Y61" s="22">
        <v>1.0390171572711082</v>
      </c>
      <c r="Z61">
        <f>GETPIVOTDATA("Season Ratio",$S$54,"Month/Year",6)*Y71</f>
        <v>1.0179369726405254</v>
      </c>
    </row>
    <row r="62" spans="1:26">
      <c r="A62" s="4"/>
      <c r="B62" s="7"/>
      <c r="C62" s="10"/>
      <c r="D62" s="15"/>
      <c r="E62" s="15"/>
      <c r="K62" s="15"/>
      <c r="L62" s="15"/>
      <c r="Q62" s="15"/>
      <c r="S62" s="62" t="s">
        <v>16</v>
      </c>
      <c r="U62" s="22">
        <v>1.004873949579832</v>
      </c>
      <c r="V62" s="22">
        <v>1.0349718574108817</v>
      </c>
      <c r="W62" s="22">
        <v>1.1136877828054299</v>
      </c>
      <c r="X62" s="22">
        <v>1.0008919114777859</v>
      </c>
      <c r="Y62" s="22">
        <v>1.0386063753184824</v>
      </c>
      <c r="Z62">
        <f>GETPIVOTDATA("Season Ratio",$S$54,"Month/Year",7)*Y71</f>
        <v>1.0175345248711647</v>
      </c>
    </row>
    <row r="63" spans="1:26">
      <c r="A63" s="4"/>
      <c r="B63" s="7"/>
      <c r="C63" s="10"/>
      <c r="D63" s="15"/>
      <c r="E63" s="15"/>
      <c r="K63" s="15"/>
      <c r="L63" s="15"/>
      <c r="Q63" s="15"/>
      <c r="S63" s="62" t="s">
        <v>17</v>
      </c>
      <c r="U63" s="22">
        <v>1.0124056999161777</v>
      </c>
      <c r="V63" s="22">
        <v>1.0251711194524178</v>
      </c>
      <c r="W63" s="22">
        <v>1.0568916008614502</v>
      </c>
      <c r="X63" s="22">
        <v>1.0081377849618194</v>
      </c>
      <c r="Y63" s="22">
        <v>1.0256515512979663</v>
      </c>
      <c r="Z63">
        <f>GETPIVOTDATA("Season Ratio",$S$54,"Month/Year",8)*Y71</f>
        <v>1.004842535858038</v>
      </c>
    </row>
    <row r="64" spans="1:26">
      <c r="S64" s="62" t="s">
        <v>18</v>
      </c>
      <c r="U64" s="22">
        <v>1.0158013544018059</v>
      </c>
      <c r="V64" s="22">
        <v>1.0237369337979094</v>
      </c>
      <c r="W64" s="22">
        <v>1.0092000000000001</v>
      </c>
      <c r="X64" s="22">
        <v>1.0046139307354496</v>
      </c>
      <c r="Y64" s="22">
        <v>1.0133380547337911</v>
      </c>
      <c r="Z64">
        <f>GETPIVOTDATA("Season Ratio",$S$54,"Month/Year",9)*Y71</f>
        <v>0.99277886267666682</v>
      </c>
    </row>
    <row r="65" spans="19:28">
      <c r="S65" s="62" t="s">
        <v>19</v>
      </c>
      <c r="U65" s="22">
        <v>1.0184878129663406</v>
      </c>
      <c r="V65" s="22">
        <v>1.0256079190875833</v>
      </c>
      <c r="W65" s="22">
        <v>0.99688966804275303</v>
      </c>
      <c r="X65" s="22"/>
      <c r="Y65" s="22">
        <v>1.0136618000322255</v>
      </c>
      <c r="Z65">
        <f>GETPIVOTDATA("Season Ratio",$S$54,"Month/Year",10)*Y71</f>
        <v>0.99309603964211801</v>
      </c>
    </row>
    <row r="66" spans="19:28">
      <c r="S66" s="62" t="s">
        <v>20</v>
      </c>
      <c r="U66" s="22">
        <v>1.011831402514173</v>
      </c>
      <c r="V66" s="22">
        <v>1.0165131112686039</v>
      </c>
      <c r="W66" s="22">
        <v>1.0020394289598913</v>
      </c>
      <c r="X66" s="22"/>
      <c r="Y66" s="22">
        <v>1.0101279809142227</v>
      </c>
      <c r="Z66">
        <f>GETPIVOTDATA("Season Ratio",$S$54,"Month/Year",11)*Y71</f>
        <v>0.98963391670250578</v>
      </c>
    </row>
    <row r="67" spans="19:28">
      <c r="S67" s="62" t="s">
        <v>21</v>
      </c>
      <c r="U67" s="22">
        <v>1.0104489795918368</v>
      </c>
      <c r="V67" s="22">
        <v>1.012352610892757</v>
      </c>
      <c r="W67" s="22">
        <v>1.0023217622741944</v>
      </c>
      <c r="X67" s="22"/>
      <c r="Y67" s="22">
        <v>1.008374450919596</v>
      </c>
      <c r="Z67">
        <f>GETPIVOTDATA("Season Ratio",$S$54,"Month/Year",12)*Y71</f>
        <v>0.98791596334468756</v>
      </c>
    </row>
    <row r="68" spans="19:28">
      <c r="S68" s="62" t="s">
        <v>54</v>
      </c>
      <c r="U68" s="22">
        <v>1.0159081800021796</v>
      </c>
      <c r="V68" s="22">
        <v>1.0257292880597872</v>
      </c>
      <c r="W68" s="22">
        <v>1.0355549965005</v>
      </c>
      <c r="X68" s="22">
        <v>1.0046579444516202</v>
      </c>
      <c r="Y68" s="22">
        <v>1.0216437021548186</v>
      </c>
    </row>
    <row r="70" spans="19:28">
      <c r="Y70" s="22">
        <f>SUM(Y56:Y67)</f>
        <v>12.248504791913405</v>
      </c>
      <c r="Z70" s="22">
        <f>SUM(Z56:Z67)</f>
        <v>11.999999999999996</v>
      </c>
    </row>
    <row r="71" spans="19:28">
      <c r="Y71">
        <f>12/Y70</f>
        <v>0.97971141815795593</v>
      </c>
    </row>
    <row r="73" spans="19:28">
      <c r="S73" t="s">
        <v>55</v>
      </c>
    </row>
    <row r="74" spans="19:28">
      <c r="S74" s="61" t="s">
        <v>56</v>
      </c>
      <c r="T74" s="61" t="s">
        <v>47</v>
      </c>
    </row>
    <row r="75" spans="19:28">
      <c r="S75" s="61" t="s">
        <v>48</v>
      </c>
      <c r="T75" t="s">
        <v>49</v>
      </c>
      <c r="U75" t="s">
        <v>50</v>
      </c>
      <c r="V75" t="s">
        <v>51</v>
      </c>
      <c r="W75" t="s">
        <v>52</v>
      </c>
      <c r="X75" t="s">
        <v>53</v>
      </c>
      <c r="Y75" t="s">
        <v>57</v>
      </c>
      <c r="Z75" t="s">
        <v>54</v>
      </c>
    </row>
    <row r="76" spans="19:28">
      <c r="S76" s="62" t="s">
        <v>10</v>
      </c>
      <c r="U76" s="22"/>
      <c r="V76" s="22">
        <v>1.0244382483188454</v>
      </c>
      <c r="W76" s="22">
        <v>1.025445292620865</v>
      </c>
      <c r="X76" s="22">
        <v>1.0041578277471361</v>
      </c>
      <c r="Y76" s="22"/>
      <c r="Z76" s="22">
        <v>1.0180137895622821</v>
      </c>
      <c r="AA76" s="22">
        <v>1.0180137895622821</v>
      </c>
      <c r="AB76">
        <f>AA76*$AA$91</f>
        <v>0.98166176672645855</v>
      </c>
    </row>
    <row r="77" spans="19:28">
      <c r="S77" s="62" t="s">
        <v>11</v>
      </c>
      <c r="U77" s="22"/>
      <c r="V77" s="22">
        <v>1.0311813074981682</v>
      </c>
      <c r="W77" s="22">
        <v>1.0380935693008586</v>
      </c>
      <c r="X77" s="22">
        <v>1.0074367312314434</v>
      </c>
      <c r="Y77" s="22"/>
      <c r="Z77" s="22">
        <v>1.0255705360101566</v>
      </c>
      <c r="AA77" s="22">
        <v>1.0255705360101566</v>
      </c>
      <c r="AB77">
        <f t="shared" ref="AB77:AB87" si="29">AA77*$AA$91</f>
        <v>0.98894867103441886</v>
      </c>
    </row>
    <row r="78" spans="19:28">
      <c r="S78" s="62" t="s">
        <v>12</v>
      </c>
      <c r="U78" s="22"/>
      <c r="V78" s="22">
        <v>1.0470075115095712</v>
      </c>
      <c r="W78" s="22">
        <v>1.0518575045960665</v>
      </c>
      <c r="X78" s="22">
        <v>1.0143446094764783</v>
      </c>
      <c r="Y78" s="22"/>
      <c r="Z78" s="22">
        <v>1.0377365418607054</v>
      </c>
      <c r="AA78" s="22">
        <v>1.0377365418607054</v>
      </c>
      <c r="AB78">
        <f t="shared" si="29"/>
        <v>1.0006802437495481</v>
      </c>
    </row>
    <row r="79" spans="19:28">
      <c r="S79" s="62" t="s">
        <v>13</v>
      </c>
      <c r="U79" s="22"/>
      <c r="V79" s="22">
        <v>1.0390284824032276</v>
      </c>
      <c r="W79" s="22">
        <v>1.0492084161469399</v>
      </c>
      <c r="X79" s="22">
        <v>1.0108126372698092</v>
      </c>
      <c r="Y79" s="22"/>
      <c r="Z79" s="22">
        <v>1.0330165119399923</v>
      </c>
      <c r="AA79" s="22">
        <v>1.0330165119399923</v>
      </c>
      <c r="AB79">
        <f t="shared" si="29"/>
        <v>0.99612876030357123</v>
      </c>
    </row>
    <row r="80" spans="19:28">
      <c r="S80" s="62" t="s">
        <v>14</v>
      </c>
      <c r="U80" s="22">
        <v>1.041675720307679</v>
      </c>
      <c r="V80" s="22">
        <v>1.0574130494994658</v>
      </c>
      <c r="W80" s="22">
        <v>1.0376367763135608</v>
      </c>
      <c r="X80" s="22">
        <v>1.0074394317958508</v>
      </c>
      <c r="Y80" s="22"/>
      <c r="Z80" s="22">
        <v>1.0360412444791391</v>
      </c>
      <c r="AA80" s="22">
        <v>1.0360412444791391</v>
      </c>
      <c r="AB80">
        <f t="shared" si="29"/>
        <v>0.99904548335653753</v>
      </c>
    </row>
    <row r="81" spans="19:28">
      <c r="S81" s="62" t="s">
        <v>15</v>
      </c>
      <c r="U81" s="22">
        <v>1.0193159819315982</v>
      </c>
      <c r="V81" s="22">
        <v>1.0622121614237765</v>
      </c>
      <c r="W81" s="22">
        <v>1.1468015950139061</v>
      </c>
      <c r="X81" s="22">
        <v>1.0040329356410687</v>
      </c>
      <c r="Y81" s="22"/>
      <c r="Z81" s="22">
        <v>1.0580906685025875</v>
      </c>
      <c r="AA81" s="22">
        <v>1.0580906685025875</v>
      </c>
      <c r="AB81">
        <f t="shared" si="29"/>
        <v>1.0203075495132896</v>
      </c>
    </row>
    <row r="82" spans="19:28">
      <c r="S82" s="62" t="s">
        <v>16</v>
      </c>
      <c r="U82" s="22">
        <v>1.0210040983606556</v>
      </c>
      <c r="V82" s="22">
        <v>1.0595421020282729</v>
      </c>
      <c r="W82" s="22">
        <v>1.1529978203585021</v>
      </c>
      <c r="X82" s="22">
        <v>1.0036052653642995</v>
      </c>
      <c r="Y82" s="22"/>
      <c r="Z82" s="22">
        <v>1.0592873215279326</v>
      </c>
      <c r="AA82" s="22">
        <v>1.0592873215279326</v>
      </c>
      <c r="AB82">
        <f t="shared" si="29"/>
        <v>1.0214614715279648</v>
      </c>
    </row>
    <row r="83" spans="19:28">
      <c r="S83" s="62" t="s">
        <v>17</v>
      </c>
      <c r="U83" s="22">
        <v>1.0221300723564506</v>
      </c>
      <c r="V83" s="22">
        <v>1.052635556395239</v>
      </c>
      <c r="W83" s="22">
        <v>1.1107827727129833</v>
      </c>
      <c r="X83" s="22">
        <v>1.0090658037881113</v>
      </c>
      <c r="Y83" s="22"/>
      <c r="Z83" s="22">
        <v>1.048653551313196</v>
      </c>
      <c r="AA83" s="22">
        <v>1.048653551313196</v>
      </c>
      <c r="AB83">
        <f t="shared" si="29"/>
        <v>1.0112074201948784</v>
      </c>
    </row>
    <row r="84" spans="19:28">
      <c r="S84" s="62" t="s">
        <v>18</v>
      </c>
      <c r="U84" s="22">
        <v>1.0198086285042807</v>
      </c>
      <c r="V84" s="22">
        <v>1.049096183887525</v>
      </c>
      <c r="W84" s="22">
        <v>1.0781393077345707</v>
      </c>
      <c r="X84" s="22">
        <v>1.0056761268781302</v>
      </c>
      <c r="Y84" s="22"/>
      <c r="Z84" s="22">
        <v>1.0381800617511268</v>
      </c>
      <c r="AA84" s="22">
        <v>1.0381800617511268</v>
      </c>
      <c r="AB84">
        <f t="shared" si="29"/>
        <v>1.0011079260890934</v>
      </c>
    </row>
    <row r="85" spans="19:28">
      <c r="S85" s="62" t="s">
        <v>19</v>
      </c>
      <c r="U85" s="22">
        <v>1.0253735080544195</v>
      </c>
      <c r="V85" s="22">
        <v>1.0487786987456906</v>
      </c>
      <c r="W85" s="22">
        <v>1.0494418812323263</v>
      </c>
      <c r="X85" s="22"/>
      <c r="Y85" s="22"/>
      <c r="Z85" s="22">
        <v>1.0411980293441454</v>
      </c>
      <c r="AA85" s="22">
        <v>1.0411980293441454</v>
      </c>
      <c r="AB85">
        <f t="shared" si="29"/>
        <v>1.0040181257638539</v>
      </c>
    </row>
    <row r="86" spans="19:28">
      <c r="S86" s="62" t="s">
        <v>20</v>
      </c>
      <c r="U86" s="22">
        <v>1.0219492967096802</v>
      </c>
      <c r="V86" s="22">
        <v>1.0357078383940499</v>
      </c>
      <c r="W86" s="22">
        <v>1.0293296089385475</v>
      </c>
      <c r="X86" s="22"/>
      <c r="Y86" s="22"/>
      <c r="Z86" s="22">
        <v>1.0289955813474256</v>
      </c>
      <c r="AA86" s="22">
        <v>1.0289955813474256</v>
      </c>
      <c r="AB86">
        <f t="shared" si="29"/>
        <v>0.99225141220686164</v>
      </c>
    </row>
    <row r="87" spans="19:28">
      <c r="S87" s="62" t="s">
        <v>21</v>
      </c>
      <c r="U87" s="22">
        <v>1.0225104291437777</v>
      </c>
      <c r="V87" s="22">
        <v>1.0294033685412503</v>
      </c>
      <c r="W87" s="22">
        <v>1.0068545749310276</v>
      </c>
      <c r="X87" s="22"/>
      <c r="Y87" s="22"/>
      <c r="Z87" s="22">
        <v>1.0195894575386852</v>
      </c>
      <c r="AA87" s="22">
        <v>1.0195894575386852</v>
      </c>
      <c r="AB87">
        <f t="shared" si="29"/>
        <v>0.98318116953352208</v>
      </c>
    </row>
    <row r="88" spans="19:28">
      <c r="S88" s="62" t="s">
        <v>54</v>
      </c>
      <c r="U88" s="22">
        <v>1.0242209669210676</v>
      </c>
      <c r="V88" s="22">
        <v>1.044703709053757</v>
      </c>
      <c r="W88" s="22">
        <v>1.0647157599916797</v>
      </c>
      <c r="X88" s="22">
        <v>1.0073968187991476</v>
      </c>
      <c r="Y88" s="22"/>
      <c r="Z88" s="22">
        <v>1.0383749447099051</v>
      </c>
    </row>
    <row r="90" spans="19:28">
      <c r="Z90" s="22"/>
      <c r="AA90" s="22">
        <f>SUM(AA76:AA87)</f>
        <v>12.444373295177376</v>
      </c>
      <c r="AB90" s="22">
        <f>SUM(AB76:AB87)</f>
        <v>11.999999999999998</v>
      </c>
    </row>
    <row r="91" spans="19:28">
      <c r="AA91">
        <f>12/AA90</f>
        <v>0.96429122747791673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BDF3-FAAE-4F00-9738-5A69C0EBECA1}">
  <dimension ref="A1:AD87"/>
  <sheetViews>
    <sheetView zoomScale="70" zoomScaleNormal="70" workbookViewId="0">
      <pane ySplit="1" topLeftCell="A2" activePane="bottomLeft" state="frozen"/>
      <selection pane="bottomLeft" activeCell="D5" sqref="D5"/>
    </sheetView>
  </sheetViews>
  <sheetFormatPr defaultRowHeight="14.45"/>
  <cols>
    <col min="2" max="2" width="10.85546875" customWidth="1"/>
    <col min="3" max="3" width="10.5703125" bestFit="1" customWidth="1"/>
    <col min="6" max="6" width="9.85546875" bestFit="1" customWidth="1"/>
    <col min="7" max="7" width="10.5703125" bestFit="1" customWidth="1"/>
    <col min="8" max="8" width="10.140625" bestFit="1" customWidth="1"/>
    <col min="9" max="9" width="14.28515625" bestFit="1" customWidth="1"/>
    <col min="10" max="10" width="11.85546875" style="33" customWidth="1"/>
    <col min="13" max="13" width="24.85546875" bestFit="1" customWidth="1"/>
    <col min="14" max="14" width="21" bestFit="1" customWidth="1"/>
    <col min="15" max="19" width="16.85546875" bestFit="1" customWidth="1"/>
    <col min="20" max="20" width="12" bestFit="1" customWidth="1"/>
    <col min="21" max="23" width="7.7109375" bestFit="1" customWidth="1"/>
    <col min="24" max="24" width="12.42578125" bestFit="1" customWidth="1"/>
    <col min="25" max="27" width="7.7109375" bestFit="1" customWidth="1"/>
    <col min="28" max="28" width="12.42578125" bestFit="1" customWidth="1"/>
    <col min="29" max="29" width="7.7109375" bestFit="1" customWidth="1"/>
    <col min="30" max="30" width="13.85546875" bestFit="1" customWidth="1"/>
    <col min="31" max="31" width="7.7109375" bestFit="1" customWidth="1"/>
    <col min="32" max="32" width="12.42578125" bestFit="1" customWidth="1"/>
    <col min="33" max="33" width="12.85546875" bestFit="1" customWidth="1"/>
    <col min="34" max="36" width="8.140625" bestFit="1" customWidth="1"/>
    <col min="37" max="37" width="12" bestFit="1" customWidth="1"/>
    <col min="38" max="40" width="7.7109375" bestFit="1" customWidth="1"/>
    <col min="41" max="41" width="12.42578125" bestFit="1" customWidth="1"/>
    <col min="42" max="44" width="7.7109375" bestFit="1" customWidth="1"/>
    <col min="45" max="45" width="12.42578125" bestFit="1" customWidth="1"/>
    <col min="46" max="48" width="7.7109375" bestFit="1" customWidth="1"/>
    <col min="49" max="49" width="12.42578125" bestFit="1" customWidth="1"/>
    <col min="50" max="50" width="12.85546875" bestFit="1" customWidth="1"/>
    <col min="51" max="53" width="7.7109375" bestFit="1" customWidth="1"/>
    <col min="54" max="54" width="12" bestFit="1" customWidth="1"/>
    <col min="55" max="57" width="7.7109375" bestFit="1" customWidth="1"/>
    <col min="58" max="58" width="12.42578125" bestFit="1" customWidth="1"/>
    <col min="59" max="61" width="7.7109375" bestFit="1" customWidth="1"/>
    <col min="62" max="62" width="12.42578125" bestFit="1" customWidth="1"/>
    <col min="63" max="65" width="7.7109375" bestFit="1" customWidth="1"/>
    <col min="66" max="67" width="12.42578125" bestFit="1" customWidth="1"/>
    <col min="68" max="70" width="8.140625" bestFit="1" customWidth="1"/>
    <col min="71" max="71" width="12" bestFit="1" customWidth="1"/>
    <col min="72" max="74" width="7.7109375" bestFit="1" customWidth="1"/>
    <col min="75" max="75" width="12.42578125" bestFit="1" customWidth="1"/>
    <col min="76" max="78" width="7.7109375" bestFit="1" customWidth="1"/>
    <col min="79" max="79" width="12.42578125" bestFit="1" customWidth="1"/>
    <col min="80" max="80" width="12.85546875" bestFit="1" customWidth="1"/>
    <col min="81" max="81" width="14.28515625" bestFit="1" customWidth="1"/>
  </cols>
  <sheetData>
    <row r="1" spans="1:30" ht="43.5">
      <c r="A1" s="3" t="s">
        <v>1</v>
      </c>
      <c r="B1" s="6" t="s">
        <v>2</v>
      </c>
      <c r="C1" s="9" t="s">
        <v>3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26" t="s">
        <v>63</v>
      </c>
      <c r="J1" s="32"/>
    </row>
    <row r="2" spans="1:30" ht="15.6">
      <c r="A2" s="4">
        <v>1</v>
      </c>
      <c r="B2" s="7">
        <v>32477</v>
      </c>
      <c r="C2" s="10">
        <v>3761</v>
      </c>
      <c r="D2" s="28"/>
      <c r="F2" s="22">
        <f>AD13</f>
        <v>0.99711286335825899</v>
      </c>
      <c r="G2" s="15">
        <f>C2/F2</f>
        <v>3771.8899617170887</v>
      </c>
      <c r="W2">
        <v>1988</v>
      </c>
      <c r="X2">
        <v>1989</v>
      </c>
      <c r="Y2">
        <v>1990</v>
      </c>
      <c r="Z2">
        <v>1991</v>
      </c>
      <c r="AA2">
        <v>1992</v>
      </c>
      <c r="AC2" t="s">
        <v>64</v>
      </c>
      <c r="AD2" t="s">
        <v>65</v>
      </c>
    </row>
    <row r="3" spans="1:30" ht="15.6">
      <c r="A3" s="4">
        <f>1+A2</f>
        <v>2</v>
      </c>
      <c r="B3" s="7">
        <v>32508</v>
      </c>
      <c r="C3" s="10">
        <v>3770</v>
      </c>
      <c r="D3" s="28"/>
      <c r="F3" s="22">
        <f>AD14</f>
        <v>0.99639305852452109</v>
      </c>
      <c r="G3" s="15">
        <f t="shared" ref="G3:G45" si="0">C3/F3</f>
        <v>3783.647394716591</v>
      </c>
      <c r="V3">
        <v>1</v>
      </c>
      <c r="W3" s="22"/>
      <c r="X3" s="22">
        <f>E4</f>
        <v>0.99894207881512831</v>
      </c>
      <c r="Y3" s="22">
        <f>E16</f>
        <v>1.0030915003814187</v>
      </c>
      <c r="Z3" s="22">
        <f t="shared" ref="Z3:Z14" si="1">E28</f>
        <v>1.0003447562573262</v>
      </c>
      <c r="AA3" s="22">
        <f>E40</f>
        <v>1.0009586105785497</v>
      </c>
      <c r="AB3" s="22"/>
      <c r="AC3" s="22">
        <f>AVERAGE(W3:AA3)</f>
        <v>1.0008342365081058</v>
      </c>
      <c r="AD3" s="22">
        <f>AC3*AC18</f>
        <v>0.99582930815368476</v>
      </c>
    </row>
    <row r="4" spans="1:30" ht="15.6">
      <c r="A4" s="4">
        <f t="shared" ref="A4:A60" si="2">1+A3</f>
        <v>3</v>
      </c>
      <c r="B4" s="7">
        <v>32539</v>
      </c>
      <c r="C4" s="10">
        <v>3777</v>
      </c>
      <c r="D4" s="28">
        <f>(SUM(C3:C4)+((C2+C5)/2))/3</f>
        <v>3781</v>
      </c>
      <c r="E4" s="23">
        <f>C4/D4</f>
        <v>0.99894207881512831</v>
      </c>
      <c r="F4" s="22">
        <f>AD3</f>
        <v>0.99582930815368476</v>
      </c>
      <c r="G4" s="15">
        <f>C4/F4</f>
        <v>3792.8186779346142</v>
      </c>
      <c r="V4">
        <v>2</v>
      </c>
      <c r="W4" s="22"/>
      <c r="X4" s="22">
        <f t="shared" ref="X4:X14" si="3">E5</f>
        <v>1.0036678019386953</v>
      </c>
      <c r="Y4" s="22">
        <f t="shared" ref="Y4:Y14" si="4">E17</f>
        <v>1.004480748641897</v>
      </c>
      <c r="Z4" s="22">
        <f t="shared" si="1"/>
        <v>1.0072769314472254</v>
      </c>
      <c r="AA4" s="22">
        <f>E41</f>
        <v>1.0008708599039244</v>
      </c>
      <c r="AB4" s="22"/>
      <c r="AC4" s="22">
        <f t="shared" ref="AC4:AC14" si="5">AVERAGE(W4:AA4)</f>
        <v>1.0040740854829355</v>
      </c>
      <c r="AD4" s="22">
        <f>AC4*AC$18</f>
        <v>0.99905295543256256</v>
      </c>
    </row>
    <row r="5" spans="1:30" ht="15.6">
      <c r="A5" s="4">
        <f t="shared" si="2"/>
        <v>4</v>
      </c>
      <c r="B5" s="7">
        <v>32567</v>
      </c>
      <c r="C5" s="10">
        <v>3831</v>
      </c>
      <c r="D5" s="28">
        <f t="shared" ref="D5:D43" si="6">(SUM(C4:C5)+((C3+C6)/2))/3</f>
        <v>3817</v>
      </c>
      <c r="E5" s="23">
        <f t="shared" ref="E5:E7" si="7">C5/D5</f>
        <v>1.0036678019386953</v>
      </c>
      <c r="F5" s="22">
        <f t="shared" ref="F5:F14" si="8">AD4</f>
        <v>0.99905295543256256</v>
      </c>
      <c r="G5" s="15">
        <f t="shared" si="0"/>
        <v>3834.6315669936453</v>
      </c>
      <c r="V5">
        <v>3</v>
      </c>
      <c r="W5" s="22"/>
      <c r="X5" s="22">
        <f t="shared" si="3"/>
        <v>1.0115813492917725</v>
      </c>
      <c r="Y5" s="22">
        <f t="shared" si="4"/>
        <v>1.0133281219464529</v>
      </c>
      <c r="Z5" s="22">
        <f t="shared" si="1"/>
        <v>1.0134688011764312</v>
      </c>
      <c r="AA5" s="22">
        <f>E42</f>
        <v>1.0048111888111888</v>
      </c>
      <c r="AB5" s="22"/>
      <c r="AC5" s="22">
        <f t="shared" si="5"/>
        <v>1.0107973653064615</v>
      </c>
      <c r="AD5" s="22">
        <f t="shared" ref="AD5:AD14" si="9">AC5*AC$18</f>
        <v>1.0057426137705356</v>
      </c>
    </row>
    <row r="6" spans="1:30" ht="15.6">
      <c r="A6" s="4">
        <f t="shared" si="2"/>
        <v>5</v>
      </c>
      <c r="B6" s="7">
        <v>32598</v>
      </c>
      <c r="C6" s="10">
        <v>3916</v>
      </c>
      <c r="D6" s="28">
        <f t="shared" si="6"/>
        <v>3871.1666666666665</v>
      </c>
      <c r="E6" s="23">
        <f t="shared" si="7"/>
        <v>1.0115813492917725</v>
      </c>
      <c r="F6" s="22">
        <f t="shared" si="8"/>
        <v>1.0057426137705356</v>
      </c>
      <c r="G6" s="15">
        <f t="shared" si="0"/>
        <v>3893.640327438141</v>
      </c>
      <c r="V6">
        <v>4</v>
      </c>
      <c r="W6" s="22"/>
      <c r="X6" s="22">
        <f t="shared" si="3"/>
        <v>1.0070428510818836</v>
      </c>
      <c r="Y6" s="22">
        <f t="shared" si="4"/>
        <v>1.0008465445590273</v>
      </c>
      <c r="Z6" s="22">
        <f t="shared" si="1"/>
        <v>1.0086309131637898</v>
      </c>
      <c r="AA6" s="22">
        <f t="shared" ref="AA6:AA7" si="10">E43</f>
        <v>1.0010875930728687</v>
      </c>
      <c r="AB6" s="22"/>
      <c r="AC6" s="22">
        <f t="shared" si="5"/>
        <v>1.0044019754693925</v>
      </c>
      <c r="AD6" s="22">
        <f t="shared" si="9"/>
        <v>0.99937920572102512</v>
      </c>
    </row>
    <row r="7" spans="1:30" ht="15.6">
      <c r="A7" s="4">
        <f t="shared" si="2"/>
        <v>6</v>
      </c>
      <c r="B7" s="7">
        <v>32628</v>
      </c>
      <c r="C7" s="10">
        <v>3956</v>
      </c>
      <c r="D7" s="28">
        <f t="shared" si="6"/>
        <v>3928.3333333333335</v>
      </c>
      <c r="E7" s="23">
        <f t="shared" si="7"/>
        <v>1.0070428510818836</v>
      </c>
      <c r="F7" s="22">
        <f t="shared" si="8"/>
        <v>0.99937920572102512</v>
      </c>
      <c r="G7" s="15">
        <f t="shared" si="0"/>
        <v>3958.4573876998497</v>
      </c>
      <c r="V7">
        <v>5</v>
      </c>
      <c r="W7" s="22"/>
      <c r="X7" s="22">
        <f t="shared" si="3"/>
        <v>1.0085412546808601</v>
      </c>
      <c r="Y7" s="22">
        <f t="shared" si="4"/>
        <v>1.0109324758842444</v>
      </c>
      <c r="Z7" s="22">
        <f t="shared" si="1"/>
        <v>0.9825495605312119</v>
      </c>
      <c r="AA7" s="22">
        <f t="shared" si="10"/>
        <v>0.99988854834215657</v>
      </c>
      <c r="AB7" s="22"/>
      <c r="AC7" s="22">
        <f t="shared" si="5"/>
        <v>1.0004779598596183</v>
      </c>
      <c r="AD7" s="22">
        <f t="shared" si="9"/>
        <v>0.99547481315797748</v>
      </c>
    </row>
    <row r="8" spans="1:30" ht="15.6">
      <c r="A8" s="4">
        <f t="shared" si="2"/>
        <v>7</v>
      </c>
      <c r="B8" s="7">
        <v>32659</v>
      </c>
      <c r="C8" s="10">
        <v>3995</v>
      </c>
      <c r="D8" s="28">
        <f t="shared" si="6"/>
        <v>3961.1666666666665</v>
      </c>
      <c r="E8" s="23">
        <f>C8/D8</f>
        <v>1.0085412546808601</v>
      </c>
      <c r="F8" s="22">
        <f t="shared" si="8"/>
        <v>0.99547481315797748</v>
      </c>
      <c r="G8" s="15">
        <f>C8/F8</f>
        <v>4013.1603001853259</v>
      </c>
      <c r="V8">
        <v>6</v>
      </c>
      <c r="W8" s="22"/>
      <c r="X8" s="22">
        <f t="shared" si="3"/>
        <v>0.99429290809903492</v>
      </c>
      <c r="Y8" s="22">
        <f t="shared" si="4"/>
        <v>1.0112960760998813</v>
      </c>
      <c r="Z8" s="22">
        <f t="shared" si="1"/>
        <v>1.0489150422949614</v>
      </c>
      <c r="AA8" s="22">
        <f>E45</f>
        <v>0.99916387959866215</v>
      </c>
      <c r="AB8" s="22"/>
      <c r="AC8" s="22">
        <f t="shared" si="5"/>
        <v>1.0134169765231349</v>
      </c>
      <c r="AD8" s="22">
        <f t="shared" si="9"/>
        <v>1.0083491249492831</v>
      </c>
    </row>
    <row r="9" spans="1:30" ht="15.6">
      <c r="A9" s="4">
        <f t="shared" si="2"/>
        <v>8</v>
      </c>
      <c r="B9" s="7">
        <v>32689</v>
      </c>
      <c r="C9" s="10">
        <v>3949</v>
      </c>
      <c r="D9" s="28">
        <f t="shared" si="6"/>
        <v>3971.6666666666665</v>
      </c>
      <c r="E9" s="23">
        <f t="shared" ref="E9:E41" si="11">C9/D9</f>
        <v>0.99429290809903492</v>
      </c>
      <c r="F9" s="22">
        <f t="shared" si="8"/>
        <v>1.0083491249492831</v>
      </c>
      <c r="G9" s="15">
        <f t="shared" si="0"/>
        <v>3916.3023027352979</v>
      </c>
      <c r="V9">
        <v>7</v>
      </c>
      <c r="W9" s="22"/>
      <c r="X9" s="22">
        <f t="shared" si="3"/>
        <v>1.0010464191536561</v>
      </c>
      <c r="Y9" s="22">
        <f t="shared" si="4"/>
        <v>1.0080035083872383</v>
      </c>
      <c r="Z9" s="22">
        <f t="shared" si="1"/>
        <v>1.0358311900865091</v>
      </c>
      <c r="AA9" s="22">
        <f t="shared" ref="AA9:AA10" si="12">E46</f>
        <v>0.99944336209295859</v>
      </c>
      <c r="AB9" s="22"/>
      <c r="AC9" s="22">
        <f t="shared" si="5"/>
        <v>1.0110811199300906</v>
      </c>
      <c r="AD9" s="22">
        <f t="shared" si="9"/>
        <v>1.0060249494063749</v>
      </c>
    </row>
    <row r="10" spans="1:30" ht="15.6">
      <c r="A10" s="4">
        <f t="shared" si="2"/>
        <v>9</v>
      </c>
      <c r="B10" s="7">
        <v>32720</v>
      </c>
      <c r="C10" s="10">
        <v>3986</v>
      </c>
      <c r="D10" s="28">
        <f t="shared" si="6"/>
        <v>3981.8333333333335</v>
      </c>
      <c r="E10" s="23">
        <f t="shared" si="11"/>
        <v>1.0010464191536561</v>
      </c>
      <c r="F10" s="22">
        <f t="shared" si="8"/>
        <v>1.0060249494063749</v>
      </c>
      <c r="G10" s="15">
        <f t="shared" si="0"/>
        <v>3962.1283769870906</v>
      </c>
      <c r="V10">
        <v>8</v>
      </c>
      <c r="W10" s="22"/>
      <c r="X10" s="22">
        <f t="shared" si="3"/>
        <v>1.0055363609873871</v>
      </c>
      <c r="Y10" s="22">
        <f t="shared" si="4"/>
        <v>1.0050871306418443</v>
      </c>
      <c r="Z10" s="22">
        <f t="shared" si="1"/>
        <v>1.0042918454935623</v>
      </c>
      <c r="AA10" s="22">
        <f t="shared" si="12"/>
        <v>1.004080273128487</v>
      </c>
      <c r="AB10" s="22"/>
      <c r="AC10" s="22">
        <f t="shared" si="5"/>
        <v>1.0047489025628202</v>
      </c>
      <c r="AD10" s="22">
        <f t="shared" si="9"/>
        <v>0.99972439791652123</v>
      </c>
    </row>
    <row r="11" spans="1:30" ht="15.6">
      <c r="A11" s="4">
        <f t="shared" si="2"/>
        <v>10</v>
      </c>
      <c r="B11" s="7">
        <v>32751</v>
      </c>
      <c r="C11" s="10">
        <v>4026</v>
      </c>
      <c r="D11" s="28">
        <f t="shared" si="6"/>
        <v>4003.8333333333335</v>
      </c>
      <c r="E11" s="23">
        <f t="shared" si="11"/>
        <v>1.0055363609873871</v>
      </c>
      <c r="F11" s="22">
        <f t="shared" si="8"/>
        <v>0.99972439791652123</v>
      </c>
      <c r="G11" s="15">
        <f t="shared" si="0"/>
        <v>4027.109879873291</v>
      </c>
      <c r="V11">
        <v>9</v>
      </c>
      <c r="W11" s="22"/>
      <c r="X11" s="22">
        <f t="shared" si="3"/>
        <v>1.0027648248256509</v>
      </c>
      <c r="Y11" s="22">
        <f t="shared" si="4"/>
        <v>1.0055256497094578</v>
      </c>
      <c r="Z11" s="22">
        <f t="shared" si="1"/>
        <v>0.99963209282581</v>
      </c>
      <c r="AA11" s="22"/>
      <c r="AB11" s="22"/>
      <c r="AC11" s="22">
        <f t="shared" si="5"/>
        <v>1.002640855786973</v>
      </c>
      <c r="AD11" s="22">
        <f t="shared" si="9"/>
        <v>0.99762689296937657</v>
      </c>
    </row>
    <row r="12" spans="1:30" ht="15.6">
      <c r="A12" s="4">
        <f t="shared" si="2"/>
        <v>11</v>
      </c>
      <c r="B12" s="7">
        <v>32781</v>
      </c>
      <c r="C12" s="10">
        <v>4050</v>
      </c>
      <c r="D12" s="28">
        <f t="shared" si="6"/>
        <v>4038.8333333333335</v>
      </c>
      <c r="E12" s="23">
        <f t="shared" si="11"/>
        <v>1.0027648248256509</v>
      </c>
      <c r="F12" s="22">
        <f t="shared" si="8"/>
        <v>0.99762689296937657</v>
      </c>
      <c r="G12" s="15">
        <f t="shared" si="0"/>
        <v>4059.6339458586749</v>
      </c>
      <c r="V12">
        <v>10</v>
      </c>
      <c r="W12" s="22"/>
      <c r="X12" s="22">
        <f t="shared" si="3"/>
        <v>1.0061013062528152</v>
      </c>
      <c r="Y12" s="22">
        <f t="shared" si="4"/>
        <v>1.0083926934198464</v>
      </c>
      <c r="Z12" s="22">
        <f t="shared" si="1"/>
        <v>0.99844241171306392</v>
      </c>
      <c r="AA12" s="22"/>
      <c r="AB12" s="22"/>
      <c r="AC12" s="22">
        <f t="shared" si="5"/>
        <v>1.0043121371285753</v>
      </c>
      <c r="AD12" s="22">
        <f t="shared" si="9"/>
        <v>0.99928981663987837</v>
      </c>
    </row>
    <row r="13" spans="1:30" ht="15.6">
      <c r="A13" s="4">
        <f t="shared" si="2"/>
        <v>12</v>
      </c>
      <c r="B13" s="7">
        <v>32812</v>
      </c>
      <c r="C13" s="10">
        <v>4095</v>
      </c>
      <c r="D13" s="28">
        <f t="shared" si="6"/>
        <v>4070.1666666666665</v>
      </c>
      <c r="E13" s="23">
        <f t="shared" si="11"/>
        <v>1.0061013062528152</v>
      </c>
      <c r="F13" s="22">
        <f t="shared" si="8"/>
        <v>0.99928981663987837</v>
      </c>
      <c r="G13" s="15">
        <f t="shared" si="0"/>
        <v>4097.91026768338</v>
      </c>
      <c r="V13">
        <v>11</v>
      </c>
      <c r="W13" s="22"/>
      <c r="X13" s="22">
        <f t="shared" si="3"/>
        <v>1.002197265625</v>
      </c>
      <c r="Y13" s="22">
        <f t="shared" si="4"/>
        <v>1.0029017935181623</v>
      </c>
      <c r="Z13" s="22">
        <f t="shared" si="1"/>
        <v>1.0012736690158783</v>
      </c>
      <c r="AA13" s="22"/>
      <c r="AB13" s="22"/>
      <c r="AC13" s="22">
        <f t="shared" si="5"/>
        <v>1.0021242427196801</v>
      </c>
      <c r="AD13" s="22">
        <f t="shared" si="9"/>
        <v>0.99711286335825899</v>
      </c>
    </row>
    <row r="14" spans="1:30" ht="15.6">
      <c r="A14" s="4">
        <f t="shared" si="2"/>
        <v>13</v>
      </c>
      <c r="B14" s="7">
        <v>32842</v>
      </c>
      <c r="C14" s="10">
        <v>4105</v>
      </c>
      <c r="D14" s="28">
        <f t="shared" si="6"/>
        <v>4096</v>
      </c>
      <c r="E14" s="23">
        <f t="shared" si="11"/>
        <v>1.002197265625</v>
      </c>
      <c r="F14" s="22">
        <f t="shared" si="8"/>
        <v>0.99711286335825899</v>
      </c>
      <c r="G14" s="15">
        <f t="shared" si="0"/>
        <v>4116.8860124564344</v>
      </c>
      <c r="V14">
        <v>12</v>
      </c>
      <c r="W14" s="22"/>
      <c r="X14" s="22">
        <f t="shared" si="3"/>
        <v>1.0014158003317017</v>
      </c>
      <c r="Y14" s="22">
        <f t="shared" si="4"/>
        <v>1.0023627519110492</v>
      </c>
      <c r="Z14" s="22">
        <f t="shared" si="1"/>
        <v>1.0004239084357778</v>
      </c>
      <c r="AA14" s="22"/>
      <c r="AB14" s="22"/>
      <c r="AC14" s="22">
        <f t="shared" si="5"/>
        <v>1.0014008202261762</v>
      </c>
      <c r="AD14" s="22">
        <f t="shared" si="9"/>
        <v>0.99639305852452109</v>
      </c>
    </row>
    <row r="15" spans="1:30" ht="15.6">
      <c r="A15" s="4">
        <f t="shared" si="2"/>
        <v>14</v>
      </c>
      <c r="B15" s="7">
        <v>32873</v>
      </c>
      <c r="C15" s="10">
        <v>4126</v>
      </c>
      <c r="D15" s="28">
        <f t="shared" si="6"/>
        <v>4120.166666666667</v>
      </c>
      <c r="E15" s="23">
        <f t="shared" si="11"/>
        <v>1.0014158003317017</v>
      </c>
      <c r="F15" s="22">
        <f>AD14</f>
        <v>0.99639305852452109</v>
      </c>
      <c r="G15" s="15">
        <f t="shared" si="0"/>
        <v>4140.9361142176804</v>
      </c>
      <c r="V15" t="s">
        <v>66</v>
      </c>
      <c r="W15" s="22">
        <f>SUM(W3:W14)</f>
        <v>0</v>
      </c>
      <c r="X15" s="22">
        <f t="shared" ref="X15:AD15" si="13">SUM(X3:X14)</f>
        <v>12.043130221083585</v>
      </c>
      <c r="Y15" s="22">
        <f t="shared" si="13"/>
        <v>12.076248995100521</v>
      </c>
      <c r="Z15" s="22">
        <f t="shared" si="13"/>
        <v>12.101081122441547</v>
      </c>
      <c r="AA15" s="22">
        <f t="shared" si="13"/>
        <v>8.0103043155287956</v>
      </c>
      <c r="AB15" s="44" t="s">
        <v>66</v>
      </c>
      <c r="AC15" s="22">
        <f t="shared" si="13"/>
        <v>12.060310677503963</v>
      </c>
      <c r="AD15" s="22">
        <f t="shared" si="13"/>
        <v>12</v>
      </c>
    </row>
    <row r="16" spans="1:30" ht="15.6">
      <c r="A16" s="4">
        <f t="shared" si="2"/>
        <v>15</v>
      </c>
      <c r="B16" s="7">
        <v>32904</v>
      </c>
      <c r="C16" s="10">
        <v>4164</v>
      </c>
      <c r="D16" s="28">
        <f t="shared" si="6"/>
        <v>4151.166666666667</v>
      </c>
      <c r="E16" s="23">
        <f t="shared" si="11"/>
        <v>1.0030915003814187</v>
      </c>
      <c r="F16" s="22">
        <f>F4</f>
        <v>0.99582930815368476</v>
      </c>
      <c r="G16" s="15">
        <f t="shared" si="0"/>
        <v>4181.4394956102024</v>
      </c>
      <c r="AC16" s="22"/>
      <c r="AD16" s="22"/>
    </row>
    <row r="17" spans="1:29" ht="15.6">
      <c r="A17" s="4">
        <f t="shared" si="2"/>
        <v>16</v>
      </c>
      <c r="B17" s="7">
        <v>32932</v>
      </c>
      <c r="C17" s="10">
        <v>4222</v>
      </c>
      <c r="D17" s="28">
        <f t="shared" si="6"/>
        <v>4203.166666666667</v>
      </c>
      <c r="E17" s="23">
        <f t="shared" si="11"/>
        <v>1.004480748641897</v>
      </c>
      <c r="F17" s="22">
        <f t="shared" ref="F17:F60" si="14">F5</f>
        <v>0.99905295543256256</v>
      </c>
      <c r="G17" s="15">
        <f t="shared" si="0"/>
        <v>4226.0022124372672</v>
      </c>
    </row>
    <row r="18" spans="1:29" ht="15.6">
      <c r="A18" s="4">
        <f t="shared" si="2"/>
        <v>17</v>
      </c>
      <c r="B18" s="7">
        <v>32963</v>
      </c>
      <c r="C18" s="10">
        <v>4321</v>
      </c>
      <c r="D18" s="28">
        <f t="shared" si="6"/>
        <v>4264.166666666667</v>
      </c>
      <c r="E18" s="23">
        <f t="shared" si="11"/>
        <v>1.0133281219464529</v>
      </c>
      <c r="F18" s="22">
        <f t="shared" si="14"/>
        <v>1.0057426137705356</v>
      </c>
      <c r="G18" s="15">
        <f t="shared" si="0"/>
        <v>4296.3278485342717</v>
      </c>
      <c r="AB18" t="s">
        <v>67</v>
      </c>
      <c r="AC18">
        <f>12/AC15</f>
        <v>0.99499924345925339</v>
      </c>
    </row>
    <row r="19" spans="1:29" ht="15.6">
      <c r="A19" s="4">
        <f t="shared" si="2"/>
        <v>18</v>
      </c>
      <c r="B19" s="7">
        <v>32993</v>
      </c>
      <c r="C19" s="10">
        <v>4335</v>
      </c>
      <c r="D19" s="28">
        <f t="shared" si="6"/>
        <v>4331.333333333333</v>
      </c>
      <c r="E19" s="23">
        <f t="shared" si="11"/>
        <v>1.0008465445590273</v>
      </c>
      <c r="F19" s="22">
        <f t="shared" si="14"/>
        <v>0.99937920572102512</v>
      </c>
      <c r="G19" s="15">
        <f t="shared" si="0"/>
        <v>4337.6928148834304</v>
      </c>
    </row>
    <row r="20" spans="1:29" ht="15.6">
      <c r="A20" s="4">
        <f t="shared" si="2"/>
        <v>19</v>
      </c>
      <c r="B20" s="7">
        <v>33024</v>
      </c>
      <c r="C20" s="10">
        <v>4454</v>
      </c>
      <c r="D20" s="28">
        <f t="shared" si="6"/>
        <v>4405.833333333333</v>
      </c>
      <c r="E20" s="23">
        <f t="shared" si="11"/>
        <v>1.0109324758842444</v>
      </c>
      <c r="F20" s="22">
        <f t="shared" si="14"/>
        <v>0.99547481315797748</v>
      </c>
      <c r="G20" s="15">
        <f t="shared" si="0"/>
        <v>4474.2468027598097</v>
      </c>
      <c r="V20" s="5"/>
    </row>
    <row r="21" spans="1:29" ht="15.6">
      <c r="A21" s="4">
        <f t="shared" si="2"/>
        <v>20</v>
      </c>
      <c r="B21" s="7">
        <v>33054</v>
      </c>
      <c r="C21" s="10">
        <v>4536</v>
      </c>
      <c r="D21" s="28">
        <f t="shared" si="6"/>
        <v>4485.333333333333</v>
      </c>
      <c r="E21" s="23">
        <f t="shared" si="11"/>
        <v>1.0112960760998813</v>
      </c>
      <c r="F21" s="22">
        <f t="shared" si="14"/>
        <v>1.0083491249492831</v>
      </c>
      <c r="G21" s="15">
        <f t="shared" si="0"/>
        <v>4498.4419461147918</v>
      </c>
    </row>
    <row r="22" spans="1:29" ht="15.6">
      <c r="A22" s="4">
        <f t="shared" si="2"/>
        <v>21</v>
      </c>
      <c r="B22" s="7">
        <v>33085</v>
      </c>
      <c r="C22" s="10">
        <v>4597</v>
      </c>
      <c r="D22" s="28">
        <f t="shared" si="6"/>
        <v>4560.5</v>
      </c>
      <c r="E22" s="23">
        <f t="shared" si="11"/>
        <v>1.0080035083872383</v>
      </c>
      <c r="F22" s="22">
        <f t="shared" si="14"/>
        <v>1.0060249494063749</v>
      </c>
      <c r="G22" s="15">
        <f t="shared" si="0"/>
        <v>4569.4691793802449</v>
      </c>
    </row>
    <row r="23" spans="1:29" ht="15.6">
      <c r="A23" s="4">
        <f t="shared" si="2"/>
        <v>22</v>
      </c>
      <c r="B23" s="7">
        <v>33116</v>
      </c>
      <c r="C23" s="10">
        <v>4643</v>
      </c>
      <c r="D23" s="28">
        <f t="shared" si="6"/>
        <v>4619.5</v>
      </c>
      <c r="E23" s="23">
        <f t="shared" si="11"/>
        <v>1.0050871306418443</v>
      </c>
      <c r="F23" s="22">
        <f t="shared" si="14"/>
        <v>0.99972439791652123</v>
      </c>
      <c r="G23" s="15">
        <f t="shared" si="0"/>
        <v>4644.2799732368831</v>
      </c>
    </row>
    <row r="24" spans="1:29" ht="15.6">
      <c r="A24" s="4">
        <f t="shared" si="2"/>
        <v>23</v>
      </c>
      <c r="B24" s="7">
        <v>33146</v>
      </c>
      <c r="C24" s="10">
        <v>4701</v>
      </c>
      <c r="D24" s="28">
        <f t="shared" si="6"/>
        <v>4675.166666666667</v>
      </c>
      <c r="E24" s="23">
        <f t="shared" si="11"/>
        <v>1.0055256497094578</v>
      </c>
      <c r="F24" s="22">
        <f t="shared" si="14"/>
        <v>0.99762689296937657</v>
      </c>
      <c r="G24" s="15">
        <f t="shared" si="0"/>
        <v>4712.1825134522542</v>
      </c>
    </row>
    <row r="25" spans="1:29" ht="15.6">
      <c r="A25" s="4">
        <f t="shared" si="2"/>
        <v>24</v>
      </c>
      <c r="B25" s="7">
        <v>33177</v>
      </c>
      <c r="C25" s="10">
        <v>4766</v>
      </c>
      <c r="D25" s="28">
        <f t="shared" si="6"/>
        <v>4726.333333333333</v>
      </c>
      <c r="E25" s="23">
        <f t="shared" si="11"/>
        <v>1.0083926934198464</v>
      </c>
      <c r="F25" s="22">
        <f t="shared" si="14"/>
        <v>0.99928981663987837</v>
      </c>
      <c r="G25" s="15">
        <f t="shared" si="0"/>
        <v>4769.3871393843692</v>
      </c>
    </row>
    <row r="26" spans="1:29" ht="15.6">
      <c r="A26" s="4">
        <f t="shared" si="2"/>
        <v>25</v>
      </c>
      <c r="B26" s="7">
        <v>33207</v>
      </c>
      <c r="C26" s="10">
        <v>4781</v>
      </c>
      <c r="D26" s="28">
        <f t="shared" si="6"/>
        <v>4767.166666666667</v>
      </c>
      <c r="E26" s="23">
        <f t="shared" si="11"/>
        <v>1.0029017935181623</v>
      </c>
      <c r="F26" s="22">
        <f t="shared" si="14"/>
        <v>0.99711286335825899</v>
      </c>
      <c r="G26" s="15">
        <f t="shared" si="0"/>
        <v>4794.8433679791015</v>
      </c>
    </row>
    <row r="27" spans="1:29" ht="15.6">
      <c r="A27" s="4">
        <f t="shared" si="2"/>
        <v>26</v>
      </c>
      <c r="B27" s="7">
        <v>33238</v>
      </c>
      <c r="C27" s="10">
        <v>4808</v>
      </c>
      <c r="D27" s="28">
        <f t="shared" si="6"/>
        <v>4796.666666666667</v>
      </c>
      <c r="E27" s="23">
        <f>C27/D27</f>
        <v>1.0023627519110492</v>
      </c>
      <c r="F27" s="22">
        <f t="shared" si="14"/>
        <v>0.99639305852452109</v>
      </c>
      <c r="G27" s="15">
        <f t="shared" si="0"/>
        <v>4825.4049532619019</v>
      </c>
    </row>
    <row r="28" spans="1:29" ht="15.6">
      <c r="A28" s="4">
        <f t="shared" si="2"/>
        <v>27</v>
      </c>
      <c r="B28" s="7">
        <v>33269</v>
      </c>
      <c r="C28" s="10">
        <v>4836</v>
      </c>
      <c r="D28" s="28">
        <f t="shared" si="6"/>
        <v>4834.333333333333</v>
      </c>
      <c r="E28" s="23">
        <f t="shared" si="11"/>
        <v>1.0003447562573262</v>
      </c>
      <c r="F28" s="22">
        <f t="shared" si="14"/>
        <v>0.99582930815368476</v>
      </c>
      <c r="G28" s="15">
        <f t="shared" si="0"/>
        <v>4856.2539387057968</v>
      </c>
    </row>
    <row r="29" spans="1:29" ht="15.6">
      <c r="A29" s="4">
        <f t="shared" si="2"/>
        <v>28</v>
      </c>
      <c r="B29" s="7">
        <v>33297</v>
      </c>
      <c r="C29" s="10">
        <v>4937</v>
      </c>
      <c r="D29" s="28">
        <f t="shared" si="6"/>
        <v>4901.333333333333</v>
      </c>
      <c r="E29" s="23">
        <f t="shared" si="11"/>
        <v>1.0072769314472254</v>
      </c>
      <c r="F29" s="22">
        <f t="shared" si="14"/>
        <v>0.99905295543256256</v>
      </c>
      <c r="G29" s="15">
        <f t="shared" si="0"/>
        <v>4941.6799911896705</v>
      </c>
    </row>
    <row r="30" spans="1:29" ht="15.6">
      <c r="A30" s="4">
        <f t="shared" si="2"/>
        <v>29</v>
      </c>
      <c r="B30" s="7">
        <v>33328</v>
      </c>
      <c r="C30" s="10">
        <v>5054</v>
      </c>
      <c r="D30" s="28">
        <f t="shared" si="6"/>
        <v>4986.833333333333</v>
      </c>
      <c r="E30" s="23">
        <f t="shared" si="11"/>
        <v>1.0134688011764312</v>
      </c>
      <c r="F30" s="22">
        <f t="shared" si="14"/>
        <v>1.0057426137705356</v>
      </c>
      <c r="G30" s="15">
        <f t="shared" si="0"/>
        <v>5025.1425472094907</v>
      </c>
    </row>
    <row r="31" spans="1:29" ht="15.6">
      <c r="A31" s="4">
        <f t="shared" si="2"/>
        <v>30</v>
      </c>
      <c r="B31" s="7">
        <v>33358</v>
      </c>
      <c r="C31" s="10">
        <v>5103</v>
      </c>
      <c r="D31" s="28">
        <f t="shared" si="6"/>
        <v>5059.333333333333</v>
      </c>
      <c r="E31" s="23">
        <f t="shared" si="11"/>
        <v>1.0086309131637898</v>
      </c>
      <c r="F31" s="22">
        <f t="shared" si="14"/>
        <v>0.99937920572102512</v>
      </c>
      <c r="G31" s="15">
        <f t="shared" si="0"/>
        <v>5106.1698810496291</v>
      </c>
    </row>
    <row r="32" spans="1:29" ht="15.6">
      <c r="A32" s="4">
        <f t="shared" si="2"/>
        <v>31</v>
      </c>
      <c r="B32" s="7">
        <v>33389</v>
      </c>
      <c r="C32" s="10">
        <v>5105</v>
      </c>
      <c r="D32" s="28">
        <f t="shared" si="6"/>
        <v>5195.666666666667</v>
      </c>
      <c r="E32" s="23">
        <f t="shared" si="11"/>
        <v>0.9825495605312119</v>
      </c>
      <c r="F32" s="22">
        <f t="shared" si="14"/>
        <v>0.99547481315797748</v>
      </c>
      <c r="G32" s="15">
        <f t="shared" si="0"/>
        <v>5128.2060907249279</v>
      </c>
    </row>
    <row r="33" spans="1:19" ht="15.6">
      <c r="A33" s="1">
        <f t="shared" si="2"/>
        <v>32</v>
      </c>
      <c r="B33" s="12">
        <v>33419</v>
      </c>
      <c r="C33" s="13">
        <v>5704</v>
      </c>
      <c r="D33" s="28">
        <f t="shared" si="6"/>
        <v>5438</v>
      </c>
      <c r="E33" s="23">
        <f t="shared" si="11"/>
        <v>1.0489150422949614</v>
      </c>
      <c r="F33" s="22">
        <f t="shared" si="14"/>
        <v>1.0083491249492831</v>
      </c>
      <c r="G33" s="15">
        <f t="shared" si="0"/>
        <v>5656.7709128392353</v>
      </c>
    </row>
    <row r="34" spans="1:19" ht="15.6">
      <c r="A34" s="1">
        <f t="shared" si="2"/>
        <v>33</v>
      </c>
      <c r="B34" s="12">
        <v>33450</v>
      </c>
      <c r="C34" s="13">
        <v>5907</v>
      </c>
      <c r="D34" s="28">
        <f t="shared" si="6"/>
        <v>5702.666666666667</v>
      </c>
      <c r="E34" s="23">
        <f t="shared" si="11"/>
        <v>1.0358311900865091</v>
      </c>
      <c r="F34" s="22">
        <f t="shared" si="14"/>
        <v>1.0060249494063749</v>
      </c>
      <c r="G34" s="15">
        <f t="shared" si="0"/>
        <v>5871.623763889299</v>
      </c>
    </row>
    <row r="35" spans="1:19" ht="15.6">
      <c r="A35" s="4">
        <f t="shared" si="2"/>
        <v>34</v>
      </c>
      <c r="B35" s="7">
        <v>33481</v>
      </c>
      <c r="C35" s="10">
        <v>5889</v>
      </c>
      <c r="D35" s="28">
        <f t="shared" si="6"/>
        <v>5863.833333333333</v>
      </c>
      <c r="E35" s="23">
        <f t="shared" si="11"/>
        <v>1.0042918454935623</v>
      </c>
      <c r="F35" s="22">
        <f t="shared" si="14"/>
        <v>0.99972439791652123</v>
      </c>
      <c r="G35" s="15">
        <f t="shared" si="0"/>
        <v>5890.6234681007973</v>
      </c>
    </row>
    <row r="36" spans="1:19" ht="15.6">
      <c r="A36" s="4">
        <f t="shared" si="2"/>
        <v>35</v>
      </c>
      <c r="B36" s="7">
        <v>33511</v>
      </c>
      <c r="C36" s="10">
        <v>5887</v>
      </c>
      <c r="D36" s="28">
        <f t="shared" si="6"/>
        <v>5889.166666666667</v>
      </c>
      <c r="E36" s="23">
        <f t="shared" si="11"/>
        <v>0.99963209282581</v>
      </c>
      <c r="F36" s="22">
        <f t="shared" si="14"/>
        <v>0.99762689296937657</v>
      </c>
      <c r="G36" s="15">
        <f t="shared" si="0"/>
        <v>5901.0037134000049</v>
      </c>
    </row>
    <row r="37" spans="1:19" ht="15.6">
      <c r="A37" s="4">
        <f t="shared" si="2"/>
        <v>36</v>
      </c>
      <c r="B37" s="7">
        <v>33542</v>
      </c>
      <c r="C37" s="10">
        <v>5876</v>
      </c>
      <c r="D37" s="28">
        <f t="shared" si="6"/>
        <v>5885.166666666667</v>
      </c>
      <c r="E37" s="23">
        <f t="shared" si="11"/>
        <v>0.99844241171306392</v>
      </c>
      <c r="F37" s="22">
        <f t="shared" si="14"/>
        <v>0.99928981663987837</v>
      </c>
      <c r="G37" s="15">
        <f t="shared" si="0"/>
        <v>5880.1760031520253</v>
      </c>
    </row>
    <row r="38" spans="1:19" ht="15.6">
      <c r="A38" s="4">
        <f t="shared" si="2"/>
        <v>37</v>
      </c>
      <c r="B38" s="7">
        <v>33572</v>
      </c>
      <c r="C38" s="10">
        <v>5896</v>
      </c>
      <c r="D38" s="28">
        <f t="shared" si="6"/>
        <v>5888.5</v>
      </c>
      <c r="E38" s="23">
        <f t="shared" si="11"/>
        <v>1.0012736690158783</v>
      </c>
      <c r="F38" s="22">
        <f t="shared" si="14"/>
        <v>0.99711286335825899</v>
      </c>
      <c r="G38" s="15">
        <f t="shared" si="0"/>
        <v>5913.0718463929679</v>
      </c>
    </row>
    <row r="39" spans="1:19" ht="15.6">
      <c r="A39" s="4">
        <f t="shared" si="2"/>
        <v>38</v>
      </c>
      <c r="B39" s="7">
        <v>33603</v>
      </c>
      <c r="C39" s="10">
        <v>5900</v>
      </c>
      <c r="D39" s="28">
        <f t="shared" si="6"/>
        <v>5897.5</v>
      </c>
      <c r="E39" s="23">
        <f t="shared" si="11"/>
        <v>1.0004239084357778</v>
      </c>
      <c r="F39" s="22">
        <f t="shared" si="14"/>
        <v>0.99639305852452109</v>
      </c>
      <c r="G39" s="15">
        <f t="shared" si="0"/>
        <v>5921.3579917315346</v>
      </c>
      <c r="M39" t="s">
        <v>68</v>
      </c>
      <c r="N39" t="s">
        <v>47</v>
      </c>
    </row>
    <row r="40" spans="1:19" ht="15.6">
      <c r="A40" s="4">
        <f t="shared" si="2"/>
        <v>39</v>
      </c>
      <c r="B40" s="7">
        <v>33634</v>
      </c>
      <c r="C40" s="10">
        <v>5917</v>
      </c>
      <c r="D40" s="28">
        <f t="shared" si="6"/>
        <v>5911.333333333333</v>
      </c>
      <c r="E40" s="23">
        <f t="shared" si="11"/>
        <v>1.0009586105785497</v>
      </c>
      <c r="F40" s="22">
        <f t="shared" si="14"/>
        <v>0.99582930815368476</v>
      </c>
      <c r="G40" s="15">
        <f t="shared" si="0"/>
        <v>5941.7813389830844</v>
      </c>
      <c r="N40" t="s">
        <v>49</v>
      </c>
      <c r="O40" t="s">
        <v>50</v>
      </c>
      <c r="P40" t="s">
        <v>51</v>
      </c>
      <c r="Q40" t="s">
        <v>52</v>
      </c>
      <c r="R40" t="s">
        <v>53</v>
      </c>
      <c r="S40" t="s">
        <v>54</v>
      </c>
    </row>
    <row r="41" spans="1:19" ht="15.6">
      <c r="A41" s="4">
        <f t="shared" si="2"/>
        <v>40</v>
      </c>
      <c r="B41" s="7">
        <v>33663</v>
      </c>
      <c r="C41" s="10">
        <v>5938</v>
      </c>
      <c r="D41" s="28">
        <f t="shared" si="6"/>
        <v>5932.833333333333</v>
      </c>
      <c r="E41" s="23">
        <f t="shared" si="11"/>
        <v>1.0008708599039244</v>
      </c>
      <c r="F41" s="22">
        <f t="shared" si="14"/>
        <v>0.99905295543256256</v>
      </c>
      <c r="G41" s="15">
        <f t="shared" si="0"/>
        <v>5943.6288814430345</v>
      </c>
      <c r="M41" t="s">
        <v>48</v>
      </c>
    </row>
    <row r="42" spans="1:19" ht="15.6">
      <c r="A42" s="4">
        <f t="shared" si="2"/>
        <v>41</v>
      </c>
      <c r="B42" s="7">
        <v>33694</v>
      </c>
      <c r="C42" s="10">
        <v>5987</v>
      </c>
      <c r="D42" s="28">
        <f t="shared" si="6"/>
        <v>5958.333333333333</v>
      </c>
      <c r="E42" s="23">
        <f>C42/D42</f>
        <v>1.0048111888111888</v>
      </c>
      <c r="F42" s="22">
        <f t="shared" si="14"/>
        <v>1.0057426137705356</v>
      </c>
      <c r="G42" s="15">
        <f>C42/F42</f>
        <v>5952.8152809939093</v>
      </c>
      <c r="M42" s="62" t="s">
        <v>10</v>
      </c>
      <c r="O42" s="22">
        <v>0.97985126253891386</v>
      </c>
      <c r="P42" s="22">
        <v>0.98178603006189213</v>
      </c>
      <c r="Q42" s="22">
        <v>0.97759509450490223</v>
      </c>
      <c r="R42" s="22">
        <v>0.99547156055911501</v>
      </c>
      <c r="S42" s="22">
        <v>3.9347039476648229</v>
      </c>
    </row>
    <row r="43" spans="1:19" ht="15.6">
      <c r="A43" s="4">
        <f t="shared" si="2"/>
        <v>42</v>
      </c>
      <c r="B43" s="7">
        <v>33724</v>
      </c>
      <c r="C43" s="10">
        <v>5983</v>
      </c>
      <c r="D43" s="28">
        <f t="shared" si="6"/>
        <v>5976.5</v>
      </c>
      <c r="E43" s="23">
        <f t="shared" ref="E43" si="15">C43/D43</f>
        <v>1.0010875930728687</v>
      </c>
      <c r="F43" s="22">
        <f t="shared" si="14"/>
        <v>0.99937920572102512</v>
      </c>
      <c r="G43" s="15">
        <f t="shared" si="0"/>
        <v>5986.7165193650662</v>
      </c>
      <c r="M43" s="62" t="s">
        <v>11</v>
      </c>
      <c r="O43" s="22">
        <v>0.98506503246266253</v>
      </c>
      <c r="P43" s="22">
        <v>0.98083401091880595</v>
      </c>
      <c r="Q43" s="22">
        <v>0.9779142319500842</v>
      </c>
      <c r="R43" s="22">
        <v>0.99676864324982162</v>
      </c>
      <c r="S43" s="22">
        <v>3.9405819185813744</v>
      </c>
    </row>
    <row r="44" spans="1:19" ht="15.6">
      <c r="A44" s="4">
        <f t="shared" si="2"/>
        <v>43</v>
      </c>
      <c r="B44" s="7">
        <v>33755</v>
      </c>
      <c r="C44" s="10">
        <v>5981</v>
      </c>
      <c r="D44" s="28">
        <f>(SUM(C43:C44)+((C42+C45)/2))/3</f>
        <v>5981.666666666667</v>
      </c>
      <c r="E44" s="23">
        <f>C44/D44</f>
        <v>0.99988854834215657</v>
      </c>
      <c r="F44" s="22">
        <f>F32</f>
        <v>0.99547481315797748</v>
      </c>
      <c r="G44" s="15">
        <f t="shared" si="0"/>
        <v>6008.1881740696954</v>
      </c>
      <c r="M44" s="62" t="s">
        <v>12</v>
      </c>
      <c r="O44" s="22">
        <v>0.99861869647448842</v>
      </c>
      <c r="P44" s="22">
        <v>0.98771358363335049</v>
      </c>
      <c r="Q44" s="22">
        <v>0.96960782746326879</v>
      </c>
      <c r="R44" s="22">
        <v>1.0029875750383916</v>
      </c>
      <c r="S44" s="22">
        <v>3.9589276826094992</v>
      </c>
    </row>
    <row r="45" spans="1:19" ht="15.6">
      <c r="A45" s="4">
        <f t="shared" si="2"/>
        <v>44</v>
      </c>
      <c r="B45" s="7">
        <v>33785</v>
      </c>
      <c r="C45" s="10">
        <v>5975</v>
      </c>
      <c r="D45" s="28">
        <f t="shared" ref="D45" si="16">(SUM(C44:C45)+((C43+C46)/2))/3</f>
        <v>5980</v>
      </c>
      <c r="E45" s="23">
        <f t="shared" ref="E45:E46" si="17">C45/D45</f>
        <v>0.99916387959866215</v>
      </c>
      <c r="F45" s="22">
        <f>F33</f>
        <v>1.0083491249492831</v>
      </c>
      <c r="G45" s="15">
        <f t="shared" si="0"/>
        <v>5925.5270343994443</v>
      </c>
      <c r="M45" s="62" t="s">
        <v>13</v>
      </c>
      <c r="O45" s="22">
        <v>1.0002317692421145</v>
      </c>
      <c r="P45" s="22">
        <v>0.97505201402035568</v>
      </c>
      <c r="Q45" s="22">
        <v>0.94833674038282845</v>
      </c>
      <c r="R45" s="22">
        <v>1.0000975079747594</v>
      </c>
      <c r="S45" s="22">
        <v>3.9237180316200577</v>
      </c>
    </row>
    <row r="46" spans="1:19" ht="15.6">
      <c r="A46" s="4">
        <f t="shared" si="2"/>
        <v>45</v>
      </c>
      <c r="B46" s="7">
        <v>33816</v>
      </c>
      <c r="C46" s="10">
        <v>5985</v>
      </c>
      <c r="D46" s="28">
        <f>(SUM(C45:C46)+((C44+C47)/2))/3</f>
        <v>5988.333333333333</v>
      </c>
      <c r="E46" s="23">
        <f t="shared" si="17"/>
        <v>0.99944336209295859</v>
      </c>
      <c r="F46" s="22">
        <f t="shared" si="14"/>
        <v>1.0060249494063749</v>
      </c>
      <c r="G46" s="15">
        <f>C46/F46</f>
        <v>5949.1566322799135</v>
      </c>
      <c r="M46" s="62" t="s">
        <v>14</v>
      </c>
      <c r="O46" s="22">
        <v>1.0031387319522913</v>
      </c>
      <c r="P46" s="22">
        <v>0.98699955680307272</v>
      </c>
      <c r="Q46" s="22">
        <v>0.92318820923188205</v>
      </c>
      <c r="R46" s="22">
        <v>0.99798378686541434</v>
      </c>
      <c r="S46" s="22">
        <v>3.9113102848526604</v>
      </c>
    </row>
    <row r="47" spans="1:19" ht="15.6">
      <c r="A47" s="4">
        <f t="shared" si="2"/>
        <v>46</v>
      </c>
      <c r="B47" s="7">
        <v>33847</v>
      </c>
      <c r="C47" s="18">
        <v>6029</v>
      </c>
      <c r="D47" s="28">
        <f>(SUM(C46:C47)+((C45+C48)/2))/3</f>
        <v>6004.5</v>
      </c>
      <c r="E47" s="23">
        <f>C47/D47</f>
        <v>1.004080273128487</v>
      </c>
      <c r="F47" s="22">
        <f>F35</f>
        <v>0.99972439791652123</v>
      </c>
      <c r="G47" s="15">
        <f>C47/F47</f>
        <v>6030.6620630293273</v>
      </c>
      <c r="M47" s="62" t="s">
        <v>15</v>
      </c>
      <c r="O47" s="22">
        <v>0.98595593283814997</v>
      </c>
      <c r="P47" s="22">
        <v>0.99033895529719995</v>
      </c>
      <c r="Q47" s="22">
        <v>1.0071362358930596</v>
      </c>
      <c r="R47" s="22"/>
      <c r="S47" s="22">
        <v>2.9834311240284093</v>
      </c>
    </row>
    <row r="48" spans="1:19">
      <c r="A48" s="4">
        <f t="shared" si="2"/>
        <v>47</v>
      </c>
      <c r="B48" s="7">
        <v>33877</v>
      </c>
      <c r="C48" s="17">
        <v>6024</v>
      </c>
      <c r="D48" s="20"/>
      <c r="E48" s="23"/>
      <c r="F48" s="22">
        <f t="shared" si="14"/>
        <v>0.99762689296937657</v>
      </c>
      <c r="G48" s="15">
        <f>C48/F48</f>
        <v>6038.3296024327547</v>
      </c>
      <c r="M48" s="62" t="s">
        <v>16</v>
      </c>
      <c r="O48" s="22">
        <v>0.99006458022851462</v>
      </c>
      <c r="P48" s="22">
        <v>0.99000376877658325</v>
      </c>
      <c r="Q48" s="22">
        <v>1.0195175974801156</v>
      </c>
      <c r="R48" s="22"/>
      <c r="S48" s="22">
        <v>2.9995859464852135</v>
      </c>
    </row>
    <row r="49" spans="1:19">
      <c r="A49" s="4">
        <f t="shared" si="2"/>
        <v>48</v>
      </c>
      <c r="B49" s="7">
        <v>33908</v>
      </c>
      <c r="C49" s="10"/>
      <c r="D49" s="15"/>
      <c r="E49" s="23"/>
      <c r="F49" s="22">
        <f>F37</f>
        <v>0.99928981663987837</v>
      </c>
      <c r="G49" s="15"/>
      <c r="H49" s="15">
        <f>G48</f>
        <v>6038.3296024327547</v>
      </c>
      <c r="I49" s="27">
        <f>F49*H49</f>
        <v>6034.0412812261775</v>
      </c>
      <c r="J49" s="34"/>
      <c r="M49" s="62" t="s">
        <v>17</v>
      </c>
      <c r="O49" s="22">
        <v>0.99409452869400605</v>
      </c>
      <c r="P49" s="22">
        <v>0.98927556818181828</v>
      </c>
      <c r="Q49" s="22">
        <v>1.0021839634682475</v>
      </c>
      <c r="R49" s="22"/>
      <c r="S49" s="22">
        <v>2.9855540603440716</v>
      </c>
    </row>
    <row r="50" spans="1:19">
      <c r="A50" s="4">
        <f t="shared" si="2"/>
        <v>49</v>
      </c>
      <c r="B50" s="7">
        <v>33938</v>
      </c>
      <c r="C50" s="10"/>
      <c r="D50" s="15"/>
      <c r="E50" s="23"/>
      <c r="F50" s="22">
        <f t="shared" si="14"/>
        <v>0.99711286335825899</v>
      </c>
      <c r="G50" s="15"/>
      <c r="H50" s="15">
        <f>H49</f>
        <v>6038.3296024327547</v>
      </c>
      <c r="I50" s="27">
        <f>F50*H50</f>
        <v>6020.896119782662</v>
      </c>
      <c r="J50" s="34"/>
      <c r="M50" s="62" t="s">
        <v>18</v>
      </c>
      <c r="O50" s="22">
        <v>0.99276872165706587</v>
      </c>
      <c r="P50" s="22">
        <v>0.99262726328940187</v>
      </c>
      <c r="Q50" s="22">
        <v>0.99892533936651584</v>
      </c>
      <c r="R50" s="22"/>
      <c r="S50" s="22">
        <v>2.9843213243129836</v>
      </c>
    </row>
    <row r="51" spans="1:19">
      <c r="A51" s="4">
        <f t="shared" si="2"/>
        <v>50</v>
      </c>
      <c r="B51" s="7">
        <v>33969</v>
      </c>
      <c r="C51" s="10"/>
      <c r="D51" s="15"/>
      <c r="E51" s="23"/>
      <c r="F51" s="22">
        <f t="shared" si="14"/>
        <v>0.99639305852452109</v>
      </c>
      <c r="G51" s="15"/>
      <c r="H51" s="15">
        <f t="shared" ref="H51:H60" si="18">H50</f>
        <v>6038.3296024327547</v>
      </c>
      <c r="I51" s="27">
        <f t="shared" ref="I51:I60" si="19">F51*H51</f>
        <v>6016.5497009471283</v>
      </c>
      <c r="J51" s="34"/>
      <c r="M51" s="62" t="s">
        <v>19</v>
      </c>
      <c r="O51" s="22">
        <v>0.9961887771650989</v>
      </c>
      <c r="P51" s="22">
        <v>0.99700160379331992</v>
      </c>
      <c r="Q51" s="22">
        <v>0.99622769465519434</v>
      </c>
      <c r="R51" s="22"/>
      <c r="S51" s="22">
        <v>2.9894180756136133</v>
      </c>
    </row>
    <row r="52" spans="1:19">
      <c r="A52" s="4">
        <f t="shared" si="2"/>
        <v>51</v>
      </c>
      <c r="B52" s="7">
        <v>34000</v>
      </c>
      <c r="C52" s="10"/>
      <c r="D52" s="15"/>
      <c r="E52" s="23"/>
      <c r="F52" s="22">
        <f t="shared" si="14"/>
        <v>0.99582930815368476</v>
      </c>
      <c r="G52" s="15"/>
      <c r="H52" s="15">
        <f t="shared" si="18"/>
        <v>6038.3296024327547</v>
      </c>
      <c r="I52" s="27">
        <f t="shared" si="19"/>
        <v>6013.1455903945243</v>
      </c>
      <c r="J52" s="34"/>
      <c r="M52" s="62" t="s">
        <v>20</v>
      </c>
      <c r="O52" s="22">
        <v>0.98925594939250938</v>
      </c>
      <c r="P52" s="22">
        <v>0.98898484770129802</v>
      </c>
      <c r="Q52" s="22">
        <v>0.9975186104218362</v>
      </c>
      <c r="R52" s="22"/>
      <c r="S52" s="22">
        <v>2.9757594075156435</v>
      </c>
    </row>
    <row r="53" spans="1:19">
      <c r="A53" s="4">
        <f t="shared" si="2"/>
        <v>52</v>
      </c>
      <c r="B53" s="7">
        <v>34028</v>
      </c>
      <c r="C53" s="10"/>
      <c r="D53" s="15"/>
      <c r="E53" s="23"/>
      <c r="F53" s="22">
        <f t="shared" si="14"/>
        <v>0.99905295543256256</v>
      </c>
      <c r="G53" s="15"/>
      <c r="H53" s="15">
        <f t="shared" si="18"/>
        <v>6038.3296024327547</v>
      </c>
      <c r="I53" s="27">
        <f t="shared" si="19"/>
        <v>6032.6110351863745</v>
      </c>
      <c r="J53" s="34"/>
      <c r="M53" s="62" t="s">
        <v>21</v>
      </c>
      <c r="O53" s="22">
        <v>0.98421659444201481</v>
      </c>
      <c r="P53" s="22">
        <v>0.98287933766034652</v>
      </c>
      <c r="Q53" s="22">
        <v>0.99529064454909677</v>
      </c>
      <c r="R53" s="22"/>
      <c r="S53" s="22">
        <v>2.9623865766514581</v>
      </c>
    </row>
    <row r="54" spans="1:19">
      <c r="A54" s="4">
        <f t="shared" si="2"/>
        <v>53</v>
      </c>
      <c r="B54" s="7">
        <v>34059</v>
      </c>
      <c r="C54" s="10"/>
      <c r="D54" s="15"/>
      <c r="E54" s="23"/>
      <c r="F54" s="22">
        <f t="shared" si="14"/>
        <v>1.0057426137705356</v>
      </c>
      <c r="G54" s="15"/>
      <c r="H54" s="15">
        <f t="shared" si="18"/>
        <v>6038.3296024327547</v>
      </c>
      <c r="I54" s="27">
        <f t="shared" si="19"/>
        <v>6073.0053971587176</v>
      </c>
      <c r="J54" s="34"/>
      <c r="M54" s="62" t="s">
        <v>54</v>
      </c>
      <c r="O54">
        <v>11.899450577087832</v>
      </c>
      <c r="P54">
        <v>11.843496540137446</v>
      </c>
      <c r="Q54">
        <v>11.813442189367032</v>
      </c>
      <c r="R54">
        <v>4.9933090736875023</v>
      </c>
      <c r="S54">
        <v>40.549698380279814</v>
      </c>
    </row>
    <row r="55" spans="1:19">
      <c r="A55" s="4">
        <f t="shared" si="2"/>
        <v>54</v>
      </c>
      <c r="B55" s="7">
        <v>34089</v>
      </c>
      <c r="C55" s="10"/>
      <c r="D55" s="15"/>
      <c r="E55" s="23"/>
      <c r="F55" s="22">
        <f t="shared" si="14"/>
        <v>0.99937920572102512</v>
      </c>
      <c r="G55" s="15"/>
      <c r="H55" s="15">
        <f t="shared" si="18"/>
        <v>6038.3296024327547</v>
      </c>
      <c r="I55" s="27">
        <f t="shared" si="19"/>
        <v>6034.5810419609998</v>
      </c>
      <c r="J55" s="34"/>
    </row>
    <row r="56" spans="1:19">
      <c r="A56" s="4">
        <f t="shared" si="2"/>
        <v>55</v>
      </c>
      <c r="B56" s="7">
        <v>34120</v>
      </c>
      <c r="C56" s="10"/>
      <c r="D56" s="15"/>
      <c r="E56" s="23"/>
      <c r="F56" s="22">
        <f t="shared" si="14"/>
        <v>0.99547481315797748</v>
      </c>
      <c r="G56" s="15"/>
      <c r="H56" s="15">
        <f t="shared" si="18"/>
        <v>6038.3296024327547</v>
      </c>
      <c r="I56" s="27">
        <f t="shared" si="19"/>
        <v>6011.005032768031</v>
      </c>
      <c r="J56" s="34"/>
      <c r="S56" s="22"/>
    </row>
    <row r="57" spans="1:19">
      <c r="A57" s="4">
        <f t="shared" si="2"/>
        <v>56</v>
      </c>
      <c r="B57" s="7">
        <v>34150</v>
      </c>
      <c r="C57" s="10"/>
      <c r="D57" s="15"/>
      <c r="E57" s="23"/>
      <c r="F57" s="22">
        <f t="shared" si="14"/>
        <v>1.0083491249492831</v>
      </c>
      <c r="G57" s="15"/>
      <c r="H57" s="15">
        <f t="shared" si="18"/>
        <v>6038.3296024327547</v>
      </c>
      <c r="I57" s="27">
        <f t="shared" si="19"/>
        <v>6088.7443707684206</v>
      </c>
      <c r="J57" s="34"/>
    </row>
    <row r="58" spans="1:19">
      <c r="A58" s="4">
        <f t="shared" si="2"/>
        <v>57</v>
      </c>
      <c r="B58" s="7">
        <v>34181</v>
      </c>
      <c r="C58" s="10"/>
      <c r="D58" s="15"/>
      <c r="E58" s="23"/>
      <c r="F58" s="22">
        <f t="shared" si="14"/>
        <v>1.0060249494063749</v>
      </c>
      <c r="G58" s="15"/>
      <c r="H58" s="15">
        <f t="shared" si="18"/>
        <v>6038.3296024327547</v>
      </c>
      <c r="I58" s="27">
        <f t="shared" si="19"/>
        <v>6074.7102327864277</v>
      </c>
      <c r="J58" s="34"/>
    </row>
    <row r="59" spans="1:19">
      <c r="A59" s="4">
        <f t="shared" si="2"/>
        <v>58</v>
      </c>
      <c r="B59" s="7">
        <v>34212</v>
      </c>
      <c r="C59" s="10"/>
      <c r="D59" s="15"/>
      <c r="E59" s="23"/>
      <c r="F59" s="22">
        <f t="shared" si="14"/>
        <v>0.99972439791652123</v>
      </c>
      <c r="G59" s="15"/>
      <c r="H59" s="15">
        <f t="shared" si="18"/>
        <v>6038.3296024327547</v>
      </c>
      <c r="I59" s="27">
        <f t="shared" si="19"/>
        <v>6036.6654262135926</v>
      </c>
      <c r="J59" s="34"/>
    </row>
    <row r="60" spans="1:19">
      <c r="A60" s="4">
        <f t="shared" si="2"/>
        <v>59</v>
      </c>
      <c r="B60" s="7">
        <v>34242</v>
      </c>
      <c r="C60" s="10"/>
      <c r="D60" s="15"/>
      <c r="E60" s="23"/>
      <c r="F60" s="22">
        <f t="shared" si="14"/>
        <v>0.99762689296937657</v>
      </c>
      <c r="G60" s="15"/>
      <c r="H60" s="15">
        <f t="shared" si="18"/>
        <v>6038.3296024327547</v>
      </c>
      <c r="I60" s="27">
        <f t="shared" si="19"/>
        <v>6024</v>
      </c>
      <c r="J60" s="34"/>
    </row>
    <row r="61" spans="1:19">
      <c r="A61" s="4"/>
      <c r="B61" s="7"/>
      <c r="C61" s="10"/>
      <c r="D61" s="15"/>
      <c r="E61" s="23"/>
      <c r="F61" s="22"/>
      <c r="G61" s="15"/>
      <c r="H61" s="15"/>
      <c r="I61" s="15"/>
      <c r="J61" s="34"/>
    </row>
    <row r="62" spans="1:19">
      <c r="A62" s="4"/>
      <c r="B62" s="7"/>
      <c r="C62" s="10"/>
      <c r="D62" s="15"/>
      <c r="E62" s="23"/>
      <c r="F62" s="22"/>
      <c r="G62" s="15"/>
      <c r="H62" s="15"/>
      <c r="I62" s="15"/>
      <c r="J62" s="34"/>
    </row>
    <row r="63" spans="1:19">
      <c r="A63" s="4"/>
      <c r="B63" s="7"/>
      <c r="C63" s="10"/>
      <c r="D63" s="15"/>
      <c r="E63" s="23"/>
      <c r="F63" s="22"/>
      <c r="G63" s="15"/>
      <c r="H63" s="15"/>
      <c r="I63" s="15"/>
      <c r="J63" s="34"/>
    </row>
    <row r="64" spans="1:19">
      <c r="A64" s="4"/>
      <c r="B64" s="7"/>
      <c r="C64" s="10"/>
      <c r="D64" s="15"/>
      <c r="E64" s="23"/>
      <c r="F64" s="22"/>
      <c r="G64" s="15"/>
      <c r="H64" s="15"/>
      <c r="I64" s="15"/>
      <c r="J64" s="34"/>
    </row>
    <row r="65" spans="1:10">
      <c r="A65" s="4"/>
      <c r="B65" s="7"/>
      <c r="C65" s="10"/>
      <c r="D65" s="15"/>
      <c r="E65" s="23"/>
      <c r="F65" s="22"/>
      <c r="G65" s="15"/>
      <c r="H65" s="15"/>
      <c r="I65" s="15"/>
      <c r="J65" s="34"/>
    </row>
    <row r="66" spans="1:10">
      <c r="A66" s="4"/>
      <c r="B66" s="7"/>
      <c r="C66" s="10"/>
      <c r="D66" s="15"/>
      <c r="E66" s="23"/>
      <c r="F66" s="22"/>
      <c r="G66" s="15"/>
      <c r="H66" s="15"/>
      <c r="I66" s="15"/>
      <c r="J66" s="34"/>
    </row>
    <row r="67" spans="1:10">
      <c r="A67" s="4"/>
      <c r="B67" s="7"/>
      <c r="C67" s="10"/>
      <c r="D67" s="15"/>
      <c r="E67" s="23"/>
      <c r="F67" s="22"/>
      <c r="G67" s="15"/>
      <c r="H67" s="15"/>
      <c r="I67" s="15"/>
      <c r="J67" s="34"/>
    </row>
    <row r="68" spans="1:10">
      <c r="A68" s="4"/>
      <c r="B68" s="7"/>
      <c r="C68" s="10"/>
      <c r="D68" s="15"/>
      <c r="E68" s="23"/>
      <c r="F68" s="22"/>
      <c r="G68" s="15"/>
      <c r="H68" s="15"/>
      <c r="I68" s="15"/>
      <c r="J68" s="34"/>
    </row>
    <row r="69" spans="1:10">
      <c r="A69" s="4"/>
      <c r="B69" s="7"/>
      <c r="C69" s="10"/>
      <c r="D69" s="15"/>
      <c r="E69" s="23"/>
      <c r="F69" s="22"/>
      <c r="G69" s="15"/>
      <c r="H69" s="15"/>
      <c r="I69" s="15"/>
      <c r="J69" s="34"/>
    </row>
    <row r="70" spans="1:10">
      <c r="A70" s="4"/>
      <c r="B70" s="7"/>
      <c r="C70" s="10"/>
      <c r="D70" s="15"/>
      <c r="E70" s="23"/>
      <c r="F70" s="22"/>
      <c r="G70" s="15"/>
      <c r="H70" s="15"/>
      <c r="I70" s="15"/>
      <c r="J70" s="34"/>
    </row>
    <row r="71" spans="1:10">
      <c r="A71" s="4"/>
      <c r="B71" s="7"/>
      <c r="C71" s="10"/>
      <c r="D71" s="15"/>
      <c r="E71" s="23"/>
      <c r="F71" s="22"/>
      <c r="G71" s="15"/>
      <c r="H71" s="15"/>
      <c r="I71" s="15"/>
      <c r="J71" s="34"/>
    </row>
    <row r="72" spans="1:10">
      <c r="A72" s="4"/>
      <c r="B72" s="7"/>
      <c r="C72" s="10"/>
      <c r="D72" s="15"/>
      <c r="E72" s="23"/>
      <c r="F72" s="22"/>
      <c r="G72" s="15"/>
      <c r="H72" s="15"/>
      <c r="I72" s="15"/>
      <c r="J72" s="34"/>
    </row>
    <row r="73" spans="1:10">
      <c r="A73" s="4"/>
      <c r="B73" s="7"/>
      <c r="C73" s="10"/>
      <c r="D73" s="15"/>
      <c r="E73" s="23"/>
      <c r="F73" s="22"/>
      <c r="G73" s="15"/>
      <c r="H73" s="15"/>
      <c r="I73" s="15"/>
      <c r="J73" s="34"/>
    </row>
    <row r="74" spans="1:10">
      <c r="A74" s="4"/>
      <c r="B74" s="7"/>
      <c r="C74" s="10"/>
      <c r="D74" s="15"/>
      <c r="E74" s="23"/>
      <c r="F74" s="22"/>
      <c r="G74" s="15"/>
      <c r="H74" s="15"/>
      <c r="I74" s="15"/>
      <c r="J74" s="34"/>
    </row>
    <row r="75" spans="1:10">
      <c r="A75" s="4"/>
      <c r="B75" s="7"/>
      <c r="C75" s="10"/>
      <c r="D75" s="15"/>
      <c r="E75" s="23"/>
      <c r="F75" s="22"/>
      <c r="G75" s="15"/>
      <c r="H75" s="15"/>
      <c r="I75" s="15"/>
      <c r="J75" s="34"/>
    </row>
    <row r="76" spans="1:10">
      <c r="A76" s="4"/>
      <c r="B76" s="7"/>
      <c r="C76" s="10"/>
      <c r="D76" s="15"/>
      <c r="E76" s="23"/>
      <c r="F76" s="22"/>
      <c r="G76" s="15"/>
      <c r="H76" s="15"/>
      <c r="I76" s="15"/>
      <c r="J76" s="34"/>
    </row>
    <row r="77" spans="1:10">
      <c r="A77" s="4"/>
      <c r="B77" s="7"/>
      <c r="C77" s="10"/>
      <c r="D77" s="15"/>
      <c r="E77" s="23"/>
      <c r="F77" s="22"/>
      <c r="G77" s="15"/>
      <c r="H77" s="15"/>
      <c r="I77" s="15"/>
      <c r="J77" s="34"/>
    </row>
    <row r="78" spans="1:10">
      <c r="A78" s="4"/>
      <c r="B78" s="7"/>
      <c r="C78" s="10"/>
      <c r="D78" s="15"/>
      <c r="E78" s="23"/>
      <c r="F78" s="22"/>
      <c r="G78" s="15"/>
      <c r="H78" s="15"/>
      <c r="I78" s="15"/>
      <c r="J78" s="34"/>
    </row>
    <row r="79" spans="1:10">
      <c r="A79" s="4"/>
      <c r="B79" s="7"/>
      <c r="C79" s="10"/>
      <c r="D79" s="15"/>
      <c r="E79" s="23"/>
      <c r="F79" s="22"/>
      <c r="G79" s="15"/>
      <c r="H79" s="15"/>
      <c r="I79" s="15"/>
      <c r="J79" s="34"/>
    </row>
    <row r="80" spans="1:10">
      <c r="A80" s="4"/>
      <c r="B80" s="7"/>
      <c r="C80" s="10"/>
      <c r="D80" s="15"/>
      <c r="E80" s="23"/>
      <c r="F80" s="22"/>
      <c r="G80" s="15"/>
      <c r="H80" s="15"/>
      <c r="I80" s="15"/>
      <c r="J80" s="34"/>
    </row>
    <row r="81" spans="1:10">
      <c r="A81" s="4"/>
      <c r="B81" s="7"/>
      <c r="C81" s="10"/>
      <c r="D81" s="15"/>
      <c r="E81" s="23"/>
      <c r="F81" s="22"/>
      <c r="G81" s="15"/>
      <c r="H81" s="15"/>
      <c r="I81" s="15"/>
      <c r="J81" s="34"/>
    </row>
    <row r="82" spans="1:10">
      <c r="A82" s="4"/>
      <c r="B82" s="7"/>
      <c r="C82" s="10"/>
      <c r="D82" s="15"/>
      <c r="E82" s="23"/>
      <c r="F82" s="22"/>
      <c r="G82" s="15"/>
      <c r="H82" s="15"/>
      <c r="I82" s="15"/>
      <c r="J82" s="34"/>
    </row>
    <row r="83" spans="1:10">
      <c r="A83" s="4"/>
      <c r="B83" s="7"/>
      <c r="C83" s="10"/>
      <c r="D83" s="15"/>
      <c r="E83" s="23"/>
      <c r="F83" s="22"/>
      <c r="G83" s="15"/>
      <c r="H83" s="15"/>
      <c r="I83" s="15"/>
      <c r="J83" s="34"/>
    </row>
    <row r="84" spans="1:10">
      <c r="A84" s="4"/>
      <c r="B84" s="7"/>
      <c r="C84" s="10"/>
      <c r="D84" s="15"/>
      <c r="E84" s="23"/>
      <c r="F84" s="22"/>
      <c r="G84" s="15"/>
      <c r="H84" s="15"/>
      <c r="I84" s="15"/>
      <c r="J84" s="34"/>
    </row>
    <row r="85" spans="1:10">
      <c r="A85" s="4"/>
      <c r="B85" s="7"/>
      <c r="C85" s="10"/>
      <c r="D85" s="15"/>
      <c r="E85" s="23"/>
      <c r="F85" s="22"/>
      <c r="G85" s="15"/>
      <c r="H85" s="15"/>
      <c r="I85" s="15"/>
      <c r="J85" s="34"/>
    </row>
    <row r="86" spans="1:10">
      <c r="A86" s="4"/>
      <c r="B86" s="7"/>
      <c r="C86" s="10"/>
      <c r="D86" s="15"/>
      <c r="E86" s="23"/>
      <c r="F86" s="22"/>
      <c r="G86" s="15"/>
      <c r="H86" s="15"/>
      <c r="I86" s="15"/>
      <c r="J86" s="34"/>
    </row>
    <row r="87" spans="1:10">
      <c r="A87" s="4"/>
      <c r="B87" s="7"/>
      <c r="C87" s="10"/>
      <c r="D87" s="15"/>
      <c r="E87" s="23"/>
      <c r="F87" s="22"/>
      <c r="G87" s="15"/>
      <c r="H87" s="15"/>
      <c r="I87" s="15"/>
      <c r="J87" s="34"/>
    </row>
  </sheetData>
  <conditionalFormatting sqref="X3:AA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95F1-2EC1-4116-A06E-A207BFC2AF8E}">
  <dimension ref="A1:AD87"/>
  <sheetViews>
    <sheetView zoomScale="70" zoomScaleNormal="70" workbookViewId="0">
      <pane ySplit="1" topLeftCell="A23" activePane="bottomLeft" state="frozen"/>
      <selection pane="bottomLeft" activeCell="I49" sqref="I49"/>
    </sheetView>
  </sheetViews>
  <sheetFormatPr defaultRowHeight="14.45"/>
  <cols>
    <col min="2" max="2" width="10.85546875" customWidth="1"/>
    <col min="3" max="3" width="10.5703125" bestFit="1" customWidth="1"/>
    <col min="6" max="6" width="9.85546875" bestFit="1" customWidth="1"/>
    <col min="7" max="7" width="10.5703125" bestFit="1" customWidth="1"/>
    <col min="8" max="8" width="10.140625" bestFit="1" customWidth="1"/>
    <col min="9" max="9" width="14.28515625" bestFit="1" customWidth="1"/>
    <col min="10" max="10" width="11.85546875" style="33" customWidth="1"/>
    <col min="13" max="13" width="24.85546875" bestFit="1" customWidth="1"/>
    <col min="14" max="14" width="21" bestFit="1" customWidth="1"/>
    <col min="15" max="19" width="16.85546875" bestFit="1" customWidth="1"/>
    <col min="20" max="20" width="12" bestFit="1" customWidth="1"/>
    <col min="21" max="23" width="7.7109375" bestFit="1" customWidth="1"/>
    <col min="24" max="24" width="12.42578125" bestFit="1" customWidth="1"/>
    <col min="25" max="27" width="7.7109375" bestFit="1" customWidth="1"/>
    <col min="28" max="28" width="12.42578125" bestFit="1" customWidth="1"/>
    <col min="29" max="29" width="7.7109375" bestFit="1" customWidth="1"/>
    <col min="30" max="30" width="13.85546875" bestFit="1" customWidth="1"/>
    <col min="31" max="31" width="7.7109375" bestFit="1" customWidth="1"/>
    <col min="32" max="32" width="12.42578125" bestFit="1" customWidth="1"/>
    <col min="33" max="33" width="12.85546875" bestFit="1" customWidth="1"/>
    <col min="34" max="36" width="8.140625" bestFit="1" customWidth="1"/>
    <col min="37" max="37" width="12" bestFit="1" customWidth="1"/>
    <col min="38" max="40" width="7.7109375" bestFit="1" customWidth="1"/>
    <col min="41" max="41" width="12.42578125" bestFit="1" customWidth="1"/>
    <col min="42" max="44" width="7.7109375" bestFit="1" customWidth="1"/>
    <col min="45" max="45" width="12.42578125" bestFit="1" customWidth="1"/>
    <col min="46" max="48" width="7.7109375" bestFit="1" customWidth="1"/>
    <col min="49" max="49" width="12.42578125" bestFit="1" customWidth="1"/>
    <col min="50" max="50" width="12.85546875" bestFit="1" customWidth="1"/>
    <col min="51" max="53" width="7.7109375" bestFit="1" customWidth="1"/>
    <col min="54" max="54" width="12" bestFit="1" customWidth="1"/>
    <col min="55" max="57" width="7.7109375" bestFit="1" customWidth="1"/>
    <col min="58" max="58" width="12.42578125" bestFit="1" customWidth="1"/>
    <col min="59" max="61" width="7.7109375" bestFit="1" customWidth="1"/>
    <col min="62" max="62" width="12.42578125" bestFit="1" customWidth="1"/>
    <col min="63" max="65" width="7.7109375" bestFit="1" customWidth="1"/>
    <col min="66" max="67" width="12.42578125" bestFit="1" customWidth="1"/>
    <col min="68" max="70" width="8.140625" bestFit="1" customWidth="1"/>
    <col min="71" max="71" width="12" bestFit="1" customWidth="1"/>
    <col min="72" max="74" width="7.7109375" bestFit="1" customWidth="1"/>
    <col min="75" max="75" width="12.42578125" bestFit="1" customWidth="1"/>
    <col min="76" max="78" width="7.7109375" bestFit="1" customWidth="1"/>
    <col min="79" max="79" width="12.42578125" bestFit="1" customWidth="1"/>
    <col min="80" max="80" width="12.85546875" bestFit="1" customWidth="1"/>
    <col min="81" max="81" width="14.28515625" bestFit="1" customWidth="1"/>
  </cols>
  <sheetData>
    <row r="1" spans="1:30" ht="43.5">
      <c r="A1" s="3" t="s">
        <v>1</v>
      </c>
      <c r="B1" s="6" t="s">
        <v>2</v>
      </c>
      <c r="C1" s="9" t="s">
        <v>3</v>
      </c>
      <c r="D1" s="14" t="s">
        <v>69</v>
      </c>
      <c r="E1" s="14" t="s">
        <v>59</v>
      </c>
      <c r="F1" s="14" t="s">
        <v>60</v>
      </c>
      <c r="G1" s="14" t="s">
        <v>61</v>
      </c>
      <c r="H1" s="14" t="s">
        <v>62</v>
      </c>
      <c r="I1" s="26" t="s">
        <v>70</v>
      </c>
      <c r="J1" s="32"/>
    </row>
    <row r="2" spans="1:30" ht="15.6">
      <c r="A2" s="4">
        <v>1</v>
      </c>
      <c r="B2" s="7">
        <v>32477</v>
      </c>
      <c r="C2" s="10">
        <v>3761</v>
      </c>
      <c r="D2" s="28"/>
      <c r="F2" s="22">
        <f>AD13</f>
        <v>1.0021532370052018</v>
      </c>
      <c r="G2" s="15">
        <f>C2/F2</f>
        <v>3752.9190757685278</v>
      </c>
      <c r="W2">
        <v>1988</v>
      </c>
      <c r="X2">
        <v>1989</v>
      </c>
      <c r="Y2">
        <v>1990</v>
      </c>
      <c r="Z2">
        <v>1991</v>
      </c>
      <c r="AA2">
        <v>1992</v>
      </c>
      <c r="AC2" t="s">
        <v>64</v>
      </c>
      <c r="AD2" t="s">
        <v>65</v>
      </c>
    </row>
    <row r="3" spans="1:30" ht="15.6">
      <c r="A3" s="4">
        <f>1+A2</f>
        <v>2</v>
      </c>
      <c r="B3" s="7">
        <v>32508</v>
      </c>
      <c r="C3" s="10">
        <v>3770</v>
      </c>
      <c r="D3" s="28"/>
      <c r="F3" s="22">
        <f>AD14</f>
        <v>0.99764963846003074</v>
      </c>
      <c r="G3" s="15">
        <f t="shared" ref="G3:G47" si="0">C3/F3</f>
        <v>3778.8817383017968</v>
      </c>
      <c r="V3">
        <v>1</v>
      </c>
      <c r="W3" s="22"/>
      <c r="X3" s="22">
        <f>E4</f>
        <v>0.97985126253891386</v>
      </c>
      <c r="Y3" s="22">
        <f t="shared" ref="Y3:Y14" si="1">E16</f>
        <v>0.98178603006189213</v>
      </c>
      <c r="Z3" s="22">
        <f t="shared" ref="Z3:Z14" si="2">E28</f>
        <v>0.97759509450490223</v>
      </c>
      <c r="AA3" s="22">
        <f>E40</f>
        <v>0.99547156055911501</v>
      </c>
      <c r="AB3" s="22"/>
      <c r="AC3" s="22">
        <f>AVERAGE(W3:AA3)</f>
        <v>0.98367598691620572</v>
      </c>
      <c r="AD3" s="22">
        <f>AC3*AC18</f>
        <v>0.99382437165042858</v>
      </c>
    </row>
    <row r="4" spans="1:30" ht="15.6">
      <c r="A4" s="4">
        <f t="shared" ref="A4:A60" si="3">1+A3</f>
        <v>3</v>
      </c>
      <c r="B4" s="7">
        <v>32539</v>
      </c>
      <c r="C4" s="10">
        <v>3777</v>
      </c>
      <c r="D4" s="28">
        <f>(SUM(C3:C7)+((C2+C8)/2))/6</f>
        <v>3854.6666666666665</v>
      </c>
      <c r="E4" s="23">
        <f>C4/D4</f>
        <v>0.97985126253891386</v>
      </c>
      <c r="F4" s="22">
        <f>AD3</f>
        <v>0.99382437165042858</v>
      </c>
      <c r="G4" s="15">
        <f>C4/F4</f>
        <v>3800.4702920774575</v>
      </c>
      <c r="V4">
        <v>2</v>
      </c>
      <c r="W4" s="22"/>
      <c r="X4" s="22">
        <f t="shared" ref="X4:X14" si="4">E5</f>
        <v>0.98506503246266253</v>
      </c>
      <c r="Y4" s="22">
        <f t="shared" si="1"/>
        <v>0.98083401091880595</v>
      </c>
      <c r="Z4" s="22">
        <f t="shared" si="2"/>
        <v>0.9779142319500842</v>
      </c>
      <c r="AA4" s="22">
        <f>E41</f>
        <v>0.99676864324982162</v>
      </c>
      <c r="AB4" s="22"/>
      <c r="AC4" s="22">
        <f t="shared" ref="AC4:AC14" si="5">AVERAGE(W4:AA4)</f>
        <v>0.9851454796453436</v>
      </c>
      <c r="AD4" s="22">
        <f>AC4*AC$18</f>
        <v>0.99530902483664563</v>
      </c>
    </row>
    <row r="5" spans="1:30" ht="15.6">
      <c r="A5" s="4">
        <f t="shared" si="3"/>
        <v>4</v>
      </c>
      <c r="B5" s="7">
        <v>32567</v>
      </c>
      <c r="C5" s="10">
        <v>3831</v>
      </c>
      <c r="D5" s="28">
        <f t="shared" ref="D5:D43" si="6">(SUM(C4:C8)+((C3+C9)/2))/6</f>
        <v>3889.0833333333335</v>
      </c>
      <c r="E5" s="23">
        <f t="shared" ref="E5:E7" si="7">C5/D5</f>
        <v>0.98506503246266253</v>
      </c>
      <c r="F5" s="22">
        <f t="shared" ref="F5:F14" si="8">AD4</f>
        <v>0.99530902483664563</v>
      </c>
      <c r="G5" s="15">
        <f t="shared" si="0"/>
        <v>3849.0558252787469</v>
      </c>
      <c r="V5">
        <v>3</v>
      </c>
      <c r="W5" s="22"/>
      <c r="X5" s="22">
        <f t="shared" si="4"/>
        <v>0.99861869647448842</v>
      </c>
      <c r="Y5" s="22">
        <f t="shared" si="1"/>
        <v>0.98771358363335049</v>
      </c>
      <c r="Z5" s="22">
        <f t="shared" si="2"/>
        <v>0.96960782746326879</v>
      </c>
      <c r="AA5" s="22">
        <f>E42</f>
        <v>1.0029875750383916</v>
      </c>
      <c r="AB5" s="22"/>
      <c r="AC5" s="22">
        <f t="shared" si="5"/>
        <v>0.98973192065237481</v>
      </c>
      <c r="AD5" s="22">
        <f t="shared" ref="AD5:AD14" si="9">AC5*AC$18</f>
        <v>0.99994278322106456</v>
      </c>
    </row>
    <row r="6" spans="1:30" ht="15.6">
      <c r="A6" s="4">
        <f t="shared" si="3"/>
        <v>5</v>
      </c>
      <c r="B6" s="7">
        <v>32598</v>
      </c>
      <c r="C6" s="10">
        <v>3916</v>
      </c>
      <c r="D6" s="28">
        <f t="shared" si="6"/>
        <v>3921.4166666666665</v>
      </c>
      <c r="E6" s="23">
        <f t="shared" si="7"/>
        <v>0.99861869647448842</v>
      </c>
      <c r="F6" s="22">
        <f t="shared" si="8"/>
        <v>0.99994278322106456</v>
      </c>
      <c r="G6" s="15">
        <f t="shared" si="0"/>
        <v>3916.2240737270881</v>
      </c>
      <c r="V6">
        <v>4</v>
      </c>
      <c r="W6" s="22"/>
      <c r="X6" s="22">
        <f t="shared" si="4"/>
        <v>1.0002317692421145</v>
      </c>
      <c r="Y6" s="22">
        <f t="shared" si="1"/>
        <v>0.97505201402035568</v>
      </c>
      <c r="Z6" s="22">
        <f t="shared" si="2"/>
        <v>0.94833674038282845</v>
      </c>
      <c r="AA6" s="22">
        <f t="shared" ref="AA6:AA7" si="10">E43</f>
        <v>1.0000975079747594</v>
      </c>
      <c r="AB6" s="22"/>
      <c r="AC6" s="22">
        <f t="shared" si="5"/>
        <v>0.98092950790501443</v>
      </c>
      <c r="AD6" s="22">
        <f t="shared" si="9"/>
        <v>0.99104955777487069</v>
      </c>
    </row>
    <row r="7" spans="1:30" ht="15.6">
      <c r="A7" s="4">
        <f t="shared" si="3"/>
        <v>6</v>
      </c>
      <c r="B7" s="7">
        <v>32628</v>
      </c>
      <c r="C7" s="10">
        <v>3956</v>
      </c>
      <c r="D7" s="28">
        <f t="shared" si="6"/>
        <v>3955.0833333333335</v>
      </c>
      <c r="E7" s="23">
        <f t="shared" si="7"/>
        <v>1.0002317692421145</v>
      </c>
      <c r="F7" s="22">
        <f t="shared" si="8"/>
        <v>0.99104955777487069</v>
      </c>
      <c r="G7" s="15">
        <f t="shared" si="0"/>
        <v>3991.7277284115949</v>
      </c>
      <c r="V7">
        <v>5</v>
      </c>
      <c r="W7" s="22"/>
      <c r="X7" s="22">
        <f t="shared" si="4"/>
        <v>1.0031387319522913</v>
      </c>
      <c r="Y7" s="22">
        <f t="shared" si="1"/>
        <v>0.98699955680307272</v>
      </c>
      <c r="Z7" s="22">
        <f t="shared" si="2"/>
        <v>0.92318820923188205</v>
      </c>
      <c r="AA7" s="22">
        <f t="shared" si="10"/>
        <v>0.99798378686541434</v>
      </c>
      <c r="AB7" s="22"/>
      <c r="AC7" s="22">
        <f t="shared" si="5"/>
        <v>0.9778275712131651</v>
      </c>
      <c r="AD7" s="22">
        <f t="shared" si="9"/>
        <v>0.98791561903418734</v>
      </c>
    </row>
    <row r="8" spans="1:30" ht="15.6">
      <c r="A8" s="4">
        <f t="shared" si="3"/>
        <v>7</v>
      </c>
      <c r="B8" s="7">
        <v>32659</v>
      </c>
      <c r="C8" s="10">
        <v>3995</v>
      </c>
      <c r="D8" s="28">
        <f t="shared" si="6"/>
        <v>3982.5</v>
      </c>
      <c r="E8" s="23">
        <f>C8/D8</f>
        <v>1.0031387319522913</v>
      </c>
      <c r="F8" s="22">
        <f t="shared" si="8"/>
        <v>0.98791561903418734</v>
      </c>
      <c r="G8" s="15">
        <f>C8/F8</f>
        <v>4043.867637102062</v>
      </c>
      <c r="V8">
        <v>6</v>
      </c>
      <c r="W8" s="22"/>
      <c r="X8" s="22">
        <f t="shared" si="4"/>
        <v>0.98595593283814997</v>
      </c>
      <c r="Y8" s="22">
        <f t="shared" si="1"/>
        <v>0.99033895529719995</v>
      </c>
      <c r="Z8" s="22">
        <f t="shared" si="2"/>
        <v>1.0071362358930596</v>
      </c>
      <c r="AA8" s="22"/>
      <c r="AB8" s="22"/>
      <c r="AC8" s="22">
        <f t="shared" si="5"/>
        <v>0.99447704134280313</v>
      </c>
      <c r="AD8" s="22">
        <f t="shared" si="9"/>
        <v>1.0047368583548435</v>
      </c>
    </row>
    <row r="9" spans="1:30" ht="15.6">
      <c r="A9" s="4">
        <f t="shared" si="3"/>
        <v>8</v>
      </c>
      <c r="B9" s="7">
        <v>32689</v>
      </c>
      <c r="C9" s="10">
        <v>3949</v>
      </c>
      <c r="D9" s="28">
        <f t="shared" si="6"/>
        <v>4005.25</v>
      </c>
      <c r="E9" s="23">
        <f t="shared" ref="E9:E41" si="11">C9/D9</f>
        <v>0.98595593283814997</v>
      </c>
      <c r="F9" s="22">
        <f t="shared" si="8"/>
        <v>1.0047368583548435</v>
      </c>
      <c r="G9" s="15">
        <f t="shared" si="0"/>
        <v>3930.3823355959034</v>
      </c>
      <c r="V9">
        <v>7</v>
      </c>
      <c r="W9" s="22"/>
      <c r="X9" s="22">
        <f t="shared" si="4"/>
        <v>0.99006458022851462</v>
      </c>
      <c r="Y9" s="22">
        <f t="shared" si="1"/>
        <v>0.99000376877658325</v>
      </c>
      <c r="Z9" s="22">
        <f t="shared" si="2"/>
        <v>1.0195175974801156</v>
      </c>
      <c r="AA9" s="22"/>
      <c r="AB9" s="22"/>
      <c r="AC9" s="22">
        <f t="shared" si="5"/>
        <v>0.99986198216173783</v>
      </c>
      <c r="AD9" s="22">
        <f t="shared" si="9"/>
        <v>1.010177354511032</v>
      </c>
    </row>
    <row r="10" spans="1:30" ht="15.6">
      <c r="A10" s="4">
        <f t="shared" si="3"/>
        <v>9</v>
      </c>
      <c r="B10" s="7">
        <v>32720</v>
      </c>
      <c r="C10" s="10">
        <v>3986</v>
      </c>
      <c r="D10" s="28">
        <f t="shared" si="6"/>
        <v>4026</v>
      </c>
      <c r="E10" s="23">
        <f t="shared" si="11"/>
        <v>0.99006458022851462</v>
      </c>
      <c r="F10" s="22">
        <f t="shared" si="8"/>
        <v>1.010177354511032</v>
      </c>
      <c r="G10" s="15">
        <f t="shared" si="0"/>
        <v>3945.8417694676896</v>
      </c>
      <c r="V10">
        <v>8</v>
      </c>
      <c r="W10" s="22"/>
      <c r="X10" s="22">
        <f t="shared" si="4"/>
        <v>0.99409452869400605</v>
      </c>
      <c r="Y10" s="22">
        <f t="shared" si="1"/>
        <v>0.98927556818181828</v>
      </c>
      <c r="Z10" s="22">
        <f t="shared" si="2"/>
        <v>1.0021839634682475</v>
      </c>
      <c r="AA10" s="22"/>
      <c r="AB10" s="22"/>
      <c r="AC10" s="22">
        <f t="shared" si="5"/>
        <v>0.99518468678135719</v>
      </c>
      <c r="AD10" s="22">
        <f t="shared" si="9"/>
        <v>1.0054518044272052</v>
      </c>
    </row>
    <row r="11" spans="1:30" ht="15.6">
      <c r="A11" s="4">
        <f t="shared" si="3"/>
        <v>10</v>
      </c>
      <c r="B11" s="7">
        <v>32751</v>
      </c>
      <c r="C11" s="10">
        <v>4026</v>
      </c>
      <c r="D11" s="28">
        <f t="shared" si="6"/>
        <v>4049.9166666666665</v>
      </c>
      <c r="E11" s="23">
        <f t="shared" si="11"/>
        <v>0.99409452869400605</v>
      </c>
      <c r="F11" s="22">
        <f t="shared" si="8"/>
        <v>1.0054518044272052</v>
      </c>
      <c r="G11" s="15">
        <f t="shared" si="0"/>
        <v>4004.170048005004</v>
      </c>
      <c r="V11">
        <v>9</v>
      </c>
      <c r="W11" s="22"/>
      <c r="X11" s="22">
        <f t="shared" si="4"/>
        <v>0.99276872165706587</v>
      </c>
      <c r="Y11" s="22">
        <f t="shared" si="1"/>
        <v>0.99262726328940187</v>
      </c>
      <c r="Z11" s="22">
        <f t="shared" si="2"/>
        <v>0.99892533936651584</v>
      </c>
      <c r="AA11" s="22"/>
      <c r="AB11" s="22"/>
      <c r="AC11" s="22">
        <f t="shared" si="5"/>
        <v>0.99477377477099449</v>
      </c>
      <c r="AD11" s="22">
        <f t="shared" si="9"/>
        <v>1.0050366531213544</v>
      </c>
    </row>
    <row r="12" spans="1:30" ht="15.6">
      <c r="A12" s="4">
        <f t="shared" si="3"/>
        <v>11</v>
      </c>
      <c r="B12" s="7">
        <v>32781</v>
      </c>
      <c r="C12" s="10">
        <v>4050</v>
      </c>
      <c r="D12" s="28">
        <f t="shared" si="6"/>
        <v>4079.5</v>
      </c>
      <c r="E12" s="23">
        <f t="shared" si="11"/>
        <v>0.99276872165706587</v>
      </c>
      <c r="F12" s="22">
        <f t="shared" si="8"/>
        <v>1.0050366531213544</v>
      </c>
      <c r="G12" s="15">
        <f t="shared" si="0"/>
        <v>4029.7037798789393</v>
      </c>
      <c r="V12">
        <v>10</v>
      </c>
      <c r="W12" s="22"/>
      <c r="X12" s="22">
        <f t="shared" si="4"/>
        <v>0.9961887771650989</v>
      </c>
      <c r="Y12" s="22">
        <f t="shared" si="1"/>
        <v>0.99700160379331992</v>
      </c>
      <c r="Z12" s="22">
        <f t="shared" si="2"/>
        <v>0.99622769465519434</v>
      </c>
      <c r="AA12" s="22"/>
      <c r="AB12" s="22"/>
      <c r="AC12" s="22">
        <f t="shared" si="5"/>
        <v>0.99647269187120446</v>
      </c>
      <c r="AD12" s="22">
        <f t="shared" si="9"/>
        <v>1.0067530976031349</v>
      </c>
    </row>
    <row r="13" spans="1:30" ht="15.6">
      <c r="A13" s="4">
        <f t="shared" si="3"/>
        <v>12</v>
      </c>
      <c r="B13" s="7">
        <v>32812</v>
      </c>
      <c r="C13" s="10">
        <v>4095</v>
      </c>
      <c r="D13" s="28">
        <f t="shared" si="6"/>
        <v>4110.666666666667</v>
      </c>
      <c r="E13" s="23">
        <f t="shared" si="11"/>
        <v>0.9961887771650989</v>
      </c>
      <c r="F13" s="22">
        <f t="shared" si="8"/>
        <v>1.0067530976031349</v>
      </c>
      <c r="G13" s="15">
        <f t="shared" si="0"/>
        <v>4067.5315623555807</v>
      </c>
      <c r="V13">
        <v>11</v>
      </c>
      <c r="W13" s="22"/>
      <c r="X13" s="22">
        <f t="shared" si="4"/>
        <v>0.98925594939250938</v>
      </c>
      <c r="Y13" s="22">
        <f t="shared" si="1"/>
        <v>0.98898484770129802</v>
      </c>
      <c r="Z13" s="22">
        <f t="shared" si="2"/>
        <v>0.9975186104218362</v>
      </c>
      <c r="AA13" s="22"/>
      <c r="AB13" s="22"/>
      <c r="AC13" s="22">
        <f t="shared" si="5"/>
        <v>0.9919198025052145</v>
      </c>
      <c r="AD13" s="22">
        <f t="shared" si="9"/>
        <v>1.0021532370052018</v>
      </c>
    </row>
    <row r="14" spans="1:30" ht="15.6">
      <c r="A14" s="4">
        <f t="shared" si="3"/>
        <v>13</v>
      </c>
      <c r="B14" s="7">
        <v>32842</v>
      </c>
      <c r="C14" s="10">
        <v>4105</v>
      </c>
      <c r="D14" s="28">
        <f t="shared" si="6"/>
        <v>4149.583333333333</v>
      </c>
      <c r="E14" s="23">
        <f t="shared" si="11"/>
        <v>0.98925594939250938</v>
      </c>
      <c r="F14" s="22">
        <f t="shared" si="8"/>
        <v>1.0021532370052018</v>
      </c>
      <c r="G14" s="15">
        <f t="shared" si="0"/>
        <v>4096.1799537436336</v>
      </c>
      <c r="V14">
        <v>12</v>
      </c>
      <c r="W14" s="22"/>
      <c r="X14" s="22">
        <f t="shared" si="4"/>
        <v>0.98421659444201481</v>
      </c>
      <c r="Y14" s="22">
        <f t="shared" si="1"/>
        <v>0.98287933766034652</v>
      </c>
      <c r="Z14" s="22">
        <f t="shared" si="2"/>
        <v>0.99529064454909677</v>
      </c>
      <c r="AA14" s="22"/>
      <c r="AB14" s="22"/>
      <c r="AC14" s="22">
        <f t="shared" si="5"/>
        <v>0.9874621922171527</v>
      </c>
      <c r="AD14" s="22">
        <f t="shared" si="9"/>
        <v>0.99764963846003074</v>
      </c>
    </row>
    <row r="15" spans="1:30" ht="15.6">
      <c r="A15" s="4">
        <f t="shared" si="3"/>
        <v>14</v>
      </c>
      <c r="B15" s="7">
        <v>32873</v>
      </c>
      <c r="C15" s="10">
        <v>4126</v>
      </c>
      <c r="D15" s="28">
        <f t="shared" si="6"/>
        <v>4192.166666666667</v>
      </c>
      <c r="E15" s="23">
        <f t="shared" si="11"/>
        <v>0.98421659444201481</v>
      </c>
      <c r="F15" s="22">
        <f>AD14</f>
        <v>0.99764963846003074</v>
      </c>
      <c r="G15" s="15">
        <f t="shared" si="0"/>
        <v>4135.7204382581467</v>
      </c>
      <c r="V15" t="s">
        <v>66</v>
      </c>
      <c r="W15" s="22">
        <f>SUM(W3:W14)</f>
        <v>0</v>
      </c>
      <c r="X15" s="22">
        <f t="shared" ref="X15:AD15" si="12">SUM(X3:X14)</f>
        <v>11.899450577087832</v>
      </c>
      <c r="Y15" s="22">
        <f t="shared" si="12"/>
        <v>11.843496540137446</v>
      </c>
      <c r="Z15" s="22">
        <f t="shared" si="12"/>
        <v>11.813442189367032</v>
      </c>
      <c r="AA15" s="22">
        <f t="shared" si="12"/>
        <v>4.9933090736875023</v>
      </c>
      <c r="AB15" s="44" t="s">
        <v>66</v>
      </c>
      <c r="AC15" s="22">
        <f t="shared" si="12"/>
        <v>11.877462637982569</v>
      </c>
      <c r="AD15" s="22">
        <f t="shared" si="12"/>
        <v>11.999999999999998</v>
      </c>
    </row>
    <row r="16" spans="1:30" ht="15.6">
      <c r="A16" s="4">
        <f t="shared" si="3"/>
        <v>15</v>
      </c>
      <c r="B16" s="7">
        <v>32904</v>
      </c>
      <c r="C16" s="10">
        <v>4164</v>
      </c>
      <c r="D16" s="28">
        <f t="shared" si="6"/>
        <v>4241.25</v>
      </c>
      <c r="E16" s="23">
        <f t="shared" si="11"/>
        <v>0.98178603006189213</v>
      </c>
      <c r="F16" s="22">
        <f>F4</f>
        <v>0.99382437165042858</v>
      </c>
      <c r="G16" s="15">
        <f t="shared" si="0"/>
        <v>4189.8751115198656</v>
      </c>
      <c r="AC16" s="22"/>
      <c r="AD16" s="22"/>
    </row>
    <row r="17" spans="1:29" ht="15.6">
      <c r="A17" s="4">
        <f t="shared" si="3"/>
        <v>16</v>
      </c>
      <c r="B17" s="7">
        <v>32932</v>
      </c>
      <c r="C17" s="10">
        <v>4222</v>
      </c>
      <c r="D17" s="28">
        <f t="shared" si="6"/>
        <v>4304.5</v>
      </c>
      <c r="E17" s="23">
        <f t="shared" si="11"/>
        <v>0.98083401091880595</v>
      </c>
      <c r="F17" s="22">
        <f t="shared" ref="F17:F60" si="13">F5</f>
        <v>0.99530902483664563</v>
      </c>
      <c r="G17" s="15">
        <f t="shared" si="0"/>
        <v>4241.8986411712003</v>
      </c>
    </row>
    <row r="18" spans="1:29" ht="15.6">
      <c r="A18" s="4">
        <f t="shared" si="3"/>
        <v>17</v>
      </c>
      <c r="B18" s="7">
        <v>32963</v>
      </c>
      <c r="C18" s="10">
        <v>4321</v>
      </c>
      <c r="D18" s="28">
        <f t="shared" si="6"/>
        <v>4374.75</v>
      </c>
      <c r="E18" s="23">
        <f t="shared" si="11"/>
        <v>0.98771358363335049</v>
      </c>
      <c r="F18" s="22">
        <f t="shared" si="13"/>
        <v>0.99994278322106456</v>
      </c>
      <c r="G18" s="15">
        <f t="shared" si="0"/>
        <v>4321.2472478485051</v>
      </c>
      <c r="AB18" t="s">
        <v>67</v>
      </c>
      <c r="AC18">
        <f>12/AC15</f>
        <v>1.0103167962512105</v>
      </c>
    </row>
    <row r="19" spans="1:29" ht="15.6">
      <c r="A19" s="4">
        <f t="shared" si="3"/>
        <v>18</v>
      </c>
      <c r="B19" s="7">
        <v>32993</v>
      </c>
      <c r="C19" s="10">
        <v>4335</v>
      </c>
      <c r="D19" s="28">
        <f t="shared" si="6"/>
        <v>4445.916666666667</v>
      </c>
      <c r="E19" s="23">
        <f t="shared" si="11"/>
        <v>0.97505201402035568</v>
      </c>
      <c r="F19" s="22">
        <f t="shared" si="13"/>
        <v>0.99104955777487069</v>
      </c>
      <c r="G19" s="15">
        <f t="shared" si="0"/>
        <v>4374.1505820688226</v>
      </c>
    </row>
    <row r="20" spans="1:29" ht="15.6">
      <c r="A20" s="4">
        <f t="shared" si="3"/>
        <v>19</v>
      </c>
      <c r="B20" s="7">
        <v>33024</v>
      </c>
      <c r="C20" s="10">
        <v>4454</v>
      </c>
      <c r="D20" s="28">
        <f t="shared" si="6"/>
        <v>4512.666666666667</v>
      </c>
      <c r="E20" s="23">
        <f t="shared" si="11"/>
        <v>0.98699955680307272</v>
      </c>
      <c r="F20" s="22">
        <f t="shared" si="13"/>
        <v>0.98791561903418734</v>
      </c>
      <c r="G20" s="15">
        <f t="shared" si="0"/>
        <v>4508.4822166840013</v>
      </c>
      <c r="V20" s="5"/>
    </row>
    <row r="21" spans="1:29" ht="15.6">
      <c r="A21" s="4">
        <f t="shared" si="3"/>
        <v>20</v>
      </c>
      <c r="B21" s="7">
        <v>33054</v>
      </c>
      <c r="C21" s="10">
        <v>4536</v>
      </c>
      <c r="D21" s="28">
        <f t="shared" si="6"/>
        <v>4580.25</v>
      </c>
      <c r="E21" s="23">
        <f t="shared" si="11"/>
        <v>0.99033895529719995</v>
      </c>
      <c r="F21" s="22">
        <f t="shared" si="13"/>
        <v>1.0047368583548435</v>
      </c>
      <c r="G21" s="15">
        <f t="shared" si="0"/>
        <v>4514.614908651055</v>
      </c>
    </row>
    <row r="22" spans="1:29" ht="15.6">
      <c r="A22" s="4">
        <f t="shared" si="3"/>
        <v>21</v>
      </c>
      <c r="B22" s="7">
        <v>33085</v>
      </c>
      <c r="C22" s="10">
        <v>4597</v>
      </c>
      <c r="D22" s="28">
        <f t="shared" si="6"/>
        <v>4643.416666666667</v>
      </c>
      <c r="E22" s="23">
        <f t="shared" si="11"/>
        <v>0.99000376877658325</v>
      </c>
      <c r="F22" s="22">
        <f t="shared" si="13"/>
        <v>1.010177354511032</v>
      </c>
      <c r="G22" s="15">
        <f t="shared" si="0"/>
        <v>4550.6860547523756</v>
      </c>
    </row>
    <row r="23" spans="1:29" ht="15.6">
      <c r="A23" s="4">
        <f t="shared" si="3"/>
        <v>22</v>
      </c>
      <c r="B23" s="7">
        <v>33116</v>
      </c>
      <c r="C23" s="10">
        <v>4643</v>
      </c>
      <c r="D23" s="28">
        <f t="shared" si="6"/>
        <v>4693.333333333333</v>
      </c>
      <c r="E23" s="23">
        <f t="shared" si="11"/>
        <v>0.98927556818181828</v>
      </c>
      <c r="F23" s="22">
        <f t="shared" si="13"/>
        <v>1.0054518044272052</v>
      </c>
      <c r="G23" s="15">
        <f t="shared" si="0"/>
        <v>4617.8245238169975</v>
      </c>
    </row>
    <row r="24" spans="1:29" ht="15.6">
      <c r="A24" s="4">
        <f t="shared" si="3"/>
        <v>23</v>
      </c>
      <c r="B24" s="7">
        <v>33146</v>
      </c>
      <c r="C24" s="10">
        <v>4701</v>
      </c>
      <c r="D24" s="28">
        <f t="shared" si="6"/>
        <v>4735.916666666667</v>
      </c>
      <c r="E24" s="23">
        <f t="shared" si="11"/>
        <v>0.99262726328940187</v>
      </c>
      <c r="F24" s="22">
        <f t="shared" si="13"/>
        <v>1.0050366531213544</v>
      </c>
      <c r="G24" s="15">
        <f t="shared" si="0"/>
        <v>4677.4413504224431</v>
      </c>
    </row>
    <row r="25" spans="1:29" ht="15.6">
      <c r="A25" s="4">
        <f t="shared" si="3"/>
        <v>24</v>
      </c>
      <c r="B25" s="7">
        <v>33177</v>
      </c>
      <c r="C25" s="10">
        <v>4766</v>
      </c>
      <c r="D25" s="28">
        <f t="shared" si="6"/>
        <v>4780.333333333333</v>
      </c>
      <c r="E25" s="23">
        <f t="shared" si="11"/>
        <v>0.99700160379331992</v>
      </c>
      <c r="F25" s="22">
        <f t="shared" si="13"/>
        <v>1.0067530976031349</v>
      </c>
      <c r="G25" s="15">
        <f t="shared" si="0"/>
        <v>4734.0306291054212</v>
      </c>
    </row>
    <row r="26" spans="1:29" ht="15.6">
      <c r="A26" s="4">
        <f t="shared" si="3"/>
        <v>25</v>
      </c>
      <c r="B26" s="7">
        <v>33207</v>
      </c>
      <c r="C26" s="10">
        <v>4781</v>
      </c>
      <c r="D26" s="28">
        <f t="shared" si="6"/>
        <v>4834.25</v>
      </c>
      <c r="E26" s="23">
        <f t="shared" si="11"/>
        <v>0.98898484770129802</v>
      </c>
      <c r="F26" s="22">
        <f t="shared" si="13"/>
        <v>1.0021532370052018</v>
      </c>
      <c r="G26" s="15">
        <f t="shared" si="0"/>
        <v>4770.7274930202957</v>
      </c>
    </row>
    <row r="27" spans="1:29" ht="15.6">
      <c r="A27" s="4">
        <f t="shared" si="3"/>
        <v>26</v>
      </c>
      <c r="B27" s="7">
        <v>33238</v>
      </c>
      <c r="C27" s="10">
        <v>4808</v>
      </c>
      <c r="D27" s="28">
        <f t="shared" si="6"/>
        <v>4891.75</v>
      </c>
      <c r="E27" s="23">
        <f>C27/D27</f>
        <v>0.98287933766034652</v>
      </c>
      <c r="F27" s="22">
        <f t="shared" si="13"/>
        <v>0.99764963846003074</v>
      </c>
      <c r="G27" s="15">
        <f t="shared" si="0"/>
        <v>4819.3271612082326</v>
      </c>
    </row>
    <row r="28" spans="1:29" ht="15.6">
      <c r="A28" s="4">
        <f t="shared" si="3"/>
        <v>27</v>
      </c>
      <c r="B28" s="7">
        <v>33269</v>
      </c>
      <c r="C28" s="10">
        <v>4836</v>
      </c>
      <c r="D28" s="28">
        <f t="shared" si="6"/>
        <v>4946.833333333333</v>
      </c>
      <c r="E28" s="23">
        <f t="shared" si="11"/>
        <v>0.97759509450490223</v>
      </c>
      <c r="F28" s="22">
        <f t="shared" si="13"/>
        <v>0.99382437165042858</v>
      </c>
      <c r="G28" s="15">
        <f t="shared" si="0"/>
        <v>4866.0509220245131</v>
      </c>
    </row>
    <row r="29" spans="1:29" ht="15.6">
      <c r="A29" s="4">
        <f t="shared" si="3"/>
        <v>28</v>
      </c>
      <c r="B29" s="7">
        <v>33297</v>
      </c>
      <c r="C29" s="10">
        <v>4937</v>
      </c>
      <c r="D29" s="28">
        <f t="shared" si="6"/>
        <v>5048.5</v>
      </c>
      <c r="E29" s="23">
        <f t="shared" si="11"/>
        <v>0.9779142319500842</v>
      </c>
      <c r="F29" s="22">
        <f t="shared" si="13"/>
        <v>0.99530902483664563</v>
      </c>
      <c r="G29" s="15">
        <f t="shared" si="0"/>
        <v>4960.2684963198053</v>
      </c>
    </row>
    <row r="30" spans="1:29" ht="15.6">
      <c r="A30" s="4">
        <f t="shared" si="3"/>
        <v>29</v>
      </c>
      <c r="B30" s="7">
        <v>33328</v>
      </c>
      <c r="C30" s="10">
        <v>5054</v>
      </c>
      <c r="D30" s="28">
        <f t="shared" si="6"/>
        <v>5212.416666666667</v>
      </c>
      <c r="E30" s="23">
        <f t="shared" si="11"/>
        <v>0.96960782746326879</v>
      </c>
      <c r="F30" s="22">
        <f t="shared" si="13"/>
        <v>0.99994278322106456</v>
      </c>
      <c r="G30" s="15">
        <f t="shared" si="0"/>
        <v>5054.2891901472685</v>
      </c>
    </row>
    <row r="31" spans="1:29" ht="15.6">
      <c r="A31" s="4">
        <f t="shared" si="3"/>
        <v>30</v>
      </c>
      <c r="B31" s="7">
        <v>33358</v>
      </c>
      <c r="C31" s="10">
        <v>5103</v>
      </c>
      <c r="D31" s="28">
        <f t="shared" si="6"/>
        <v>5381</v>
      </c>
      <c r="E31" s="23">
        <f t="shared" si="11"/>
        <v>0.94833674038282845</v>
      </c>
      <c r="F31" s="22">
        <f t="shared" si="13"/>
        <v>0.99104955777487069</v>
      </c>
      <c r="G31" s="15">
        <f t="shared" si="0"/>
        <v>5149.0866021446836</v>
      </c>
    </row>
    <row r="32" spans="1:29" ht="15.6">
      <c r="A32" s="4">
        <f t="shared" si="3"/>
        <v>31</v>
      </c>
      <c r="B32" s="7">
        <v>33389</v>
      </c>
      <c r="C32" s="10">
        <v>5105</v>
      </c>
      <c r="D32" s="28">
        <f t="shared" si="6"/>
        <v>5529.75</v>
      </c>
      <c r="E32" s="23">
        <f t="shared" si="11"/>
        <v>0.92318820923188205</v>
      </c>
      <c r="F32" s="22">
        <f t="shared" si="13"/>
        <v>0.98791561903418734</v>
      </c>
      <c r="G32" s="15">
        <f t="shared" si="0"/>
        <v>5167.4453785747246</v>
      </c>
    </row>
    <row r="33" spans="1:19" ht="15.6">
      <c r="A33" s="1">
        <f t="shared" si="3"/>
        <v>32</v>
      </c>
      <c r="B33" s="12">
        <v>33419</v>
      </c>
      <c r="C33" s="13">
        <v>5704</v>
      </c>
      <c r="D33" s="28">
        <f t="shared" si="6"/>
        <v>5663.583333333333</v>
      </c>
      <c r="E33" s="23">
        <f t="shared" si="11"/>
        <v>1.0071362358930596</v>
      </c>
      <c r="F33" s="22">
        <f t="shared" si="13"/>
        <v>1.0047368583548435</v>
      </c>
      <c r="G33" s="15">
        <f t="shared" si="0"/>
        <v>5677.1083419192282</v>
      </c>
    </row>
    <row r="34" spans="1:19" ht="15.6">
      <c r="A34" s="1">
        <f t="shared" si="3"/>
        <v>33</v>
      </c>
      <c r="B34" s="12">
        <v>33450</v>
      </c>
      <c r="C34" s="13">
        <v>5907</v>
      </c>
      <c r="D34" s="28">
        <f t="shared" si="6"/>
        <v>5793.916666666667</v>
      </c>
      <c r="E34" s="23">
        <f t="shared" si="11"/>
        <v>1.0195175974801156</v>
      </c>
      <c r="F34" s="22">
        <f t="shared" si="13"/>
        <v>1.010177354511032</v>
      </c>
      <c r="G34" s="15">
        <f t="shared" si="0"/>
        <v>5847.48804120563</v>
      </c>
    </row>
    <row r="35" spans="1:19" ht="15.6">
      <c r="A35" s="4">
        <f t="shared" si="3"/>
        <v>34</v>
      </c>
      <c r="B35" s="7">
        <v>33481</v>
      </c>
      <c r="C35" s="10">
        <v>5889</v>
      </c>
      <c r="D35" s="28">
        <f t="shared" si="6"/>
        <v>5876.166666666667</v>
      </c>
      <c r="E35" s="23">
        <f t="shared" si="11"/>
        <v>1.0021839634682475</v>
      </c>
      <c r="F35" s="22">
        <f t="shared" si="13"/>
        <v>1.0054518044272052</v>
      </c>
      <c r="G35" s="15">
        <f t="shared" si="0"/>
        <v>5857.0684085199873</v>
      </c>
    </row>
    <row r="36" spans="1:19" ht="15.6">
      <c r="A36" s="4">
        <f t="shared" si="3"/>
        <v>35</v>
      </c>
      <c r="B36" s="7">
        <v>33511</v>
      </c>
      <c r="C36" s="10">
        <v>5887</v>
      </c>
      <c r="D36" s="28">
        <f t="shared" si="6"/>
        <v>5893.333333333333</v>
      </c>
      <c r="E36" s="23">
        <f t="shared" si="11"/>
        <v>0.99892533936651584</v>
      </c>
      <c r="F36" s="22">
        <f t="shared" si="13"/>
        <v>1.0050366531213544</v>
      </c>
      <c r="G36" s="15">
        <f t="shared" si="0"/>
        <v>5857.4978153450165</v>
      </c>
    </row>
    <row r="37" spans="1:19" ht="15.6">
      <c r="A37" s="4">
        <f t="shared" si="3"/>
        <v>36</v>
      </c>
      <c r="B37" s="7">
        <v>33542</v>
      </c>
      <c r="C37" s="10">
        <v>5876</v>
      </c>
      <c r="D37" s="28">
        <f t="shared" si="6"/>
        <v>5898.25</v>
      </c>
      <c r="E37" s="23">
        <f t="shared" si="11"/>
        <v>0.99622769465519434</v>
      </c>
      <c r="F37" s="22">
        <f t="shared" si="13"/>
        <v>1.0067530976031349</v>
      </c>
      <c r="G37" s="15">
        <f t="shared" si="0"/>
        <v>5836.5849720149927</v>
      </c>
    </row>
    <row r="38" spans="1:19" ht="15.6">
      <c r="A38" s="4">
        <f t="shared" si="3"/>
        <v>37</v>
      </c>
      <c r="B38" s="7">
        <v>33572</v>
      </c>
      <c r="C38" s="10">
        <v>5896</v>
      </c>
      <c r="D38" s="28">
        <f t="shared" si="6"/>
        <v>5910.666666666667</v>
      </c>
      <c r="E38" s="23">
        <f t="shared" si="11"/>
        <v>0.9975186104218362</v>
      </c>
      <c r="F38" s="22">
        <f t="shared" si="13"/>
        <v>1.0021532370052018</v>
      </c>
      <c r="G38" s="15">
        <f t="shared" si="0"/>
        <v>5883.3317922710021</v>
      </c>
    </row>
    <row r="39" spans="1:19" ht="15.6">
      <c r="A39" s="4">
        <f t="shared" si="3"/>
        <v>38</v>
      </c>
      <c r="B39" s="7">
        <v>33603</v>
      </c>
      <c r="C39" s="10">
        <v>5900</v>
      </c>
      <c r="D39" s="28">
        <f t="shared" si="6"/>
        <v>5927.916666666667</v>
      </c>
      <c r="E39" s="23">
        <f t="shared" si="11"/>
        <v>0.99529064454909677</v>
      </c>
      <c r="F39" s="22">
        <f t="shared" si="13"/>
        <v>0.99764963846003074</v>
      </c>
      <c r="G39" s="15">
        <f t="shared" si="0"/>
        <v>5913.8998026473746</v>
      </c>
      <c r="M39" s="61" t="s">
        <v>68</v>
      </c>
      <c r="N39" s="61" t="s">
        <v>47</v>
      </c>
    </row>
    <row r="40" spans="1:19" ht="15.6">
      <c r="A40" s="4">
        <f t="shared" si="3"/>
        <v>39</v>
      </c>
      <c r="B40" s="7">
        <v>33634</v>
      </c>
      <c r="C40" s="10">
        <v>5917</v>
      </c>
      <c r="D40" s="28">
        <f t="shared" si="6"/>
        <v>5943.916666666667</v>
      </c>
      <c r="E40" s="23">
        <f t="shared" si="11"/>
        <v>0.99547156055911501</v>
      </c>
      <c r="F40" s="22">
        <f t="shared" si="13"/>
        <v>0.99382437165042858</v>
      </c>
      <c r="G40" s="15">
        <f t="shared" si="0"/>
        <v>5953.7682600535654</v>
      </c>
      <c r="N40" t="s">
        <v>49</v>
      </c>
      <c r="O40" t="s">
        <v>50</v>
      </c>
      <c r="P40" t="s">
        <v>51</v>
      </c>
      <c r="Q40" t="s">
        <v>52</v>
      </c>
      <c r="R40" t="s">
        <v>53</v>
      </c>
      <c r="S40" t="s">
        <v>54</v>
      </c>
    </row>
    <row r="41" spans="1:19" ht="15.6">
      <c r="A41" s="4">
        <f t="shared" si="3"/>
        <v>40</v>
      </c>
      <c r="B41" s="7">
        <v>33663</v>
      </c>
      <c r="C41" s="10">
        <v>5938</v>
      </c>
      <c r="D41" s="28">
        <f t="shared" si="6"/>
        <v>5957.25</v>
      </c>
      <c r="E41" s="23">
        <f t="shared" si="11"/>
        <v>0.99676864324982162</v>
      </c>
      <c r="F41" s="22">
        <f t="shared" si="13"/>
        <v>0.99530902483664563</v>
      </c>
      <c r="G41" s="15">
        <f t="shared" si="0"/>
        <v>5965.9862935278516</v>
      </c>
      <c r="M41" s="61" t="s">
        <v>48</v>
      </c>
    </row>
    <row r="42" spans="1:19" ht="15.6">
      <c r="A42" s="4">
        <f t="shared" si="3"/>
        <v>41</v>
      </c>
      <c r="B42" s="7">
        <v>33694</v>
      </c>
      <c r="C42" s="10">
        <v>5987</v>
      </c>
      <c r="D42" s="28">
        <f t="shared" si="6"/>
        <v>5969.166666666667</v>
      </c>
      <c r="E42" s="23">
        <f>C42/D42</f>
        <v>1.0029875750383916</v>
      </c>
      <c r="F42" s="22">
        <f t="shared" si="13"/>
        <v>0.99994278322106456</v>
      </c>
      <c r="G42" s="15">
        <f>C42/F42</f>
        <v>5987.3425764566082</v>
      </c>
      <c r="M42" s="62" t="s">
        <v>10</v>
      </c>
      <c r="O42" s="22">
        <v>0.97985126253891386</v>
      </c>
      <c r="P42" s="22">
        <v>0.98178603006189213</v>
      </c>
      <c r="Q42" s="22">
        <v>0.97759509450490223</v>
      </c>
      <c r="R42" s="22">
        <v>0.99547156055911501</v>
      </c>
      <c r="S42" s="22">
        <v>3.9347039476648229</v>
      </c>
    </row>
    <row r="43" spans="1:19" ht="15.6">
      <c r="A43" s="4">
        <f t="shared" si="3"/>
        <v>42</v>
      </c>
      <c r="B43" s="7">
        <v>33724</v>
      </c>
      <c r="C43" s="10">
        <v>5983</v>
      </c>
      <c r="D43" s="28">
        <f t="shared" si="6"/>
        <v>5982.416666666667</v>
      </c>
      <c r="E43" s="23">
        <f t="shared" ref="E43" si="14">C43/D43</f>
        <v>1.0000975079747594</v>
      </c>
      <c r="F43" s="22">
        <f t="shared" si="13"/>
        <v>0.99104955777487069</v>
      </c>
      <c r="G43" s="15">
        <f t="shared" si="0"/>
        <v>6037.0341251482732</v>
      </c>
      <c r="M43" s="62" t="s">
        <v>11</v>
      </c>
      <c r="O43" s="22">
        <v>0.98506503246266253</v>
      </c>
      <c r="P43" s="22">
        <v>0.98083401091880595</v>
      </c>
      <c r="Q43" s="22">
        <v>0.9779142319500842</v>
      </c>
      <c r="R43" s="22">
        <v>0.99676864324982162</v>
      </c>
      <c r="S43" s="22">
        <v>3.9405819185813744</v>
      </c>
    </row>
    <row r="44" spans="1:19" ht="15.6">
      <c r="A44" s="4">
        <f t="shared" si="3"/>
        <v>43</v>
      </c>
      <c r="B44" s="7">
        <v>33755</v>
      </c>
      <c r="C44" s="10">
        <v>5981</v>
      </c>
      <c r="D44" s="28">
        <f>(SUM(C43:C47)+((C42+C48)/2))/6</f>
        <v>5993.083333333333</v>
      </c>
      <c r="E44" s="23">
        <f>C44/D44</f>
        <v>0.99798378686541434</v>
      </c>
      <c r="F44" s="22">
        <f>F32</f>
        <v>0.98791561903418734</v>
      </c>
      <c r="G44" s="15">
        <f t="shared" si="0"/>
        <v>6054.1607853585565</v>
      </c>
      <c r="M44" s="62" t="s">
        <v>12</v>
      </c>
      <c r="O44" s="22">
        <v>0.99861869647448842</v>
      </c>
      <c r="P44" s="22">
        <v>0.98771358363335049</v>
      </c>
      <c r="Q44" s="22">
        <v>0.96960782746326879</v>
      </c>
      <c r="R44" s="22">
        <v>1.0029875750383916</v>
      </c>
      <c r="S44" s="22">
        <v>3.9589276826094992</v>
      </c>
    </row>
    <row r="45" spans="1:19" ht="15.6">
      <c r="A45" s="4">
        <f t="shared" si="3"/>
        <v>44</v>
      </c>
      <c r="B45" s="7">
        <v>33785</v>
      </c>
      <c r="C45" s="10">
        <v>5975</v>
      </c>
      <c r="D45" s="28"/>
      <c r="E45" s="23"/>
      <c r="F45" s="22">
        <f>F33</f>
        <v>1.0047368583548435</v>
      </c>
      <c r="G45" s="15">
        <f t="shared" si="0"/>
        <v>5946.8307052888131</v>
      </c>
      <c r="M45" s="62" t="s">
        <v>13</v>
      </c>
      <c r="O45" s="22">
        <v>1.0002317692421145</v>
      </c>
      <c r="P45" s="22">
        <v>0.97505201402035568</v>
      </c>
      <c r="Q45" s="22">
        <v>0.94833674038282845</v>
      </c>
      <c r="R45" s="22">
        <v>1.0000975079747594</v>
      </c>
      <c r="S45" s="22">
        <v>3.9237180316200577</v>
      </c>
    </row>
    <row r="46" spans="1:19">
      <c r="A46" s="4">
        <f t="shared" si="3"/>
        <v>45</v>
      </c>
      <c r="B46" s="7">
        <v>33816</v>
      </c>
      <c r="C46" s="10">
        <v>5985</v>
      </c>
      <c r="D46" s="20"/>
      <c r="E46" s="23"/>
      <c r="F46" s="22">
        <f t="shared" si="13"/>
        <v>1.010177354511032</v>
      </c>
      <c r="G46" s="15">
        <f>C46/F46</f>
        <v>5924.7022052845268</v>
      </c>
      <c r="M46" s="62" t="s">
        <v>14</v>
      </c>
      <c r="O46" s="22">
        <v>1.0031387319522913</v>
      </c>
      <c r="P46" s="22">
        <v>0.98699955680307272</v>
      </c>
      <c r="Q46" s="22">
        <v>0.92318820923188205</v>
      </c>
      <c r="R46" s="22">
        <v>0.99798378686541434</v>
      </c>
      <c r="S46" s="22">
        <v>3.9113102848526604</v>
      </c>
    </row>
    <row r="47" spans="1:19">
      <c r="A47" s="4">
        <f t="shared" si="3"/>
        <v>46</v>
      </c>
      <c r="B47" s="7">
        <v>33847</v>
      </c>
      <c r="C47" s="18">
        <v>6029</v>
      </c>
      <c r="D47" s="20"/>
      <c r="E47" s="23"/>
      <c r="F47" s="22">
        <f t="shared" si="13"/>
        <v>1.0054518044272052</v>
      </c>
      <c r="G47" s="15">
        <f t="shared" si="0"/>
        <v>5996.3092944416712</v>
      </c>
      <c r="M47" s="62" t="s">
        <v>15</v>
      </c>
      <c r="O47" s="22">
        <v>0.98595593283814997</v>
      </c>
      <c r="P47" s="22">
        <v>0.99033895529719995</v>
      </c>
      <c r="Q47" s="22">
        <v>1.0071362358930596</v>
      </c>
      <c r="R47" s="22"/>
      <c r="S47" s="22">
        <v>2.9834311240284093</v>
      </c>
    </row>
    <row r="48" spans="1:19">
      <c r="A48" s="4">
        <f t="shared" si="3"/>
        <v>47</v>
      </c>
      <c r="B48" s="7">
        <v>33877</v>
      </c>
      <c r="C48" s="17">
        <v>6024</v>
      </c>
      <c r="D48" s="20"/>
      <c r="E48" s="23"/>
      <c r="F48" s="22">
        <f t="shared" si="13"/>
        <v>1.0050366531213544</v>
      </c>
      <c r="G48" s="15">
        <f>C48/F48</f>
        <v>5993.8112518495627</v>
      </c>
      <c r="M48" s="62" t="s">
        <v>16</v>
      </c>
      <c r="O48" s="22">
        <v>0.99006458022851462</v>
      </c>
      <c r="P48" s="22">
        <v>0.99000376877658325</v>
      </c>
      <c r="Q48" s="22">
        <v>1.0195175974801156</v>
      </c>
      <c r="R48" s="22"/>
      <c r="S48" s="22">
        <v>2.9995859464852135</v>
      </c>
    </row>
    <row r="49" spans="1:19">
      <c r="A49" s="4">
        <f t="shared" si="3"/>
        <v>48</v>
      </c>
      <c r="B49" s="7">
        <v>33908</v>
      </c>
      <c r="C49" s="10"/>
      <c r="D49" s="15"/>
      <c r="E49" s="23"/>
      <c r="F49" s="22">
        <f>F37</f>
        <v>1.0067530976031349</v>
      </c>
      <c r="G49" s="15"/>
      <c r="H49" s="15">
        <f>G48</f>
        <v>5993.8112518495627</v>
      </c>
      <c r="I49" s="27">
        <f>F49*H49</f>
        <v>6034.2880442480709</v>
      </c>
      <c r="J49" s="34"/>
      <c r="M49" s="62" t="s">
        <v>17</v>
      </c>
      <c r="O49" s="22">
        <v>0.99409452869400605</v>
      </c>
      <c r="P49" s="22">
        <v>0.98927556818181828</v>
      </c>
      <c r="Q49" s="22">
        <v>1.0021839634682475</v>
      </c>
      <c r="R49" s="22"/>
      <c r="S49" s="22">
        <v>2.9855540603440716</v>
      </c>
    </row>
    <row r="50" spans="1:19">
      <c r="A50" s="4">
        <f t="shared" si="3"/>
        <v>49</v>
      </c>
      <c r="B50" s="7">
        <v>33938</v>
      </c>
      <c r="C50" s="10"/>
      <c r="D50" s="15"/>
      <c r="E50" s="23"/>
      <c r="F50" s="22">
        <f t="shared" si="13"/>
        <v>1.0021532370052018</v>
      </c>
      <c r="G50" s="15"/>
      <c r="H50" s="15">
        <f>H49</f>
        <v>5993.8112518495627</v>
      </c>
      <c r="I50" s="27">
        <f>F50*H50</f>
        <v>6006.7173480392403</v>
      </c>
      <c r="J50" s="34"/>
      <c r="M50" s="62" t="s">
        <v>18</v>
      </c>
      <c r="O50" s="22">
        <v>0.99276872165706587</v>
      </c>
      <c r="P50" s="22">
        <v>0.99262726328940187</v>
      </c>
      <c r="Q50" s="22">
        <v>0.99892533936651584</v>
      </c>
      <c r="R50" s="22"/>
      <c r="S50" s="22">
        <v>2.9843213243129836</v>
      </c>
    </row>
    <row r="51" spans="1:19">
      <c r="A51" s="4">
        <f t="shared" si="3"/>
        <v>50</v>
      </c>
      <c r="B51" s="7">
        <v>33969</v>
      </c>
      <c r="C51" s="10"/>
      <c r="D51" s="15"/>
      <c r="E51" s="23"/>
      <c r="F51" s="22">
        <f t="shared" si="13"/>
        <v>0.99764963846003074</v>
      </c>
      <c r="G51" s="15"/>
      <c r="H51" s="15">
        <f t="shared" ref="H51:H60" si="15">H50</f>
        <v>5993.8112518495627</v>
      </c>
      <c r="I51" s="27">
        <f t="shared" ref="I51:I60" si="16">F51*H51</f>
        <v>5979.7236284053806</v>
      </c>
      <c r="J51" s="34"/>
      <c r="M51" s="62" t="s">
        <v>19</v>
      </c>
      <c r="O51" s="22">
        <v>0.9961887771650989</v>
      </c>
      <c r="P51" s="22">
        <v>0.99700160379331992</v>
      </c>
      <c r="Q51" s="22">
        <v>0.99622769465519434</v>
      </c>
      <c r="R51" s="22"/>
      <c r="S51" s="22">
        <v>2.9894180756136133</v>
      </c>
    </row>
    <row r="52" spans="1:19">
      <c r="A52" s="4">
        <f t="shared" si="3"/>
        <v>51</v>
      </c>
      <c r="B52" s="7">
        <v>34000</v>
      </c>
      <c r="C52" s="10"/>
      <c r="D52" s="15"/>
      <c r="E52" s="23"/>
      <c r="F52" s="22">
        <f t="shared" si="13"/>
        <v>0.99382437165042858</v>
      </c>
      <c r="G52" s="15"/>
      <c r="H52" s="15">
        <f t="shared" si="15"/>
        <v>5993.8112518495627</v>
      </c>
      <c r="I52" s="27">
        <f t="shared" si="16"/>
        <v>5956.7957011606604</v>
      </c>
      <c r="J52" s="34"/>
      <c r="M52" s="62" t="s">
        <v>20</v>
      </c>
      <c r="O52" s="22">
        <v>0.98925594939250938</v>
      </c>
      <c r="P52" s="22">
        <v>0.98898484770129802</v>
      </c>
      <c r="Q52" s="22">
        <v>0.9975186104218362</v>
      </c>
      <c r="R52" s="22"/>
      <c r="S52" s="22">
        <v>2.9757594075156435</v>
      </c>
    </row>
    <row r="53" spans="1:19">
      <c r="A53" s="4">
        <f t="shared" si="3"/>
        <v>52</v>
      </c>
      <c r="B53" s="7">
        <v>34028</v>
      </c>
      <c r="C53" s="10"/>
      <c r="D53" s="15"/>
      <c r="E53" s="23"/>
      <c r="F53" s="22">
        <f t="shared" si="13"/>
        <v>0.99530902483664563</v>
      </c>
      <c r="G53" s="15"/>
      <c r="H53" s="15">
        <f t="shared" si="15"/>
        <v>5993.8112518495627</v>
      </c>
      <c r="I53" s="27">
        <f t="shared" si="16"/>
        <v>5965.6944321333021</v>
      </c>
      <c r="J53" s="34"/>
      <c r="M53" s="62" t="s">
        <v>21</v>
      </c>
      <c r="O53" s="22">
        <v>0.98421659444201481</v>
      </c>
      <c r="P53" s="22">
        <v>0.98287933766034652</v>
      </c>
      <c r="Q53" s="22">
        <v>0.99529064454909677</v>
      </c>
      <c r="R53" s="22"/>
      <c r="S53" s="22">
        <v>2.9623865766514581</v>
      </c>
    </row>
    <row r="54" spans="1:19">
      <c r="A54" s="4">
        <f t="shared" si="3"/>
        <v>53</v>
      </c>
      <c r="B54" s="7">
        <v>34059</v>
      </c>
      <c r="C54" s="10"/>
      <c r="D54" s="15"/>
      <c r="E54" s="23"/>
      <c r="F54" s="22">
        <f t="shared" si="13"/>
        <v>0.99994278322106456</v>
      </c>
      <c r="G54" s="15"/>
      <c r="H54" s="15">
        <f t="shared" si="15"/>
        <v>5993.8112518495627</v>
      </c>
      <c r="I54" s="27">
        <f t="shared" si="16"/>
        <v>5993.4683052761848</v>
      </c>
      <c r="J54" s="34"/>
      <c r="M54" s="62" t="s">
        <v>54</v>
      </c>
      <c r="O54">
        <v>11.899450577087832</v>
      </c>
      <c r="P54">
        <v>11.843496540137446</v>
      </c>
      <c r="Q54">
        <v>11.813442189367032</v>
      </c>
      <c r="R54">
        <v>4.9933090736875023</v>
      </c>
      <c r="S54">
        <v>40.549698380279814</v>
      </c>
    </row>
    <row r="55" spans="1:19">
      <c r="A55" s="4">
        <f t="shared" si="3"/>
        <v>54</v>
      </c>
      <c r="B55" s="7">
        <v>34089</v>
      </c>
      <c r="C55" s="10"/>
      <c r="D55" s="15"/>
      <c r="E55" s="23"/>
      <c r="F55" s="22">
        <f t="shared" si="13"/>
        <v>0.99104955777487069</v>
      </c>
      <c r="G55" s="15"/>
      <c r="H55" s="15">
        <f t="shared" si="15"/>
        <v>5993.8112518495627</v>
      </c>
      <c r="I55" s="27">
        <f t="shared" si="16"/>
        <v>5940.1639905315533</v>
      </c>
      <c r="J55" s="34"/>
    </row>
    <row r="56" spans="1:19">
      <c r="A56" s="4">
        <f t="shared" si="3"/>
        <v>55</v>
      </c>
      <c r="B56" s="7">
        <v>34120</v>
      </c>
      <c r="C56" s="10"/>
      <c r="D56" s="15"/>
      <c r="E56" s="23"/>
      <c r="F56" s="22">
        <f t="shared" si="13"/>
        <v>0.98791561903418734</v>
      </c>
      <c r="G56" s="15"/>
      <c r="H56" s="15">
        <f t="shared" si="15"/>
        <v>5993.8112518495627</v>
      </c>
      <c r="I56" s="27">
        <f t="shared" si="16"/>
        <v>5921.379753245038</v>
      </c>
      <c r="J56" s="34"/>
      <c r="S56" s="22"/>
    </row>
    <row r="57" spans="1:19">
      <c r="A57" s="4">
        <f t="shared" si="3"/>
        <v>56</v>
      </c>
      <c r="B57" s="7">
        <v>34150</v>
      </c>
      <c r="C57" s="10"/>
      <c r="D57" s="15"/>
      <c r="E57" s="23"/>
      <c r="F57" s="22">
        <f t="shared" si="13"/>
        <v>1.0047368583548435</v>
      </c>
      <c r="G57" s="15"/>
      <c r="H57" s="15">
        <f t="shared" si="15"/>
        <v>5993.8112518495627</v>
      </c>
      <c r="I57" s="27">
        <f t="shared" si="16"/>
        <v>6022.2030867552412</v>
      </c>
      <c r="J57" s="34"/>
    </row>
    <row r="58" spans="1:19">
      <c r="A58" s="4">
        <f t="shared" si="3"/>
        <v>57</v>
      </c>
      <c r="B58" s="7">
        <v>34181</v>
      </c>
      <c r="C58" s="10"/>
      <c r="D58" s="15"/>
      <c r="E58" s="23"/>
      <c r="F58" s="22">
        <f t="shared" si="13"/>
        <v>1.010177354511032</v>
      </c>
      <c r="G58" s="15"/>
      <c r="H58" s="15">
        <f t="shared" si="15"/>
        <v>5993.8112518495627</v>
      </c>
      <c r="I58" s="27">
        <f t="shared" si="16"/>
        <v>6054.8123938318477</v>
      </c>
      <c r="J58" s="34"/>
    </row>
    <row r="59" spans="1:19">
      <c r="A59" s="4">
        <f t="shared" si="3"/>
        <v>58</v>
      </c>
      <c r="B59" s="7">
        <v>34212</v>
      </c>
      <c r="C59" s="10"/>
      <c r="D59" s="15"/>
      <c r="E59" s="23"/>
      <c r="F59" s="22">
        <f t="shared" si="13"/>
        <v>1.0054518044272052</v>
      </c>
      <c r="G59" s="15"/>
      <c r="H59" s="15">
        <f t="shared" si="15"/>
        <v>5993.8112518495627</v>
      </c>
      <c r="I59" s="27">
        <f t="shared" si="16"/>
        <v>6026.4883385682278</v>
      </c>
      <c r="J59" s="34"/>
    </row>
    <row r="60" spans="1:19">
      <c r="A60" s="4">
        <f t="shared" si="3"/>
        <v>59</v>
      </c>
      <c r="B60" s="7">
        <v>34242</v>
      </c>
      <c r="C60" s="10"/>
      <c r="D60" s="15"/>
      <c r="E60" s="23"/>
      <c r="F60" s="22">
        <f t="shared" si="13"/>
        <v>1.0050366531213544</v>
      </c>
      <c r="G60" s="15"/>
      <c r="H60" s="15">
        <f t="shared" si="15"/>
        <v>5993.8112518495627</v>
      </c>
      <c r="I60" s="27">
        <f t="shared" si="16"/>
        <v>6024</v>
      </c>
      <c r="J60" s="34"/>
    </row>
    <row r="61" spans="1:19">
      <c r="A61" s="4"/>
      <c r="B61" s="7"/>
      <c r="C61" s="10"/>
      <c r="D61" s="15"/>
      <c r="E61" s="23"/>
      <c r="F61" s="22"/>
      <c r="G61" s="15"/>
      <c r="H61" s="15"/>
      <c r="I61" s="15"/>
      <c r="J61" s="34"/>
    </row>
    <row r="62" spans="1:19">
      <c r="A62" s="4"/>
      <c r="B62" s="7"/>
      <c r="C62" s="10"/>
      <c r="D62" s="15"/>
      <c r="E62" s="23"/>
      <c r="F62" s="22"/>
      <c r="G62" s="15"/>
      <c r="H62" s="15"/>
      <c r="I62" s="15"/>
      <c r="J62" s="34"/>
    </row>
    <row r="63" spans="1:19">
      <c r="A63" s="4"/>
      <c r="B63" s="7"/>
      <c r="C63" s="10"/>
      <c r="D63" s="15"/>
      <c r="E63" s="23"/>
      <c r="F63" s="22"/>
      <c r="G63" s="15"/>
      <c r="H63" s="15"/>
      <c r="I63" s="15"/>
      <c r="J63" s="34"/>
    </row>
    <row r="64" spans="1:19">
      <c r="A64" s="4"/>
      <c r="B64" s="7"/>
      <c r="C64" s="10"/>
      <c r="D64" s="15"/>
      <c r="E64" s="23"/>
      <c r="F64" s="22"/>
      <c r="G64" s="15"/>
      <c r="H64" s="15"/>
      <c r="I64" s="15"/>
      <c r="J64" s="34"/>
    </row>
    <row r="65" spans="1:10">
      <c r="A65" s="4"/>
      <c r="B65" s="7"/>
      <c r="C65" s="10"/>
      <c r="D65" s="15"/>
      <c r="E65" s="23"/>
      <c r="F65" s="22"/>
      <c r="G65" s="15"/>
      <c r="H65" s="15"/>
      <c r="I65" s="15"/>
      <c r="J65" s="34"/>
    </row>
    <row r="66" spans="1:10">
      <c r="A66" s="4"/>
      <c r="B66" s="7"/>
      <c r="C66" s="10"/>
      <c r="D66" s="15"/>
      <c r="E66" s="23"/>
      <c r="F66" s="22"/>
      <c r="G66" s="15"/>
      <c r="H66" s="15"/>
      <c r="I66" s="15"/>
      <c r="J66" s="34"/>
    </row>
    <row r="67" spans="1:10">
      <c r="A67" s="4"/>
      <c r="B67" s="7"/>
      <c r="C67" s="10"/>
      <c r="D67" s="15"/>
      <c r="E67" s="23"/>
      <c r="F67" s="22"/>
      <c r="G67" s="15"/>
      <c r="H67" s="15"/>
      <c r="I67" s="15"/>
      <c r="J67" s="34"/>
    </row>
    <row r="68" spans="1:10">
      <c r="A68" s="4"/>
      <c r="B68" s="7"/>
      <c r="C68" s="10"/>
      <c r="D68" s="15"/>
      <c r="E68" s="23"/>
      <c r="F68" s="22"/>
      <c r="G68" s="15"/>
      <c r="H68" s="15"/>
      <c r="I68" s="15"/>
      <c r="J68" s="34"/>
    </row>
    <row r="69" spans="1:10">
      <c r="A69" s="4"/>
      <c r="B69" s="7"/>
      <c r="C69" s="10"/>
      <c r="D69" s="15"/>
      <c r="E69" s="23"/>
      <c r="F69" s="22"/>
      <c r="G69" s="15"/>
      <c r="H69" s="15"/>
      <c r="I69" s="15"/>
      <c r="J69" s="34"/>
    </row>
    <row r="70" spans="1:10">
      <c r="A70" s="4"/>
      <c r="B70" s="7"/>
      <c r="C70" s="10"/>
      <c r="D70" s="15"/>
      <c r="E70" s="23"/>
      <c r="F70" s="22"/>
      <c r="G70" s="15"/>
      <c r="H70" s="15"/>
      <c r="I70" s="15"/>
      <c r="J70" s="34"/>
    </row>
    <row r="71" spans="1:10">
      <c r="A71" s="4"/>
      <c r="B71" s="7"/>
      <c r="C71" s="10"/>
      <c r="D71" s="15"/>
      <c r="E71" s="23"/>
      <c r="F71" s="22"/>
      <c r="G71" s="15"/>
      <c r="H71" s="15"/>
      <c r="I71" s="15"/>
      <c r="J71" s="34"/>
    </row>
    <row r="72" spans="1:10">
      <c r="A72" s="4"/>
      <c r="B72" s="7"/>
      <c r="C72" s="10"/>
      <c r="D72" s="15"/>
      <c r="E72" s="23"/>
      <c r="F72" s="22"/>
      <c r="G72" s="15"/>
      <c r="H72" s="15"/>
      <c r="I72" s="15"/>
      <c r="J72" s="34"/>
    </row>
    <row r="73" spans="1:10">
      <c r="A73" s="4"/>
      <c r="B73" s="7"/>
      <c r="C73" s="10"/>
      <c r="D73" s="15"/>
      <c r="E73" s="23"/>
      <c r="F73" s="22"/>
      <c r="G73" s="15"/>
      <c r="H73" s="15"/>
      <c r="I73" s="15"/>
      <c r="J73" s="34"/>
    </row>
    <row r="74" spans="1:10">
      <c r="A74" s="4"/>
      <c r="B74" s="7"/>
      <c r="C74" s="10"/>
      <c r="D74" s="15"/>
      <c r="E74" s="23"/>
      <c r="F74" s="22"/>
      <c r="G74" s="15"/>
      <c r="H74" s="15"/>
      <c r="I74" s="15"/>
      <c r="J74" s="34"/>
    </row>
    <row r="75" spans="1:10">
      <c r="A75" s="4"/>
      <c r="B75" s="7"/>
      <c r="C75" s="10"/>
      <c r="D75" s="15"/>
      <c r="E75" s="23"/>
      <c r="F75" s="22"/>
      <c r="G75" s="15"/>
      <c r="H75" s="15"/>
      <c r="I75" s="15"/>
      <c r="J75" s="34"/>
    </row>
    <row r="76" spans="1:10">
      <c r="A76" s="4"/>
      <c r="B76" s="7"/>
      <c r="C76" s="10"/>
      <c r="D76" s="15"/>
      <c r="E76" s="23"/>
      <c r="F76" s="22"/>
      <c r="G76" s="15"/>
      <c r="H76" s="15"/>
      <c r="I76" s="15"/>
      <c r="J76" s="34"/>
    </row>
    <row r="77" spans="1:10">
      <c r="A77" s="4"/>
      <c r="B77" s="7"/>
      <c r="C77" s="10"/>
      <c r="D77" s="15"/>
      <c r="E77" s="23"/>
      <c r="F77" s="22"/>
      <c r="G77" s="15"/>
      <c r="H77" s="15"/>
      <c r="I77" s="15"/>
      <c r="J77" s="34"/>
    </row>
    <row r="78" spans="1:10">
      <c r="A78" s="4"/>
      <c r="B78" s="7"/>
      <c r="C78" s="10"/>
      <c r="D78" s="15"/>
      <c r="E78" s="23"/>
      <c r="F78" s="22"/>
      <c r="G78" s="15"/>
      <c r="H78" s="15"/>
      <c r="I78" s="15"/>
      <c r="J78" s="34"/>
    </row>
    <row r="79" spans="1:10">
      <c r="A79" s="4"/>
      <c r="B79" s="7"/>
      <c r="C79" s="10"/>
      <c r="D79" s="15"/>
      <c r="E79" s="23"/>
      <c r="F79" s="22"/>
      <c r="G79" s="15"/>
      <c r="H79" s="15"/>
      <c r="I79" s="15"/>
      <c r="J79" s="34"/>
    </row>
    <row r="80" spans="1:10">
      <c r="A80" s="4"/>
      <c r="B80" s="7"/>
      <c r="C80" s="10"/>
      <c r="D80" s="15"/>
      <c r="E80" s="23"/>
      <c r="F80" s="22"/>
      <c r="G80" s="15"/>
      <c r="H80" s="15"/>
      <c r="I80" s="15"/>
      <c r="J80" s="34"/>
    </row>
    <row r="81" spans="1:10">
      <c r="A81" s="4"/>
      <c r="B81" s="7"/>
      <c r="C81" s="10"/>
      <c r="D81" s="15"/>
      <c r="E81" s="23"/>
      <c r="F81" s="22"/>
      <c r="G81" s="15"/>
      <c r="H81" s="15"/>
      <c r="I81" s="15"/>
      <c r="J81" s="34"/>
    </row>
    <row r="82" spans="1:10">
      <c r="A82" s="4"/>
      <c r="B82" s="7"/>
      <c r="C82" s="10"/>
      <c r="D82" s="15"/>
      <c r="E82" s="23"/>
      <c r="F82" s="22"/>
      <c r="G82" s="15"/>
      <c r="H82" s="15"/>
      <c r="I82" s="15"/>
      <c r="J82" s="34"/>
    </row>
    <row r="83" spans="1:10">
      <c r="A83" s="4"/>
      <c r="B83" s="7"/>
      <c r="C83" s="10"/>
      <c r="D83" s="15"/>
      <c r="E83" s="23"/>
      <c r="F83" s="22"/>
      <c r="G83" s="15"/>
      <c r="H83" s="15"/>
      <c r="I83" s="15"/>
      <c r="J83" s="34"/>
    </row>
    <row r="84" spans="1:10">
      <c r="A84" s="4"/>
      <c r="B84" s="7"/>
      <c r="C84" s="10"/>
      <c r="D84" s="15"/>
      <c r="E84" s="23"/>
      <c r="F84" s="22"/>
      <c r="G84" s="15"/>
      <c r="H84" s="15"/>
      <c r="I84" s="15"/>
      <c r="J84" s="34"/>
    </row>
    <row r="85" spans="1:10">
      <c r="A85" s="4"/>
      <c r="B85" s="7"/>
      <c r="C85" s="10"/>
      <c r="D85" s="15"/>
      <c r="E85" s="23"/>
      <c r="F85" s="22"/>
      <c r="G85" s="15"/>
      <c r="H85" s="15"/>
      <c r="I85" s="15"/>
      <c r="J85" s="34"/>
    </row>
    <row r="86" spans="1:10">
      <c r="A86" s="4"/>
      <c r="B86" s="7"/>
      <c r="C86" s="10"/>
      <c r="D86" s="15"/>
      <c r="E86" s="23"/>
      <c r="F86" s="22"/>
      <c r="G86" s="15"/>
      <c r="H86" s="15"/>
      <c r="I86" s="15"/>
      <c r="J86" s="34"/>
    </row>
    <row r="87" spans="1:10">
      <c r="A87" s="4"/>
      <c r="B87" s="7"/>
      <c r="C87" s="10"/>
      <c r="D87" s="15"/>
      <c r="E87" s="23"/>
      <c r="F87" s="22"/>
      <c r="G87" s="15"/>
      <c r="H87" s="15"/>
      <c r="I87" s="15"/>
      <c r="J87" s="34"/>
    </row>
  </sheetData>
  <conditionalFormatting sqref="X3:AA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6FF1-3C7C-4E61-AA4F-6CDB223A862A}">
  <dimension ref="A1:AD87"/>
  <sheetViews>
    <sheetView zoomScale="85" zoomScaleNormal="85" workbookViewId="0">
      <pane ySplit="1" topLeftCell="A38" activePane="bottomLeft" state="frozen"/>
      <selection pane="bottomLeft" activeCell="H46" sqref="H46"/>
    </sheetView>
  </sheetViews>
  <sheetFormatPr defaultRowHeight="14.45"/>
  <cols>
    <col min="2" max="2" width="10.85546875" customWidth="1"/>
    <col min="3" max="3" width="9.42578125" customWidth="1"/>
    <col min="4" max="4" width="9.5703125" bestFit="1" customWidth="1"/>
    <col min="6" max="7" width="9.85546875" bestFit="1" customWidth="1"/>
    <col min="8" max="8" width="9.5703125" bestFit="1" customWidth="1"/>
    <col min="9" max="9" width="14.28515625" bestFit="1" customWidth="1"/>
    <col min="10" max="10" width="11.85546875" style="33" customWidth="1"/>
    <col min="22" max="23" width="10.42578125" bestFit="1" customWidth="1"/>
    <col min="24" max="24" width="9.42578125" bestFit="1" customWidth="1"/>
    <col min="25" max="25" width="9.85546875" bestFit="1" customWidth="1"/>
    <col min="26" max="26" width="10.42578125" bestFit="1" customWidth="1"/>
  </cols>
  <sheetData>
    <row r="1" spans="1:30" ht="57.95">
      <c r="A1" s="3" t="s">
        <v>1</v>
      </c>
      <c r="B1" s="6" t="s">
        <v>2</v>
      </c>
      <c r="C1" s="9" t="s">
        <v>3</v>
      </c>
      <c r="D1" s="14" t="s">
        <v>71</v>
      </c>
      <c r="E1" s="14" t="s">
        <v>59</v>
      </c>
      <c r="F1" s="14" t="s">
        <v>60</v>
      </c>
      <c r="G1" s="14" t="s">
        <v>61</v>
      </c>
      <c r="H1" s="14" t="s">
        <v>62</v>
      </c>
      <c r="I1" s="26" t="s">
        <v>72</v>
      </c>
      <c r="J1" s="32"/>
    </row>
    <row r="2" spans="1:30" ht="15.6">
      <c r="A2" s="4">
        <v>1</v>
      </c>
      <c r="B2" s="7">
        <v>32477</v>
      </c>
      <c r="C2" s="10">
        <v>3761</v>
      </c>
      <c r="D2" s="28"/>
      <c r="F2" s="22">
        <f>AD13</f>
        <v>0.99895296976377324</v>
      </c>
      <c r="G2" s="15">
        <f>C2/F2</f>
        <v>3764.942008120142</v>
      </c>
      <c r="W2">
        <v>1988</v>
      </c>
      <c r="X2">
        <v>1989</v>
      </c>
      <c r="Y2">
        <v>1990</v>
      </c>
      <c r="Z2">
        <v>1991</v>
      </c>
      <c r="AA2">
        <v>1992</v>
      </c>
      <c r="AC2" t="s">
        <v>64</v>
      </c>
      <c r="AD2" t="s">
        <v>65</v>
      </c>
    </row>
    <row r="3" spans="1:30" ht="15.6">
      <c r="A3" s="4">
        <f>1+A2</f>
        <v>2</v>
      </c>
      <c r="B3" s="7">
        <v>32508</v>
      </c>
      <c r="C3" s="10">
        <v>3770</v>
      </c>
      <c r="D3" s="28"/>
      <c r="F3" s="22">
        <f>AD14</f>
        <v>0.99136634823865966</v>
      </c>
      <c r="G3" s="15">
        <f>C3/F3</f>
        <v>3802.8323300443694</v>
      </c>
      <c r="V3">
        <v>1</v>
      </c>
      <c r="W3" s="22"/>
      <c r="X3" s="22"/>
      <c r="Y3" s="22">
        <f t="shared" ref="Y3:Y14" si="0">E16</f>
        <v>0.98506668243782713</v>
      </c>
      <c r="Z3" s="22">
        <f t="shared" ref="Z3:Z14" si="1">E28</f>
        <v>0.97222315295694417</v>
      </c>
      <c r="AA3" s="22">
        <f>E40</f>
        <v>0.99759747102212859</v>
      </c>
      <c r="AB3" s="22"/>
      <c r="AC3" s="22">
        <f>AVERAGE(W3:AA3)</f>
        <v>0.9849624354723</v>
      </c>
      <c r="AD3" s="22">
        <f>AC3*AC18</f>
        <v>0.98565799233532947</v>
      </c>
    </row>
    <row r="4" spans="1:30" ht="15.6">
      <c r="A4" s="4">
        <f t="shared" ref="A4:A60" si="2">1+A3</f>
        <v>3</v>
      </c>
      <c r="B4" s="7">
        <v>32539</v>
      </c>
      <c r="C4" s="10">
        <v>3777</v>
      </c>
      <c r="D4" s="28"/>
      <c r="F4" s="22">
        <f>AD3</f>
        <v>0.98565799233532947</v>
      </c>
      <c r="G4" s="15">
        <f>C4/F4</f>
        <v>3831.9579705848228</v>
      </c>
      <c r="V4">
        <v>2</v>
      </c>
      <c r="W4" s="22"/>
      <c r="X4" s="22"/>
      <c r="Y4" s="22">
        <f t="shared" si="0"/>
        <v>0.98684248970091248</v>
      </c>
      <c r="Z4" s="22">
        <f t="shared" si="1"/>
        <v>0.97172287101430255</v>
      </c>
      <c r="AA4" s="22">
        <f>E41</f>
        <v>0.99960720498288536</v>
      </c>
      <c r="AB4" s="22"/>
      <c r="AC4" s="22">
        <f t="shared" ref="AC4:AC14" si="3">AVERAGE(W4:AA4)</f>
        <v>0.98605752189936691</v>
      </c>
      <c r="AD4" s="22">
        <f>AC4*AC$18</f>
        <v>0.9867538520861826</v>
      </c>
    </row>
    <row r="5" spans="1:30" ht="15.6">
      <c r="A5" s="4">
        <f t="shared" si="2"/>
        <v>4</v>
      </c>
      <c r="B5" s="7">
        <v>32567</v>
      </c>
      <c r="C5" s="10">
        <v>3831</v>
      </c>
      <c r="D5" s="28"/>
      <c r="F5" s="22">
        <f>AD4</f>
        <v>0.9867538520861826</v>
      </c>
      <c r="G5" s="15">
        <f t="shared" ref="G5:G47" si="4">C5/F5</f>
        <v>3882.4272050223549</v>
      </c>
      <c r="V5">
        <v>3</v>
      </c>
      <c r="W5" s="22"/>
      <c r="X5" s="22"/>
      <c r="Y5" s="22">
        <f t="shared" si="0"/>
        <v>0.997662270195388</v>
      </c>
      <c r="Z5" s="22">
        <f t="shared" si="1"/>
        <v>0.97529911231184874</v>
      </c>
      <c r="AA5" s="22">
        <f>E42</f>
        <v>1.0059015016276383</v>
      </c>
      <c r="AB5" s="22"/>
      <c r="AC5" s="22">
        <f t="shared" si="3"/>
        <v>0.992954294711625</v>
      </c>
      <c r="AD5" s="22">
        <f t="shared" ref="AD5:AD14" si="5">AC5*AC$18</f>
        <v>0.99365549523408958</v>
      </c>
    </row>
    <row r="6" spans="1:30" ht="15.6">
      <c r="A6" s="4">
        <f t="shared" si="2"/>
        <v>5</v>
      </c>
      <c r="B6" s="7">
        <v>32598</v>
      </c>
      <c r="C6" s="10">
        <v>3916</v>
      </c>
      <c r="D6" s="28"/>
      <c r="F6" s="22">
        <f t="shared" ref="F6:F14" si="6">AD5</f>
        <v>0.99365549523408958</v>
      </c>
      <c r="G6" s="15">
        <f t="shared" si="4"/>
        <v>3941.0037168641152</v>
      </c>
      <c r="V6">
        <v>4</v>
      </c>
      <c r="W6" s="22"/>
      <c r="X6" s="22"/>
      <c r="Y6" s="22">
        <f t="shared" si="0"/>
        <v>0.98832514795428861</v>
      </c>
      <c r="Z6" s="22">
        <f t="shared" si="1"/>
        <v>0.96690456641192446</v>
      </c>
      <c r="AA6" s="22"/>
      <c r="AB6" s="22"/>
      <c r="AC6" s="22">
        <f t="shared" si="3"/>
        <v>0.97761485718310648</v>
      </c>
      <c r="AD6" s="22">
        <f t="shared" si="5"/>
        <v>0.97830522536246467</v>
      </c>
    </row>
    <row r="7" spans="1:30" ht="15.6">
      <c r="A7" s="4">
        <f t="shared" si="2"/>
        <v>6</v>
      </c>
      <c r="B7" s="7">
        <v>32628</v>
      </c>
      <c r="C7" s="10">
        <v>3956</v>
      </c>
      <c r="D7" s="28"/>
      <c r="F7" s="22">
        <f t="shared" si="6"/>
        <v>0.97830522536246467</v>
      </c>
      <c r="G7" s="15">
        <f t="shared" si="4"/>
        <v>4043.7277625030488</v>
      </c>
      <c r="V7">
        <v>5</v>
      </c>
      <c r="W7" s="22"/>
      <c r="X7" s="22">
        <f t="shared" ref="X7:X14" si="7">E8</f>
        <v>1.0138736147534049</v>
      </c>
      <c r="Y7" s="22">
        <f t="shared" si="0"/>
        <v>1.0026262474675471</v>
      </c>
      <c r="Z7" s="22">
        <f t="shared" si="1"/>
        <v>0.9505853874263902</v>
      </c>
      <c r="AA7" s="22"/>
      <c r="AB7" s="22"/>
      <c r="AC7" s="22">
        <f t="shared" si="3"/>
        <v>0.98902841654911411</v>
      </c>
      <c r="AD7" s="22">
        <f t="shared" si="5"/>
        <v>0.98972684471052108</v>
      </c>
    </row>
    <row r="8" spans="1:30">
      <c r="A8" s="4">
        <f t="shared" si="2"/>
        <v>7</v>
      </c>
      <c r="B8" s="7">
        <v>32659</v>
      </c>
      <c r="C8" s="10">
        <v>3995</v>
      </c>
      <c r="D8" s="15">
        <f>(SUM(C3:C13)+((C2+C14)/2))/12</f>
        <v>3940.3333333333335</v>
      </c>
      <c r="E8" s="23">
        <f>C8/D8</f>
        <v>1.0138736147534049</v>
      </c>
      <c r="F8" s="22">
        <f t="shared" si="6"/>
        <v>0.98972684471052108</v>
      </c>
      <c r="G8" s="15">
        <f>C8/F8</f>
        <v>4036.4672549308007</v>
      </c>
      <c r="V8">
        <v>6</v>
      </c>
      <c r="W8" s="22"/>
      <c r="X8" s="22">
        <f t="shared" si="7"/>
        <v>0.99483562161481298</v>
      </c>
      <c r="Y8" s="22">
        <f t="shared" si="0"/>
        <v>1.0082427251004871</v>
      </c>
      <c r="Z8" s="22">
        <f t="shared" si="1"/>
        <v>1.0442423872581925</v>
      </c>
      <c r="AA8" s="22"/>
      <c r="AB8" s="22"/>
      <c r="AC8" s="22">
        <f t="shared" si="3"/>
        <v>1.0157735779911643</v>
      </c>
      <c r="AD8" s="22">
        <f t="shared" si="5"/>
        <v>1.0164908929445178</v>
      </c>
    </row>
    <row r="9" spans="1:30">
      <c r="A9" s="4">
        <f t="shared" si="2"/>
        <v>8</v>
      </c>
      <c r="B9" s="7">
        <v>32689</v>
      </c>
      <c r="C9" s="10">
        <v>3949</v>
      </c>
      <c r="D9" s="15">
        <f t="shared" ref="D9:D42" si="8">(SUM(C4:C14)+((C3+C15)/2))/12</f>
        <v>3969.5</v>
      </c>
      <c r="E9" s="23">
        <f t="shared" ref="E9:E41" si="9">C9/D9</f>
        <v>0.99483562161481298</v>
      </c>
      <c r="F9" s="22">
        <f t="shared" si="6"/>
        <v>1.0164908929445178</v>
      </c>
      <c r="G9" s="15">
        <f>C9/F9</f>
        <v>3884.9339698073859</v>
      </c>
      <c r="V9">
        <v>7</v>
      </c>
      <c r="W9" s="22"/>
      <c r="X9" s="22">
        <f t="shared" si="7"/>
        <v>0.99638583079022192</v>
      </c>
      <c r="Y9" s="22">
        <f t="shared" si="0"/>
        <v>1.0091467876481781</v>
      </c>
      <c r="Z9" s="22">
        <f t="shared" si="1"/>
        <v>1.063773270603066</v>
      </c>
      <c r="AA9" s="22"/>
      <c r="AB9" s="22"/>
      <c r="AC9" s="22">
        <f t="shared" si="3"/>
        <v>1.0231019630138221</v>
      </c>
      <c r="AD9" s="22">
        <f t="shared" si="5"/>
        <v>1.023824453097022</v>
      </c>
    </row>
    <row r="10" spans="1:30">
      <c r="A10" s="4">
        <f t="shared" si="2"/>
        <v>9</v>
      </c>
      <c r="B10" s="7">
        <v>32720</v>
      </c>
      <c r="C10" s="10">
        <v>3986</v>
      </c>
      <c r="D10" s="15">
        <f t="shared" si="8"/>
        <v>4000.4583333333335</v>
      </c>
      <c r="E10" s="23">
        <f t="shared" si="9"/>
        <v>0.99638583079022192</v>
      </c>
      <c r="F10" s="22">
        <f t="shared" si="6"/>
        <v>1.023824453097022</v>
      </c>
      <c r="G10" s="15">
        <f t="shared" si="4"/>
        <v>3893.2455539057823</v>
      </c>
      <c r="V10">
        <v>8</v>
      </c>
      <c r="W10" s="22"/>
      <c r="X10" s="22">
        <f t="shared" si="7"/>
        <v>0.99829526082509379</v>
      </c>
      <c r="Y10" s="22">
        <f t="shared" si="0"/>
        <v>1.0064760872510501</v>
      </c>
      <c r="Z10" s="22">
        <f t="shared" si="1"/>
        <v>1.0442183655828181</v>
      </c>
      <c r="AA10" s="22"/>
      <c r="AB10" s="22"/>
      <c r="AC10" s="22">
        <f t="shared" si="3"/>
        <v>1.0163299045529872</v>
      </c>
      <c r="AD10" s="22">
        <f t="shared" si="5"/>
        <v>1.0170476123708239</v>
      </c>
    </row>
    <row r="11" spans="1:30">
      <c r="A11" s="4">
        <f t="shared" si="2"/>
        <v>10</v>
      </c>
      <c r="B11" s="7">
        <v>32751</v>
      </c>
      <c r="C11" s="10">
        <v>4026</v>
      </c>
      <c r="D11" s="15">
        <f t="shared" si="8"/>
        <v>4032.875</v>
      </c>
      <c r="E11" s="23">
        <f t="shared" si="9"/>
        <v>0.99829526082509379</v>
      </c>
      <c r="F11" s="22">
        <f t="shared" si="6"/>
        <v>1.0170476123708239</v>
      </c>
      <c r="G11" s="15">
        <f t="shared" si="4"/>
        <v>3958.5167410354115</v>
      </c>
      <c r="V11">
        <v>9</v>
      </c>
      <c r="W11" s="22"/>
      <c r="X11" s="22">
        <f t="shared" si="7"/>
        <v>0.99605472152482455</v>
      </c>
      <c r="Y11" s="22">
        <f t="shared" si="0"/>
        <v>1.0058932089904871</v>
      </c>
      <c r="Z11" s="22">
        <f t="shared" si="1"/>
        <v>1.0291583202826238</v>
      </c>
      <c r="AA11" s="22"/>
      <c r="AB11" s="22"/>
      <c r="AC11" s="22">
        <f t="shared" si="3"/>
        <v>1.0103687502659784</v>
      </c>
      <c r="AD11" s="22">
        <f t="shared" si="5"/>
        <v>1.0110822484595425</v>
      </c>
    </row>
    <row r="12" spans="1:30">
      <c r="A12" s="4">
        <f t="shared" si="2"/>
        <v>11</v>
      </c>
      <c r="B12" s="7">
        <v>32781</v>
      </c>
      <c r="C12" s="10">
        <v>4050</v>
      </c>
      <c r="D12" s="15">
        <f t="shared" si="8"/>
        <v>4066.0416666666665</v>
      </c>
      <c r="E12" s="23">
        <f t="shared" si="9"/>
        <v>0.99605472152482455</v>
      </c>
      <c r="F12" s="22">
        <f t="shared" si="6"/>
        <v>1.0110822484595425</v>
      </c>
      <c r="G12" s="15">
        <f t="shared" si="4"/>
        <v>4005.6088475200413</v>
      </c>
      <c r="V12">
        <v>10</v>
      </c>
      <c r="W12" s="22"/>
      <c r="X12" s="22">
        <f t="shared" si="7"/>
        <v>0.9990952434201833</v>
      </c>
      <c r="Y12" s="22">
        <f t="shared" si="0"/>
        <v>1.0063344594594594</v>
      </c>
      <c r="Z12" s="22">
        <f t="shared" si="1"/>
        <v>1.0138463529310271</v>
      </c>
      <c r="AA12" s="22"/>
      <c r="AB12" s="22"/>
      <c r="AC12" s="22">
        <f t="shared" si="3"/>
        <v>1.00642535193689</v>
      </c>
      <c r="AD12" s="22">
        <f t="shared" si="5"/>
        <v>1.0071360653970747</v>
      </c>
    </row>
    <row r="13" spans="1:30">
      <c r="A13" s="4">
        <f t="shared" si="2"/>
        <v>12</v>
      </c>
      <c r="B13" s="7">
        <v>32812</v>
      </c>
      <c r="C13" s="10">
        <v>4095</v>
      </c>
      <c r="D13" s="15">
        <f t="shared" si="8"/>
        <v>4098.708333333333</v>
      </c>
      <c r="E13" s="23">
        <f t="shared" si="9"/>
        <v>0.9990952434201833</v>
      </c>
      <c r="F13" s="22">
        <f t="shared" si="6"/>
        <v>1.0071360653970747</v>
      </c>
      <c r="G13" s="15">
        <f t="shared" si="4"/>
        <v>4065.9848660920511</v>
      </c>
      <c r="V13">
        <v>11</v>
      </c>
      <c r="W13" s="22"/>
      <c r="X13" s="22">
        <f t="shared" si="7"/>
        <v>0.99307508542743961</v>
      </c>
      <c r="Y13" s="22">
        <f t="shared" si="0"/>
        <v>0.99705429994004324</v>
      </c>
      <c r="Z13" s="22">
        <f t="shared" si="1"/>
        <v>1.0046147074275491</v>
      </c>
      <c r="AA13" s="22"/>
      <c r="AB13" s="22"/>
      <c r="AC13" s="22">
        <f t="shared" si="3"/>
        <v>0.99824803093167735</v>
      </c>
      <c r="AD13" s="22">
        <f>AC13*AC$18</f>
        <v>0.99895296976377324</v>
      </c>
    </row>
    <row r="14" spans="1:30">
      <c r="A14" s="4">
        <f t="shared" si="2"/>
        <v>13</v>
      </c>
      <c r="B14" s="7">
        <v>32842</v>
      </c>
      <c r="C14" s="10">
        <v>4105</v>
      </c>
      <c r="D14" s="15">
        <f t="shared" si="8"/>
        <v>4133.625</v>
      </c>
      <c r="E14" s="23">
        <f t="shared" si="9"/>
        <v>0.99307508542743961</v>
      </c>
      <c r="F14" s="22">
        <f t="shared" si="6"/>
        <v>0.99895296976377324</v>
      </c>
      <c r="G14" s="15">
        <f t="shared" si="4"/>
        <v>4109.3025640343485</v>
      </c>
      <c r="V14">
        <v>12</v>
      </c>
      <c r="W14" s="22"/>
      <c r="X14" s="22">
        <f t="shared" si="7"/>
        <v>0.98774101523146451</v>
      </c>
      <c r="Y14" s="22">
        <f t="shared" si="0"/>
        <v>0.98708319789225152</v>
      </c>
      <c r="Z14" s="22">
        <f t="shared" si="1"/>
        <v>0.99717607622481541</v>
      </c>
      <c r="AA14" s="22"/>
      <c r="AB14" s="22"/>
      <c r="AC14" s="22">
        <f t="shared" si="3"/>
        <v>0.99066676311617707</v>
      </c>
      <c r="AD14" s="22">
        <f t="shared" si="5"/>
        <v>0.99136634823865966</v>
      </c>
    </row>
    <row r="15" spans="1:30">
      <c r="A15" s="4">
        <f t="shared" si="2"/>
        <v>14</v>
      </c>
      <c r="B15" s="7">
        <v>32873</v>
      </c>
      <c r="C15" s="10">
        <v>4126</v>
      </c>
      <c r="D15" s="15">
        <f t="shared" si="8"/>
        <v>4177.208333333333</v>
      </c>
      <c r="E15" s="23">
        <f t="shared" si="9"/>
        <v>0.98774101523146451</v>
      </c>
      <c r="F15" s="22">
        <f>AD14</f>
        <v>0.99136634823865966</v>
      </c>
      <c r="G15" s="15">
        <f t="shared" si="4"/>
        <v>4161.9326773907342</v>
      </c>
      <c r="V15" t="s">
        <v>66</v>
      </c>
      <c r="W15" s="22">
        <f>SUM(W3:W14)</f>
        <v>0</v>
      </c>
      <c r="X15" s="22">
        <f t="shared" ref="X15:AD15" si="10">SUM(X3:X14)</f>
        <v>7.9793563935874463</v>
      </c>
      <c r="Y15" s="22">
        <f t="shared" si="10"/>
        <v>11.98075360403792</v>
      </c>
      <c r="Z15" s="22">
        <f t="shared" si="10"/>
        <v>12.033764570431504</v>
      </c>
      <c r="AA15" s="22">
        <f t="shared" si="10"/>
        <v>3.0031061776326524</v>
      </c>
      <c r="AB15" s="44" t="s">
        <v>66</v>
      </c>
      <c r="AC15" s="22">
        <f t="shared" si="10"/>
        <v>11.991531867624209</v>
      </c>
      <c r="AD15" s="22">
        <f t="shared" si="10"/>
        <v>12.000000000000002</v>
      </c>
    </row>
    <row r="16" spans="1:30">
      <c r="A16" s="4">
        <f t="shared" si="2"/>
        <v>15</v>
      </c>
      <c r="B16" s="7">
        <v>32904</v>
      </c>
      <c r="C16" s="10">
        <v>4164</v>
      </c>
      <c r="D16" s="15">
        <f t="shared" si="8"/>
        <v>4227.125</v>
      </c>
      <c r="E16" s="23">
        <f t="shared" si="9"/>
        <v>0.98506668243782713</v>
      </c>
      <c r="F16" s="22">
        <f>F4</f>
        <v>0.98565799233532947</v>
      </c>
      <c r="G16" s="15">
        <f t="shared" si="4"/>
        <v>4224.5890890958972</v>
      </c>
      <c r="AC16" s="22"/>
      <c r="AD16" s="22"/>
    </row>
    <row r="17" spans="1:29">
      <c r="A17" s="4">
        <f t="shared" si="2"/>
        <v>16</v>
      </c>
      <c r="B17" s="7">
        <v>32932</v>
      </c>
      <c r="C17" s="10">
        <v>4222</v>
      </c>
      <c r="D17" s="15">
        <f t="shared" si="8"/>
        <v>4278.291666666667</v>
      </c>
      <c r="E17" s="23">
        <f t="shared" si="9"/>
        <v>0.98684248970091248</v>
      </c>
      <c r="F17" s="22">
        <f t="shared" ref="F17:F60" si="11">F5</f>
        <v>0.9867538520861826</v>
      </c>
      <c r="G17" s="15">
        <f t="shared" si="4"/>
        <v>4278.6759748380009</v>
      </c>
    </row>
    <row r="18" spans="1:29">
      <c r="A18" s="4">
        <f t="shared" si="2"/>
        <v>17</v>
      </c>
      <c r="B18" s="7">
        <v>32963</v>
      </c>
      <c r="C18" s="10">
        <v>4321</v>
      </c>
      <c r="D18" s="15">
        <f t="shared" si="8"/>
        <v>4331.125</v>
      </c>
      <c r="E18" s="23">
        <f t="shared" si="9"/>
        <v>0.997662270195388</v>
      </c>
      <c r="F18" s="22">
        <f t="shared" si="11"/>
        <v>0.99365549523408958</v>
      </c>
      <c r="G18" s="15">
        <f t="shared" si="4"/>
        <v>4348.5896477451079</v>
      </c>
      <c r="AB18" t="s">
        <v>67</v>
      </c>
      <c r="AC18">
        <f>12/AC15</f>
        <v>1.0007061760306584</v>
      </c>
    </row>
    <row r="19" spans="1:29">
      <c r="A19" s="4">
        <f t="shared" si="2"/>
        <v>18</v>
      </c>
      <c r="B19" s="7">
        <v>32993</v>
      </c>
      <c r="C19" s="10">
        <v>4335</v>
      </c>
      <c r="D19" s="15">
        <f t="shared" si="8"/>
        <v>4386.208333333333</v>
      </c>
      <c r="E19" s="23">
        <f t="shared" si="9"/>
        <v>0.98832514795428861</v>
      </c>
      <c r="F19" s="22">
        <f t="shared" si="11"/>
        <v>0.97830522536246467</v>
      </c>
      <c r="G19" s="15">
        <f t="shared" si="4"/>
        <v>4431.1324192241445</v>
      </c>
    </row>
    <row r="20" spans="1:29">
      <c r="A20" s="4">
        <f t="shared" si="2"/>
        <v>19</v>
      </c>
      <c r="B20" s="7">
        <v>33024</v>
      </c>
      <c r="C20" s="10">
        <v>4454</v>
      </c>
      <c r="D20" s="15">
        <f>(SUM(C15:C25)+((C14+C26)/2))/12</f>
        <v>4442.333333333333</v>
      </c>
      <c r="E20" s="23">
        <f t="shared" si="9"/>
        <v>1.0026262474675471</v>
      </c>
      <c r="F20" s="22">
        <f t="shared" si="11"/>
        <v>0.98972684471052108</v>
      </c>
      <c r="G20" s="15">
        <f t="shared" si="4"/>
        <v>4500.2315778377442</v>
      </c>
      <c r="V20" s="5"/>
    </row>
    <row r="21" spans="1:29">
      <c r="A21" s="4">
        <f t="shared" si="2"/>
        <v>20</v>
      </c>
      <c r="B21" s="7">
        <v>33054</v>
      </c>
      <c r="C21" s="10">
        <v>4536</v>
      </c>
      <c r="D21" s="15">
        <f t="shared" si="8"/>
        <v>4498.916666666667</v>
      </c>
      <c r="E21" s="23">
        <f t="shared" si="9"/>
        <v>1.0082427251004871</v>
      </c>
      <c r="F21" s="22">
        <f t="shared" si="11"/>
        <v>1.0164908929445178</v>
      </c>
      <c r="G21" s="15">
        <f t="shared" si="4"/>
        <v>4462.4108602295018</v>
      </c>
    </row>
    <row r="22" spans="1:29">
      <c r="A22" s="4">
        <f t="shared" si="2"/>
        <v>21</v>
      </c>
      <c r="B22" s="7">
        <v>33085</v>
      </c>
      <c r="C22" s="10">
        <v>4597</v>
      </c>
      <c r="D22" s="15">
        <f t="shared" si="8"/>
        <v>4555.333333333333</v>
      </c>
      <c r="E22" s="23">
        <f t="shared" si="9"/>
        <v>1.0091467876481781</v>
      </c>
      <c r="F22" s="22">
        <f t="shared" si="11"/>
        <v>1.023824453097022</v>
      </c>
      <c r="G22" s="15">
        <f t="shared" si="4"/>
        <v>4490.0275492485907</v>
      </c>
    </row>
    <row r="23" spans="1:29">
      <c r="A23" s="4">
        <f t="shared" si="2"/>
        <v>22</v>
      </c>
      <c r="B23" s="7">
        <v>33116</v>
      </c>
      <c r="C23" s="10">
        <v>4643</v>
      </c>
      <c r="D23" s="15">
        <f>(SUM(C18:C28)+((C17+C29)/2))/12</f>
        <v>4613.125</v>
      </c>
      <c r="E23" s="23">
        <f t="shared" si="9"/>
        <v>1.0064760872510501</v>
      </c>
      <c r="F23" s="22">
        <f t="shared" si="11"/>
        <v>1.0170476123708239</v>
      </c>
      <c r="G23" s="15">
        <f t="shared" si="4"/>
        <v>4565.174671790217</v>
      </c>
    </row>
    <row r="24" spans="1:29">
      <c r="A24" s="4">
        <f t="shared" si="2"/>
        <v>23</v>
      </c>
      <c r="B24" s="7">
        <v>33146</v>
      </c>
      <c r="C24" s="10">
        <v>4701</v>
      </c>
      <c r="D24" s="15">
        <f t="shared" si="8"/>
        <v>4673.458333333333</v>
      </c>
      <c r="E24" s="23">
        <f t="shared" si="9"/>
        <v>1.0058932089904871</v>
      </c>
      <c r="F24" s="22">
        <f t="shared" si="11"/>
        <v>1.0110822484595425</v>
      </c>
      <c r="G24" s="15">
        <f t="shared" si="4"/>
        <v>4649.4733807880775</v>
      </c>
    </row>
    <row r="25" spans="1:29">
      <c r="A25" s="4">
        <f t="shared" si="2"/>
        <v>24</v>
      </c>
      <c r="B25" s="7">
        <v>33177</v>
      </c>
      <c r="C25" s="10">
        <v>4766</v>
      </c>
      <c r="D25" s="15">
        <f t="shared" si="8"/>
        <v>4736</v>
      </c>
      <c r="E25" s="23">
        <f t="shared" si="9"/>
        <v>1.0063344594594594</v>
      </c>
      <c r="F25" s="22">
        <f t="shared" si="11"/>
        <v>1.0071360653970747</v>
      </c>
      <c r="G25" s="15">
        <f t="shared" si="4"/>
        <v>4732.2304937227636</v>
      </c>
    </row>
    <row r="26" spans="1:29">
      <c r="A26" s="4">
        <f t="shared" si="2"/>
        <v>25</v>
      </c>
      <c r="B26" s="7">
        <v>33207</v>
      </c>
      <c r="C26" s="10">
        <v>4781</v>
      </c>
      <c r="D26" s="15">
        <f>(SUM(C21:C31)+((C20+C32)/2))/12</f>
        <v>4795.125</v>
      </c>
      <c r="E26" s="23">
        <f t="shared" si="9"/>
        <v>0.99705429994004324</v>
      </c>
      <c r="F26" s="22">
        <f t="shared" si="11"/>
        <v>0.99895296976377324</v>
      </c>
      <c r="G26" s="15">
        <f t="shared" si="4"/>
        <v>4786.0110983308696</v>
      </c>
    </row>
    <row r="27" spans="1:29">
      <c r="A27" s="4">
        <f t="shared" si="2"/>
        <v>26</v>
      </c>
      <c r="B27" s="7">
        <v>33238</v>
      </c>
      <c r="C27" s="10">
        <v>4808</v>
      </c>
      <c r="D27" s="15">
        <f t="shared" si="8"/>
        <v>4870.916666666667</v>
      </c>
      <c r="E27" s="23">
        <f>C27/D27</f>
        <v>0.98708319789225152</v>
      </c>
      <c r="F27" s="22">
        <f t="shared" si="11"/>
        <v>0.99136634823865966</v>
      </c>
      <c r="G27" s="15">
        <f t="shared" si="4"/>
        <v>4849.8721068576469</v>
      </c>
    </row>
    <row r="28" spans="1:29">
      <c r="A28" s="4">
        <f t="shared" si="2"/>
        <v>27</v>
      </c>
      <c r="B28" s="7">
        <v>33269</v>
      </c>
      <c r="C28" s="10">
        <v>4836</v>
      </c>
      <c r="D28" s="15">
        <f t="shared" si="8"/>
        <v>4974.166666666667</v>
      </c>
      <c r="E28" s="23">
        <f t="shared" si="9"/>
        <v>0.97222315295694417</v>
      </c>
      <c r="F28" s="22">
        <f t="shared" si="11"/>
        <v>0.98565799233532947</v>
      </c>
      <c r="G28" s="15">
        <f t="shared" si="4"/>
        <v>4906.3671553476843</v>
      </c>
    </row>
    <row r="29" spans="1:29">
      <c r="A29" s="4">
        <f t="shared" si="2"/>
        <v>28</v>
      </c>
      <c r="B29" s="7">
        <v>33297</v>
      </c>
      <c r="C29" s="10">
        <v>4937</v>
      </c>
      <c r="D29" s="15">
        <f t="shared" si="8"/>
        <v>5080.666666666667</v>
      </c>
      <c r="E29" s="23">
        <f t="shared" si="9"/>
        <v>0.97172287101430255</v>
      </c>
      <c r="F29" s="22">
        <f t="shared" si="11"/>
        <v>0.9867538520861826</v>
      </c>
      <c r="G29" s="15">
        <f t="shared" si="4"/>
        <v>5003.27410889986</v>
      </c>
    </row>
    <row r="30" spans="1:29">
      <c r="A30" s="4">
        <f t="shared" si="2"/>
        <v>29</v>
      </c>
      <c r="B30" s="7">
        <v>33328</v>
      </c>
      <c r="C30" s="10">
        <v>5054</v>
      </c>
      <c r="D30" s="15">
        <f t="shared" si="8"/>
        <v>5182</v>
      </c>
      <c r="E30" s="23">
        <f t="shared" si="9"/>
        <v>0.97529911231184874</v>
      </c>
      <c r="F30" s="22">
        <f t="shared" si="11"/>
        <v>0.99365549523408958</v>
      </c>
      <c r="G30" s="15">
        <f t="shared" si="4"/>
        <v>5086.2698633889777</v>
      </c>
    </row>
    <row r="31" spans="1:29">
      <c r="A31" s="4">
        <f t="shared" si="2"/>
        <v>30</v>
      </c>
      <c r="B31" s="7">
        <v>33358</v>
      </c>
      <c r="C31" s="10">
        <v>5103</v>
      </c>
      <c r="D31" s="15">
        <f t="shared" si="8"/>
        <v>5277.666666666667</v>
      </c>
      <c r="E31" s="23">
        <f t="shared" si="9"/>
        <v>0.96690456641192446</v>
      </c>
      <c r="F31" s="22">
        <f t="shared" si="11"/>
        <v>0.97830522536246467</v>
      </c>
      <c r="G31" s="15">
        <f t="shared" si="4"/>
        <v>5216.1634914188717</v>
      </c>
    </row>
    <row r="32" spans="1:29">
      <c r="A32" s="4">
        <f t="shared" si="2"/>
        <v>31</v>
      </c>
      <c r="B32" s="7">
        <v>33389</v>
      </c>
      <c r="C32" s="10">
        <v>5105</v>
      </c>
      <c r="D32" s="15">
        <f t="shared" si="8"/>
        <v>5370.375</v>
      </c>
      <c r="E32" s="23">
        <f t="shared" si="9"/>
        <v>0.9505853874263902</v>
      </c>
      <c r="F32" s="22">
        <f>F20</f>
        <v>0.98972684471052108</v>
      </c>
      <c r="G32" s="15">
        <f t="shared" si="4"/>
        <v>5157.9888201305976</v>
      </c>
    </row>
    <row r="33" spans="1:7">
      <c r="A33" s="1">
        <f t="shared" si="2"/>
        <v>32</v>
      </c>
      <c r="B33" s="12">
        <v>33419</v>
      </c>
      <c r="C33" s="13">
        <v>5704</v>
      </c>
      <c r="D33" s="15">
        <f t="shared" si="8"/>
        <v>5462.333333333333</v>
      </c>
      <c r="E33" s="23">
        <f t="shared" si="9"/>
        <v>1.0442423872581925</v>
      </c>
      <c r="F33" s="22">
        <f t="shared" si="11"/>
        <v>1.0164908929445178</v>
      </c>
      <c r="G33" s="15">
        <f t="shared" si="4"/>
        <v>5611.4619812057053</v>
      </c>
    </row>
    <row r="34" spans="1:7">
      <c r="A34" s="1">
        <f t="shared" si="2"/>
        <v>33</v>
      </c>
      <c r="B34" s="12">
        <v>33450</v>
      </c>
      <c r="C34" s="13">
        <v>5907</v>
      </c>
      <c r="D34" s="15">
        <f t="shared" si="8"/>
        <v>5552.875</v>
      </c>
      <c r="E34" s="23">
        <f t="shared" si="9"/>
        <v>1.063773270603066</v>
      </c>
      <c r="F34" s="22">
        <f t="shared" si="11"/>
        <v>1.023824453097022</v>
      </c>
      <c r="G34" s="15">
        <f t="shared" si="4"/>
        <v>5769.5437749426637</v>
      </c>
    </row>
    <row r="35" spans="1:7">
      <c r="A35" s="4">
        <f t="shared" si="2"/>
        <v>34</v>
      </c>
      <c r="B35" s="7">
        <v>33481</v>
      </c>
      <c r="C35" s="10">
        <v>5889</v>
      </c>
      <c r="D35" s="15">
        <f t="shared" si="8"/>
        <v>5639.625</v>
      </c>
      <c r="E35" s="23">
        <f t="shared" si="9"/>
        <v>1.0442183655828181</v>
      </c>
      <c r="F35" s="22">
        <f t="shared" si="11"/>
        <v>1.0170476123708239</v>
      </c>
      <c r="G35" s="15">
        <f t="shared" si="4"/>
        <v>5790.2893909482209</v>
      </c>
    </row>
    <row r="36" spans="1:7">
      <c r="A36" s="4">
        <f t="shared" si="2"/>
        <v>35</v>
      </c>
      <c r="B36" s="7">
        <v>33511</v>
      </c>
      <c r="C36" s="10">
        <v>5887</v>
      </c>
      <c r="D36" s="15">
        <f t="shared" si="8"/>
        <v>5720.208333333333</v>
      </c>
      <c r="E36" s="23">
        <f t="shared" si="9"/>
        <v>1.0291583202826238</v>
      </c>
      <c r="F36" s="22">
        <f t="shared" si="11"/>
        <v>1.0110822484595425</v>
      </c>
      <c r="G36" s="15">
        <f t="shared" si="4"/>
        <v>5822.4738976174031</v>
      </c>
    </row>
    <row r="37" spans="1:7">
      <c r="A37" s="4">
        <f t="shared" si="2"/>
        <v>36</v>
      </c>
      <c r="B37" s="7">
        <v>33542</v>
      </c>
      <c r="C37" s="10">
        <v>5876</v>
      </c>
      <c r="D37" s="15">
        <f t="shared" si="8"/>
        <v>5795.75</v>
      </c>
      <c r="E37" s="23">
        <f t="shared" si="9"/>
        <v>1.0138463529310271</v>
      </c>
      <c r="F37" s="22">
        <f t="shared" si="11"/>
        <v>1.0071360653970747</v>
      </c>
      <c r="G37" s="15">
        <f t="shared" si="4"/>
        <v>5834.3655856304986</v>
      </c>
    </row>
    <row r="38" spans="1:7">
      <c r="A38" s="4">
        <f t="shared" si="2"/>
        <v>37</v>
      </c>
      <c r="B38" s="7">
        <v>33572</v>
      </c>
      <c r="C38" s="10">
        <v>5896</v>
      </c>
      <c r="D38" s="15">
        <f t="shared" si="8"/>
        <v>5868.916666666667</v>
      </c>
      <c r="E38" s="23">
        <f t="shared" si="9"/>
        <v>1.0046147074275491</v>
      </c>
      <c r="F38" s="22">
        <f t="shared" si="11"/>
        <v>0.99895296976377324</v>
      </c>
      <c r="G38" s="15">
        <f t="shared" si="4"/>
        <v>5902.1797606690661</v>
      </c>
    </row>
    <row r="39" spans="1:7">
      <c r="A39" s="4">
        <f t="shared" si="2"/>
        <v>38</v>
      </c>
      <c r="B39" s="7">
        <v>33603</v>
      </c>
      <c r="C39" s="10">
        <v>5900</v>
      </c>
      <c r="D39" s="15">
        <f t="shared" si="8"/>
        <v>5916.708333333333</v>
      </c>
      <c r="E39" s="23">
        <f t="shared" si="9"/>
        <v>0.99717607622481541</v>
      </c>
      <c r="F39" s="22">
        <f t="shared" si="11"/>
        <v>0.99136634823865966</v>
      </c>
      <c r="G39" s="15">
        <f t="shared" si="4"/>
        <v>5951.3821610773957</v>
      </c>
    </row>
    <row r="40" spans="1:7">
      <c r="A40" s="4">
        <f t="shared" si="2"/>
        <v>39</v>
      </c>
      <c r="B40" s="7">
        <v>33634</v>
      </c>
      <c r="C40" s="10">
        <v>5917</v>
      </c>
      <c r="D40" s="15">
        <f t="shared" si="8"/>
        <v>5931.25</v>
      </c>
      <c r="E40" s="23">
        <f t="shared" si="9"/>
        <v>0.99759747102212859</v>
      </c>
      <c r="F40" s="22">
        <f t="shared" si="11"/>
        <v>0.98565799233532947</v>
      </c>
      <c r="G40" s="15">
        <f t="shared" si="4"/>
        <v>6003.0964553747408</v>
      </c>
    </row>
    <row r="41" spans="1:7">
      <c r="A41" s="4">
        <f t="shared" si="2"/>
        <v>40</v>
      </c>
      <c r="B41" s="7">
        <v>33663</v>
      </c>
      <c r="C41" s="10">
        <v>5938</v>
      </c>
      <c r="D41" s="15">
        <f t="shared" si="8"/>
        <v>5940.333333333333</v>
      </c>
      <c r="E41" s="23">
        <f t="shared" si="9"/>
        <v>0.99960720498288536</v>
      </c>
      <c r="F41" s="22">
        <f t="shared" si="11"/>
        <v>0.9867538520861826</v>
      </c>
      <c r="G41" s="15">
        <f t="shared" si="4"/>
        <v>6017.7114965864639</v>
      </c>
    </row>
    <row r="42" spans="1:7">
      <c r="A42" s="4">
        <f t="shared" si="2"/>
        <v>41</v>
      </c>
      <c r="B42" s="7">
        <v>33694</v>
      </c>
      <c r="C42" s="10">
        <v>5987</v>
      </c>
      <c r="D42" s="15">
        <f t="shared" si="8"/>
        <v>5951.875</v>
      </c>
      <c r="E42" s="23">
        <f>C42/D42</f>
        <v>1.0059015016276383</v>
      </c>
      <c r="F42" s="22">
        <f t="shared" si="11"/>
        <v>0.99365549523408958</v>
      </c>
      <c r="G42" s="15">
        <f>C42/F42</f>
        <v>6025.2270819370424</v>
      </c>
    </row>
    <row r="43" spans="1:7">
      <c r="A43" s="4">
        <f t="shared" si="2"/>
        <v>42</v>
      </c>
      <c r="B43" s="7">
        <v>33724</v>
      </c>
      <c r="C43" s="10">
        <v>5983</v>
      </c>
      <c r="D43" s="20"/>
      <c r="E43" s="23"/>
      <c r="F43" s="22">
        <f t="shared" si="11"/>
        <v>0.97830522536246467</v>
      </c>
      <c r="G43" s="15">
        <f t="shared" si="4"/>
        <v>6115.6782616419969</v>
      </c>
    </row>
    <row r="44" spans="1:7">
      <c r="A44" s="4">
        <f t="shared" si="2"/>
        <v>43</v>
      </c>
      <c r="B44" s="7">
        <v>33755</v>
      </c>
      <c r="C44" s="10">
        <v>5981</v>
      </c>
      <c r="D44" s="20"/>
      <c r="E44" s="23"/>
      <c r="F44" s="22">
        <f t="shared" si="11"/>
        <v>0.98972684471052108</v>
      </c>
      <c r="G44" s="15">
        <f t="shared" si="4"/>
        <v>6043.0815148288157</v>
      </c>
    </row>
    <row r="45" spans="1:7">
      <c r="A45" s="4">
        <f t="shared" si="2"/>
        <v>44</v>
      </c>
      <c r="B45" s="7">
        <v>33785</v>
      </c>
      <c r="C45" s="10">
        <v>5975</v>
      </c>
      <c r="D45" s="20"/>
      <c r="E45" s="23"/>
      <c r="F45" s="22">
        <f t="shared" si="11"/>
        <v>1.0164908929445178</v>
      </c>
      <c r="G45" s="15">
        <f t="shared" si="4"/>
        <v>5878.0654519116561</v>
      </c>
    </row>
    <row r="46" spans="1:7">
      <c r="A46" s="4">
        <f t="shared" si="2"/>
        <v>45</v>
      </c>
      <c r="B46" s="7">
        <v>33816</v>
      </c>
      <c r="C46" s="10">
        <v>5985</v>
      </c>
      <c r="D46" s="20"/>
      <c r="E46" s="23"/>
      <c r="F46" s="22">
        <f t="shared" si="11"/>
        <v>1.023824453097022</v>
      </c>
      <c r="G46" s="15">
        <f t="shared" si="4"/>
        <v>5845.7287105183414</v>
      </c>
    </row>
    <row r="47" spans="1:7">
      <c r="A47" s="4">
        <f t="shared" si="2"/>
        <v>46</v>
      </c>
      <c r="B47" s="7">
        <v>33847</v>
      </c>
      <c r="C47" s="18">
        <v>6029</v>
      </c>
      <c r="D47" s="20"/>
      <c r="E47" s="23"/>
      <c r="F47" s="22">
        <f t="shared" si="11"/>
        <v>1.0170476123708239</v>
      </c>
      <c r="G47" s="15">
        <f t="shared" si="4"/>
        <v>5927.9427301794576</v>
      </c>
    </row>
    <row r="48" spans="1:7">
      <c r="A48" s="4">
        <f t="shared" si="2"/>
        <v>47</v>
      </c>
      <c r="B48" s="7">
        <v>33877</v>
      </c>
      <c r="C48" s="17">
        <v>6024</v>
      </c>
      <c r="D48" s="20"/>
      <c r="E48" s="23"/>
      <c r="F48" s="22">
        <f t="shared" si="11"/>
        <v>1.0110822484595425</v>
      </c>
      <c r="G48" s="15">
        <f>C48/F48</f>
        <v>5957.9722709779571</v>
      </c>
    </row>
    <row r="49" spans="1:10">
      <c r="A49" s="4">
        <f t="shared" si="2"/>
        <v>48</v>
      </c>
      <c r="B49" s="7">
        <v>33908</v>
      </c>
      <c r="C49" s="10"/>
      <c r="D49" s="15"/>
      <c r="E49" s="23"/>
      <c r="F49" s="22">
        <f t="shared" si="11"/>
        <v>1.0071360653970747</v>
      </c>
      <c r="G49" s="15"/>
      <c r="H49" s="15">
        <f>G48</f>
        <v>5957.9722709779571</v>
      </c>
      <c r="I49" s="27">
        <f>F49*H49</f>
        <v>6000.4887507376134</v>
      </c>
      <c r="J49" s="34"/>
    </row>
    <row r="50" spans="1:10">
      <c r="A50" s="4">
        <f t="shared" si="2"/>
        <v>49</v>
      </c>
      <c r="B50" s="7">
        <v>33938</v>
      </c>
      <c r="C50" s="10"/>
      <c r="D50" s="15"/>
      <c r="E50" s="23"/>
      <c r="F50" s="22">
        <f t="shared" si="11"/>
        <v>0.99895296976377324</v>
      </c>
      <c r="G50" s="15"/>
      <c r="H50" s="15">
        <f>H49</f>
        <v>5957.9722709779571</v>
      </c>
      <c r="I50" s="27">
        <f t="shared" ref="I50:I59" si="12">F50*H50</f>
        <v>5951.7340938636426</v>
      </c>
      <c r="J50" s="34"/>
    </row>
    <row r="51" spans="1:10">
      <c r="A51" s="4">
        <f t="shared" si="2"/>
        <v>50</v>
      </c>
      <c r="B51" s="7">
        <v>33969</v>
      </c>
      <c r="C51" s="10"/>
      <c r="D51" s="15"/>
      <c r="E51" s="23"/>
      <c r="F51" s="22">
        <f t="shared" si="11"/>
        <v>0.99136634823865966</v>
      </c>
      <c r="G51" s="15"/>
      <c r="H51" s="15">
        <f t="shared" ref="H51:H60" si="13">H50</f>
        <v>5957.9722709779571</v>
      </c>
      <c r="I51" s="27">
        <f t="shared" si="12"/>
        <v>5906.5332131866116</v>
      </c>
      <c r="J51" s="34"/>
    </row>
    <row r="52" spans="1:10">
      <c r="A52" s="4">
        <f t="shared" si="2"/>
        <v>51</v>
      </c>
      <c r="B52" s="7">
        <v>34000</v>
      </c>
      <c r="C52" s="10"/>
      <c r="D52" s="15"/>
      <c r="E52" s="23"/>
      <c r="F52" s="22">
        <f t="shared" si="11"/>
        <v>0.98565799233532947</v>
      </c>
      <c r="G52" s="15"/>
      <c r="H52" s="15">
        <f t="shared" si="13"/>
        <v>5957.9722709779571</v>
      </c>
      <c r="I52" s="27">
        <f t="shared" si="12"/>
        <v>5872.5229870016965</v>
      </c>
      <c r="J52" s="34"/>
    </row>
    <row r="53" spans="1:10">
      <c r="A53" s="4">
        <f t="shared" si="2"/>
        <v>52</v>
      </c>
      <c r="B53" s="7">
        <v>34028</v>
      </c>
      <c r="C53" s="10"/>
      <c r="D53" s="15"/>
      <c r="E53" s="23"/>
      <c r="F53" s="22">
        <f t="shared" si="11"/>
        <v>0.9867538520861826</v>
      </c>
      <c r="G53" s="15"/>
      <c r="H53" s="15">
        <f t="shared" si="13"/>
        <v>5957.9722709779571</v>
      </c>
      <c r="I53" s="27">
        <f t="shared" si="12"/>
        <v>5879.0520890101607</v>
      </c>
      <c r="J53" s="34"/>
    </row>
    <row r="54" spans="1:10">
      <c r="A54" s="4">
        <f t="shared" si="2"/>
        <v>53</v>
      </c>
      <c r="B54" s="7">
        <v>34059</v>
      </c>
      <c r="C54" s="10"/>
      <c r="D54" s="15"/>
      <c r="E54" s="23"/>
      <c r="F54" s="22">
        <f t="shared" si="11"/>
        <v>0.99365549523408958</v>
      </c>
      <c r="G54" s="15"/>
      <c r="H54" s="15">
        <f t="shared" si="13"/>
        <v>5957.9722709779571</v>
      </c>
      <c r="I54" s="27">
        <f t="shared" si="12"/>
        <v>5920.1718875095758</v>
      </c>
      <c r="J54" s="34"/>
    </row>
    <row r="55" spans="1:10">
      <c r="A55" s="4">
        <f t="shared" si="2"/>
        <v>54</v>
      </c>
      <c r="B55" s="7">
        <v>34089</v>
      </c>
      <c r="C55" s="10"/>
      <c r="D55" s="15"/>
      <c r="E55" s="23"/>
      <c r="F55" s="22">
        <f t="shared" si="11"/>
        <v>0.97830522536246467</v>
      </c>
      <c r="G55" s="15"/>
      <c r="H55" s="15">
        <f t="shared" si="13"/>
        <v>5957.9722709779571</v>
      </c>
      <c r="I55" s="27">
        <f t="shared" si="12"/>
        <v>5828.7154052624055</v>
      </c>
      <c r="J55" s="34"/>
    </row>
    <row r="56" spans="1:10">
      <c r="A56" s="4">
        <f t="shared" si="2"/>
        <v>55</v>
      </c>
      <c r="B56" s="7">
        <v>34120</v>
      </c>
      <c r="C56" s="10"/>
      <c r="D56" s="15"/>
      <c r="E56" s="23"/>
      <c r="F56" s="22">
        <f t="shared" si="11"/>
        <v>0.98972684471052108</v>
      </c>
      <c r="G56" s="15"/>
      <c r="H56" s="15">
        <f t="shared" si="13"/>
        <v>5957.9722709779571</v>
      </c>
      <c r="I56" s="27">
        <f t="shared" si="12"/>
        <v>5896.7650966277915</v>
      </c>
      <c r="J56" s="34"/>
    </row>
    <row r="57" spans="1:10">
      <c r="A57" s="4">
        <f t="shared" si="2"/>
        <v>56</v>
      </c>
      <c r="B57" s="7">
        <v>34150</v>
      </c>
      <c r="C57" s="10"/>
      <c r="D57" s="15"/>
      <c r="E57" s="23"/>
      <c r="F57" s="22">
        <f t="shared" si="11"/>
        <v>1.0164908929445178</v>
      </c>
      <c r="G57" s="15"/>
      <c r="H57" s="15">
        <f t="shared" si="13"/>
        <v>5957.9722709779571</v>
      </c>
      <c r="I57" s="27">
        <f t="shared" si="12"/>
        <v>6056.2245538650604</v>
      </c>
      <c r="J57" s="34"/>
    </row>
    <row r="58" spans="1:10">
      <c r="A58" s="4">
        <f t="shared" si="2"/>
        <v>57</v>
      </c>
      <c r="B58" s="7">
        <v>34181</v>
      </c>
      <c r="C58" s="10"/>
      <c r="D58" s="15"/>
      <c r="E58" s="23"/>
      <c r="F58" s="22">
        <f t="shared" si="11"/>
        <v>1.023824453097022</v>
      </c>
      <c r="G58" s="15"/>
      <c r="H58" s="15">
        <f t="shared" si="13"/>
        <v>5957.9722709779571</v>
      </c>
      <c r="I58" s="27">
        <f t="shared" si="12"/>
        <v>6099.9177019012286</v>
      </c>
      <c r="J58" s="34"/>
    </row>
    <row r="59" spans="1:10">
      <c r="A59" s="4">
        <f t="shared" si="2"/>
        <v>58</v>
      </c>
      <c r="B59" s="7">
        <v>34212</v>
      </c>
      <c r="C59" s="10"/>
      <c r="D59" s="15"/>
      <c r="E59" s="23"/>
      <c r="F59" s="22">
        <f t="shared" si="11"/>
        <v>1.0170476123708239</v>
      </c>
      <c r="G59" s="15"/>
      <c r="H59" s="15">
        <f t="shared" si="13"/>
        <v>5957.9722709779571</v>
      </c>
      <c r="I59" s="27">
        <f t="shared" si="12"/>
        <v>6059.5414727697062</v>
      </c>
      <c r="J59" s="34"/>
    </row>
    <row r="60" spans="1:10">
      <c r="A60" s="4">
        <f t="shared" si="2"/>
        <v>59</v>
      </c>
      <c r="B60" s="7">
        <v>34242</v>
      </c>
      <c r="C60" s="10"/>
      <c r="D60" s="15"/>
      <c r="E60" s="23"/>
      <c r="F60" s="22">
        <f t="shared" si="11"/>
        <v>1.0110822484595425</v>
      </c>
      <c r="G60" s="15"/>
      <c r="H60" s="15">
        <f t="shared" si="13"/>
        <v>5957.9722709779571</v>
      </c>
      <c r="I60" s="27">
        <f>F60*H60</f>
        <v>6024</v>
      </c>
      <c r="J60" s="34"/>
    </row>
    <row r="61" spans="1:10">
      <c r="A61" s="4"/>
      <c r="B61" s="7"/>
      <c r="C61" s="10"/>
      <c r="D61" s="15"/>
      <c r="E61" s="23"/>
      <c r="F61" s="22"/>
      <c r="G61" s="15"/>
      <c r="H61" s="15"/>
      <c r="I61" s="15"/>
      <c r="J61" s="34"/>
    </row>
    <row r="62" spans="1:10">
      <c r="A62" s="4"/>
      <c r="B62" s="7"/>
      <c r="C62" s="10"/>
      <c r="D62" s="15"/>
      <c r="E62" s="23"/>
      <c r="F62" s="22"/>
      <c r="G62" s="15"/>
      <c r="H62" s="15"/>
      <c r="I62" s="15"/>
      <c r="J62" s="34"/>
    </row>
    <row r="63" spans="1:10">
      <c r="A63" s="4"/>
      <c r="B63" s="7"/>
      <c r="C63" s="10"/>
      <c r="D63" s="15"/>
      <c r="E63" s="23"/>
      <c r="F63" s="22"/>
      <c r="G63" s="15"/>
      <c r="H63" s="15"/>
      <c r="I63" s="15"/>
      <c r="J63" s="34"/>
    </row>
    <row r="64" spans="1:10">
      <c r="A64" s="4"/>
      <c r="B64" s="7"/>
      <c r="C64" s="10"/>
      <c r="D64" s="15"/>
      <c r="E64" s="23"/>
      <c r="F64" s="22"/>
      <c r="G64" s="15"/>
      <c r="H64" s="15"/>
      <c r="I64" s="15"/>
      <c r="J64" s="34"/>
    </row>
    <row r="65" spans="1:10">
      <c r="A65" s="4"/>
      <c r="B65" s="7"/>
      <c r="C65" s="10"/>
      <c r="D65" s="15"/>
      <c r="E65" s="23"/>
      <c r="F65" s="22"/>
      <c r="G65" s="15"/>
      <c r="H65" s="15"/>
      <c r="I65" s="15"/>
      <c r="J65" s="34"/>
    </row>
    <row r="66" spans="1:10">
      <c r="A66" s="4"/>
      <c r="B66" s="7"/>
      <c r="C66" s="10"/>
      <c r="D66" s="15"/>
      <c r="E66" s="23"/>
      <c r="F66" s="22"/>
      <c r="G66" s="15"/>
      <c r="H66" s="15"/>
      <c r="I66" s="15"/>
      <c r="J66" s="34"/>
    </row>
    <row r="67" spans="1:10">
      <c r="A67" s="4"/>
      <c r="B67" s="7"/>
      <c r="C67" s="10"/>
      <c r="D67" s="15"/>
      <c r="E67" s="23"/>
      <c r="F67" s="22"/>
      <c r="G67" s="15"/>
      <c r="H67" s="15"/>
      <c r="I67" s="15"/>
      <c r="J67" s="34"/>
    </row>
    <row r="68" spans="1:10">
      <c r="A68" s="4"/>
      <c r="B68" s="7"/>
      <c r="C68" s="10"/>
      <c r="D68" s="15"/>
      <c r="E68" s="23"/>
      <c r="F68" s="22"/>
      <c r="G68" s="15"/>
      <c r="H68" s="15"/>
      <c r="I68" s="15"/>
      <c r="J68" s="34"/>
    </row>
    <row r="69" spans="1:10">
      <c r="A69" s="4"/>
      <c r="B69" s="7"/>
      <c r="C69" s="10"/>
      <c r="D69" s="15"/>
      <c r="E69" s="23"/>
      <c r="F69" s="22"/>
      <c r="G69" s="15"/>
      <c r="H69" s="15"/>
      <c r="I69" s="15"/>
      <c r="J69" s="34"/>
    </row>
    <row r="70" spans="1:10">
      <c r="A70" s="4"/>
      <c r="B70" s="7"/>
      <c r="C70" s="10"/>
      <c r="D70" s="15"/>
      <c r="E70" s="23"/>
      <c r="F70" s="22"/>
      <c r="G70" s="15"/>
      <c r="H70" s="15"/>
      <c r="I70" s="15"/>
      <c r="J70" s="34"/>
    </row>
    <row r="71" spans="1:10">
      <c r="A71" s="4"/>
      <c r="B71" s="7"/>
      <c r="C71" s="10"/>
      <c r="D71" s="15"/>
      <c r="E71" s="23"/>
      <c r="F71" s="22"/>
      <c r="G71" s="15"/>
      <c r="H71" s="15"/>
      <c r="I71" s="15"/>
      <c r="J71" s="34"/>
    </row>
    <row r="72" spans="1:10">
      <c r="A72" s="4"/>
      <c r="B72" s="7"/>
      <c r="C72" s="10"/>
      <c r="D72" s="15"/>
      <c r="E72" s="23"/>
      <c r="F72" s="22"/>
      <c r="G72" s="15"/>
      <c r="H72" s="15"/>
      <c r="I72" s="15"/>
      <c r="J72" s="34"/>
    </row>
    <row r="73" spans="1:10">
      <c r="A73" s="4"/>
      <c r="B73" s="7"/>
      <c r="C73" s="10"/>
      <c r="D73" s="15"/>
      <c r="E73" s="23"/>
      <c r="F73" s="22"/>
      <c r="G73" s="15"/>
      <c r="H73" s="15"/>
      <c r="I73" s="15"/>
      <c r="J73" s="34"/>
    </row>
    <row r="74" spans="1:10">
      <c r="A74" s="4"/>
      <c r="B74" s="7"/>
      <c r="C74" s="10"/>
      <c r="D74" s="15"/>
      <c r="E74" s="23"/>
      <c r="F74" s="22"/>
      <c r="G74" s="15"/>
      <c r="H74" s="15"/>
      <c r="I74" s="15"/>
      <c r="J74" s="34"/>
    </row>
    <row r="75" spans="1:10">
      <c r="A75" s="4"/>
      <c r="B75" s="7"/>
      <c r="C75" s="10"/>
      <c r="D75" s="15"/>
      <c r="E75" s="23"/>
      <c r="F75" s="22"/>
      <c r="G75" s="15"/>
      <c r="H75" s="15"/>
      <c r="I75" s="15"/>
      <c r="J75" s="34"/>
    </row>
    <row r="76" spans="1:10">
      <c r="A76" s="4"/>
      <c r="B76" s="7"/>
      <c r="C76" s="10"/>
      <c r="D76" s="15"/>
      <c r="E76" s="23"/>
      <c r="F76" s="22"/>
      <c r="G76" s="15"/>
      <c r="H76" s="15"/>
      <c r="I76" s="15"/>
      <c r="J76" s="34"/>
    </row>
    <row r="77" spans="1:10">
      <c r="A77" s="4"/>
      <c r="B77" s="7"/>
      <c r="C77" s="10"/>
      <c r="D77" s="15"/>
      <c r="E77" s="23"/>
      <c r="F77" s="22"/>
      <c r="G77" s="15"/>
      <c r="H77" s="15"/>
      <c r="I77" s="15"/>
      <c r="J77" s="34"/>
    </row>
    <row r="78" spans="1:10">
      <c r="A78" s="4"/>
      <c r="B78" s="7"/>
      <c r="C78" s="10"/>
      <c r="D78" s="15"/>
      <c r="E78" s="23"/>
      <c r="F78" s="22"/>
      <c r="G78" s="15"/>
      <c r="H78" s="15"/>
      <c r="I78" s="15"/>
      <c r="J78" s="34"/>
    </row>
    <row r="79" spans="1:10">
      <c r="A79" s="4"/>
      <c r="B79" s="7"/>
      <c r="C79" s="10"/>
      <c r="D79" s="15"/>
      <c r="E79" s="23"/>
      <c r="F79" s="22"/>
      <c r="G79" s="15"/>
      <c r="H79" s="15"/>
      <c r="I79" s="15"/>
      <c r="J79" s="34"/>
    </row>
    <row r="80" spans="1:10">
      <c r="A80" s="4"/>
      <c r="B80" s="7"/>
      <c r="C80" s="10"/>
      <c r="D80" s="15"/>
      <c r="E80" s="23"/>
      <c r="F80" s="22"/>
      <c r="G80" s="15"/>
      <c r="H80" s="15"/>
      <c r="I80" s="15"/>
      <c r="J80" s="34"/>
    </row>
    <row r="81" spans="1:10">
      <c r="A81" s="4"/>
      <c r="B81" s="7"/>
      <c r="C81" s="10"/>
      <c r="D81" s="15"/>
      <c r="E81" s="23"/>
      <c r="F81" s="22"/>
      <c r="G81" s="15"/>
      <c r="H81" s="15"/>
      <c r="I81" s="15"/>
      <c r="J81" s="34"/>
    </row>
    <row r="82" spans="1:10">
      <c r="A82" s="4"/>
      <c r="B82" s="7"/>
      <c r="C82" s="10"/>
      <c r="D82" s="15"/>
      <c r="E82" s="23"/>
      <c r="F82" s="22"/>
      <c r="G82" s="15"/>
      <c r="H82" s="15"/>
      <c r="I82" s="15"/>
      <c r="J82" s="34"/>
    </row>
    <row r="83" spans="1:10">
      <c r="A83" s="4"/>
      <c r="B83" s="7"/>
      <c r="C83" s="10"/>
      <c r="D83" s="15"/>
      <c r="E83" s="23"/>
      <c r="F83" s="22"/>
      <c r="G83" s="15"/>
      <c r="H83" s="15"/>
      <c r="I83" s="15"/>
      <c r="J83" s="34"/>
    </row>
    <row r="84" spans="1:10">
      <c r="A84" s="4"/>
      <c r="B84" s="7"/>
      <c r="C84" s="10"/>
      <c r="D84" s="15"/>
      <c r="E84" s="23"/>
      <c r="F84" s="22"/>
      <c r="G84" s="15"/>
      <c r="H84" s="15"/>
      <c r="I84" s="15"/>
      <c r="J84" s="34"/>
    </row>
    <row r="85" spans="1:10">
      <c r="A85" s="4"/>
      <c r="B85" s="7"/>
      <c r="C85" s="10"/>
      <c r="D85" s="15"/>
      <c r="E85" s="23"/>
      <c r="F85" s="22"/>
      <c r="G85" s="15"/>
      <c r="H85" s="15"/>
      <c r="I85" s="15"/>
      <c r="J85" s="34"/>
    </row>
    <row r="86" spans="1:10">
      <c r="A86" s="4"/>
      <c r="B86" s="7"/>
      <c r="C86" s="10"/>
      <c r="D86" s="15"/>
      <c r="E86" s="23"/>
      <c r="F86" s="22"/>
      <c r="G86" s="15"/>
      <c r="H86" s="15"/>
      <c r="I86" s="15"/>
      <c r="J86" s="34"/>
    </row>
    <row r="87" spans="1:10">
      <c r="A87" s="4"/>
      <c r="B87" s="7"/>
      <c r="C87" s="10"/>
      <c r="D87" s="15"/>
      <c r="E87" s="23"/>
      <c r="F87" s="22"/>
      <c r="G87" s="15"/>
      <c r="H87" s="15"/>
      <c r="I87" s="15"/>
      <c r="J87" s="34"/>
    </row>
  </sheetData>
  <phoneticPr fontId="4" type="noConversion"/>
  <conditionalFormatting sqref="X3:AA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Bryce Bowles</dc:creator>
  <cp:keywords/>
  <dc:description/>
  <cp:lastModifiedBy>Guest User</cp:lastModifiedBy>
  <cp:revision/>
  <dcterms:created xsi:type="dcterms:W3CDTF">2021-02-12T15:43:54Z</dcterms:created>
  <dcterms:modified xsi:type="dcterms:W3CDTF">2021-12-10T16:34:09Z</dcterms:modified>
  <cp:category/>
  <cp:contentStatus/>
</cp:coreProperties>
</file>