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updateLinks="never" codeName="ThisWorkbook" autoCompressPictures="0" defaultThemeVersion="124226"/>
  <bookViews>
    <workbookView xWindow="1620" yWindow="-210" windowWidth="17700" windowHeight="8625" tabRatio="837"/>
  </bookViews>
  <sheets>
    <sheet name="Readme" sheetId="26" r:id="rId1"/>
    <sheet name="(1) Inputs" sheetId="25" r:id="rId2"/>
    <sheet name="(2) Risk-Free Rates" sheetId="17" r:id="rId3"/>
    <sheet name="(3) Options" sheetId="5" r:id="rId4"/>
    <sheet name="(3) Share Grants" sheetId="23" state="hidden" r:id="rId5"/>
    <sheet name="(4) Black_Scholes_table" sheetId="21" r:id="rId6"/>
    <sheet name="(5) Summary" sheetId="24" r:id="rId7"/>
    <sheet name="Revision_History" sheetId="27" state="hidden" r:id="rId8"/>
  </sheets>
  <definedNames>
    <definedName name="AS2DocOpenMode" hidden="1">"AS2DocumentEdit"</definedName>
    <definedName name="_xlnm.Print_Area" localSheetId="3">'(3) Options'!$D$1:$BB$74</definedName>
    <definedName name="_xlnm.Print_Area" localSheetId="4">'(3) Share Grants'!$B$1:$BB$74</definedName>
    <definedName name="VTM_1" hidden="1">#REF!</definedName>
    <definedName name="VTM_2" localSheetId="4" hidden="1">'(3) Share Grants'!$AK$5</definedName>
    <definedName name="VTM_2" hidden="1">'(3) Options'!$AK$9</definedName>
    <definedName name="VTM_3" hidden="1">#REF!</definedName>
    <definedName name="VTM_4" hidden="1">#REF!</definedName>
    <definedName name="VTM_5" hidden="1">#REF!</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D8" i="24" l="1"/>
  <c r="B13" i="21" l="1"/>
  <c r="C13" i="21"/>
  <c r="D13" i="21"/>
  <c r="E13" i="21"/>
  <c r="F13" i="21"/>
  <c r="G13" i="21"/>
  <c r="H13" i="21"/>
  <c r="I13" i="21"/>
  <c r="J13" i="21"/>
  <c r="L13" i="21"/>
  <c r="M13" i="21"/>
  <c r="N13" i="21"/>
  <c r="B14" i="21"/>
  <c r="C14" i="21"/>
  <c r="D14" i="21"/>
  <c r="E14" i="21"/>
  <c r="F14" i="21"/>
  <c r="G14" i="21"/>
  <c r="H14" i="21"/>
  <c r="I14" i="21"/>
  <c r="J14" i="21"/>
  <c r="L14" i="21"/>
  <c r="M14" i="21"/>
  <c r="N14" i="21"/>
  <c r="B15" i="21"/>
  <c r="C15" i="21"/>
  <c r="D15" i="21"/>
  <c r="E15" i="21"/>
  <c r="F15" i="21"/>
  <c r="G15" i="21"/>
  <c r="H15" i="21"/>
  <c r="I15" i="21"/>
  <c r="J15" i="21"/>
  <c r="L15" i="21"/>
  <c r="M15" i="21"/>
  <c r="N15" i="21"/>
  <c r="B16" i="21"/>
  <c r="C16" i="21"/>
  <c r="D16" i="21"/>
  <c r="E16" i="21"/>
  <c r="F16" i="21"/>
  <c r="G16" i="21"/>
  <c r="H16" i="21"/>
  <c r="I16" i="21"/>
  <c r="J16" i="21"/>
  <c r="L16" i="21"/>
  <c r="M16" i="21"/>
  <c r="N16" i="21"/>
  <c r="B17" i="21"/>
  <c r="C17" i="21"/>
  <c r="D17" i="21"/>
  <c r="E17" i="21"/>
  <c r="F17" i="21"/>
  <c r="G17" i="21"/>
  <c r="H17" i="21"/>
  <c r="I17" i="21"/>
  <c r="J17" i="21"/>
  <c r="L17" i="21"/>
  <c r="M17" i="21"/>
  <c r="N17" i="21"/>
  <c r="B18" i="21"/>
  <c r="C18" i="21"/>
  <c r="D18" i="21"/>
  <c r="E18" i="21"/>
  <c r="F18" i="21"/>
  <c r="G18" i="21"/>
  <c r="H18" i="21"/>
  <c r="I18" i="21"/>
  <c r="J18" i="21"/>
  <c r="L18" i="21"/>
  <c r="M18" i="21"/>
  <c r="N18" i="21"/>
  <c r="B19" i="21"/>
  <c r="C19" i="21"/>
  <c r="D19" i="21"/>
  <c r="E19" i="21"/>
  <c r="F19" i="21"/>
  <c r="G19" i="21"/>
  <c r="H19" i="21"/>
  <c r="I19" i="21"/>
  <c r="J19" i="21"/>
  <c r="L19" i="21"/>
  <c r="M19" i="21"/>
  <c r="N19" i="21"/>
  <c r="B20" i="21"/>
  <c r="C20" i="21"/>
  <c r="D20" i="21"/>
  <c r="E20" i="21"/>
  <c r="F20" i="21"/>
  <c r="G20" i="21"/>
  <c r="H20" i="21"/>
  <c r="I20" i="21"/>
  <c r="J20" i="21"/>
  <c r="L20" i="21"/>
  <c r="M20" i="21"/>
  <c r="N20" i="21"/>
  <c r="B21" i="21"/>
  <c r="C21" i="21"/>
  <c r="D21" i="21"/>
  <c r="E21" i="21"/>
  <c r="F21" i="21"/>
  <c r="G21" i="21"/>
  <c r="H21" i="21"/>
  <c r="I21" i="21"/>
  <c r="J21" i="21"/>
  <c r="L21" i="21"/>
  <c r="M21" i="21"/>
  <c r="N21" i="21"/>
  <c r="B22" i="21"/>
  <c r="C22" i="21"/>
  <c r="D22" i="21"/>
  <c r="E22" i="21"/>
  <c r="F22" i="21"/>
  <c r="G22" i="21"/>
  <c r="H22" i="21"/>
  <c r="I22" i="21"/>
  <c r="J22" i="21"/>
  <c r="L22" i="21"/>
  <c r="M22" i="21"/>
  <c r="N22" i="21"/>
  <c r="B23" i="21"/>
  <c r="C23" i="21"/>
  <c r="D23" i="21"/>
  <c r="E23" i="21"/>
  <c r="F23" i="21"/>
  <c r="G23" i="21"/>
  <c r="H23" i="21"/>
  <c r="I23" i="21"/>
  <c r="J23" i="21"/>
  <c r="L23" i="21"/>
  <c r="M23" i="21"/>
  <c r="N23" i="21"/>
  <c r="B24" i="21"/>
  <c r="C24" i="21"/>
  <c r="D24" i="21"/>
  <c r="E24" i="21"/>
  <c r="F24" i="21"/>
  <c r="G24" i="21"/>
  <c r="H24" i="21"/>
  <c r="I24" i="21"/>
  <c r="J24" i="21"/>
  <c r="L24" i="21"/>
  <c r="M24" i="21"/>
  <c r="N24" i="21"/>
  <c r="B25" i="21"/>
  <c r="C25" i="21"/>
  <c r="D25" i="21"/>
  <c r="E25" i="21"/>
  <c r="F25" i="21"/>
  <c r="G25" i="21"/>
  <c r="H25" i="21"/>
  <c r="I25" i="21"/>
  <c r="J25" i="21"/>
  <c r="L25" i="21"/>
  <c r="M25" i="21"/>
  <c r="N25" i="21"/>
  <c r="B26" i="21"/>
  <c r="C26" i="21"/>
  <c r="D26" i="21"/>
  <c r="E26" i="21"/>
  <c r="F26" i="21"/>
  <c r="G26" i="21"/>
  <c r="H26" i="21"/>
  <c r="I26" i="21"/>
  <c r="J26" i="21"/>
  <c r="L26" i="21"/>
  <c r="M26" i="21"/>
  <c r="N26" i="21"/>
  <c r="B27" i="21"/>
  <c r="C27" i="21"/>
  <c r="D27" i="21"/>
  <c r="E27" i="21"/>
  <c r="F27" i="21"/>
  <c r="G27" i="21"/>
  <c r="H27" i="21"/>
  <c r="I27" i="21"/>
  <c r="J27" i="21"/>
  <c r="L27" i="21"/>
  <c r="M27" i="21"/>
  <c r="N27" i="21"/>
  <c r="B28" i="21"/>
  <c r="C28" i="21"/>
  <c r="D28" i="21"/>
  <c r="E28" i="21"/>
  <c r="F28" i="21"/>
  <c r="G28" i="21"/>
  <c r="H28" i="21"/>
  <c r="I28" i="21"/>
  <c r="J28" i="21"/>
  <c r="L28" i="21"/>
  <c r="M28" i="21"/>
  <c r="N28" i="21"/>
  <c r="B29" i="21"/>
  <c r="C29" i="21"/>
  <c r="D29" i="21"/>
  <c r="E29" i="21"/>
  <c r="F29" i="21"/>
  <c r="G29" i="21"/>
  <c r="H29" i="21"/>
  <c r="I29" i="21"/>
  <c r="J29" i="21"/>
  <c r="L29" i="21"/>
  <c r="M29" i="21"/>
  <c r="N29" i="21"/>
  <c r="B30" i="21"/>
  <c r="C30" i="21"/>
  <c r="D30" i="21"/>
  <c r="E30" i="21"/>
  <c r="F30" i="21"/>
  <c r="G30" i="21"/>
  <c r="H30" i="21"/>
  <c r="I30" i="21"/>
  <c r="J30" i="21"/>
  <c r="L30" i="21"/>
  <c r="M30" i="21"/>
  <c r="N30" i="21"/>
  <c r="B31" i="21"/>
  <c r="C31" i="21"/>
  <c r="D31" i="21"/>
  <c r="E31" i="21"/>
  <c r="F31" i="21"/>
  <c r="G31" i="21"/>
  <c r="H31" i="21"/>
  <c r="I31" i="21"/>
  <c r="J31" i="21"/>
  <c r="L31" i="21"/>
  <c r="M31" i="21"/>
  <c r="N31" i="21"/>
  <c r="B32" i="21"/>
  <c r="C32" i="21"/>
  <c r="D32" i="21"/>
  <c r="E32" i="21"/>
  <c r="F32" i="21"/>
  <c r="G32" i="21"/>
  <c r="H32" i="21"/>
  <c r="I32" i="21"/>
  <c r="J32" i="21"/>
  <c r="L32" i="21"/>
  <c r="M32" i="21"/>
  <c r="N32" i="21"/>
  <c r="B33" i="21"/>
  <c r="C33" i="21"/>
  <c r="D33" i="21"/>
  <c r="E33" i="21"/>
  <c r="F33" i="21"/>
  <c r="G33" i="21"/>
  <c r="H33" i="21"/>
  <c r="I33" i="21"/>
  <c r="J33" i="21"/>
  <c r="L33" i="21"/>
  <c r="M33" i="21"/>
  <c r="N33" i="21"/>
  <c r="B34" i="21"/>
  <c r="C34" i="21"/>
  <c r="D34" i="21"/>
  <c r="E34" i="21"/>
  <c r="F34" i="21"/>
  <c r="G34" i="21"/>
  <c r="H34" i="21"/>
  <c r="I34" i="21"/>
  <c r="J34" i="21"/>
  <c r="L34" i="21"/>
  <c r="M34" i="21"/>
  <c r="N34" i="21"/>
  <c r="B35" i="21"/>
  <c r="C35" i="21"/>
  <c r="D35" i="21"/>
  <c r="E35" i="21"/>
  <c r="F35" i="21"/>
  <c r="G35" i="21"/>
  <c r="H35" i="21"/>
  <c r="I35" i="21"/>
  <c r="J35" i="21"/>
  <c r="L35" i="21"/>
  <c r="M35" i="21"/>
  <c r="N35" i="21"/>
  <c r="B36" i="21"/>
  <c r="C36" i="21"/>
  <c r="D36" i="21"/>
  <c r="E36" i="21"/>
  <c r="F36" i="21"/>
  <c r="G36" i="21"/>
  <c r="H36" i="21"/>
  <c r="I36" i="21"/>
  <c r="J36" i="21"/>
  <c r="L36" i="21"/>
  <c r="M36" i="21"/>
  <c r="N36" i="21"/>
  <c r="B37" i="21"/>
  <c r="C37" i="21"/>
  <c r="D37" i="21"/>
  <c r="E37" i="21"/>
  <c r="F37" i="21"/>
  <c r="G37" i="21"/>
  <c r="H37" i="21"/>
  <c r="I37" i="21"/>
  <c r="J37" i="21"/>
  <c r="L37" i="21"/>
  <c r="M37" i="21"/>
  <c r="N37" i="21"/>
  <c r="B38" i="21"/>
  <c r="C38" i="21"/>
  <c r="D38" i="21"/>
  <c r="E38" i="21"/>
  <c r="F38" i="21"/>
  <c r="G38" i="21"/>
  <c r="H38" i="21"/>
  <c r="I38" i="21"/>
  <c r="J38" i="21"/>
  <c r="L38" i="21"/>
  <c r="M38" i="21"/>
  <c r="N38" i="21"/>
  <c r="B39" i="21"/>
  <c r="C39" i="21"/>
  <c r="D39" i="21"/>
  <c r="E39" i="21"/>
  <c r="F39" i="21"/>
  <c r="G39" i="21"/>
  <c r="H39" i="21"/>
  <c r="I39" i="21"/>
  <c r="J39" i="21"/>
  <c r="L39" i="21"/>
  <c r="M39" i="21"/>
  <c r="N39" i="21"/>
  <c r="L16" i="5"/>
  <c r="M16" i="5"/>
  <c r="N16" i="5"/>
  <c r="I16" i="5"/>
  <c r="AS9" i="5"/>
  <c r="AL9" i="5"/>
  <c r="AF9" i="5"/>
  <c r="AI8" i="5"/>
  <c r="AH8" i="5"/>
  <c r="X10" i="5"/>
  <c r="O13" i="5"/>
  <c r="O14" i="5"/>
  <c r="O15" i="5"/>
  <c r="O16" i="5"/>
  <c r="O17" i="5"/>
  <c r="X17" i="5" s="1"/>
  <c r="O18" i="5"/>
  <c r="X18" i="5" s="1"/>
  <c r="O19" i="5"/>
  <c r="X19" i="5" s="1"/>
  <c r="O20" i="5"/>
  <c r="X20" i="5" s="1"/>
  <c r="O21" i="5"/>
  <c r="X21" i="5" s="1"/>
  <c r="O22" i="5"/>
  <c r="X22" i="5" s="1"/>
  <c r="O23" i="5"/>
  <c r="X23" i="5" s="1"/>
  <c r="O24" i="5"/>
  <c r="X24" i="5" s="1"/>
  <c r="O25" i="5"/>
  <c r="X25" i="5" s="1"/>
  <c r="O26" i="5"/>
  <c r="X26" i="5" s="1"/>
  <c r="O27" i="5"/>
  <c r="X27" i="5" s="1"/>
  <c r="O28" i="5"/>
  <c r="X28" i="5" s="1"/>
  <c r="O29" i="5"/>
  <c r="X29" i="5" s="1"/>
  <c r="O30" i="5"/>
  <c r="X30" i="5" s="1"/>
  <c r="O31" i="5"/>
  <c r="X31" i="5" s="1"/>
  <c r="O32" i="5"/>
  <c r="X32" i="5" s="1"/>
  <c r="O33" i="5"/>
  <c r="X33" i="5" s="1"/>
  <c r="O34" i="5"/>
  <c r="X34" i="5" s="1"/>
  <c r="O35" i="5"/>
  <c r="X35" i="5" s="1"/>
  <c r="O36" i="5"/>
  <c r="X36" i="5" s="1"/>
  <c r="O37" i="5"/>
  <c r="X37" i="5" s="1"/>
  <c r="O38" i="5"/>
  <c r="X38" i="5" s="1"/>
  <c r="O39" i="5"/>
  <c r="X39" i="5" s="1"/>
  <c r="O40" i="5"/>
  <c r="X40" i="5" s="1"/>
  <c r="O41" i="5"/>
  <c r="X41" i="5" s="1"/>
  <c r="O42" i="5"/>
  <c r="X42" i="5" s="1"/>
  <c r="O43" i="5"/>
  <c r="X43" i="5" s="1"/>
  <c r="O44" i="5"/>
  <c r="X44" i="5" s="1"/>
  <c r="O45" i="5"/>
  <c r="X45" i="5" s="1"/>
  <c r="O46" i="5"/>
  <c r="X46" i="5" s="1"/>
  <c r="O47" i="5"/>
  <c r="X47" i="5" s="1"/>
  <c r="O48" i="5"/>
  <c r="X48" i="5" s="1"/>
  <c r="O49" i="5"/>
  <c r="X49" i="5" s="1"/>
  <c r="O50" i="5"/>
  <c r="X50" i="5" s="1"/>
  <c r="O51" i="5"/>
  <c r="X51" i="5" s="1"/>
  <c r="O52" i="5"/>
  <c r="X52" i="5" s="1"/>
  <c r="O12" i="5"/>
  <c r="H97" i="5"/>
  <c r="V52" i="5" l="1"/>
  <c r="W52" i="5" s="1"/>
  <c r="V51" i="5"/>
  <c r="W51" i="5" s="1"/>
  <c r="V50" i="5"/>
  <c r="W50" i="5" s="1"/>
  <c r="V49" i="5"/>
  <c r="W49" i="5" s="1"/>
  <c r="V48" i="5"/>
  <c r="W48" i="5" s="1"/>
  <c r="V47" i="5"/>
  <c r="W47" i="5" s="1"/>
  <c r="V46" i="5"/>
  <c r="W46" i="5" s="1"/>
  <c r="V45" i="5"/>
  <c r="W45" i="5" s="1"/>
  <c r="V44" i="5"/>
  <c r="W44" i="5" s="1"/>
  <c r="V43" i="5"/>
  <c r="W43" i="5" s="1"/>
  <c r="V42" i="5"/>
  <c r="W42" i="5" s="1"/>
  <c r="V41" i="5"/>
  <c r="W41" i="5" s="1"/>
  <c r="V40" i="5"/>
  <c r="W40" i="5" s="1"/>
  <c r="V39" i="5"/>
  <c r="W39" i="5" s="1"/>
  <c r="V38" i="5"/>
  <c r="W38" i="5" s="1"/>
  <c r="V37" i="5"/>
  <c r="W37" i="5" s="1"/>
  <c r="V36" i="5"/>
  <c r="W36" i="5" s="1"/>
  <c r="V35" i="5"/>
  <c r="W35" i="5" s="1"/>
  <c r="V34" i="5"/>
  <c r="W34" i="5" s="1"/>
  <c r="V33" i="5"/>
  <c r="W33" i="5" s="1"/>
  <c r="V32" i="5"/>
  <c r="W32" i="5" s="1"/>
  <c r="V31" i="5"/>
  <c r="W31" i="5" s="1"/>
  <c r="V30" i="5"/>
  <c r="W30" i="5" s="1"/>
  <c r="V29" i="5"/>
  <c r="W29" i="5" s="1"/>
  <c r="V28" i="5"/>
  <c r="W28" i="5" s="1"/>
  <c r="V27" i="5"/>
  <c r="W27" i="5" s="1"/>
  <c r="V26" i="5"/>
  <c r="W26" i="5" s="1"/>
  <c r="V25" i="5"/>
  <c r="W25" i="5" s="1"/>
  <c r="V24" i="5"/>
  <c r="W24" i="5" s="1"/>
  <c r="V23" i="5"/>
  <c r="W23" i="5" s="1"/>
  <c r="V22" i="5"/>
  <c r="W22" i="5" s="1"/>
  <c r="V21" i="5"/>
  <c r="W21" i="5" s="1"/>
  <c r="V20" i="5"/>
  <c r="W20" i="5" s="1"/>
  <c r="V19" i="5"/>
  <c r="W19" i="5" s="1"/>
  <c r="V18" i="5"/>
  <c r="W18" i="5" s="1"/>
  <c r="V17" i="5"/>
  <c r="W17" i="5" s="1"/>
  <c r="P12"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U52" i="5"/>
  <c r="U51" i="5"/>
  <c r="U50" i="5"/>
  <c r="U49" i="5"/>
  <c r="U48" i="5"/>
  <c r="U47" i="5"/>
  <c r="U46" i="5"/>
  <c r="U45" i="5"/>
  <c r="U44" i="5"/>
  <c r="U43" i="5"/>
  <c r="U42" i="5"/>
  <c r="U41" i="5"/>
  <c r="U40" i="5"/>
  <c r="U39" i="5"/>
  <c r="U38" i="5"/>
  <c r="U37" i="5"/>
  <c r="U36" i="5"/>
  <c r="U35" i="5"/>
  <c r="U34" i="5"/>
  <c r="U33" i="5"/>
  <c r="U32" i="5"/>
  <c r="U31" i="5"/>
  <c r="U30" i="5"/>
  <c r="U29" i="5"/>
  <c r="U28" i="5"/>
  <c r="U27" i="5"/>
  <c r="U26" i="5"/>
  <c r="U25" i="5"/>
  <c r="U24" i="5"/>
  <c r="U23" i="5"/>
  <c r="U22" i="5"/>
  <c r="U21" i="5"/>
  <c r="U20" i="5"/>
  <c r="U19" i="5"/>
  <c r="U18" i="5"/>
  <c r="U17" i="5"/>
  <c r="AD52" i="5"/>
  <c r="AF52" i="5" s="1"/>
  <c r="AC52" i="5"/>
  <c r="AB52" i="5"/>
  <c r="AA52" i="5"/>
  <c r="Z52" i="5"/>
  <c r="Y52" i="5"/>
  <c r="AD51" i="5"/>
  <c r="AF51" i="5" s="1"/>
  <c r="AC51" i="5"/>
  <c r="AB51" i="5"/>
  <c r="AA51" i="5"/>
  <c r="Z51" i="5"/>
  <c r="Y51" i="5"/>
  <c r="AD50" i="5"/>
  <c r="AF50" i="5" s="1"/>
  <c r="AC50" i="5"/>
  <c r="AB50" i="5"/>
  <c r="AA50" i="5"/>
  <c r="Z50" i="5"/>
  <c r="Y50" i="5"/>
  <c r="AD49" i="5"/>
  <c r="AF49" i="5" s="1"/>
  <c r="AC49" i="5"/>
  <c r="AB49" i="5"/>
  <c r="AA49" i="5"/>
  <c r="Z49" i="5"/>
  <c r="Y49" i="5"/>
  <c r="AD48" i="5"/>
  <c r="AF48" i="5" s="1"/>
  <c r="AC48" i="5"/>
  <c r="AB48" i="5"/>
  <c r="AA48" i="5"/>
  <c r="Z48" i="5"/>
  <c r="Y48" i="5"/>
  <c r="AD47" i="5"/>
  <c r="AF47" i="5" s="1"/>
  <c r="AC47" i="5"/>
  <c r="AB47" i="5"/>
  <c r="AA47" i="5"/>
  <c r="Z47" i="5"/>
  <c r="Y47" i="5"/>
  <c r="AD46" i="5"/>
  <c r="AF46" i="5" s="1"/>
  <c r="AC46" i="5"/>
  <c r="AB46" i="5"/>
  <c r="AA46" i="5"/>
  <c r="Z46" i="5"/>
  <c r="Y46" i="5"/>
  <c r="AD45" i="5"/>
  <c r="AF45" i="5" s="1"/>
  <c r="AC45" i="5"/>
  <c r="AB45" i="5"/>
  <c r="AA45" i="5"/>
  <c r="Z45" i="5"/>
  <c r="Y45" i="5"/>
  <c r="AD44" i="5"/>
  <c r="AF44" i="5" s="1"/>
  <c r="AC44" i="5"/>
  <c r="AB44" i="5"/>
  <c r="AA44" i="5"/>
  <c r="Z44" i="5"/>
  <c r="Y44" i="5"/>
  <c r="AD43" i="5"/>
  <c r="AF43" i="5" s="1"/>
  <c r="AC43" i="5"/>
  <c r="AB43" i="5"/>
  <c r="AA43" i="5"/>
  <c r="Z43" i="5"/>
  <c r="Y43" i="5"/>
  <c r="AD42" i="5"/>
  <c r="AF42" i="5" s="1"/>
  <c r="AC42" i="5"/>
  <c r="AB42" i="5"/>
  <c r="AA42" i="5"/>
  <c r="Z42" i="5"/>
  <c r="Y42" i="5"/>
  <c r="AD41" i="5"/>
  <c r="AF41" i="5" s="1"/>
  <c r="AC41" i="5"/>
  <c r="AB41" i="5"/>
  <c r="AA41" i="5"/>
  <c r="Z41" i="5"/>
  <c r="Y41" i="5"/>
  <c r="AD40" i="5"/>
  <c r="AF40" i="5" s="1"/>
  <c r="AC40" i="5"/>
  <c r="AB40" i="5"/>
  <c r="AA40" i="5"/>
  <c r="Z40" i="5"/>
  <c r="Y40" i="5"/>
  <c r="AD39" i="5"/>
  <c r="AF39" i="5" s="1"/>
  <c r="AC39" i="5"/>
  <c r="AB39" i="5"/>
  <c r="AA39" i="5"/>
  <c r="Z39" i="5"/>
  <c r="Y39" i="5"/>
  <c r="AD38" i="5"/>
  <c r="AF38" i="5" s="1"/>
  <c r="AC38" i="5"/>
  <c r="AB38" i="5"/>
  <c r="AA38" i="5"/>
  <c r="Z38" i="5"/>
  <c r="Y38" i="5"/>
  <c r="AD37" i="5"/>
  <c r="AF37" i="5" s="1"/>
  <c r="AC37" i="5"/>
  <c r="AB37" i="5"/>
  <c r="AA37" i="5"/>
  <c r="Z37" i="5"/>
  <c r="Y37" i="5"/>
  <c r="AD36" i="5"/>
  <c r="AF36" i="5" s="1"/>
  <c r="AC36" i="5"/>
  <c r="AB36" i="5"/>
  <c r="AA36" i="5"/>
  <c r="Z36" i="5"/>
  <c r="Y36" i="5"/>
  <c r="AD35" i="5"/>
  <c r="AF35" i="5" s="1"/>
  <c r="AC35" i="5"/>
  <c r="AB35" i="5"/>
  <c r="AA35" i="5"/>
  <c r="Z35" i="5"/>
  <c r="Y35" i="5"/>
  <c r="AD34" i="5"/>
  <c r="AF34" i="5" s="1"/>
  <c r="AC34" i="5"/>
  <c r="AB34" i="5"/>
  <c r="AA34" i="5"/>
  <c r="Z34" i="5"/>
  <c r="Y34" i="5"/>
  <c r="AD33" i="5"/>
  <c r="AF33" i="5" s="1"/>
  <c r="AC33" i="5"/>
  <c r="AB33" i="5"/>
  <c r="AA33" i="5"/>
  <c r="Z33" i="5"/>
  <c r="Y33" i="5"/>
  <c r="AD32" i="5"/>
  <c r="AF32" i="5" s="1"/>
  <c r="AC32" i="5"/>
  <c r="AB32" i="5"/>
  <c r="AA32" i="5"/>
  <c r="Z32" i="5"/>
  <c r="Y32" i="5"/>
  <c r="AD31" i="5"/>
  <c r="AF31" i="5" s="1"/>
  <c r="AC31" i="5"/>
  <c r="AB31" i="5"/>
  <c r="AA31" i="5"/>
  <c r="Z31" i="5"/>
  <c r="Y31" i="5"/>
  <c r="AD30" i="5"/>
  <c r="AF30" i="5" s="1"/>
  <c r="AC30" i="5"/>
  <c r="AB30" i="5"/>
  <c r="AA30" i="5"/>
  <c r="Z30" i="5"/>
  <c r="Y30" i="5"/>
  <c r="AD29" i="5"/>
  <c r="AF29" i="5" s="1"/>
  <c r="AC29" i="5"/>
  <c r="AB29" i="5"/>
  <c r="AA29" i="5"/>
  <c r="Z29" i="5"/>
  <c r="Y29" i="5"/>
  <c r="AD28" i="5"/>
  <c r="AF28" i="5" s="1"/>
  <c r="AC28" i="5"/>
  <c r="AB28" i="5"/>
  <c r="AA28" i="5"/>
  <c r="Z28" i="5"/>
  <c r="Y28" i="5"/>
  <c r="AD27" i="5"/>
  <c r="AF27" i="5" s="1"/>
  <c r="AC27" i="5"/>
  <c r="AB27" i="5"/>
  <c r="AA27" i="5"/>
  <c r="Z27" i="5"/>
  <c r="Y27" i="5"/>
  <c r="AD26" i="5"/>
  <c r="AF26" i="5" s="1"/>
  <c r="AC26" i="5"/>
  <c r="AB26" i="5"/>
  <c r="AA26" i="5"/>
  <c r="Z26" i="5"/>
  <c r="Y26" i="5"/>
  <c r="AD25" i="5"/>
  <c r="AF25" i="5" s="1"/>
  <c r="AC25" i="5"/>
  <c r="AB25" i="5"/>
  <c r="AA25" i="5"/>
  <c r="Z25" i="5"/>
  <c r="Y25" i="5"/>
  <c r="AD24" i="5"/>
  <c r="AF24" i="5" s="1"/>
  <c r="AC24" i="5"/>
  <c r="AB24" i="5"/>
  <c r="AA24" i="5"/>
  <c r="Z24" i="5"/>
  <c r="Y24" i="5"/>
  <c r="AD23" i="5"/>
  <c r="AF23" i="5" s="1"/>
  <c r="AC23" i="5"/>
  <c r="AB23" i="5"/>
  <c r="AA23" i="5"/>
  <c r="Z23" i="5"/>
  <c r="Y23" i="5"/>
  <c r="AD22" i="5"/>
  <c r="AF22" i="5" s="1"/>
  <c r="AC22" i="5"/>
  <c r="AB22" i="5"/>
  <c r="AA22" i="5"/>
  <c r="Z22" i="5"/>
  <c r="Y22" i="5"/>
  <c r="AD21" i="5"/>
  <c r="AF21" i="5" s="1"/>
  <c r="AC21" i="5"/>
  <c r="AB21" i="5"/>
  <c r="AA21" i="5"/>
  <c r="Z21" i="5"/>
  <c r="Y21" i="5"/>
  <c r="AD20" i="5"/>
  <c r="AF20" i="5" s="1"/>
  <c r="AC20" i="5"/>
  <c r="AB20" i="5"/>
  <c r="AA20" i="5"/>
  <c r="Z20" i="5"/>
  <c r="Y20" i="5"/>
  <c r="AD19" i="5"/>
  <c r="AF19" i="5" s="1"/>
  <c r="AC19" i="5"/>
  <c r="AB19" i="5"/>
  <c r="AA19" i="5"/>
  <c r="Z19" i="5"/>
  <c r="Y19" i="5"/>
  <c r="AD18" i="5"/>
  <c r="AF18" i="5" s="1"/>
  <c r="AC18" i="5"/>
  <c r="AB18" i="5"/>
  <c r="AA18" i="5"/>
  <c r="Z18" i="5"/>
  <c r="Y18" i="5"/>
  <c r="AD17" i="5"/>
  <c r="AF17" i="5" s="1"/>
  <c r="AC17" i="5"/>
  <c r="AB17" i="5"/>
  <c r="AA17" i="5"/>
  <c r="Z17" i="5"/>
  <c r="Y17" i="5"/>
  <c r="B9" i="21"/>
  <c r="C9" i="21"/>
  <c r="D9" i="21"/>
  <c r="H9" i="21" s="1"/>
  <c r="F9" i="21"/>
  <c r="B10" i="21"/>
  <c r="C10" i="21"/>
  <c r="D10" i="21"/>
  <c r="H10" i="21" s="1"/>
  <c r="F10" i="21"/>
  <c r="B11" i="21"/>
  <c r="C11" i="21"/>
  <c r="D11" i="21"/>
  <c r="H11" i="21" s="1"/>
  <c r="F11" i="21"/>
  <c r="B12" i="21"/>
  <c r="C12" i="21"/>
  <c r="D12" i="21"/>
  <c r="H12" i="21" s="1"/>
  <c r="F12" i="21"/>
  <c r="T17" i="5"/>
  <c r="T19" i="5"/>
  <c r="T20" i="5"/>
  <c r="T21" i="5"/>
  <c r="T22" i="5"/>
  <c r="T23" i="5"/>
  <c r="E12" i="21" l="1"/>
  <c r="G12" i="21"/>
  <c r="I12" i="21"/>
  <c r="E11" i="21"/>
  <c r="G11" i="21"/>
  <c r="I11" i="21"/>
  <c r="E10" i="21"/>
  <c r="G10" i="21"/>
  <c r="I10" i="21"/>
  <c r="E9" i="21"/>
  <c r="G9" i="21"/>
  <c r="I9" i="21"/>
  <c r="J12" i="21"/>
  <c r="L12" i="21" s="1"/>
  <c r="AI17" i="5"/>
  <c r="AJ17" i="5"/>
  <c r="AL17" i="5" s="1"/>
  <c r="AG17" i="5"/>
  <c r="AH17" i="5" s="1"/>
  <c r="AI18" i="5"/>
  <c r="AJ18" i="5"/>
  <c r="AL18" i="5" s="1"/>
  <c r="AG18" i="5"/>
  <c r="AH18" i="5" s="1"/>
  <c r="AI19" i="5"/>
  <c r="AJ19" i="5"/>
  <c r="AL19" i="5" s="1"/>
  <c r="AG19" i="5"/>
  <c r="AH19" i="5" s="1"/>
  <c r="AI20" i="5"/>
  <c r="AJ20" i="5"/>
  <c r="AL20" i="5" s="1"/>
  <c r="AG20" i="5"/>
  <c r="AH20" i="5" s="1"/>
  <c r="AI21" i="5"/>
  <c r="AJ21" i="5"/>
  <c r="AL21" i="5" s="1"/>
  <c r="AG21" i="5"/>
  <c r="AH21" i="5" s="1"/>
  <c r="AI22" i="5"/>
  <c r="AJ22" i="5"/>
  <c r="AL22" i="5" s="1"/>
  <c r="AG22" i="5"/>
  <c r="AH22" i="5" s="1"/>
  <c r="AI23" i="5"/>
  <c r="AJ23" i="5"/>
  <c r="AL23" i="5" s="1"/>
  <c r="AG23" i="5"/>
  <c r="AH23" i="5" s="1"/>
  <c r="AI24" i="5"/>
  <c r="AJ24" i="5"/>
  <c r="AL24" i="5" s="1"/>
  <c r="AG24" i="5"/>
  <c r="AH24" i="5" s="1"/>
  <c r="AI25" i="5"/>
  <c r="AJ25" i="5"/>
  <c r="AL25" i="5" s="1"/>
  <c r="AG25" i="5"/>
  <c r="AH25" i="5" s="1"/>
  <c r="AI26" i="5"/>
  <c r="AJ26" i="5"/>
  <c r="AL26" i="5" s="1"/>
  <c r="AG26" i="5"/>
  <c r="AH26" i="5" s="1"/>
  <c r="AI27" i="5"/>
  <c r="AJ27" i="5"/>
  <c r="AL27" i="5" s="1"/>
  <c r="AG27" i="5"/>
  <c r="AH27" i="5" s="1"/>
  <c r="AI28" i="5"/>
  <c r="AJ28" i="5"/>
  <c r="AL28" i="5" s="1"/>
  <c r="AG28" i="5"/>
  <c r="AH28" i="5" s="1"/>
  <c r="AI29" i="5"/>
  <c r="AJ29" i="5"/>
  <c r="AL29" i="5" s="1"/>
  <c r="AG29" i="5"/>
  <c r="AH29" i="5" s="1"/>
  <c r="AI30" i="5"/>
  <c r="AJ30" i="5"/>
  <c r="AL30" i="5" s="1"/>
  <c r="AG30" i="5"/>
  <c r="AH30" i="5" s="1"/>
  <c r="AI31" i="5"/>
  <c r="AJ31" i="5"/>
  <c r="AL31" i="5" s="1"/>
  <c r="AG31" i="5"/>
  <c r="AH31" i="5" s="1"/>
  <c r="AI32" i="5"/>
  <c r="AJ32" i="5"/>
  <c r="AL32" i="5" s="1"/>
  <c r="AG32" i="5"/>
  <c r="AH32" i="5" s="1"/>
  <c r="AI33" i="5"/>
  <c r="AJ33" i="5"/>
  <c r="AL33" i="5" s="1"/>
  <c r="AG33" i="5"/>
  <c r="AH33" i="5" s="1"/>
  <c r="AI34" i="5"/>
  <c r="AJ34" i="5"/>
  <c r="AL34" i="5" s="1"/>
  <c r="AG34" i="5"/>
  <c r="AH34" i="5" s="1"/>
  <c r="AI35" i="5"/>
  <c r="AJ35" i="5"/>
  <c r="AL35" i="5" s="1"/>
  <c r="AG35" i="5"/>
  <c r="AH35" i="5" s="1"/>
  <c r="AI36" i="5"/>
  <c r="AJ36" i="5"/>
  <c r="AL36" i="5" s="1"/>
  <c r="AG36" i="5"/>
  <c r="AH36" i="5" s="1"/>
  <c r="AI37" i="5"/>
  <c r="AJ37" i="5"/>
  <c r="AL37" i="5" s="1"/>
  <c r="AG37" i="5"/>
  <c r="AH37" i="5" s="1"/>
  <c r="AI38" i="5"/>
  <c r="AJ38" i="5"/>
  <c r="AL38" i="5" s="1"/>
  <c r="AG38" i="5"/>
  <c r="AH38" i="5" s="1"/>
  <c r="AI39" i="5"/>
  <c r="AJ39" i="5"/>
  <c r="AL39" i="5" s="1"/>
  <c r="AG39" i="5"/>
  <c r="AH39" i="5" s="1"/>
  <c r="AI40" i="5"/>
  <c r="AJ40" i="5"/>
  <c r="AL40" i="5" s="1"/>
  <c r="AG40" i="5"/>
  <c r="AH40" i="5" s="1"/>
  <c r="AI41" i="5"/>
  <c r="AJ41" i="5"/>
  <c r="AL41" i="5" s="1"/>
  <c r="AG41" i="5"/>
  <c r="AH41" i="5" s="1"/>
  <c r="AI42" i="5"/>
  <c r="AJ42" i="5"/>
  <c r="AL42" i="5" s="1"/>
  <c r="AG42" i="5"/>
  <c r="AH42" i="5" s="1"/>
  <c r="AI43" i="5"/>
  <c r="AJ43" i="5"/>
  <c r="AL43" i="5" s="1"/>
  <c r="AG43" i="5"/>
  <c r="AH43" i="5" s="1"/>
  <c r="AI44" i="5"/>
  <c r="AJ44" i="5"/>
  <c r="AL44" i="5" s="1"/>
  <c r="AG44" i="5"/>
  <c r="AH44" i="5" s="1"/>
  <c r="AI45" i="5"/>
  <c r="AJ45" i="5"/>
  <c r="AL45" i="5" s="1"/>
  <c r="AG45" i="5"/>
  <c r="AH45" i="5" s="1"/>
  <c r="AI46" i="5"/>
  <c r="AJ46" i="5"/>
  <c r="AL46" i="5" s="1"/>
  <c r="AG46" i="5"/>
  <c r="AH46" i="5" s="1"/>
  <c r="AI47" i="5"/>
  <c r="AJ47" i="5"/>
  <c r="AL47" i="5" s="1"/>
  <c r="AG47" i="5"/>
  <c r="AH47" i="5" s="1"/>
  <c r="AI48" i="5"/>
  <c r="AJ48" i="5"/>
  <c r="AL48" i="5" s="1"/>
  <c r="AG48" i="5"/>
  <c r="AH48" i="5" s="1"/>
  <c r="AI49" i="5"/>
  <c r="AJ49" i="5"/>
  <c r="AL49" i="5" s="1"/>
  <c r="AG49" i="5"/>
  <c r="AH49" i="5" s="1"/>
  <c r="AI50" i="5"/>
  <c r="AJ50" i="5"/>
  <c r="AL50" i="5" s="1"/>
  <c r="AG50" i="5"/>
  <c r="AH50" i="5" s="1"/>
  <c r="AI51" i="5"/>
  <c r="AJ51" i="5"/>
  <c r="AL51" i="5" s="1"/>
  <c r="AG51" i="5"/>
  <c r="AH51" i="5" s="1"/>
  <c r="AI52" i="5"/>
  <c r="AJ52" i="5"/>
  <c r="AL52" i="5" s="1"/>
  <c r="AG52" i="5"/>
  <c r="AH52" i="5" s="1"/>
  <c r="J11" i="21"/>
  <c r="L11" i="21" s="1"/>
  <c r="J10" i="21"/>
  <c r="L10" i="21" s="1"/>
  <c r="J9" i="21"/>
  <c r="L9" i="21" s="1"/>
  <c r="M11" i="21"/>
  <c r="N11" i="21"/>
  <c r="T15" i="5" s="1"/>
  <c r="V15" i="5" s="1"/>
  <c r="W15" i="5" s="1"/>
  <c r="M10" i="21"/>
  <c r="N10" i="21"/>
  <c r="T14" i="5" s="1"/>
  <c r="V14" i="5" s="1"/>
  <c r="W14" i="5" s="1"/>
  <c r="M9" i="21"/>
  <c r="N9" i="21"/>
  <c r="T13" i="5" s="1"/>
  <c r="V13" i="5" s="1"/>
  <c r="W13" i="5" s="1"/>
  <c r="M12" i="21" l="1"/>
  <c r="N12" i="21"/>
  <c r="T16" i="5" s="1"/>
  <c r="AM52" i="5"/>
  <c r="AN52" i="5"/>
  <c r="AO52" i="5"/>
  <c r="AP52" i="5"/>
  <c r="AQ52" i="5"/>
  <c r="AS52" i="5" s="1"/>
  <c r="AY52" i="5" s="1"/>
  <c r="AM51" i="5"/>
  <c r="AN51" i="5"/>
  <c r="AO51" i="5"/>
  <c r="AP51" i="5"/>
  <c r="AQ51" i="5"/>
  <c r="AS51" i="5" s="1"/>
  <c r="AY51" i="5" s="1"/>
  <c r="AM50" i="5"/>
  <c r="AN50" i="5"/>
  <c r="AO50" i="5"/>
  <c r="AP50" i="5"/>
  <c r="AQ50" i="5"/>
  <c r="AS50" i="5" s="1"/>
  <c r="AY50" i="5" s="1"/>
  <c r="AM49" i="5"/>
  <c r="AN49" i="5"/>
  <c r="AO49" i="5"/>
  <c r="AP49" i="5"/>
  <c r="AQ49" i="5"/>
  <c r="AS49" i="5" s="1"/>
  <c r="AY49" i="5" s="1"/>
  <c r="AM48" i="5"/>
  <c r="AN48" i="5"/>
  <c r="AO48" i="5"/>
  <c r="AP48" i="5"/>
  <c r="AQ48" i="5"/>
  <c r="AS48" i="5" s="1"/>
  <c r="AY48" i="5" s="1"/>
  <c r="AM47" i="5"/>
  <c r="AN47" i="5"/>
  <c r="AO47" i="5"/>
  <c r="AP47" i="5"/>
  <c r="AQ47" i="5"/>
  <c r="AS47" i="5" s="1"/>
  <c r="AY47" i="5" s="1"/>
  <c r="AM46" i="5"/>
  <c r="AN46" i="5"/>
  <c r="AO46" i="5"/>
  <c r="AP46" i="5"/>
  <c r="AQ46" i="5"/>
  <c r="AS46" i="5" s="1"/>
  <c r="AY46" i="5" s="1"/>
  <c r="AM45" i="5"/>
  <c r="AN45" i="5"/>
  <c r="AO45" i="5"/>
  <c r="AP45" i="5"/>
  <c r="AQ45" i="5"/>
  <c r="AS45" i="5" s="1"/>
  <c r="AY45" i="5" s="1"/>
  <c r="AM44" i="5"/>
  <c r="AN44" i="5"/>
  <c r="AO44" i="5"/>
  <c r="AP44" i="5"/>
  <c r="AQ44" i="5"/>
  <c r="AS44" i="5" s="1"/>
  <c r="AY44" i="5" s="1"/>
  <c r="AM43" i="5"/>
  <c r="AN43" i="5"/>
  <c r="AO43" i="5"/>
  <c r="AP43" i="5"/>
  <c r="AQ43" i="5"/>
  <c r="AS43" i="5" s="1"/>
  <c r="AY43" i="5" s="1"/>
  <c r="AM42" i="5"/>
  <c r="AN42" i="5"/>
  <c r="AO42" i="5"/>
  <c r="AP42" i="5"/>
  <c r="AQ42" i="5"/>
  <c r="AS42" i="5" s="1"/>
  <c r="AY42" i="5" s="1"/>
  <c r="AM41" i="5"/>
  <c r="AN41" i="5"/>
  <c r="AO41" i="5"/>
  <c r="AP41" i="5"/>
  <c r="AQ41" i="5"/>
  <c r="AS41" i="5" s="1"/>
  <c r="AY41" i="5" s="1"/>
  <c r="AM40" i="5"/>
  <c r="AN40" i="5"/>
  <c r="AO40" i="5"/>
  <c r="AP40" i="5"/>
  <c r="AQ40" i="5"/>
  <c r="AS40" i="5" s="1"/>
  <c r="AY40" i="5" s="1"/>
  <c r="AM39" i="5"/>
  <c r="AN39" i="5"/>
  <c r="AO39" i="5"/>
  <c r="AP39" i="5"/>
  <c r="AQ39" i="5"/>
  <c r="AS39" i="5" s="1"/>
  <c r="AY39" i="5" s="1"/>
  <c r="AM38" i="5"/>
  <c r="AN38" i="5"/>
  <c r="AO38" i="5"/>
  <c r="AP38" i="5"/>
  <c r="AQ38" i="5"/>
  <c r="AS38" i="5" s="1"/>
  <c r="AY38" i="5" s="1"/>
  <c r="AM37" i="5"/>
  <c r="AN37" i="5"/>
  <c r="AO37" i="5"/>
  <c r="AP37" i="5"/>
  <c r="AQ37" i="5"/>
  <c r="AS37" i="5" s="1"/>
  <c r="AY37" i="5" s="1"/>
  <c r="AM36" i="5"/>
  <c r="AN36" i="5"/>
  <c r="AO36" i="5"/>
  <c r="AP36" i="5"/>
  <c r="AQ36" i="5"/>
  <c r="AS36" i="5" s="1"/>
  <c r="AY36" i="5" s="1"/>
  <c r="AM35" i="5"/>
  <c r="AN35" i="5"/>
  <c r="AO35" i="5"/>
  <c r="AP35" i="5"/>
  <c r="AQ35" i="5"/>
  <c r="AS35" i="5" s="1"/>
  <c r="AY35" i="5" s="1"/>
  <c r="AM34" i="5"/>
  <c r="AN34" i="5"/>
  <c r="AO34" i="5"/>
  <c r="AP34" i="5"/>
  <c r="AQ34" i="5"/>
  <c r="AS34" i="5" s="1"/>
  <c r="AY34" i="5" s="1"/>
  <c r="AM33" i="5"/>
  <c r="AN33" i="5"/>
  <c r="AO33" i="5"/>
  <c r="AP33" i="5"/>
  <c r="AQ33" i="5"/>
  <c r="AS33" i="5" s="1"/>
  <c r="AY33" i="5" s="1"/>
  <c r="AM32" i="5"/>
  <c r="AN32" i="5"/>
  <c r="AO32" i="5"/>
  <c r="AP32" i="5"/>
  <c r="AQ32" i="5"/>
  <c r="AS32" i="5" s="1"/>
  <c r="AY32" i="5" s="1"/>
  <c r="AM31" i="5"/>
  <c r="AN31" i="5"/>
  <c r="AO31" i="5"/>
  <c r="AP31" i="5"/>
  <c r="AQ31" i="5"/>
  <c r="AS31" i="5" s="1"/>
  <c r="AY31" i="5" s="1"/>
  <c r="AM30" i="5"/>
  <c r="AN30" i="5"/>
  <c r="AO30" i="5"/>
  <c r="AP30" i="5"/>
  <c r="AQ30" i="5"/>
  <c r="AS30" i="5" s="1"/>
  <c r="AY30" i="5" s="1"/>
  <c r="AM29" i="5"/>
  <c r="AN29" i="5"/>
  <c r="AO29" i="5"/>
  <c r="AP29" i="5"/>
  <c r="AQ29" i="5"/>
  <c r="AS29" i="5" s="1"/>
  <c r="AY29" i="5" s="1"/>
  <c r="AM28" i="5"/>
  <c r="AN28" i="5"/>
  <c r="AO28" i="5"/>
  <c r="AP28" i="5"/>
  <c r="AQ28" i="5"/>
  <c r="AS28" i="5" s="1"/>
  <c r="AY28" i="5" s="1"/>
  <c r="AM27" i="5"/>
  <c r="AN27" i="5"/>
  <c r="AO27" i="5"/>
  <c r="AP27" i="5"/>
  <c r="AQ27" i="5"/>
  <c r="AS27" i="5" s="1"/>
  <c r="AY27" i="5" s="1"/>
  <c r="AM26" i="5"/>
  <c r="AN26" i="5"/>
  <c r="AO26" i="5"/>
  <c r="AP26" i="5"/>
  <c r="AQ26" i="5"/>
  <c r="AS26" i="5" s="1"/>
  <c r="AY26" i="5" s="1"/>
  <c r="AM25" i="5"/>
  <c r="AN25" i="5"/>
  <c r="AO25" i="5"/>
  <c r="AP25" i="5"/>
  <c r="AQ25" i="5"/>
  <c r="AS25" i="5" s="1"/>
  <c r="AY25" i="5" s="1"/>
  <c r="AM24" i="5"/>
  <c r="AN24" i="5"/>
  <c r="AO24" i="5"/>
  <c r="AP24" i="5"/>
  <c r="AQ24" i="5"/>
  <c r="AS24" i="5" s="1"/>
  <c r="AY24" i="5" s="1"/>
  <c r="AM23" i="5"/>
  <c r="AN23" i="5"/>
  <c r="AO23" i="5"/>
  <c r="AP23" i="5"/>
  <c r="AQ23" i="5"/>
  <c r="AS23" i="5" s="1"/>
  <c r="AY23" i="5" s="1"/>
  <c r="AM22" i="5"/>
  <c r="AN22" i="5"/>
  <c r="AO22" i="5"/>
  <c r="AP22" i="5"/>
  <c r="AQ22" i="5"/>
  <c r="AS22" i="5" s="1"/>
  <c r="AM21" i="5"/>
  <c r="AN21" i="5"/>
  <c r="AO21" i="5"/>
  <c r="AP21" i="5"/>
  <c r="AQ21" i="5"/>
  <c r="AS21" i="5" s="1"/>
  <c r="AY21" i="5" s="1"/>
  <c r="AM20" i="5"/>
  <c r="AN20" i="5"/>
  <c r="AO20" i="5"/>
  <c r="AP20" i="5"/>
  <c r="AQ20" i="5"/>
  <c r="AS20" i="5" s="1"/>
  <c r="AY20" i="5" s="1"/>
  <c r="AM19" i="5"/>
  <c r="AN19" i="5"/>
  <c r="AO19" i="5"/>
  <c r="AP19" i="5"/>
  <c r="AQ19" i="5"/>
  <c r="AS19" i="5" s="1"/>
  <c r="AY19" i="5" s="1"/>
  <c r="AM18" i="5"/>
  <c r="AN18" i="5"/>
  <c r="AO18" i="5"/>
  <c r="AP18" i="5"/>
  <c r="AQ18" i="5"/>
  <c r="AS18" i="5" s="1"/>
  <c r="AY18" i="5" s="1"/>
  <c r="AM17" i="5"/>
  <c r="AN17" i="5"/>
  <c r="AO17" i="5"/>
  <c r="AP17" i="5"/>
  <c r="AQ17" i="5"/>
  <c r="AS17" i="5" s="1"/>
  <c r="AY17" i="5" s="1"/>
  <c r="T18" i="5"/>
  <c r="V16" i="5" l="1"/>
  <c r="AT17" i="5"/>
  <c r="AU17" i="5"/>
  <c r="AV17" i="5"/>
  <c r="AW17" i="5"/>
  <c r="AX17" i="5"/>
  <c r="BA17" i="5"/>
  <c r="AT18" i="5"/>
  <c r="AU18" i="5"/>
  <c r="AV18" i="5"/>
  <c r="AW18" i="5"/>
  <c r="AX18" i="5"/>
  <c r="BA18" i="5"/>
  <c r="AT19" i="5"/>
  <c r="AU19" i="5"/>
  <c r="AV19" i="5"/>
  <c r="AW19" i="5"/>
  <c r="AX19" i="5"/>
  <c r="BA19" i="5"/>
  <c r="AT20" i="5"/>
  <c r="AU20" i="5"/>
  <c r="AV20" i="5"/>
  <c r="AW20" i="5"/>
  <c r="AX20" i="5"/>
  <c r="BA20" i="5"/>
  <c r="AT21" i="5"/>
  <c r="AU21" i="5"/>
  <c r="AV21" i="5"/>
  <c r="AW21" i="5"/>
  <c r="AX21" i="5"/>
  <c r="BA21" i="5"/>
  <c r="AT22" i="5"/>
  <c r="AU22" i="5"/>
  <c r="AV22" i="5"/>
  <c r="AW22" i="5"/>
  <c r="AX22" i="5"/>
  <c r="BA22" i="5"/>
  <c r="AT23" i="5"/>
  <c r="AU23" i="5"/>
  <c r="AV23" i="5"/>
  <c r="AW23" i="5"/>
  <c r="AX23" i="5"/>
  <c r="BA23" i="5"/>
  <c r="AT24" i="5"/>
  <c r="AU24" i="5"/>
  <c r="AV24" i="5"/>
  <c r="AW24" i="5"/>
  <c r="AX24" i="5"/>
  <c r="BA24" i="5"/>
  <c r="AT25" i="5"/>
  <c r="AU25" i="5"/>
  <c r="AV25" i="5"/>
  <c r="AW25" i="5"/>
  <c r="AX25" i="5"/>
  <c r="BA25" i="5"/>
  <c r="AT26" i="5"/>
  <c r="AU26" i="5"/>
  <c r="AV26" i="5"/>
  <c r="AW26" i="5"/>
  <c r="AX26" i="5"/>
  <c r="BA26" i="5"/>
  <c r="AT27" i="5"/>
  <c r="AU27" i="5"/>
  <c r="AV27" i="5"/>
  <c r="AW27" i="5"/>
  <c r="AX27" i="5"/>
  <c r="BA27" i="5"/>
  <c r="AT28" i="5"/>
  <c r="AU28" i="5"/>
  <c r="AV28" i="5"/>
  <c r="AW28" i="5"/>
  <c r="AX28" i="5"/>
  <c r="BA28" i="5"/>
  <c r="AT29" i="5"/>
  <c r="AU29" i="5"/>
  <c r="AV29" i="5"/>
  <c r="AW29" i="5"/>
  <c r="AX29" i="5"/>
  <c r="BA29" i="5"/>
  <c r="AT30" i="5"/>
  <c r="AU30" i="5"/>
  <c r="AV30" i="5"/>
  <c r="AW30" i="5"/>
  <c r="AX30" i="5"/>
  <c r="BA30" i="5"/>
  <c r="AT31" i="5"/>
  <c r="AU31" i="5"/>
  <c r="AV31" i="5"/>
  <c r="AW31" i="5"/>
  <c r="AX31" i="5"/>
  <c r="BA31" i="5"/>
  <c r="AT32" i="5"/>
  <c r="AU32" i="5"/>
  <c r="AV32" i="5"/>
  <c r="AW32" i="5"/>
  <c r="AX32" i="5"/>
  <c r="BA32" i="5"/>
  <c r="AT33" i="5"/>
  <c r="AU33" i="5"/>
  <c r="AV33" i="5"/>
  <c r="AW33" i="5"/>
  <c r="AX33" i="5"/>
  <c r="BA33" i="5"/>
  <c r="AT34" i="5"/>
  <c r="AU34" i="5"/>
  <c r="AV34" i="5"/>
  <c r="AW34" i="5"/>
  <c r="AX34" i="5"/>
  <c r="BA34" i="5"/>
  <c r="AT35" i="5"/>
  <c r="AU35" i="5"/>
  <c r="AV35" i="5"/>
  <c r="AW35" i="5"/>
  <c r="AX35" i="5"/>
  <c r="BA35" i="5"/>
  <c r="AT36" i="5"/>
  <c r="AU36" i="5"/>
  <c r="AV36" i="5"/>
  <c r="AW36" i="5"/>
  <c r="AX36" i="5"/>
  <c r="BA36" i="5"/>
  <c r="AT37" i="5"/>
  <c r="AU37" i="5"/>
  <c r="AV37" i="5"/>
  <c r="AW37" i="5"/>
  <c r="AX37" i="5"/>
  <c r="BA37" i="5"/>
  <c r="AT38" i="5"/>
  <c r="AU38" i="5"/>
  <c r="AV38" i="5"/>
  <c r="AW38" i="5"/>
  <c r="AX38" i="5"/>
  <c r="BA38" i="5"/>
  <c r="AT39" i="5"/>
  <c r="AU39" i="5"/>
  <c r="AV39" i="5"/>
  <c r="AW39" i="5"/>
  <c r="AX39" i="5"/>
  <c r="BA39" i="5"/>
  <c r="AT40" i="5"/>
  <c r="AU40" i="5"/>
  <c r="AV40" i="5"/>
  <c r="AW40" i="5"/>
  <c r="AX40" i="5"/>
  <c r="BA40" i="5"/>
  <c r="AT41" i="5"/>
  <c r="AU41" i="5"/>
  <c r="AV41" i="5"/>
  <c r="AW41" i="5"/>
  <c r="AX41" i="5"/>
  <c r="BA41" i="5"/>
  <c r="AT42" i="5"/>
  <c r="AU42" i="5"/>
  <c r="AV42" i="5"/>
  <c r="AW42" i="5"/>
  <c r="AX42" i="5"/>
  <c r="BA42" i="5"/>
  <c r="AT43" i="5"/>
  <c r="AU43" i="5"/>
  <c r="AV43" i="5"/>
  <c r="AW43" i="5"/>
  <c r="AX43" i="5"/>
  <c r="BA43" i="5"/>
  <c r="AT44" i="5"/>
  <c r="AU44" i="5"/>
  <c r="AV44" i="5"/>
  <c r="AW44" i="5"/>
  <c r="AX44" i="5"/>
  <c r="BA44" i="5"/>
  <c r="AT45" i="5"/>
  <c r="AU45" i="5"/>
  <c r="AV45" i="5"/>
  <c r="AW45" i="5"/>
  <c r="AX45" i="5"/>
  <c r="BA45" i="5"/>
  <c r="AT46" i="5"/>
  <c r="AU46" i="5"/>
  <c r="AV46" i="5"/>
  <c r="AW46" i="5"/>
  <c r="AX46" i="5"/>
  <c r="BA46" i="5"/>
  <c r="AT47" i="5"/>
  <c r="AU47" i="5"/>
  <c r="AV47" i="5"/>
  <c r="AW47" i="5"/>
  <c r="AX47" i="5"/>
  <c r="BA47" i="5"/>
  <c r="AT48" i="5"/>
  <c r="AU48" i="5"/>
  <c r="AV48" i="5"/>
  <c r="AW48" i="5"/>
  <c r="AX48" i="5"/>
  <c r="BA48" i="5"/>
  <c r="AT49" i="5"/>
  <c r="AU49" i="5"/>
  <c r="AV49" i="5"/>
  <c r="AW49" i="5"/>
  <c r="AX49" i="5"/>
  <c r="BA49" i="5"/>
  <c r="AT50" i="5"/>
  <c r="AU50" i="5"/>
  <c r="AV50" i="5"/>
  <c r="AW50" i="5"/>
  <c r="AX50" i="5"/>
  <c r="BA50" i="5"/>
  <c r="AT51" i="5"/>
  <c r="AU51" i="5"/>
  <c r="AV51" i="5"/>
  <c r="AW51" i="5"/>
  <c r="AX51" i="5"/>
  <c r="BA51" i="5"/>
  <c r="AT52" i="5"/>
  <c r="AU52" i="5"/>
  <c r="AV52" i="5"/>
  <c r="AW52" i="5"/>
  <c r="AX52" i="5"/>
  <c r="BA52" i="5"/>
  <c r="AN10" i="23"/>
  <c r="AN11" i="23"/>
  <c r="AN12" i="23"/>
  <c r="AN13" i="23"/>
  <c r="AN9" i="23"/>
  <c r="W16" i="5" l="1"/>
  <c r="X16" i="5"/>
  <c r="AT14" i="23"/>
  <c r="AU14" i="23"/>
  <c r="AX14" i="23" s="1"/>
  <c r="AT15" i="23"/>
  <c r="AU15" i="23"/>
  <c r="AX15" i="23" s="1"/>
  <c r="AT16" i="23"/>
  <c r="AU16" i="23"/>
  <c r="AX16" i="23" s="1"/>
  <c r="AT17" i="23"/>
  <c r="AU17" i="23"/>
  <c r="AX17" i="23" s="1"/>
  <c r="AT18" i="23"/>
  <c r="AU18" i="23"/>
  <c r="AX18" i="23" s="1"/>
  <c r="AT19" i="23"/>
  <c r="AU19" i="23"/>
  <c r="AX19" i="23" s="1"/>
  <c r="AT20" i="23"/>
  <c r="AU20" i="23"/>
  <c r="AX20" i="23" s="1"/>
  <c r="AT21" i="23"/>
  <c r="AU21" i="23"/>
  <c r="AX21" i="23" s="1"/>
  <c r="AT22" i="23"/>
  <c r="AU22" i="23"/>
  <c r="AX22" i="23" s="1"/>
  <c r="AT23" i="23"/>
  <c r="AU23" i="23"/>
  <c r="AX23" i="23" s="1"/>
  <c r="AT24" i="23"/>
  <c r="AU24" i="23"/>
  <c r="AX24" i="23" s="1"/>
  <c r="AT25" i="23"/>
  <c r="AU25" i="23"/>
  <c r="AX25" i="23" s="1"/>
  <c r="AT26" i="23"/>
  <c r="AU26" i="23"/>
  <c r="AX26" i="23" s="1"/>
  <c r="AT27" i="23"/>
  <c r="AU27" i="23"/>
  <c r="AX27" i="23" s="1"/>
  <c r="AT28" i="23"/>
  <c r="AU28" i="23"/>
  <c r="AX28" i="23" s="1"/>
  <c r="AT29" i="23"/>
  <c r="AU29" i="23"/>
  <c r="AX29" i="23" s="1"/>
  <c r="AT30" i="23"/>
  <c r="AU30" i="23"/>
  <c r="AX30" i="23" s="1"/>
  <c r="AT31" i="23"/>
  <c r="AU31" i="23"/>
  <c r="AX31" i="23" s="1"/>
  <c r="AT32" i="23"/>
  <c r="AU32" i="23"/>
  <c r="AX32" i="23" s="1"/>
  <c r="AT33" i="23"/>
  <c r="AU33" i="23"/>
  <c r="AX33" i="23" s="1"/>
  <c r="AT34" i="23"/>
  <c r="AU34" i="23"/>
  <c r="AX34" i="23" s="1"/>
  <c r="AT35" i="23"/>
  <c r="AU35" i="23"/>
  <c r="AX35" i="23" s="1"/>
  <c r="AT36" i="23"/>
  <c r="AU36" i="23"/>
  <c r="AX36" i="23" s="1"/>
  <c r="AT37" i="23"/>
  <c r="AU37" i="23"/>
  <c r="AX37" i="23" s="1"/>
  <c r="AT38" i="23"/>
  <c r="AU38" i="23"/>
  <c r="AX38" i="23" s="1"/>
  <c r="AT39" i="23"/>
  <c r="AU39" i="23"/>
  <c r="AX39" i="23" s="1"/>
  <c r="AT40" i="23"/>
  <c r="AU40" i="23"/>
  <c r="AX40" i="23" s="1"/>
  <c r="AT41" i="23"/>
  <c r="AU41" i="23"/>
  <c r="AX41" i="23" s="1"/>
  <c r="AT42" i="23"/>
  <c r="AU42" i="23"/>
  <c r="AX42" i="23" s="1"/>
  <c r="AT43" i="23"/>
  <c r="AU43" i="23"/>
  <c r="AX43" i="23" s="1"/>
  <c r="AT44" i="23"/>
  <c r="AU44" i="23"/>
  <c r="AX44" i="23" s="1"/>
  <c r="AT45" i="23"/>
  <c r="AU45" i="23"/>
  <c r="AX45" i="23" s="1"/>
  <c r="AT46" i="23"/>
  <c r="AU46" i="23"/>
  <c r="AX46" i="23" s="1"/>
  <c r="AT47" i="23"/>
  <c r="AU47" i="23"/>
  <c r="AX47" i="23" s="1"/>
  <c r="AT48" i="23"/>
  <c r="AU48" i="23"/>
  <c r="AX48" i="23" s="1"/>
  <c r="AT49" i="23"/>
  <c r="AU49" i="23"/>
  <c r="AX49" i="23" s="1"/>
  <c r="AT50" i="23"/>
  <c r="AU50" i="23"/>
  <c r="AX50" i="23" s="1"/>
  <c r="AT51" i="23"/>
  <c r="AU51" i="23"/>
  <c r="AX51" i="23" s="1"/>
  <c r="AS14" i="23"/>
  <c r="AS15" i="23"/>
  <c r="AS16" i="23"/>
  <c r="AS17" i="23"/>
  <c r="AS18" i="23"/>
  <c r="AS19" i="23"/>
  <c r="AS20" i="23"/>
  <c r="AS21" i="23"/>
  <c r="AS22" i="23"/>
  <c r="AS23" i="23"/>
  <c r="AS24" i="23"/>
  <c r="AS25" i="23"/>
  <c r="AS26" i="23"/>
  <c r="AS27" i="23"/>
  <c r="AS28" i="23"/>
  <c r="AS29" i="23"/>
  <c r="AS30" i="23"/>
  <c r="AS31" i="23"/>
  <c r="AS32" i="23"/>
  <c r="AS33" i="23"/>
  <c r="AS34" i="23"/>
  <c r="AS35" i="23"/>
  <c r="AS36" i="23"/>
  <c r="AS37" i="23"/>
  <c r="AS38" i="23"/>
  <c r="AS39" i="23"/>
  <c r="AS40" i="23"/>
  <c r="AS41" i="23"/>
  <c r="AS42" i="23"/>
  <c r="AS43" i="23"/>
  <c r="AS44" i="23"/>
  <c r="AS45" i="23"/>
  <c r="AS46" i="23"/>
  <c r="AS47" i="23"/>
  <c r="AS48" i="23"/>
  <c r="AS49" i="23"/>
  <c r="AS50" i="23"/>
  <c r="AS51" i="23"/>
  <c r="AL14" i="23"/>
  <c r="AL15" i="23"/>
  <c r="AL16" i="23"/>
  <c r="AL17" i="23"/>
  <c r="AL18" i="23"/>
  <c r="AL19" i="23"/>
  <c r="AL20" i="23"/>
  <c r="AL21" i="23"/>
  <c r="AL22" i="23"/>
  <c r="AL23" i="23"/>
  <c r="AL24" i="23"/>
  <c r="AL25" i="23"/>
  <c r="AL26" i="23"/>
  <c r="AL27" i="23"/>
  <c r="AL28" i="23"/>
  <c r="AL29" i="23"/>
  <c r="AL30" i="23"/>
  <c r="AL31" i="23"/>
  <c r="AL32" i="23"/>
  <c r="AL33" i="23"/>
  <c r="AL34" i="23"/>
  <c r="AL35" i="23"/>
  <c r="AL36" i="23"/>
  <c r="AL37" i="23"/>
  <c r="AL38" i="23"/>
  <c r="AL39" i="23"/>
  <c r="AL40" i="23"/>
  <c r="AL41" i="23"/>
  <c r="AL42" i="23"/>
  <c r="AL43" i="23"/>
  <c r="AL44" i="23"/>
  <c r="AL45" i="23"/>
  <c r="AL46" i="23"/>
  <c r="AL47" i="23"/>
  <c r="AL48" i="23"/>
  <c r="AL49" i="23"/>
  <c r="AL50" i="23"/>
  <c r="AL51" i="23"/>
  <c r="AN14" i="23"/>
  <c r="AN15" i="23"/>
  <c r="AN16" i="23"/>
  <c r="AN17" i="23"/>
  <c r="AN18" i="23"/>
  <c r="AN19" i="23"/>
  <c r="AN20" i="23"/>
  <c r="AN21" i="23"/>
  <c r="AN22" i="23"/>
  <c r="AN23" i="23"/>
  <c r="AN24" i="23"/>
  <c r="AN25" i="23"/>
  <c r="AN26" i="23"/>
  <c r="AN27" i="23"/>
  <c r="AN28" i="23"/>
  <c r="AN29" i="23"/>
  <c r="AN30" i="23"/>
  <c r="AN31" i="23"/>
  <c r="AN32" i="23"/>
  <c r="AN33" i="23"/>
  <c r="AN34" i="23"/>
  <c r="AN35" i="23"/>
  <c r="AN36" i="23"/>
  <c r="AN37" i="23"/>
  <c r="AN38" i="23"/>
  <c r="AN39" i="23"/>
  <c r="AN40" i="23"/>
  <c r="AN41" i="23"/>
  <c r="AN42" i="23"/>
  <c r="AN43" i="23"/>
  <c r="AN44" i="23"/>
  <c r="AN45" i="23"/>
  <c r="AN46" i="23"/>
  <c r="AN47" i="23"/>
  <c r="AN48" i="23"/>
  <c r="AN49" i="23"/>
  <c r="AN50" i="23"/>
  <c r="AN51" i="23"/>
  <c r="AM14" i="23"/>
  <c r="AM15" i="23"/>
  <c r="AM16" i="23"/>
  <c r="AM17" i="23"/>
  <c r="AM18" i="23"/>
  <c r="AM19" i="23"/>
  <c r="AM20" i="23"/>
  <c r="AM21" i="23"/>
  <c r="AM22" i="23"/>
  <c r="AM23" i="23"/>
  <c r="AM24" i="23"/>
  <c r="AM25" i="23"/>
  <c r="AM26" i="23"/>
  <c r="AM27" i="23"/>
  <c r="AM28" i="23"/>
  <c r="AM29" i="23"/>
  <c r="AM30" i="23"/>
  <c r="AM31" i="23"/>
  <c r="AM32" i="23"/>
  <c r="AM33" i="23"/>
  <c r="AM34" i="23"/>
  <c r="AM35" i="23"/>
  <c r="AM36" i="23"/>
  <c r="AM37" i="23"/>
  <c r="AM38" i="23"/>
  <c r="AM39" i="23"/>
  <c r="AM40" i="23"/>
  <c r="AM41" i="23"/>
  <c r="AM42" i="23"/>
  <c r="AM43" i="23"/>
  <c r="AM44" i="23"/>
  <c r="AM45" i="23"/>
  <c r="AM46" i="23"/>
  <c r="AM47" i="23"/>
  <c r="AM48" i="23"/>
  <c r="AM49" i="23"/>
  <c r="AM50" i="23"/>
  <c r="AM51" i="23"/>
  <c r="AH51" i="23"/>
  <c r="AH14" i="23"/>
  <c r="AH15" i="23"/>
  <c r="AH16" i="23"/>
  <c r="AH17" i="23"/>
  <c r="AH18" i="23"/>
  <c r="AH19" i="23"/>
  <c r="AH20" i="23"/>
  <c r="AH21" i="23"/>
  <c r="AH22" i="23"/>
  <c r="AH23" i="23"/>
  <c r="AH24" i="23"/>
  <c r="AH25" i="23"/>
  <c r="AH26" i="23"/>
  <c r="AH27" i="23"/>
  <c r="AH28" i="23"/>
  <c r="AH29" i="23"/>
  <c r="AH30" i="23"/>
  <c r="AH31" i="23"/>
  <c r="AH32" i="23"/>
  <c r="AH33" i="23"/>
  <c r="AH34" i="23"/>
  <c r="AH35" i="23"/>
  <c r="AH36" i="23"/>
  <c r="AH37" i="23"/>
  <c r="AH38" i="23"/>
  <c r="AH39" i="23"/>
  <c r="AH40" i="23"/>
  <c r="AH41" i="23"/>
  <c r="AH42" i="23"/>
  <c r="AH43" i="23"/>
  <c r="AH44" i="23"/>
  <c r="AH45" i="23"/>
  <c r="AH46" i="23"/>
  <c r="AH47" i="23"/>
  <c r="AH48" i="23"/>
  <c r="AH49" i="23"/>
  <c r="AH50" i="23"/>
  <c r="AJ14" i="23"/>
  <c r="AJ15" i="23"/>
  <c r="AJ16" i="23"/>
  <c r="AJ17" i="23"/>
  <c r="AJ18" i="23"/>
  <c r="AJ19" i="23"/>
  <c r="AJ20" i="23"/>
  <c r="AJ21" i="23"/>
  <c r="AJ22" i="23"/>
  <c r="AJ23" i="23"/>
  <c r="AJ24" i="23"/>
  <c r="AJ25" i="23"/>
  <c r="AJ26" i="23"/>
  <c r="AF17" i="23"/>
  <c r="AF18" i="23"/>
  <c r="AF19" i="23"/>
  <c r="AF20" i="23"/>
  <c r="AF21" i="23"/>
  <c r="BA53" i="23"/>
  <c r="AY53" i="23"/>
  <c r="AQ53" i="23"/>
  <c r="AP53" i="23"/>
  <c r="AO53" i="23"/>
  <c r="AN53" i="23"/>
  <c r="AJ53" i="23"/>
  <c r="AI53" i="23"/>
  <c r="AG53" i="23"/>
  <c r="AF53" i="23"/>
  <c r="AD53" i="23"/>
  <c r="AC53" i="23"/>
  <c r="AB53" i="23"/>
  <c r="AA53" i="23"/>
  <c r="G16" i="24" s="1"/>
  <c r="Z53" i="23"/>
  <c r="F16" i="24" s="1"/>
  <c r="Y53" i="23"/>
  <c r="E16" i="24" s="1"/>
  <c r="X53" i="23"/>
  <c r="D16" i="24" s="1"/>
  <c r="V53" i="23"/>
  <c r="D53" i="23"/>
  <c r="G13" i="24"/>
  <c r="F13" i="24"/>
  <c r="E13" i="24"/>
  <c r="D13" i="24"/>
  <c r="F55" i="5"/>
  <c r="F54" i="5"/>
  <c r="AQ51" i="23" l="1"/>
  <c r="AQ50" i="23"/>
  <c r="AQ49" i="23"/>
  <c r="AQ48" i="23"/>
  <c r="AQ47" i="23"/>
  <c r="AQ46" i="23"/>
  <c r="AQ45" i="23"/>
  <c r="AQ44" i="23"/>
  <c r="AQ43" i="23"/>
  <c r="AQ42" i="23"/>
  <c r="AQ41" i="23"/>
  <c r="AQ40" i="23"/>
  <c r="AQ39" i="23"/>
  <c r="AQ38" i="23"/>
  <c r="AQ37" i="23"/>
  <c r="AQ36" i="23"/>
  <c r="AQ35" i="23"/>
  <c r="AQ34" i="23"/>
  <c r="AQ33" i="23"/>
  <c r="AQ32" i="23"/>
  <c r="AQ31" i="23"/>
  <c r="AQ30" i="23"/>
  <c r="AQ29" i="23"/>
  <c r="AQ28" i="23"/>
  <c r="AQ27" i="23"/>
  <c r="AQ26" i="23"/>
  <c r="AQ25" i="23"/>
  <c r="AQ24" i="23"/>
  <c r="AQ23" i="23"/>
  <c r="AQ22" i="23"/>
  <c r="AQ21" i="23"/>
  <c r="AQ20" i="23"/>
  <c r="AQ19" i="23"/>
  <c r="AQ18" i="23"/>
  <c r="AQ17" i="23"/>
  <c r="AQ16" i="23"/>
  <c r="AQ15" i="23"/>
  <c r="AQ14" i="23"/>
  <c r="L13" i="23"/>
  <c r="M13" i="23" s="1"/>
  <c r="N13" i="23" s="1"/>
  <c r="G13" i="23"/>
  <c r="L12" i="23"/>
  <c r="G12" i="23"/>
  <c r="L11" i="23"/>
  <c r="G11" i="23"/>
  <c r="L10" i="23"/>
  <c r="G10" i="23"/>
  <c r="L9" i="23"/>
  <c r="G9" i="23"/>
  <c r="M12" i="23" l="1"/>
  <c r="N12" i="23" s="1"/>
  <c r="M11" i="23"/>
  <c r="N11" i="23" s="1"/>
  <c r="M10" i="23"/>
  <c r="N10" i="23" s="1"/>
  <c r="M9" i="23"/>
  <c r="N9" i="23" s="1"/>
  <c r="V19" i="23"/>
  <c r="V20" i="23"/>
  <c r="V21" i="23"/>
  <c r="V22" i="23"/>
  <c r="V23" i="23"/>
  <c r="V24" i="23"/>
  <c r="V25" i="23"/>
  <c r="V26" i="23"/>
  <c r="V27" i="23"/>
  <c r="V28" i="23"/>
  <c r="X13" i="23"/>
  <c r="X14" i="23"/>
  <c r="X15" i="23"/>
  <c r="X16" i="23"/>
  <c r="X17" i="23"/>
  <c r="V10" i="23"/>
  <c r="W10" i="23"/>
  <c r="V11" i="23"/>
  <c r="W11" i="23"/>
  <c r="V12" i="23"/>
  <c r="W12" i="23"/>
  <c r="V13" i="23"/>
  <c r="W13" i="23"/>
  <c r="V14" i="23"/>
  <c r="W14" i="23"/>
  <c r="V15" i="23"/>
  <c r="W15" i="23"/>
  <c r="V16" i="23"/>
  <c r="W16" i="23"/>
  <c r="V17" i="23"/>
  <c r="W17" i="23"/>
  <c r="O10" i="23"/>
  <c r="P10" i="23"/>
  <c r="O11" i="23"/>
  <c r="P11" i="23"/>
  <c r="O12" i="23"/>
  <c r="P12" i="23"/>
  <c r="O13" i="23"/>
  <c r="P13" i="23"/>
  <c r="O14" i="23"/>
  <c r="P14" i="23"/>
  <c r="O15" i="23"/>
  <c r="P15" i="23"/>
  <c r="O16" i="23"/>
  <c r="P16" i="23"/>
  <c r="O17" i="23"/>
  <c r="P17" i="23"/>
  <c r="O18" i="23"/>
  <c r="P18" i="23"/>
  <c r="O19" i="23"/>
  <c r="P19" i="23"/>
  <c r="O20" i="23"/>
  <c r="P20" i="23"/>
  <c r="O21" i="23"/>
  <c r="P21" i="23"/>
  <c r="O22" i="23"/>
  <c r="P22" i="23"/>
  <c r="E98" i="23"/>
  <c r="AD73" i="23"/>
  <c r="AC73" i="23"/>
  <c r="AB73" i="23"/>
  <c r="AA73" i="23"/>
  <c r="Z73" i="23"/>
  <c r="Y73" i="23"/>
  <c r="X73" i="23"/>
  <c r="D55" i="23"/>
  <c r="D54" i="23"/>
  <c r="D52" i="23"/>
  <c r="AF51" i="23"/>
  <c r="AJ51" i="23" s="1"/>
  <c r="V51" i="23"/>
  <c r="O51" i="23"/>
  <c r="L51" i="23"/>
  <c r="AF50" i="23"/>
  <c r="AJ50" i="23" s="1"/>
  <c r="V50" i="23"/>
  <c r="O50" i="23"/>
  <c r="L50" i="23"/>
  <c r="AF49" i="23"/>
  <c r="AJ49" i="23" s="1"/>
  <c r="V49" i="23"/>
  <c r="O49" i="23"/>
  <c r="L49" i="23"/>
  <c r="AF48" i="23"/>
  <c r="AJ48" i="23" s="1"/>
  <c r="V48" i="23"/>
  <c r="O48" i="23"/>
  <c r="L48" i="23"/>
  <c r="AF47" i="23"/>
  <c r="V47" i="23"/>
  <c r="O47" i="23"/>
  <c r="L47" i="23"/>
  <c r="AF46" i="23"/>
  <c r="AJ46" i="23" s="1"/>
  <c r="V46" i="23"/>
  <c r="O46" i="23"/>
  <c r="L46" i="23"/>
  <c r="AF45" i="23"/>
  <c r="V45" i="23"/>
  <c r="O45" i="23"/>
  <c r="L45" i="23"/>
  <c r="AF44" i="23"/>
  <c r="AJ44" i="23" s="1"/>
  <c r="V44" i="23"/>
  <c r="O44" i="23"/>
  <c r="L44" i="23"/>
  <c r="AF43" i="23"/>
  <c r="V43" i="23"/>
  <c r="O43" i="23"/>
  <c r="L43" i="23"/>
  <c r="AF42" i="23"/>
  <c r="AJ42" i="23" s="1"/>
  <c r="V42" i="23"/>
  <c r="O42" i="23"/>
  <c r="L42" i="23"/>
  <c r="AF41" i="23"/>
  <c r="V41" i="23"/>
  <c r="O41" i="23"/>
  <c r="L41" i="23"/>
  <c r="AF40" i="23"/>
  <c r="AJ40" i="23" s="1"/>
  <c r="V40" i="23"/>
  <c r="O40" i="23"/>
  <c r="L40" i="23"/>
  <c r="AF39" i="23"/>
  <c r="AJ39" i="23" s="1"/>
  <c r="V39" i="23"/>
  <c r="O39" i="23"/>
  <c r="L39" i="23"/>
  <c r="AF38" i="23"/>
  <c r="V38" i="23"/>
  <c r="O38" i="23"/>
  <c r="L38" i="23"/>
  <c r="AF37" i="23"/>
  <c r="AJ37" i="23" s="1"/>
  <c r="V37" i="23"/>
  <c r="O37" i="23"/>
  <c r="L37" i="23"/>
  <c r="AF36" i="23"/>
  <c r="AJ36" i="23" s="1"/>
  <c r="V36" i="23"/>
  <c r="O36" i="23"/>
  <c r="L36" i="23"/>
  <c r="AF35" i="23"/>
  <c r="V35" i="23"/>
  <c r="O35" i="23"/>
  <c r="L35" i="23"/>
  <c r="AF34" i="23"/>
  <c r="AJ34" i="23" s="1"/>
  <c r="V34" i="23"/>
  <c r="O34" i="23"/>
  <c r="L34" i="23"/>
  <c r="AF33" i="23"/>
  <c r="AJ33" i="23" s="1"/>
  <c r="V33" i="23"/>
  <c r="O33" i="23"/>
  <c r="L33" i="23"/>
  <c r="AF32" i="23"/>
  <c r="AJ32" i="23" s="1"/>
  <c r="V32" i="23"/>
  <c r="O32" i="23"/>
  <c r="L32" i="23"/>
  <c r="AF31" i="23"/>
  <c r="AJ31" i="23" s="1"/>
  <c r="V31" i="23"/>
  <c r="Q31" i="23"/>
  <c r="O31" i="23"/>
  <c r="L31" i="23"/>
  <c r="AY30" i="23"/>
  <c r="AF30" i="23"/>
  <c r="AJ30" i="23" s="1"/>
  <c r="V30" i="23"/>
  <c r="O30" i="23"/>
  <c r="P30" i="23" s="1"/>
  <c r="L30" i="23"/>
  <c r="AF29" i="23"/>
  <c r="AJ29" i="23" s="1"/>
  <c r="V29" i="23"/>
  <c r="Q29" i="23"/>
  <c r="O29" i="23"/>
  <c r="L29" i="23"/>
  <c r="AF28" i="23"/>
  <c r="AJ28" i="23" s="1"/>
  <c r="Q28" i="23"/>
  <c r="O28" i="23"/>
  <c r="L28" i="23"/>
  <c r="AF27" i="23"/>
  <c r="AJ27" i="23" s="1"/>
  <c r="Q27" i="23"/>
  <c r="O27" i="23"/>
  <c r="L27" i="23"/>
  <c r="AF26" i="23"/>
  <c r="Q26" i="23"/>
  <c r="O26" i="23"/>
  <c r="L26" i="23"/>
  <c r="AF25" i="23"/>
  <c r="Q25" i="23"/>
  <c r="O25" i="23"/>
  <c r="L25" i="23"/>
  <c r="AF24" i="23"/>
  <c r="Q24" i="23"/>
  <c r="O24" i="23"/>
  <c r="L24" i="23"/>
  <c r="AF23" i="23"/>
  <c r="Q23" i="23"/>
  <c r="O23" i="23"/>
  <c r="L23" i="23"/>
  <c r="AF22" i="23"/>
  <c r="Q22" i="23"/>
  <c r="L22" i="23"/>
  <c r="Q21" i="23"/>
  <c r="L21" i="23"/>
  <c r="Q20" i="23"/>
  <c r="Q19" i="23"/>
  <c r="L19" i="23"/>
  <c r="AY18" i="23"/>
  <c r="V18" i="23"/>
  <c r="Q18" i="23"/>
  <c r="L18" i="23"/>
  <c r="Q17" i="23"/>
  <c r="R17" i="23" s="1"/>
  <c r="AF16" i="23"/>
  <c r="Q16" i="23"/>
  <c r="R16" i="23" s="1"/>
  <c r="AF15" i="23"/>
  <c r="Q15" i="23"/>
  <c r="R15" i="23" s="1"/>
  <c r="AF14" i="23"/>
  <c r="Q14" i="23"/>
  <c r="R14" i="23" s="1"/>
  <c r="AH13" i="23"/>
  <c r="AF13" i="23"/>
  <c r="AJ13" i="23" s="1"/>
  <c r="Q13" i="23"/>
  <c r="R13" i="23" s="1"/>
  <c r="AL13" i="23"/>
  <c r="AH12" i="23"/>
  <c r="AF12" i="23"/>
  <c r="AJ12" i="23" s="1"/>
  <c r="Q12" i="23"/>
  <c r="R12" i="23" s="1"/>
  <c r="AL12" i="23"/>
  <c r="X12" i="23"/>
  <c r="AH11" i="23"/>
  <c r="AF11" i="23"/>
  <c r="AJ11" i="23" s="1"/>
  <c r="Q11" i="23"/>
  <c r="R11" i="23" s="1"/>
  <c r="AL11" i="23"/>
  <c r="X11" i="23"/>
  <c r="AH10" i="23"/>
  <c r="AF10" i="23"/>
  <c r="AJ10" i="23" s="1"/>
  <c r="AJ54" i="23" s="1"/>
  <c r="Q10" i="23"/>
  <c r="R10" i="23" s="1"/>
  <c r="AL10" i="23"/>
  <c r="X72" i="23"/>
  <c r="X74" i="23" s="1"/>
  <c r="AH9" i="23"/>
  <c r="AF9" i="23"/>
  <c r="W9" i="23"/>
  <c r="W55" i="23" s="1"/>
  <c r="Q9" i="23"/>
  <c r="R9" i="23" s="1"/>
  <c r="O9" i="23"/>
  <c r="AL9" i="23" s="1"/>
  <c r="U9" i="23"/>
  <c r="Y1" i="23"/>
  <c r="U11" i="23" l="1"/>
  <c r="Y17" i="23"/>
  <c r="Y16" i="23"/>
  <c r="Y15" i="23"/>
  <c r="Y14" i="23"/>
  <c r="Y13" i="23"/>
  <c r="U13" i="23"/>
  <c r="U12" i="23"/>
  <c r="Y12" i="23"/>
  <c r="Y11" i="23"/>
  <c r="Y10" i="23"/>
  <c r="X10" i="23"/>
  <c r="U10" i="23"/>
  <c r="X54" i="23"/>
  <c r="AF54" i="23"/>
  <c r="AM9" i="23"/>
  <c r="AM10" i="23"/>
  <c r="AM11" i="23"/>
  <c r="AM12" i="23"/>
  <c r="AM13" i="23"/>
  <c r="Z1" i="23"/>
  <c r="P9" i="23"/>
  <c r="V9" i="23"/>
  <c r="X9" i="23" s="1"/>
  <c r="AF55" i="23"/>
  <c r="AF52" i="23"/>
  <c r="AG9" i="23"/>
  <c r="AI9" i="23"/>
  <c r="AJ9" i="23"/>
  <c r="V54" i="23"/>
  <c r="AG10" i="23"/>
  <c r="AI10" i="23"/>
  <c r="AG11" i="23"/>
  <c r="AI11" i="23"/>
  <c r="AG12" i="23"/>
  <c r="AI12" i="23"/>
  <c r="AG13" i="23"/>
  <c r="AI13" i="23"/>
  <c r="AG14" i="23"/>
  <c r="AI14" i="23"/>
  <c r="AI15" i="23"/>
  <c r="AI16" i="23"/>
  <c r="AI17" i="23"/>
  <c r="AI18" i="23"/>
  <c r="AI19" i="23"/>
  <c r="AI20" i="23"/>
  <c r="AI21" i="23"/>
  <c r="AI22" i="23"/>
  <c r="P23" i="23"/>
  <c r="AG23" i="23"/>
  <c r="AI23" i="23"/>
  <c r="P24" i="23"/>
  <c r="AG24" i="23"/>
  <c r="AI24" i="23"/>
  <c r="P25" i="23"/>
  <c r="AG25" i="23"/>
  <c r="AI25" i="23"/>
  <c r="P26" i="23"/>
  <c r="AG26" i="23"/>
  <c r="AI26" i="23"/>
  <c r="P27" i="23"/>
  <c r="AG27" i="23"/>
  <c r="AI27" i="23"/>
  <c r="P28" i="23"/>
  <c r="AG28" i="23"/>
  <c r="AI28" i="23"/>
  <c r="P29" i="23"/>
  <c r="AG29" i="23"/>
  <c r="AI29" i="23"/>
  <c r="P31" i="23"/>
  <c r="AG31" i="23"/>
  <c r="AI31" i="23"/>
  <c r="P32" i="23"/>
  <c r="AG32" i="23"/>
  <c r="AI32" i="23"/>
  <c r="P33" i="23"/>
  <c r="AG33" i="23"/>
  <c r="AI33" i="23"/>
  <c r="P34" i="23"/>
  <c r="AG34" i="23"/>
  <c r="AI34" i="23"/>
  <c r="P35" i="23"/>
  <c r="AG35" i="23"/>
  <c r="AI35" i="23"/>
  <c r="AJ35" i="23"/>
  <c r="P36" i="23"/>
  <c r="AG36" i="23"/>
  <c r="AI36" i="23"/>
  <c r="P37" i="23"/>
  <c r="AG37" i="23"/>
  <c r="AI37" i="23"/>
  <c r="P38" i="23"/>
  <c r="AG38" i="23"/>
  <c r="AI38" i="23"/>
  <c r="AJ38" i="23"/>
  <c r="P39" i="23"/>
  <c r="AG39" i="23"/>
  <c r="AI39" i="23"/>
  <c r="P40" i="23"/>
  <c r="AG40" i="23"/>
  <c r="AI40" i="23"/>
  <c r="P41" i="23"/>
  <c r="AG41" i="23"/>
  <c r="AI41" i="23"/>
  <c r="AJ41" i="23"/>
  <c r="P42" i="23"/>
  <c r="AG42" i="23"/>
  <c r="AI42" i="23"/>
  <c r="P43" i="23"/>
  <c r="AG43" i="23"/>
  <c r="AI43" i="23"/>
  <c r="AJ43" i="23"/>
  <c r="P44" i="23"/>
  <c r="AG44" i="23"/>
  <c r="AI44" i="23"/>
  <c r="P45" i="23"/>
  <c r="AG45" i="23"/>
  <c r="AI45" i="23"/>
  <c r="AJ45" i="23"/>
  <c r="P46" i="23"/>
  <c r="AG46" i="23"/>
  <c r="AI46" i="23"/>
  <c r="P47" i="23"/>
  <c r="AG47" i="23"/>
  <c r="AI47" i="23"/>
  <c r="AJ47" i="23"/>
  <c r="P48" i="23"/>
  <c r="AG48" i="23"/>
  <c r="AI48" i="23"/>
  <c r="P49" i="23"/>
  <c r="AG49" i="23"/>
  <c r="AI49" i="23"/>
  <c r="P50" i="23"/>
  <c r="AG50" i="23"/>
  <c r="AI50" i="23"/>
  <c r="P51" i="23"/>
  <c r="AG51" i="23"/>
  <c r="AI51" i="23"/>
  <c r="AG15" i="23" l="1"/>
  <c r="AG16" i="23"/>
  <c r="AG17" i="23"/>
  <c r="AG18" i="23"/>
  <c r="AG19" i="23"/>
  <c r="AG20" i="23"/>
  <c r="AG21" i="23"/>
  <c r="AG22" i="23"/>
  <c r="X69" i="23"/>
  <c r="D17" i="24"/>
  <c r="Z9" i="23"/>
  <c r="Y9" i="23"/>
  <c r="Z10" i="23"/>
  <c r="Z11" i="23"/>
  <c r="Z12" i="23"/>
  <c r="Z13" i="23"/>
  <c r="Z14" i="23"/>
  <c r="Z15" i="23"/>
  <c r="Z16" i="23"/>
  <c r="Z17" i="23"/>
  <c r="AI54" i="23"/>
  <c r="AG54" i="23"/>
  <c r="X55" i="23"/>
  <c r="X52" i="23"/>
  <c r="Y72" i="23"/>
  <c r="Y74" i="23" s="1"/>
  <c r="Y54" i="23"/>
  <c r="AN54" i="23"/>
  <c r="AY47" i="23"/>
  <c r="AY45" i="23"/>
  <c r="AY43" i="23"/>
  <c r="AY41" i="23"/>
  <c r="AY38" i="23"/>
  <c r="AY35" i="23"/>
  <c r="AJ55" i="23"/>
  <c r="AJ52" i="23"/>
  <c r="AI55" i="23"/>
  <c r="AI52" i="23"/>
  <c r="AG55" i="23"/>
  <c r="AG52" i="23"/>
  <c r="Y55" i="23"/>
  <c r="Y52" i="23"/>
  <c r="V55" i="23"/>
  <c r="V52" i="23"/>
  <c r="AA1" i="23"/>
  <c r="AS13" i="23"/>
  <c r="AQ13" i="23"/>
  <c r="AS12" i="23"/>
  <c r="AQ12" i="23"/>
  <c r="AS11" i="23"/>
  <c r="AQ11" i="23"/>
  <c r="AS10" i="23"/>
  <c r="AS54" i="23" s="1"/>
  <c r="AQ10" i="23"/>
  <c r="AQ54" i="23" s="1"/>
  <c r="AN55" i="23"/>
  <c r="AN52" i="23"/>
  <c r="AS9" i="23"/>
  <c r="AQ9" i="23"/>
  <c r="AO9" i="23"/>
  <c r="AP51" i="23" l="1"/>
  <c r="AP50" i="23"/>
  <c r="AP49" i="23"/>
  <c r="AP48" i="23"/>
  <c r="AP47" i="23"/>
  <c r="AP46" i="23"/>
  <c r="AP45" i="23"/>
  <c r="AP44" i="23"/>
  <c r="AP43" i="23"/>
  <c r="AP42" i="23"/>
  <c r="AP41" i="23"/>
  <c r="AP40" i="23"/>
  <c r="AP39" i="23"/>
  <c r="AP38" i="23"/>
  <c r="AP37" i="23"/>
  <c r="AP36" i="23"/>
  <c r="AP35" i="23"/>
  <c r="AP34" i="23"/>
  <c r="AP33" i="23"/>
  <c r="AP32" i="23"/>
  <c r="AP31" i="23"/>
  <c r="AP30" i="23"/>
  <c r="AP29" i="23"/>
  <c r="AP28" i="23"/>
  <c r="AP27" i="23"/>
  <c r="AP26" i="23"/>
  <c r="AP25" i="23"/>
  <c r="AP24" i="23"/>
  <c r="AP23" i="23"/>
  <c r="AP22" i="23"/>
  <c r="AO22" i="23"/>
  <c r="AP21" i="23"/>
  <c r="AO21" i="23"/>
  <c r="AP20" i="23"/>
  <c r="AO20" i="23"/>
  <c r="AP19" i="23"/>
  <c r="AO19" i="23"/>
  <c r="AP18" i="23"/>
  <c r="AO18" i="23"/>
  <c r="AP17" i="23"/>
  <c r="AO17" i="23"/>
  <c r="AP16" i="23"/>
  <c r="AO16" i="23"/>
  <c r="AP15" i="23"/>
  <c r="AO15" i="23"/>
  <c r="AP14" i="23"/>
  <c r="AO14" i="23"/>
  <c r="AO51" i="23"/>
  <c r="AO50" i="23"/>
  <c r="AO49" i="23"/>
  <c r="AO48" i="23"/>
  <c r="AO47" i="23"/>
  <c r="AO46" i="23"/>
  <c r="AO45" i="23"/>
  <c r="AO44" i="23"/>
  <c r="AO43" i="23"/>
  <c r="AO42" i="23"/>
  <c r="AO41" i="23"/>
  <c r="AO40" i="23"/>
  <c r="AO39" i="23"/>
  <c r="AO38" i="23"/>
  <c r="AO37" i="23"/>
  <c r="AO36" i="23"/>
  <c r="AO35" i="23"/>
  <c r="AO34" i="23"/>
  <c r="AO33" i="23"/>
  <c r="AO32" i="23"/>
  <c r="AO31" i="23"/>
  <c r="AO30" i="23"/>
  <c r="AO29" i="23"/>
  <c r="AO28" i="23"/>
  <c r="AO27" i="23"/>
  <c r="AO26" i="23"/>
  <c r="AO25" i="23"/>
  <c r="AO24" i="23"/>
  <c r="AO23" i="23"/>
  <c r="Y68" i="23"/>
  <c r="E15" i="24"/>
  <c r="Y69" i="23"/>
  <c r="E17" i="24"/>
  <c r="X68" i="23"/>
  <c r="X70" i="23" s="1"/>
  <c r="X76" i="23" s="1"/>
  <c r="D15" i="24"/>
  <c r="AA9" i="23"/>
  <c r="AA17" i="23"/>
  <c r="AA16" i="23"/>
  <c r="AA15" i="23"/>
  <c r="AA14" i="23"/>
  <c r="AA13" i="23"/>
  <c r="AA12" i="23"/>
  <c r="AA11" i="23"/>
  <c r="AA10" i="23"/>
  <c r="Z72" i="23"/>
  <c r="Z74" i="23" s="1"/>
  <c r="Z54" i="23"/>
  <c r="AQ55" i="23"/>
  <c r="AQ52" i="23"/>
  <c r="AS55" i="23"/>
  <c r="AS52" i="23"/>
  <c r="AY9" i="23"/>
  <c r="AT9" i="23"/>
  <c r="AP9" i="23"/>
  <c r="AP10" i="23"/>
  <c r="AP11" i="23"/>
  <c r="AP12" i="23"/>
  <c r="AP13" i="23"/>
  <c r="AO10" i="23"/>
  <c r="AY10" i="23"/>
  <c r="AT10" i="23"/>
  <c r="AO11" i="23"/>
  <c r="AY11" i="23"/>
  <c r="AT11" i="23"/>
  <c r="AU11" i="23" s="1"/>
  <c r="AO12" i="23"/>
  <c r="AY12" i="23"/>
  <c r="AT12" i="23"/>
  <c r="AU12" i="23" s="1"/>
  <c r="AO13" i="23"/>
  <c r="AY13" i="23"/>
  <c r="AT13" i="23"/>
  <c r="AU13" i="23" s="1"/>
  <c r="AY14" i="23"/>
  <c r="AY15" i="23"/>
  <c r="AY16" i="23"/>
  <c r="AY17" i="23"/>
  <c r="AY19" i="23"/>
  <c r="AY20" i="23"/>
  <c r="AY21" i="23"/>
  <c r="AY22" i="23"/>
  <c r="AY23" i="23"/>
  <c r="AB1" i="23"/>
  <c r="Z55" i="23"/>
  <c r="Z52" i="23"/>
  <c r="AY24" i="23"/>
  <c r="AY25" i="23"/>
  <c r="AY26" i="23"/>
  <c r="AY27" i="23"/>
  <c r="AY28" i="23"/>
  <c r="AY29" i="23"/>
  <c r="AY31" i="23"/>
  <c r="AY32" i="23"/>
  <c r="AY33" i="23"/>
  <c r="AY34" i="23"/>
  <c r="AY36" i="23"/>
  <c r="AY37" i="23"/>
  <c r="AY39" i="23"/>
  <c r="AY40" i="23"/>
  <c r="AY42" i="23"/>
  <c r="AY44" i="23"/>
  <c r="AY46" i="23"/>
  <c r="AY48" i="23"/>
  <c r="AY49" i="23"/>
  <c r="AY50" i="23"/>
  <c r="AY51" i="23"/>
  <c r="L12" i="5"/>
  <c r="L13" i="5"/>
  <c r="L14" i="5"/>
  <c r="L15"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Z68" i="23" l="1"/>
  <c r="F15" i="24"/>
  <c r="Z69" i="23"/>
  <c r="F17" i="24"/>
  <c r="Y70" i="23"/>
  <c r="Y76" i="23" s="1"/>
  <c r="AB9" i="23"/>
  <c r="AB17" i="23"/>
  <c r="AB16" i="23"/>
  <c r="AB15" i="23"/>
  <c r="AB14" i="23"/>
  <c r="AB13" i="23"/>
  <c r="AB12" i="23"/>
  <c r="AB11" i="23"/>
  <c r="AB10" i="23"/>
  <c r="AO54" i="23"/>
  <c r="AP54" i="23"/>
  <c r="AA72" i="23"/>
  <c r="AA74" i="23" s="1"/>
  <c r="AA54" i="23"/>
  <c r="AU10" i="23"/>
  <c r="AU54" i="23" s="1"/>
  <c r="AT54" i="23"/>
  <c r="AY54" i="23"/>
  <c r="AO55" i="23"/>
  <c r="AC1" i="23"/>
  <c r="AA55" i="23"/>
  <c r="AA52" i="23"/>
  <c r="AX13" i="23"/>
  <c r="AX12" i="23"/>
  <c r="AX11" i="23"/>
  <c r="AX10" i="23"/>
  <c r="AX54" i="23" s="1"/>
  <c r="AP55" i="23"/>
  <c r="AP52" i="23"/>
  <c r="AT55" i="23"/>
  <c r="AT52" i="23"/>
  <c r="AU9" i="23"/>
  <c r="AY55" i="23"/>
  <c r="AY52" i="23"/>
  <c r="BA9" i="23"/>
  <c r="AO52" i="23"/>
  <c r="F53" i="5"/>
  <c r="M12" i="5"/>
  <c r="N12" i="5" s="1"/>
  <c r="M13" i="5"/>
  <c r="N13" i="5" s="1"/>
  <c r="X13" i="5" s="1"/>
  <c r="M14" i="5"/>
  <c r="N14" i="5" s="1"/>
  <c r="X14" i="5" s="1"/>
  <c r="M15" i="5"/>
  <c r="N15" i="5" s="1"/>
  <c r="X15" i="5" s="1"/>
  <c r="X54" i="5" s="1"/>
  <c r="D10" i="24" s="1"/>
  <c r="D20" i="24" s="1"/>
  <c r="AA68" i="23" l="1"/>
  <c r="G15" i="24"/>
  <c r="AA69" i="23"/>
  <c r="G17" i="24"/>
  <c r="Z70" i="23"/>
  <c r="Z76" i="23" s="1"/>
  <c r="X53" i="5"/>
  <c r="D14" i="24"/>
  <c r="D12" i="24"/>
  <c r="AC9" i="23"/>
  <c r="AC17" i="23"/>
  <c r="AC16" i="23"/>
  <c r="AC15" i="23"/>
  <c r="AC14" i="23"/>
  <c r="AC13" i="23"/>
  <c r="AC12" i="23"/>
  <c r="AC11" i="23"/>
  <c r="AC10" i="23"/>
  <c r="AB72" i="23"/>
  <c r="AB74" i="23" s="1"/>
  <c r="AB54" i="23"/>
  <c r="AB69" i="23" s="1"/>
  <c r="BA18" i="23"/>
  <c r="BA30" i="23"/>
  <c r="BA35" i="23"/>
  <c r="BA38" i="23"/>
  <c r="BA41" i="23"/>
  <c r="BA43" i="23"/>
  <c r="BA45" i="23"/>
  <c r="BA47" i="23"/>
  <c r="AU55" i="23"/>
  <c r="AU52" i="23"/>
  <c r="AX9" i="23"/>
  <c r="AV9" i="23"/>
  <c r="AW9" i="23"/>
  <c r="BA10" i="23"/>
  <c r="BA11" i="23"/>
  <c r="BA12" i="23"/>
  <c r="BA13" i="23"/>
  <c r="BA14" i="23"/>
  <c r="BA15" i="23"/>
  <c r="BA16" i="23"/>
  <c r="BA17" i="23"/>
  <c r="BA19" i="23"/>
  <c r="BA20" i="23"/>
  <c r="BA21" i="23"/>
  <c r="BA22" i="23"/>
  <c r="BA23" i="23"/>
  <c r="AD1" i="23"/>
  <c r="AB55" i="23"/>
  <c r="AB52" i="23"/>
  <c r="AB68" i="23" s="1"/>
  <c r="AB70" i="23" s="1"/>
  <c r="AB76" i="23"/>
  <c r="BA24" i="23"/>
  <c r="BA25" i="23"/>
  <c r="BA26" i="23"/>
  <c r="BA27" i="23"/>
  <c r="BA28" i="23"/>
  <c r="BA29" i="23"/>
  <c r="BA31" i="23"/>
  <c r="BA32" i="23"/>
  <c r="BA33" i="23"/>
  <c r="BA34" i="23"/>
  <c r="BA36" i="23"/>
  <c r="BA37" i="23"/>
  <c r="BA39" i="23"/>
  <c r="BA40" i="23"/>
  <c r="BA42" i="23"/>
  <c r="BA44" i="23"/>
  <c r="BA46" i="23"/>
  <c r="BA48" i="23"/>
  <c r="BA49" i="23"/>
  <c r="BA50" i="23"/>
  <c r="BA51" i="23"/>
  <c r="I12" i="5"/>
  <c r="I13" i="5"/>
  <c r="I14" i="5"/>
  <c r="I15" i="5"/>
  <c r="B8" i="21"/>
  <c r="Y1" i="5"/>
  <c r="Z1" i="5"/>
  <c r="AA1" i="5"/>
  <c r="AB1" i="5"/>
  <c r="AB16" i="5" s="1"/>
  <c r="F56" i="5"/>
  <c r="B260" i="17"/>
  <c r="Q32" i="5"/>
  <c r="Q30" i="5"/>
  <c r="Q29" i="5"/>
  <c r="Q28" i="5"/>
  <c r="Q27" i="5"/>
  <c r="Q26" i="5"/>
  <c r="Q25" i="5"/>
  <c r="Q24" i="5"/>
  <c r="Q23" i="5"/>
  <c r="Q22" i="5"/>
  <c r="Q21" i="5"/>
  <c r="Q20" i="5"/>
  <c r="Q19" i="5"/>
  <c r="Q17" i="5"/>
  <c r="R17" i="5"/>
  <c r="Q18" i="5"/>
  <c r="R18" i="5"/>
  <c r="Q16" i="5"/>
  <c r="R16" i="5"/>
  <c r="Q15" i="5"/>
  <c r="R15" i="5"/>
  <c r="Q14" i="5"/>
  <c r="R14" i="5"/>
  <c r="Q13" i="5"/>
  <c r="R13" i="5"/>
  <c r="Q12" i="5"/>
  <c r="R12" i="5"/>
  <c r="AC1" i="5"/>
  <c r="AC16" i="5" s="1"/>
  <c r="AD1" i="5"/>
  <c r="AD16" i="5" s="1"/>
  <c r="AF16" i="5" s="1"/>
  <c r="AJ16" i="5" s="1"/>
  <c r="AL16" i="5" s="1"/>
  <c r="AA16" i="5" l="1"/>
  <c r="G8" i="24"/>
  <c r="Z16" i="5"/>
  <c r="F8" i="24"/>
  <c r="Y16" i="5"/>
  <c r="E8" i="24"/>
  <c r="G8" i="21"/>
  <c r="I8" i="21"/>
  <c r="AM16" i="5"/>
  <c r="AN16" i="5"/>
  <c r="AQ16" i="5"/>
  <c r="AS16" i="5" s="1"/>
  <c r="AD10" i="5"/>
  <c r="AD12" i="5"/>
  <c r="AD15" i="5"/>
  <c r="AF15" i="5" s="1"/>
  <c r="AD14" i="5"/>
  <c r="AF14" i="5" s="1"/>
  <c r="AD13" i="5"/>
  <c r="AF13" i="5" s="1"/>
  <c r="AC10" i="5"/>
  <c r="AC12" i="5"/>
  <c r="AC15" i="5"/>
  <c r="AC14" i="5"/>
  <c r="AC13" i="5"/>
  <c r="AB10" i="5"/>
  <c r="AB12" i="5"/>
  <c r="AB15" i="5"/>
  <c r="AB14" i="5"/>
  <c r="AB13" i="5"/>
  <c r="AA10" i="5"/>
  <c r="AA15" i="5"/>
  <c r="AA14" i="5"/>
  <c r="AA13" i="5"/>
  <c r="Z10" i="5"/>
  <c r="Z15" i="5"/>
  <c r="Z14" i="5"/>
  <c r="Z13" i="5"/>
  <c r="Y10" i="5"/>
  <c r="Y15" i="5"/>
  <c r="Y14" i="5"/>
  <c r="Y13" i="5"/>
  <c r="C8" i="21"/>
  <c r="AW14" i="23"/>
  <c r="AW15" i="23"/>
  <c r="AW16" i="23"/>
  <c r="AW17" i="23"/>
  <c r="AW18" i="23"/>
  <c r="AW19" i="23"/>
  <c r="AW20" i="23"/>
  <c r="AW21" i="23"/>
  <c r="AW22" i="23"/>
  <c r="AW23" i="23"/>
  <c r="AW24" i="23"/>
  <c r="AW25" i="23"/>
  <c r="AW26" i="23"/>
  <c r="AW27" i="23"/>
  <c r="AW28" i="23"/>
  <c r="AW29" i="23"/>
  <c r="AW30" i="23"/>
  <c r="AW31" i="23"/>
  <c r="AW32" i="23"/>
  <c r="AW33" i="23"/>
  <c r="AW34" i="23"/>
  <c r="AW35" i="23"/>
  <c r="AW36" i="23"/>
  <c r="AW37" i="23"/>
  <c r="AW38" i="23"/>
  <c r="AW39" i="23"/>
  <c r="AW40" i="23"/>
  <c r="AW41" i="23"/>
  <c r="AW42" i="23"/>
  <c r="AW43" i="23"/>
  <c r="AW44" i="23"/>
  <c r="AW45" i="23"/>
  <c r="AW46" i="23"/>
  <c r="AW47" i="23"/>
  <c r="AW48" i="23"/>
  <c r="AW49" i="23"/>
  <c r="AW50" i="23"/>
  <c r="AW51" i="23"/>
  <c r="AV14" i="23"/>
  <c r="AV15" i="23"/>
  <c r="AV16" i="23"/>
  <c r="AV17" i="23"/>
  <c r="AV18" i="23"/>
  <c r="AV19" i="23"/>
  <c r="AV20" i="23"/>
  <c r="AV21" i="23"/>
  <c r="AV22" i="23"/>
  <c r="AV23" i="23"/>
  <c r="AV24" i="23"/>
  <c r="AV25" i="23"/>
  <c r="AV26" i="23"/>
  <c r="AV27" i="23"/>
  <c r="AV28" i="23"/>
  <c r="AV29" i="23"/>
  <c r="AV30" i="23"/>
  <c r="AV31" i="23"/>
  <c r="AV32" i="23"/>
  <c r="AV33" i="23"/>
  <c r="AV34" i="23"/>
  <c r="AV35" i="23"/>
  <c r="AV36" i="23"/>
  <c r="AV37" i="23"/>
  <c r="AV38" i="23"/>
  <c r="AV39" i="23"/>
  <c r="AV40" i="23"/>
  <c r="AV41" i="23"/>
  <c r="AV42" i="23"/>
  <c r="AV43" i="23"/>
  <c r="AV44" i="23"/>
  <c r="AV45" i="23"/>
  <c r="AV46" i="23"/>
  <c r="AV47" i="23"/>
  <c r="AV48" i="23"/>
  <c r="AV49" i="23"/>
  <c r="AV50" i="23"/>
  <c r="AV51" i="23"/>
  <c r="AA70" i="23"/>
  <c r="AA76" i="23" s="1"/>
  <c r="AF53" i="5"/>
  <c r="D9" i="24"/>
  <c r="AD10" i="23"/>
  <c r="AD11" i="23"/>
  <c r="AD12" i="23"/>
  <c r="AD17" i="23"/>
  <c r="AD9" i="23"/>
  <c r="AD16" i="23"/>
  <c r="AD15" i="23"/>
  <c r="AD14" i="23"/>
  <c r="AD13" i="23"/>
  <c r="BA54" i="23"/>
  <c r="AC72" i="23"/>
  <c r="AC74" i="23" s="1"/>
  <c r="AC54" i="23"/>
  <c r="AC69" i="23" s="1"/>
  <c r="BA55" i="23"/>
  <c r="AC55" i="23"/>
  <c r="AC52" i="23"/>
  <c r="AC68" i="23" s="1"/>
  <c r="AC70" i="23" s="1"/>
  <c r="AC76" i="23"/>
  <c r="AX55" i="23"/>
  <c r="AX52" i="23"/>
  <c r="AV13" i="23"/>
  <c r="AW13" i="23"/>
  <c r="AV12" i="23"/>
  <c r="AW12" i="23"/>
  <c r="AV11" i="23"/>
  <c r="AW11" i="23"/>
  <c r="AV10" i="23"/>
  <c r="AW10" i="23"/>
  <c r="BA52" i="23"/>
  <c r="F8" i="21"/>
  <c r="D8" i="21"/>
  <c r="H8" i="21" s="1"/>
  <c r="Y54" i="5"/>
  <c r="E10" i="24" s="1"/>
  <c r="E20" i="24" s="1"/>
  <c r="D19" i="24" l="1"/>
  <c r="E8" i="21"/>
  <c r="AY16" i="5"/>
  <c r="AT16" i="5"/>
  <c r="AU16" i="5"/>
  <c r="AX16" i="5"/>
  <c r="AF12" i="5"/>
  <c r="AJ13" i="5"/>
  <c r="AJ14" i="5"/>
  <c r="AL14" i="5" s="1"/>
  <c r="AJ15" i="5"/>
  <c r="AF54" i="5"/>
  <c r="AJ12" i="5"/>
  <c r="J8" i="21"/>
  <c r="Y53" i="5"/>
  <c r="AD72" i="23"/>
  <c r="AD74" i="23" s="1"/>
  <c r="AD54" i="23"/>
  <c r="AD69" i="23" s="1"/>
  <c r="AW55" i="23"/>
  <c r="AW54" i="23"/>
  <c r="AV55" i="23"/>
  <c r="AV54" i="23"/>
  <c r="AV52" i="23"/>
  <c r="AW52" i="23"/>
  <c r="AD55" i="23"/>
  <c r="AD52" i="23"/>
  <c r="AD68" i="23" s="1"/>
  <c r="AD70" i="23" s="1"/>
  <c r="AD76" i="23"/>
  <c r="AF56" i="5" l="1"/>
  <c r="AG16" i="5" s="1"/>
  <c r="AH16" i="5" s="1"/>
  <c r="AF55" i="5"/>
  <c r="AL12" i="5"/>
  <c r="AJ56" i="5"/>
  <c r="AJ55" i="5"/>
  <c r="AL15" i="5"/>
  <c r="AJ54" i="5"/>
  <c r="AM14" i="5"/>
  <c r="AN14" i="5"/>
  <c r="AQ14" i="5"/>
  <c r="AS14" i="5" s="1"/>
  <c r="AY14" i="5" s="1"/>
  <c r="AL13" i="5"/>
  <c r="AJ53" i="5"/>
  <c r="E9" i="24"/>
  <c r="L8" i="21"/>
  <c r="M8" i="21" s="1"/>
  <c r="N8" i="21"/>
  <c r="T12" i="5" s="1"/>
  <c r="V12" i="5" l="1"/>
  <c r="W12" i="5" s="1"/>
  <c r="U16" i="5"/>
  <c r="AI16" i="5"/>
  <c r="AG13" i="5"/>
  <c r="AG14" i="5"/>
  <c r="AH14" i="5" s="1"/>
  <c r="AI14" i="5" s="1"/>
  <c r="AG15" i="5"/>
  <c r="AG12" i="5"/>
  <c r="U15" i="5"/>
  <c r="U14" i="5"/>
  <c r="U13" i="5"/>
  <c r="U12" i="5"/>
  <c r="AM13" i="5"/>
  <c r="AN13" i="5"/>
  <c r="AN53" i="5" s="1"/>
  <c r="AQ13" i="5"/>
  <c r="AT14" i="5"/>
  <c r="AU14" i="5"/>
  <c r="AX14" i="5"/>
  <c r="AM15" i="5"/>
  <c r="AN15" i="5"/>
  <c r="AN54" i="5" s="1"/>
  <c r="AQ15" i="5"/>
  <c r="AN12" i="5"/>
  <c r="AM12" i="5"/>
  <c r="V54" i="5"/>
  <c r="W54" i="5"/>
  <c r="V55" i="5"/>
  <c r="AH12" i="5" l="1"/>
  <c r="AI12" i="5" s="1"/>
  <c r="AG56" i="5"/>
  <c r="AG55" i="5"/>
  <c r="AH15" i="5"/>
  <c r="AI15" i="5" s="1"/>
  <c r="AI54" i="5" s="1"/>
  <c r="AG54" i="5"/>
  <c r="AH13" i="5"/>
  <c r="AI13" i="5" s="1"/>
  <c r="AI53" i="5" s="1"/>
  <c r="AG53" i="5"/>
  <c r="AN56" i="5"/>
  <c r="AN55" i="5"/>
  <c r="AQ12" i="5"/>
  <c r="AS15" i="5"/>
  <c r="AY15" i="5" s="1"/>
  <c r="AQ54" i="5"/>
  <c r="AS13" i="5"/>
  <c r="AY13" i="5" s="1"/>
  <c r="AQ53" i="5"/>
  <c r="X12" i="5"/>
  <c r="AA12" i="5"/>
  <c r="Z12" i="5"/>
  <c r="Y12" i="5"/>
  <c r="W56" i="5"/>
  <c r="W55" i="5"/>
  <c r="W53" i="5"/>
  <c r="V53" i="5"/>
  <c r="V56" i="5"/>
  <c r="Y55" i="5"/>
  <c r="AD54" i="5"/>
  <c r="AC54" i="5"/>
  <c r="AB54" i="5"/>
  <c r="AA54" i="5"/>
  <c r="G10" i="24" s="1"/>
  <c r="G20" i="24" s="1"/>
  <c r="Z54" i="5"/>
  <c r="F10" i="24" s="1"/>
  <c r="F20" i="24" s="1"/>
  <c r="AD55" i="5"/>
  <c r="AD53" i="5"/>
  <c r="AC53" i="5"/>
  <c r="AB53" i="5"/>
  <c r="AA53" i="5"/>
  <c r="Z53" i="5"/>
  <c r="AO16" i="5" l="1"/>
  <c r="AP16" i="5"/>
  <c r="AI56" i="5"/>
  <c r="AI55" i="5"/>
  <c r="X55" i="5"/>
  <c r="D11" i="24" s="1"/>
  <c r="X56" i="5"/>
  <c r="AT13" i="5"/>
  <c r="AT53" i="5" s="1"/>
  <c r="AU13" i="5"/>
  <c r="AU53" i="5" s="1"/>
  <c r="AX13" i="5"/>
  <c r="AS53" i="5"/>
  <c r="AT15" i="5"/>
  <c r="AT54" i="5" s="1"/>
  <c r="AU15" i="5"/>
  <c r="AU54" i="5" s="1"/>
  <c r="AX15" i="5"/>
  <c r="AX54" i="5" s="1"/>
  <c r="AS54" i="5"/>
  <c r="AS12" i="5"/>
  <c r="AY12" i="5" s="1"/>
  <c r="AQ55" i="5"/>
  <c r="AQ56" i="5"/>
  <c r="AO13" i="5"/>
  <c r="AO53" i="5" s="1"/>
  <c r="AP13" i="5"/>
  <c r="AP53" i="5" s="1"/>
  <c r="AO14" i="5"/>
  <c r="AP14" i="5"/>
  <c r="AO15" i="5"/>
  <c r="AO54" i="5" s="1"/>
  <c r="AP15" i="5"/>
  <c r="AP54" i="5" s="1"/>
  <c r="AP12" i="5"/>
  <c r="AO12" i="5"/>
  <c r="AX53" i="5"/>
  <c r="Z55" i="5"/>
  <c r="AA55" i="5"/>
  <c r="AB55" i="5"/>
  <c r="AC55" i="5"/>
  <c r="F9" i="24"/>
  <c r="G9" i="24"/>
  <c r="AD56" i="5"/>
  <c r="Y56" i="5"/>
  <c r="Z56" i="5"/>
  <c r="AA56" i="5"/>
  <c r="AB56" i="5"/>
  <c r="AC56" i="5"/>
  <c r="D21" i="24" l="1"/>
  <c r="D23" i="24"/>
  <c r="AO56" i="5"/>
  <c r="AO55" i="5"/>
  <c r="AP56" i="5"/>
  <c r="AP55" i="5"/>
  <c r="AT12" i="5"/>
  <c r="AS55" i="5"/>
  <c r="AS56" i="5"/>
  <c r="AY54" i="5"/>
  <c r="AY53" i="5"/>
  <c r="G11" i="24"/>
  <c r="G23" i="24" s="1"/>
  <c r="F11" i="24"/>
  <c r="F23" i="24" s="1"/>
  <c r="E11" i="24"/>
  <c r="E23" i="24" s="1"/>
  <c r="AT55" i="5" l="1"/>
  <c r="AT56" i="5"/>
  <c r="AU12" i="5"/>
  <c r="AY56" i="5"/>
  <c r="BA16" i="5" s="1"/>
  <c r="AY55" i="5"/>
  <c r="F12" i="24"/>
  <c r="F19" i="24" s="1"/>
  <c r="G12" i="24"/>
  <c r="G19" i="24" s="1"/>
  <c r="E14" i="24"/>
  <c r="F14" i="24"/>
  <c r="G14" i="24"/>
  <c r="E12" i="24"/>
  <c r="E19" i="24" s="1"/>
  <c r="E21" i="24"/>
  <c r="F21" i="24"/>
  <c r="G21" i="24"/>
  <c r="BA14" i="5" l="1"/>
  <c r="BA15" i="5"/>
  <c r="BA13" i="5"/>
  <c r="BA53" i="5" s="1"/>
  <c r="BA12" i="5"/>
  <c r="AU55" i="5"/>
  <c r="AU56" i="5"/>
  <c r="AW12" i="5"/>
  <c r="AV12" i="5"/>
  <c r="AX12" i="5"/>
  <c r="AV16" i="5" l="1"/>
  <c r="AW16" i="5"/>
  <c r="AX55" i="5"/>
  <c r="AX56" i="5"/>
  <c r="AV13" i="5"/>
  <c r="AV53" i="5" s="1"/>
  <c r="AW13" i="5"/>
  <c r="AW53" i="5" s="1"/>
  <c r="AV14" i="5"/>
  <c r="AV55" i="5" s="1"/>
  <c r="AW14" i="5"/>
  <c r="AW55" i="5" s="1"/>
  <c r="AV15" i="5"/>
  <c r="AV54" i="5" s="1"/>
  <c r="AW15" i="5"/>
  <c r="AW54" i="5" s="1"/>
  <c r="BA55" i="5"/>
  <c r="BA56" i="5"/>
  <c r="AW56" i="5" l="1"/>
  <c r="AV56" i="5"/>
</calcChain>
</file>

<file path=xl/comments1.xml><?xml version="1.0" encoding="utf-8"?>
<comments xmlns="http://schemas.openxmlformats.org/spreadsheetml/2006/main">
  <authors>
    <author>bmcgowan</author>
  </authors>
  <commentList>
    <comment ref="I7" authorId="0">
      <text>
        <r>
          <rPr>
            <b/>
            <sz val="9"/>
            <color indexed="81"/>
            <rFont val="Tahoma"/>
            <family val="2"/>
          </rPr>
          <t xml:space="preserve">These numbers should come straight from your 409A report. Update the table as needed and the rest of the workbook will dynamically use this data. </t>
        </r>
      </text>
    </comment>
    <comment ref="D8" authorId="0">
      <text>
        <r>
          <rPr>
            <b/>
            <sz val="9"/>
            <color indexed="81"/>
            <rFont val="Tahoma"/>
            <family val="2"/>
          </rPr>
          <t>The end of the fiscal year for which you are calculating option expenses</t>
        </r>
      </text>
    </comment>
    <comment ref="D9" authorId="0">
      <text>
        <r>
          <rPr>
            <b/>
            <sz val="9"/>
            <color indexed="81"/>
            <rFont val="Tahoma"/>
            <family val="2"/>
          </rPr>
          <t>Value of your common stock at the end of the year. Typically comes from your last 409A valuation</t>
        </r>
      </text>
    </comment>
    <comment ref="D10" authorId="0">
      <text>
        <r>
          <rPr>
            <b/>
            <sz val="9"/>
            <color indexed="81"/>
            <rFont val="Tahoma"/>
            <family val="2"/>
          </rPr>
          <t>Rate at which employees forfeit options (through resignation or termination). Can assume 5% until you have more data</t>
        </r>
      </text>
    </comment>
    <comment ref="D11" authorId="0">
      <text>
        <r>
          <rPr>
            <b/>
            <sz val="9"/>
            <color indexed="81"/>
            <rFont val="Tahoma"/>
            <family val="2"/>
          </rPr>
          <t>Typically zero</t>
        </r>
      </text>
    </comment>
    <comment ref="D12" authorId="0">
      <text>
        <r>
          <rPr>
            <b/>
            <sz val="9"/>
            <color indexed="81"/>
            <rFont val="Tahoma"/>
            <family val="2"/>
          </rPr>
          <t>Typically 5 years</t>
        </r>
      </text>
    </comment>
  </commentList>
</comments>
</file>

<file path=xl/comments2.xml><?xml version="1.0" encoding="utf-8"?>
<comments xmlns="http://schemas.openxmlformats.org/spreadsheetml/2006/main">
  <authors>
    <author>Maura</author>
  </authors>
  <commentList>
    <comment ref="AH4" authorId="0">
      <text>
        <r>
          <rPr>
            <b/>
            <sz val="9"/>
            <color indexed="81"/>
            <rFont val="Tahoma"/>
            <family val="2"/>
          </rPr>
          <t>Maura:</t>
        </r>
        <r>
          <rPr>
            <sz val="9"/>
            <color indexed="81"/>
            <rFont val="Tahoma"/>
            <family val="2"/>
          </rPr>
          <t xml:space="preserve">
Update each year for the year end the calculation is being performed for</t>
        </r>
      </text>
    </comment>
    <comment ref="AI4" authorId="0">
      <text>
        <r>
          <rPr>
            <b/>
            <sz val="9"/>
            <color indexed="81"/>
            <rFont val="Tahoma"/>
            <family val="2"/>
          </rPr>
          <t>Maura:</t>
        </r>
        <r>
          <rPr>
            <sz val="9"/>
            <color indexed="81"/>
            <rFont val="Tahoma"/>
            <family val="2"/>
          </rPr>
          <t xml:space="preserve">
Update each year for the fair value of common stock as of the year end the calculation is being performed for.</t>
        </r>
      </text>
    </comment>
    <comment ref="T6" authorId="0">
      <text>
        <r>
          <rPr>
            <b/>
            <sz val="9"/>
            <color indexed="81"/>
            <rFont val="Tahoma"/>
            <family val="2"/>
          </rPr>
          <t>Maura:</t>
        </r>
        <r>
          <rPr>
            <sz val="9"/>
            <color indexed="81"/>
            <rFont val="Tahoma"/>
            <family val="2"/>
          </rPr>
          <t xml:space="preserve">
Black Scholes value at the date of the grant.</t>
        </r>
      </text>
    </comment>
    <comment ref="AY21" authorId="0">
      <text>
        <r>
          <rPr>
            <b/>
            <sz val="9"/>
            <color indexed="81"/>
            <rFont val="Tahoma"/>
            <family val="2"/>
          </rPr>
          <t>Maura:</t>
        </r>
        <r>
          <rPr>
            <sz val="9"/>
            <color indexed="81"/>
            <rFont val="Tahoma"/>
            <family val="2"/>
          </rPr>
          <t xml:space="preserve">
Currently using a 4% forfeiture rate for 2011 - should be 5% based on the chart?</t>
        </r>
      </text>
    </comment>
  </commentList>
</comments>
</file>

<file path=xl/sharedStrings.xml><?xml version="1.0" encoding="utf-8"?>
<sst xmlns="http://schemas.openxmlformats.org/spreadsheetml/2006/main" count="210" uniqueCount="118">
  <si>
    <t>Grant Year</t>
  </si>
  <si>
    <t>Name</t>
  </si>
  <si>
    <t>Number</t>
  </si>
  <si>
    <t>Board approval date</t>
  </si>
  <si>
    <t>Plan</t>
  </si>
  <si>
    <t>Exercise price</t>
  </si>
  <si>
    <t>Vesting schedule</t>
  </si>
  <si>
    <t>Days into year</t>
  </si>
  <si>
    <t>10 year expiry date</t>
  </si>
  <si>
    <t>Years until expiry at 2008-12-31</t>
  </si>
  <si>
    <t>Option valuation</t>
  </si>
  <si>
    <t>Stock options Valuation (net forfeiture)</t>
  </si>
  <si>
    <t>Stock options Valuation</t>
  </si>
  <si>
    <t>2010 options expense</t>
  </si>
  <si>
    <t>2011 options expense</t>
  </si>
  <si>
    <t>2012 options expense</t>
  </si>
  <si>
    <t>2013 options expense</t>
  </si>
  <si>
    <t>Outstanding</t>
  </si>
  <si>
    <t>Wtd Avg exercise price</t>
  </si>
  <si>
    <t>Expiration Date</t>
  </si>
  <si>
    <t>Wtd Avg Remaining Life</t>
  </si>
  <si>
    <t>Intrinsic Value</t>
  </si>
  <si>
    <t>Shares Excercisable</t>
  </si>
  <si>
    <t>Shares Unvested</t>
  </si>
  <si>
    <t>Expected to Vest</t>
  </si>
  <si>
    <t>Vested and Expected to Vest</t>
  </si>
  <si>
    <t>Granted</t>
  </si>
  <si>
    <t>ISO</t>
  </si>
  <si>
    <t>NQSO</t>
  </si>
  <si>
    <t>Forfeiture Rate</t>
  </si>
  <si>
    <t>C</t>
  </si>
  <si>
    <t>G&amp;A</t>
  </si>
  <si>
    <t>R&amp;D</t>
  </si>
  <si>
    <t>Expense Breakout:</t>
  </si>
  <si>
    <t>2014 options expense</t>
  </si>
  <si>
    <t>Stock options valuation and vesting schedule</t>
  </si>
  <si>
    <t>2015 options expense</t>
  </si>
  <si>
    <t>FV Unvested Shares, net of forfeitures</t>
  </si>
  <si>
    <t>Weighted Average Exercise Price</t>
  </si>
  <si>
    <t>2016 options expense</t>
  </si>
  <si>
    <t>Options Outstanding 12/31/2012</t>
  </si>
  <si>
    <t>Vested &amp; Expected to Vest 12/31/2012</t>
  </si>
  <si>
    <t>Shares Exercisable 12/31/2012</t>
  </si>
  <si>
    <t>Five year Treasury Curve Rates - 2010</t>
  </si>
  <si>
    <t>http://www.treasury.gov/resource-center/data-chart-center/interest-rates/Pages/TextView.aspx?data=yieldYear&amp;year=2012</t>
  </si>
  <si>
    <t>Date</t>
  </si>
  <si>
    <t>5 yr</t>
  </si>
  <si>
    <t>2010 Average</t>
  </si>
  <si>
    <t xml:space="preserve"> </t>
  </si>
  <si>
    <t>Variance</t>
  </si>
  <si>
    <t>Employees Sub-Total</t>
  </si>
  <si>
    <t>Expense start date</t>
  </si>
  <si>
    <t>Total Days Outstanding</t>
  </si>
  <si>
    <t>Remaining Vesting Days</t>
  </si>
  <si>
    <t>Weighted Ave Amort. Period</t>
  </si>
  <si>
    <t>Weighted Average fair value of grants</t>
  </si>
  <si>
    <t>Type (ISO, NQSO, RSU)</t>
  </si>
  <si>
    <t>Grant Date</t>
  </si>
  <si>
    <t>2012 - EMPLOYEE Stock Options</t>
  </si>
  <si>
    <t>Employee</t>
  </si>
  <si>
    <t>Exercise Price</t>
  </si>
  <si>
    <t>Exp. Term</t>
  </si>
  <si>
    <t>Volatility</t>
  </si>
  <si>
    <t>Div. Yield</t>
  </si>
  <si>
    <t>Risk-Free Rate</t>
  </si>
  <si>
    <t>D1</t>
  </si>
  <si>
    <t>D2</t>
  </si>
  <si>
    <t>Term</t>
  </si>
  <si>
    <t>Year</t>
  </si>
  <si>
    <t>Vesting End Date</t>
  </si>
  <si>
    <t># Months (Grant to Vest End)</t>
  </si>
  <si>
    <t>Dept</t>
  </si>
  <si>
    <t>G&amp;A Total</t>
  </si>
  <si>
    <t>R&amp;D Total</t>
  </si>
  <si>
    <t>Grand Total</t>
  </si>
  <si>
    <t>Non-Employees</t>
  </si>
  <si>
    <t>Larry Walker</t>
  </si>
  <si>
    <t>RSU</t>
  </si>
  <si>
    <t>Vanessa Green</t>
  </si>
  <si>
    <t>Tony Sagneri</t>
  </si>
  <si>
    <t>Justin Burkhart</t>
  </si>
  <si>
    <t>George Hwang</t>
  </si>
  <si>
    <t>Common Value</t>
  </si>
  <si>
    <t>RSU's</t>
  </si>
  <si>
    <t>Totals</t>
  </si>
  <si>
    <t>S&amp;M</t>
  </si>
  <si>
    <t>S&amp;M Total</t>
  </si>
  <si>
    <t>Value</t>
  </si>
  <si>
    <t>Fair Value</t>
  </si>
  <si>
    <t># Shares</t>
  </si>
  <si>
    <t>Employee A</t>
  </si>
  <si>
    <t>Employee B</t>
  </si>
  <si>
    <t>Employee C</t>
  </si>
  <si>
    <t>Employee D</t>
  </si>
  <si>
    <t>Vesting schedule(# years)</t>
  </si>
  <si>
    <t>Fiscal Year-End</t>
  </si>
  <si>
    <t>Common Value @ Year-End</t>
  </si>
  <si>
    <t>Employee E</t>
  </si>
  <si>
    <t>409A Date</t>
  </si>
  <si>
    <t>Valuation</t>
  </si>
  <si>
    <t>Dividend Yield</t>
  </si>
  <si>
    <t>Black-Scholes Pricing Calculation</t>
  </si>
  <si>
    <t>Five Year Treasury Curve Rates</t>
  </si>
  <si>
    <t>This table contains the curve rates for 5-year treasury bills. It is important to update this data when you are running new calculations as it is used in the Black Scholes Model. You can retrieve the data at the link below. Be sure to use the Daily Treasury Yield Curve Rates</t>
  </si>
  <si>
    <t>Stock Option Table</t>
  </si>
  <si>
    <t>#</t>
  </si>
  <si>
    <t>This is the master worksheet for inputting individual option grants and caculating the assoicated expense. You only need to edit columns B-J with the appropriate information for each grant, the rest of the sheet is automated. Yearly expenses for each grant are stated in columns X-AD and summed in row 56</t>
  </si>
  <si>
    <t>Basic Inputs</t>
  </si>
  <si>
    <t>Valuation Data</t>
  </si>
  <si>
    <t>Model Inputs</t>
  </si>
  <si>
    <t>Option Expense Summary</t>
  </si>
  <si>
    <t>Attribution</t>
  </si>
  <si>
    <t>Aero Financial Partners</t>
  </si>
  <si>
    <t>Email Us</t>
  </si>
  <si>
    <t>How To Use</t>
  </si>
  <si>
    <r>
      <t xml:space="preserve">The workbook is intended to be used for calculating Stock Option compensation expense. Although no cash is exchanged, the granting of stock options needs to be accounted for as a non-cash expense on a company's profit and loss statement. While the actual calculation is somewhat complex, the inputs are fairly simple and this tool automates that process. I am working on a much more dynamic web version of this tool, so please keep an eye out
Typically, stock compensation expenses can be calculated and applied once per year. You might therefore have a version of this sheet for each fiscal year. Note that you do not need to update prior years. Simply delete grants that have expired and add new ones. 
</t>
    </r>
    <r>
      <rPr>
        <b/>
        <sz val="10"/>
        <color theme="1"/>
        <rFont val="Arial Unicode MS"/>
        <family val="2"/>
      </rPr>
      <t>Workbook mechanics:</t>
    </r>
    <r>
      <rPr>
        <sz val="10"/>
        <color theme="1"/>
        <rFont val="Arial Unicode MS"/>
        <family val="2"/>
      </rPr>
      <t xml:space="preserve">
(1) I have highlighted cells which require your input in green. 
(2) There is currently some sample data in those cells. You will need to update for your company's situation.
(3) All other cells are automated and have been locked down. There is no password so can unlock as needed. 
(4) I have embedded comments throughout. Look for the little red triangles and hover over the cell to see the text
</t>
    </r>
    <r>
      <rPr>
        <b/>
        <sz val="10"/>
        <color theme="1"/>
        <rFont val="Arial Unicode MS"/>
        <family val="2"/>
      </rPr>
      <t>Table of Contents:</t>
    </r>
    <r>
      <rPr>
        <sz val="10"/>
        <color theme="1"/>
        <rFont val="Arial Unicode MS"/>
        <family val="2"/>
      </rPr>
      <t xml:space="preserve">
(1) Inputs - Where you need to enter basic model inputs such as date and 409A data
(2) Risk Free Rates - The Black Scholes calculation requires daily risk free rate data. You will need to update this sheet with data from the link provided
(3) Options - This is where you will enter the information for specific option grants
(4) Black Scholes Table - The option valuation calculations are happening on this sheet. No input is required
(5) Summary - The expenses for your P&amp;L are summarized here. </t>
    </r>
  </si>
  <si>
    <t>This sheet is completely automated. It pulls inputs from sheets 1, 2 and 3 and uses the Black-Scholes Options Pricing Model to calculate the value of the option grants and send them back to sheet 2, Column R</t>
  </si>
  <si>
    <t>This workbook was created by Bryan McGowan of Aero Financial Partners. Please use, modify and distribute in any way you like and consider visiting us at the link below. I make no claims of accuracy or comprehensiveness and welcome any feedback or corrections. Any questions or other communications can be directed to info@aerofinancialpartners.com</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</si>
</sst>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_(&quot;$&quot;* #,##0.0000_);_(&quot;$&quot;* \(#,##0.0000\);_(&quot;$&quot;* &quot;-&quot;??_);_(@_)"/>
    <numFmt numFmtId="167" formatCode="0.0"/>
    <numFmt numFmtId="168" formatCode="_(&quot;$&quot;* #,##0.00000_);_(&quot;$&quot;* \(#,##0.00000\);_(&quot;$&quot;* &quot;-&quot;??_);_(@_)"/>
    <numFmt numFmtId="169" formatCode="&quot;$&quot;#,##0.00"/>
    <numFmt numFmtId="170" formatCode="_(&quot;$&quot;* #,##0.000000_);_(&quot;$&quot;* \(#,##0.000000\);_(&quot;$&quot;* &quot;-&quot;??_);_(@_)"/>
    <numFmt numFmtId="171" formatCode="_(* #,##0.000_);_(* \(#,##0.000\);_(* &quot;-&quot;_);_(@_)"/>
    <numFmt numFmtId="172" formatCode="_(* #,##0.00_);_(* \(#,##0.00\);_(* &quot;-&quot;_);_(@_)"/>
    <numFmt numFmtId="173" formatCode="0.00000"/>
    <numFmt numFmtId="174" formatCode="&quot;$&quot;#,##0.0000"/>
    <numFmt numFmtId="175" formatCode="_(&quot;$&quot;* #,##0.0000_);_(&quot;$&quot;* \(#,##0.0000\);_(&quot;$&quot;* &quot;-&quot;????_);_(@_)"/>
  </numFmts>
  <fonts count="34" x14ac:knownFonts="1">
    <font>
      <sz val="10"/>
      <color theme="1"/>
      <name val="Arial Unicode MS"/>
      <family val="2"/>
    </font>
    <font>
      <sz val="10"/>
      <color theme="1"/>
      <name val="Arial"/>
      <family val="2"/>
    </font>
    <font>
      <sz val="10"/>
      <name val="Arial"/>
      <family val="2"/>
    </font>
    <font>
      <b/>
      <sz val="10"/>
      <name val="Arial"/>
      <family val="2"/>
    </font>
    <font>
      <b/>
      <sz val="11"/>
      <name val="Arial"/>
      <family val="2"/>
    </font>
    <font>
      <sz val="11"/>
      <name val="Arial"/>
      <family val="2"/>
    </font>
    <font>
      <b/>
      <u/>
      <sz val="11"/>
      <name val="Arial"/>
      <family val="2"/>
    </font>
    <font>
      <b/>
      <sz val="11"/>
      <color rgb="FF0070C0"/>
      <name val="Arial"/>
      <family val="2"/>
    </font>
    <font>
      <b/>
      <sz val="10"/>
      <name val="Times New Roman"/>
      <family val="1"/>
    </font>
    <font>
      <b/>
      <u/>
      <sz val="10"/>
      <name val="Times New Roman"/>
      <family val="1"/>
    </font>
    <font>
      <u/>
      <sz val="11"/>
      <name val="Arial"/>
      <family val="2"/>
    </font>
    <font>
      <sz val="10"/>
      <color indexed="8"/>
      <name val="Arial"/>
      <family val="2"/>
    </font>
    <font>
      <u/>
      <sz val="10"/>
      <name val="Arial"/>
      <family val="2"/>
    </font>
    <font>
      <sz val="12"/>
      <name val="Arial"/>
      <family val="2"/>
    </font>
    <font>
      <sz val="10"/>
      <color theme="1"/>
      <name val="Arial Unicode MS"/>
      <family val="2"/>
    </font>
    <font>
      <sz val="10"/>
      <name val="Arial"/>
      <family val="2"/>
    </font>
    <font>
      <b/>
      <sz val="11"/>
      <color rgb="FFFF0000"/>
      <name val="Arial"/>
      <family val="2"/>
    </font>
    <font>
      <b/>
      <i/>
      <sz val="10"/>
      <name val="Arial"/>
      <family val="2"/>
    </font>
    <font>
      <i/>
      <sz val="10"/>
      <name val="Arial"/>
      <family val="2"/>
    </font>
    <font>
      <u/>
      <sz val="10"/>
      <color theme="10"/>
      <name val="Arial"/>
      <family val="2"/>
    </font>
    <font>
      <i/>
      <sz val="11"/>
      <name val="Arial"/>
      <family val="2"/>
    </font>
    <font>
      <b/>
      <sz val="10"/>
      <color theme="1"/>
      <name val="Arial Unicode MS"/>
      <family val="2"/>
    </font>
    <font>
      <sz val="9"/>
      <color indexed="81"/>
      <name val="Tahoma"/>
      <family val="2"/>
    </font>
    <font>
      <b/>
      <sz val="9"/>
      <color indexed="81"/>
      <name val="Tahoma"/>
      <family val="2"/>
    </font>
    <font>
      <sz val="10"/>
      <name val="Arial Unicode MS"/>
      <family val="2"/>
    </font>
    <font>
      <sz val="10"/>
      <color theme="1"/>
      <name val="Calibri"/>
      <family val="2"/>
      <scheme val="minor"/>
    </font>
    <font>
      <sz val="11"/>
      <color theme="0" tint="-0.14999847407452621"/>
      <name val="Arial"/>
      <family val="2"/>
    </font>
    <font>
      <sz val="10"/>
      <color rgb="FF3366FF"/>
      <name val="Calibri"/>
      <family val="2"/>
      <scheme val="minor"/>
    </font>
    <font>
      <sz val="9"/>
      <color rgb="FF2A2A2A"/>
      <name val="Arial"/>
      <family val="2"/>
    </font>
    <font>
      <u/>
      <sz val="10"/>
      <color theme="10"/>
      <name val="Arial Unicode MS"/>
      <family val="2"/>
    </font>
    <font>
      <b/>
      <sz val="18"/>
      <color theme="1"/>
      <name val="Arial Unicode MS"/>
      <family val="2"/>
    </font>
    <font>
      <b/>
      <sz val="16"/>
      <name val="Arial"/>
      <family val="2"/>
    </font>
    <font>
      <sz val="11"/>
      <color theme="0" tint="-0.34998626667073579"/>
      <name val="Arial"/>
      <family val="2"/>
    </font>
    <font>
      <sz val="16"/>
      <color theme="1"/>
      <name val="Arial Unicode MS"/>
      <family val="2"/>
    </font>
  </fonts>
  <fills count="9">
    <fill>
      <patternFill patternType="none"/>
    </fill>
    <fill>
      <patternFill patternType="gray125"/>
    </fill>
    <fill>
      <patternFill patternType="solid">
        <fgColor rgb="FF00B0F0"/>
        <bgColor indexed="64"/>
      </patternFill>
    </fill>
    <fill>
      <patternFill patternType="solid">
        <fgColor indexed="42"/>
        <bgColor indexed="64"/>
      </patternFill>
    </fill>
    <fill>
      <patternFill patternType="solid">
        <fgColor indexed="22"/>
        <bgColor indexed="64"/>
      </patternFill>
    </fill>
    <fill>
      <patternFill patternType="solid">
        <fgColor theme="0"/>
        <bgColor indexed="64"/>
      </patternFill>
    </fill>
    <fill>
      <patternFill patternType="solid">
        <fgColor rgb="FFFFFF00"/>
        <bgColor indexed="64"/>
      </patternFill>
    </fill>
    <fill>
      <patternFill patternType="solid">
        <fgColor theme="0" tint="-0.34998626667073579"/>
        <bgColor indexed="64"/>
      </patternFill>
    </fill>
    <fill>
      <patternFill patternType="solid">
        <fgColor theme="6" tint="0.79998168889431442"/>
        <bgColor indexed="64"/>
      </patternFill>
    </fill>
  </fills>
  <borders count="25">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right/>
      <top style="thin">
        <color auto="1"/>
      </top>
      <bottom style="thin">
        <color auto="1"/>
      </bottom>
      <diagonal/>
    </border>
    <border>
      <left/>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top style="thin">
        <color auto="1"/>
      </top>
      <bottom/>
      <diagonal/>
    </border>
    <border>
      <left/>
      <right style="medium">
        <color auto="1"/>
      </right>
      <top style="thin">
        <color auto="1"/>
      </top>
      <bottom/>
      <diagonal/>
    </border>
    <border>
      <left/>
      <right style="medium">
        <color auto="1"/>
      </right>
      <top/>
      <bottom/>
      <diagonal/>
    </border>
    <border>
      <left/>
      <right style="medium">
        <color auto="1"/>
      </right>
      <top/>
      <bottom style="medium">
        <color auto="1"/>
      </bottom>
      <diagonal/>
    </border>
    <border>
      <left style="medium">
        <color auto="1"/>
      </left>
      <right/>
      <top/>
      <bottom style="medium">
        <color auto="1"/>
      </bottom>
      <diagonal/>
    </border>
    <border>
      <left/>
      <right/>
      <top/>
      <bottom style="medium">
        <color auto="1"/>
      </bottom>
      <diagonal/>
    </border>
    <border>
      <left style="medium">
        <color auto="1"/>
      </left>
      <right style="medium">
        <color auto="1"/>
      </right>
      <top/>
      <bottom style="dashed">
        <color theme="0"/>
      </bottom>
      <diagonal/>
    </border>
    <border>
      <left/>
      <right style="medium">
        <color auto="1"/>
      </right>
      <top style="medium">
        <color auto="1"/>
      </top>
      <bottom style="thin">
        <color auto="1"/>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indexed="64"/>
      </left>
      <right/>
      <top/>
      <bottom style="thin">
        <color auto="1"/>
      </bottom>
      <diagonal/>
    </border>
    <border>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6">
    <xf numFmtId="0" fontId="0"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0" fontId="2" fillId="0" borderId="0"/>
    <xf numFmtId="9" fontId="2" fillId="0" borderId="0" applyFont="0" applyFill="0" applyBorder="0" applyAlignment="0" applyProtection="0"/>
    <xf numFmtId="0" fontId="13" fillId="0" borderId="0"/>
    <xf numFmtId="0" fontId="13" fillId="0" borderId="0"/>
    <xf numFmtId="43" fontId="14" fillId="0" borderId="0" applyFont="0" applyFill="0" applyBorder="0" applyAlignment="0" applyProtection="0"/>
    <xf numFmtId="44" fontId="14" fillId="0" borderId="0" applyFont="0" applyFill="0" applyBorder="0" applyAlignment="0" applyProtection="0"/>
    <xf numFmtId="0" fontId="15" fillId="0" borderId="0"/>
    <xf numFmtId="0" fontId="2" fillId="0" borderId="0"/>
    <xf numFmtId="0" fontId="19" fillId="0" borderId="0" applyNumberFormat="0" applyFill="0" applyBorder="0" applyAlignment="0" applyProtection="0"/>
    <xf numFmtId="0" fontId="2" fillId="0" borderId="0"/>
    <xf numFmtId="9" fontId="14" fillId="0" borderId="0" applyFont="0" applyFill="0" applyBorder="0" applyAlignment="0" applyProtection="0"/>
    <xf numFmtId="0" fontId="29" fillId="0" borderId="0" applyNumberFormat="0" applyFill="0" applyBorder="0" applyAlignment="0" applyProtection="0"/>
  </cellStyleXfs>
  <cellXfs count="557">
    <xf numFmtId="0" fontId="0" fillId="0" borderId="0" xfId="0"/>
    <xf numFmtId="0" fontId="4" fillId="0" borderId="0" xfId="1" applyFont="1" applyFill="1" applyAlignment="1">
      <alignment vertical="top"/>
    </xf>
    <xf numFmtId="166" fontId="5" fillId="0" borderId="0" xfId="3" applyNumberFormat="1" applyFont="1" applyFill="1" applyAlignment="1">
      <alignment horizontal="left" vertical="top"/>
    </xf>
    <xf numFmtId="14" fontId="5" fillId="0" borderId="0" xfId="1" applyNumberFormat="1" applyFont="1" applyFill="1" applyAlignment="1">
      <alignment horizontal="center" vertical="top"/>
    </xf>
    <xf numFmtId="0" fontId="3" fillId="0" borderId="0" xfId="1" applyFont="1" applyFill="1" applyAlignment="1">
      <alignment vertical="top"/>
    </xf>
    <xf numFmtId="0" fontId="7" fillId="0" borderId="0" xfId="1" applyFont="1" applyFill="1" applyAlignment="1">
      <alignment vertical="center" wrapText="1"/>
    </xf>
    <xf numFmtId="0" fontId="4" fillId="0" borderId="0" xfId="1" applyFont="1" applyFill="1" applyAlignment="1">
      <alignment vertical="center" wrapText="1"/>
    </xf>
    <xf numFmtId="0" fontId="4" fillId="0" borderId="0" xfId="1" applyFont="1" applyFill="1" applyAlignment="1">
      <alignment horizontal="center" vertical="center" wrapText="1"/>
    </xf>
    <xf numFmtId="166" fontId="4" fillId="0" borderId="0" xfId="3" applyNumberFormat="1" applyFont="1" applyFill="1" applyAlignment="1">
      <alignment horizontal="center" vertical="center" wrapText="1"/>
    </xf>
    <xf numFmtId="0" fontId="8" fillId="0" borderId="8" xfId="4" applyNumberFormat="1" applyFont="1" applyFill="1" applyBorder="1" applyAlignment="1">
      <alignment horizontal="center" vertical="center" wrapText="1"/>
    </xf>
    <xf numFmtId="0" fontId="8" fillId="0" borderId="0" xfId="4" applyNumberFormat="1" applyFont="1" applyFill="1" applyBorder="1" applyAlignment="1">
      <alignment horizontal="center" vertical="center" wrapText="1"/>
    </xf>
    <xf numFmtId="0" fontId="8" fillId="0" borderId="11" xfId="4" applyNumberFormat="1" applyFont="1" applyFill="1" applyBorder="1" applyAlignment="1">
      <alignment horizontal="center" vertical="center" wrapText="1"/>
    </xf>
    <xf numFmtId="0" fontId="9" fillId="0" borderId="0" xfId="4" applyNumberFormat="1" applyFont="1" applyFill="1" applyBorder="1" applyAlignment="1">
      <alignment horizontal="center" vertical="top"/>
    </xf>
    <xf numFmtId="0" fontId="9" fillId="0" borderId="11" xfId="4" applyNumberFormat="1" applyFont="1" applyFill="1" applyBorder="1" applyAlignment="1">
      <alignment horizontal="center" vertical="top"/>
    </xf>
    <xf numFmtId="0" fontId="10" fillId="0" borderId="0" xfId="1" applyFont="1" applyFill="1" applyAlignment="1">
      <alignment vertical="top"/>
    </xf>
    <xf numFmtId="165" fontId="5" fillId="0" borderId="0" xfId="2" applyNumberFormat="1" applyFont="1" applyFill="1" applyAlignment="1">
      <alignment vertical="top"/>
    </xf>
    <xf numFmtId="165" fontId="5" fillId="0" borderId="0" xfId="1" applyNumberFormat="1" applyFont="1" applyFill="1" applyAlignment="1">
      <alignment vertical="top"/>
    </xf>
    <xf numFmtId="165" fontId="4" fillId="0" borderId="0" xfId="1" applyNumberFormat="1" applyFont="1" applyFill="1" applyAlignment="1">
      <alignment vertical="top"/>
    </xf>
    <xf numFmtId="15" fontId="5" fillId="0" borderId="14" xfId="1" applyNumberFormat="1" applyFont="1" applyFill="1" applyBorder="1" applyAlignment="1">
      <alignment horizontal="center" vertical="top"/>
    </xf>
    <xf numFmtId="165" fontId="4" fillId="0" borderId="0" xfId="2" applyNumberFormat="1" applyFont="1" applyFill="1" applyBorder="1" applyAlignment="1">
      <alignment vertical="top"/>
    </xf>
    <xf numFmtId="0" fontId="8" fillId="0" borderId="0" xfId="4" applyNumberFormat="1" applyFont="1" applyFill="1" applyBorder="1" applyAlignment="1">
      <alignment horizontal="center" vertical="top" wrapText="1"/>
    </xf>
    <xf numFmtId="0" fontId="12" fillId="0" borderId="0" xfId="1" applyFont="1" applyFill="1" applyBorder="1" applyAlignment="1">
      <alignment vertical="top"/>
    </xf>
    <xf numFmtId="0" fontId="5" fillId="0" borderId="0" xfId="0" applyFont="1" applyFill="1" applyAlignment="1">
      <alignment vertical="top"/>
    </xf>
    <xf numFmtId="44" fontId="5" fillId="0" borderId="0" xfId="0" applyNumberFormat="1" applyFont="1" applyFill="1" applyBorder="1" applyAlignment="1">
      <alignment vertical="top"/>
    </xf>
    <xf numFmtId="165" fontId="5" fillId="0" borderId="0" xfId="8" applyNumberFormat="1" applyFont="1" applyFill="1" applyAlignment="1">
      <alignment vertical="top"/>
    </xf>
    <xf numFmtId="0" fontId="2" fillId="0" borderId="0" xfId="0" applyFont="1" applyFill="1" applyBorder="1" applyAlignment="1">
      <alignment horizontal="center"/>
    </xf>
    <xf numFmtId="166" fontId="2" fillId="0" borderId="0" xfId="3" applyNumberFormat="1" applyFont="1" applyFill="1" applyAlignment="1">
      <alignment horizontal="left" vertical="top"/>
    </xf>
    <xf numFmtId="0" fontId="0" fillId="0" borderId="0" xfId="0" applyBorder="1" applyAlignment="1">
      <alignment horizontal="center"/>
    </xf>
    <xf numFmtId="0" fontId="0" fillId="0" borderId="0" xfId="0" applyBorder="1"/>
    <xf numFmtId="0" fontId="0" fillId="4" borderId="0" xfId="0" applyFill="1" applyBorder="1"/>
    <xf numFmtId="0" fontId="0" fillId="0" borderId="0" xfId="0"/>
    <xf numFmtId="0" fontId="5" fillId="0" borderId="0" xfId="1" applyFont="1" applyFill="1" applyAlignment="1">
      <alignment vertical="top"/>
    </xf>
    <xf numFmtId="0" fontId="5" fillId="0" borderId="0" xfId="1" applyFont="1" applyFill="1" applyAlignment="1">
      <alignment horizontal="center" vertical="top"/>
    </xf>
    <xf numFmtId="0" fontId="2" fillId="0" borderId="0" xfId="1" applyFont="1" applyFill="1" applyAlignment="1">
      <alignment vertical="top" wrapText="1"/>
    </xf>
    <xf numFmtId="0" fontId="4" fillId="0" borderId="0" xfId="1" applyFont="1" applyFill="1" applyBorder="1" applyAlignment="1">
      <alignment vertical="top"/>
    </xf>
    <xf numFmtId="0" fontId="5" fillId="0" borderId="8" xfId="1" applyFont="1" applyFill="1" applyBorder="1" applyAlignment="1">
      <alignment horizontal="center" vertical="top"/>
    </xf>
    <xf numFmtId="0" fontId="5" fillId="0" borderId="0" xfId="1" applyFont="1" applyFill="1" applyBorder="1" applyAlignment="1">
      <alignment horizontal="center" vertical="top"/>
    </xf>
    <xf numFmtId="0" fontId="5" fillId="0" borderId="11" xfId="1" applyFont="1" applyFill="1" applyBorder="1" applyAlignment="1">
      <alignment vertical="top"/>
    </xf>
    <xf numFmtId="0" fontId="7" fillId="0" borderId="0" xfId="1" applyFont="1" applyFill="1" applyBorder="1" applyAlignment="1">
      <alignment horizontal="center" vertical="top"/>
    </xf>
    <xf numFmtId="15" fontId="5" fillId="0" borderId="8" xfId="1" applyNumberFormat="1" applyFont="1" applyFill="1" applyBorder="1" applyAlignment="1">
      <alignment horizontal="center" vertical="top"/>
    </xf>
    <xf numFmtId="15" fontId="5" fillId="0" borderId="0" xfId="1" applyNumberFormat="1" applyFont="1" applyFill="1" applyBorder="1" applyAlignment="1">
      <alignment horizontal="center" vertical="top"/>
    </xf>
    <xf numFmtId="44" fontId="5" fillId="0" borderId="0" xfId="1" applyNumberFormat="1" applyFont="1" applyFill="1" applyBorder="1" applyAlignment="1">
      <alignment horizontal="center" vertical="top"/>
    </xf>
    <xf numFmtId="168" fontId="5" fillId="0" borderId="0" xfId="1" applyNumberFormat="1" applyFont="1" applyFill="1" applyBorder="1" applyAlignment="1">
      <alignment horizontal="center" vertical="top"/>
    </xf>
    <xf numFmtId="164" fontId="5" fillId="0" borderId="0" xfId="1" applyNumberFormat="1" applyFont="1" applyFill="1" applyBorder="1" applyAlignment="1">
      <alignment vertical="top"/>
    </xf>
    <xf numFmtId="44" fontId="5" fillId="0" borderId="0" xfId="1" applyNumberFormat="1" applyFont="1" applyFill="1" applyBorder="1" applyAlignment="1">
      <alignment vertical="top"/>
    </xf>
    <xf numFmtId="2" fontId="5" fillId="0" borderId="0" xfId="1" applyNumberFormat="1" applyFont="1" applyFill="1" applyBorder="1" applyAlignment="1">
      <alignment vertical="top"/>
    </xf>
    <xf numFmtId="0" fontId="5" fillId="0" borderId="6" xfId="1" applyFont="1" applyFill="1" applyBorder="1" applyAlignment="1">
      <alignment vertical="top"/>
    </xf>
    <xf numFmtId="0" fontId="4" fillId="3" borderId="5" xfId="1" applyFont="1" applyFill="1" applyBorder="1" applyAlignment="1">
      <alignment vertical="top"/>
    </xf>
    <xf numFmtId="0" fontId="5" fillId="0" borderId="7" xfId="1" applyFont="1" applyFill="1" applyBorder="1" applyAlignment="1">
      <alignment vertical="top"/>
    </xf>
    <xf numFmtId="44" fontId="5" fillId="0" borderId="0" xfId="3" applyFont="1" applyFill="1" applyBorder="1" applyAlignment="1">
      <alignment vertical="top"/>
    </xf>
    <xf numFmtId="164" fontId="5" fillId="0" borderId="0" xfId="1" applyNumberFormat="1" applyFont="1" applyFill="1" applyAlignment="1">
      <alignment vertical="top"/>
    </xf>
    <xf numFmtId="0" fontId="12" fillId="0" borderId="0" xfId="1" applyFont="1" applyFill="1" applyAlignment="1">
      <alignment horizontal="center" vertical="top"/>
    </xf>
    <xf numFmtId="168" fontId="5" fillId="0" borderId="0" xfId="0" applyNumberFormat="1" applyFont="1" applyFill="1" applyBorder="1" applyAlignment="1">
      <alignment horizontal="center" vertical="top"/>
    </xf>
    <xf numFmtId="166" fontId="5" fillId="0" borderId="0" xfId="3" applyNumberFormat="1" applyFont="1" applyFill="1" applyBorder="1" applyAlignment="1">
      <alignment horizontal="left" vertical="top"/>
    </xf>
    <xf numFmtId="44" fontId="2" fillId="0" borderId="0" xfId="3" applyFont="1" applyFill="1" applyBorder="1" applyAlignment="1">
      <alignment horizontal="center"/>
    </xf>
    <xf numFmtId="44" fontId="0" fillId="0" borderId="0" xfId="3" applyFont="1" applyFill="1" applyBorder="1" applyAlignment="1">
      <alignment horizontal="center"/>
    </xf>
    <xf numFmtId="0" fontId="5" fillId="0" borderId="14" xfId="1" applyFont="1" applyFill="1" applyBorder="1" applyAlignment="1">
      <alignment vertical="top"/>
    </xf>
    <xf numFmtId="0" fontId="4" fillId="0" borderId="6" xfId="1" applyFont="1" applyFill="1" applyBorder="1" applyAlignment="1">
      <alignment horizontal="center" vertical="center" wrapText="1"/>
    </xf>
    <xf numFmtId="0" fontId="0" fillId="0" borderId="0" xfId="0" applyFill="1"/>
    <xf numFmtId="0" fontId="2" fillId="0" borderId="0" xfId="1" applyFont="1" applyFill="1" applyAlignment="1">
      <alignment vertical="top"/>
    </xf>
    <xf numFmtId="0" fontId="2" fillId="0" borderId="0" xfId="1" applyFont="1" applyFill="1" applyAlignment="1">
      <alignment horizontal="center" vertical="top"/>
    </xf>
    <xf numFmtId="0" fontId="5" fillId="0" borderId="0" xfId="1" applyFont="1" applyFill="1" applyBorder="1" applyAlignment="1">
      <alignment vertical="top"/>
    </xf>
    <xf numFmtId="0" fontId="5" fillId="0" borderId="8" xfId="1" applyFont="1" applyFill="1" applyBorder="1" applyAlignment="1">
      <alignment vertical="top"/>
    </xf>
    <xf numFmtId="1" fontId="5" fillId="0" borderId="0" xfId="2" applyNumberFormat="1" applyFont="1" applyFill="1" applyBorder="1" applyAlignment="1">
      <alignment horizontal="center" vertical="top"/>
    </xf>
    <xf numFmtId="167" fontId="5" fillId="0" borderId="0" xfId="2" applyNumberFormat="1" applyFont="1" applyFill="1" applyBorder="1" applyAlignment="1">
      <alignment horizontal="center" vertical="top"/>
    </xf>
    <xf numFmtId="164" fontId="5" fillId="0" borderId="0" xfId="3" applyNumberFormat="1" applyFont="1" applyFill="1" applyBorder="1" applyAlignment="1">
      <alignment horizontal="center" vertical="top"/>
    </xf>
    <xf numFmtId="164" fontId="5" fillId="0" borderId="0" xfId="3" applyNumberFormat="1" applyFont="1" applyFill="1" applyBorder="1" applyAlignment="1">
      <alignment vertical="top"/>
    </xf>
    <xf numFmtId="165" fontId="5" fillId="0" borderId="8" xfId="1" applyNumberFormat="1" applyFont="1" applyFill="1" applyBorder="1" applyAlignment="1">
      <alignment vertical="top"/>
    </xf>
    <xf numFmtId="165" fontId="5" fillId="0" borderId="0" xfId="2" applyNumberFormat="1" applyFont="1" applyFill="1" applyBorder="1" applyAlignment="1">
      <alignment vertical="top"/>
    </xf>
    <xf numFmtId="2" fontId="5" fillId="0" borderId="0" xfId="2" applyNumberFormat="1" applyFont="1" applyFill="1" applyBorder="1" applyAlignment="1">
      <alignment vertical="top"/>
    </xf>
    <xf numFmtId="165" fontId="5" fillId="0" borderId="0" xfId="1" applyNumberFormat="1" applyFont="1" applyFill="1" applyBorder="1" applyAlignment="1">
      <alignment vertical="top"/>
    </xf>
    <xf numFmtId="165" fontId="2" fillId="0" borderId="0" xfId="2" applyNumberFormat="1" applyFont="1" applyFill="1" applyAlignment="1">
      <alignment vertical="top"/>
    </xf>
    <xf numFmtId="15" fontId="2" fillId="0" borderId="0" xfId="1" applyNumberFormat="1" applyFont="1" applyFill="1" applyAlignment="1">
      <alignment horizontal="center" vertical="top"/>
    </xf>
    <xf numFmtId="0" fontId="2" fillId="0" borderId="0" xfId="1" applyFont="1" applyFill="1" applyBorder="1" applyAlignment="1">
      <alignment horizontal="center" vertical="top"/>
    </xf>
    <xf numFmtId="43" fontId="11" fillId="0" borderId="0" xfId="2" applyFont="1" applyFill="1" applyAlignment="1">
      <alignment horizontal="left" vertical="top"/>
    </xf>
    <xf numFmtId="0" fontId="2" fillId="0" borderId="0" xfId="1" applyFont="1" applyFill="1" applyBorder="1" applyAlignment="1">
      <alignment vertical="top"/>
    </xf>
    <xf numFmtId="0" fontId="7" fillId="0" borderId="0" xfId="0" applyFont="1" applyFill="1" applyBorder="1" applyAlignment="1">
      <alignment horizontal="center" vertical="top"/>
    </xf>
    <xf numFmtId="44" fontId="5" fillId="0" borderId="0" xfId="0" applyNumberFormat="1" applyFont="1" applyFill="1" applyBorder="1" applyAlignment="1">
      <alignment horizontal="center" vertical="top"/>
    </xf>
    <xf numFmtId="2" fontId="5" fillId="0" borderId="0" xfId="0" applyNumberFormat="1" applyFont="1" applyFill="1" applyBorder="1" applyAlignment="1">
      <alignment vertical="top"/>
    </xf>
    <xf numFmtId="0" fontId="0" fillId="0" borderId="0" xfId="0" applyFill="1" applyBorder="1" applyAlignment="1">
      <alignment horizontal="center"/>
    </xf>
    <xf numFmtId="0" fontId="0" fillId="0" borderId="0" xfId="0" applyFill="1" applyBorder="1"/>
    <xf numFmtId="170" fontId="0" fillId="0" borderId="0" xfId="9" applyNumberFormat="1" applyFont="1" applyFill="1" applyBorder="1" applyAlignment="1">
      <alignment horizontal="center"/>
    </xf>
    <xf numFmtId="0" fontId="2" fillId="0" borderId="0" xfId="0" applyFont="1" applyBorder="1"/>
    <xf numFmtId="0" fontId="4" fillId="0" borderId="9" xfId="1" applyFont="1" applyFill="1" applyBorder="1" applyAlignment="1">
      <alignment horizontal="center" vertical="center" wrapText="1"/>
    </xf>
    <xf numFmtId="0" fontId="5" fillId="0" borderId="8" xfId="1" applyFont="1" applyFill="1" applyBorder="1" applyAlignment="1">
      <alignment horizontal="right" vertical="top"/>
    </xf>
    <xf numFmtId="0" fontId="5" fillId="0" borderId="13" xfId="1" applyFont="1" applyFill="1" applyBorder="1" applyAlignment="1">
      <alignment horizontal="right" vertical="top"/>
    </xf>
    <xf numFmtId="166" fontId="7" fillId="0" borderId="0" xfId="3" applyNumberFormat="1" applyFont="1" applyFill="1" applyBorder="1" applyAlignment="1">
      <alignment horizontal="left" vertical="top"/>
    </xf>
    <xf numFmtId="41" fontId="5" fillId="0" borderId="0" xfId="1" applyNumberFormat="1" applyFont="1" applyFill="1" applyAlignment="1">
      <alignment vertical="top"/>
    </xf>
    <xf numFmtId="0" fontId="5" fillId="0" borderId="1" xfId="1" applyFont="1" applyFill="1" applyBorder="1" applyAlignment="1">
      <alignment vertical="top"/>
    </xf>
    <xf numFmtId="41" fontId="5" fillId="0" borderId="2" xfId="1" applyNumberFormat="1" applyFont="1" applyFill="1" applyBorder="1" applyAlignment="1">
      <alignment vertical="top"/>
    </xf>
    <xf numFmtId="0" fontId="8" fillId="0" borderId="15" xfId="4" applyNumberFormat="1" applyFont="1" applyFill="1" applyBorder="1" applyAlignment="1">
      <alignment horizontal="center" vertical="center" wrapText="1"/>
    </xf>
    <xf numFmtId="0" fontId="6" fillId="0" borderId="16" xfId="1" applyFont="1" applyFill="1" applyBorder="1" applyAlignment="1">
      <alignment horizontal="center" vertical="top"/>
    </xf>
    <xf numFmtId="0" fontId="4" fillId="0" borderId="10" xfId="1" applyFont="1" applyFill="1" applyBorder="1" applyAlignment="1">
      <alignment horizontal="center" vertical="center" wrapText="1"/>
    </xf>
    <xf numFmtId="164" fontId="5" fillId="0" borderId="14" xfId="1" applyNumberFormat="1" applyFont="1" applyFill="1" applyBorder="1" applyAlignment="1">
      <alignment vertical="top"/>
    </xf>
    <xf numFmtId="0" fontId="16" fillId="0" borderId="0" xfId="1" applyFont="1" applyFill="1" applyBorder="1" applyAlignment="1">
      <alignment horizontal="right" vertical="top"/>
    </xf>
    <xf numFmtId="0" fontId="5" fillId="0" borderId="0" xfId="1" applyNumberFormat="1" applyFont="1" applyFill="1" applyBorder="1" applyAlignment="1">
      <alignment vertical="top" wrapText="1"/>
    </xf>
    <xf numFmtId="171" fontId="5" fillId="0" borderId="0" xfId="1" applyNumberFormat="1" applyFont="1" applyFill="1" applyAlignment="1">
      <alignment vertical="top"/>
    </xf>
    <xf numFmtId="172" fontId="4" fillId="0" borderId="0" xfId="1" applyNumberFormat="1" applyFont="1" applyFill="1" applyAlignment="1">
      <alignment vertical="top"/>
    </xf>
    <xf numFmtId="2" fontId="4" fillId="0" borderId="0" xfId="1" applyNumberFormat="1" applyFont="1" applyFill="1" applyAlignment="1">
      <alignment vertical="top"/>
    </xf>
    <xf numFmtId="41" fontId="4" fillId="0" borderId="0" xfId="1" applyNumberFormat="1" applyFont="1" applyFill="1" applyAlignment="1">
      <alignment vertical="top"/>
    </xf>
    <xf numFmtId="171" fontId="5" fillId="0" borderId="9" xfId="1" applyNumberFormat="1" applyFont="1" applyFill="1" applyBorder="1" applyAlignment="1">
      <alignment vertical="top"/>
    </xf>
    <xf numFmtId="165" fontId="5" fillId="0" borderId="11" xfId="8" applyNumberFormat="1" applyFont="1" applyFill="1" applyBorder="1" applyAlignment="1">
      <alignment vertical="top"/>
    </xf>
    <xf numFmtId="0" fontId="16" fillId="0" borderId="0" xfId="1" applyFont="1" applyFill="1" applyBorder="1" applyAlignment="1">
      <alignment horizontal="left" vertical="top"/>
    </xf>
    <xf numFmtId="44" fontId="2" fillId="0" borderId="0" xfId="3" applyNumberFormat="1" applyFont="1" applyFill="1" applyBorder="1" applyAlignment="1">
      <alignment horizontal="right" vertical="top"/>
    </xf>
    <xf numFmtId="165" fontId="2" fillId="0" borderId="4" xfId="1" applyNumberFormat="1" applyFont="1" applyFill="1" applyBorder="1"/>
    <xf numFmtId="164" fontId="4" fillId="0" borderId="0" xfId="1" applyNumberFormat="1" applyFont="1" applyFill="1" applyAlignment="1">
      <alignment vertical="top"/>
    </xf>
    <xf numFmtId="2" fontId="5" fillId="0" borderId="0" xfId="1" applyNumberFormat="1" applyFont="1" applyFill="1" applyAlignment="1">
      <alignment vertical="top"/>
    </xf>
    <xf numFmtId="165" fontId="3" fillId="0" borderId="0" xfId="2" applyNumberFormat="1" applyFont="1" applyFill="1" applyBorder="1" applyAlignment="1">
      <alignment vertical="top"/>
    </xf>
    <xf numFmtId="0" fontId="4" fillId="0" borderId="0" xfId="0" applyFont="1" applyFill="1" applyAlignment="1">
      <alignment vertical="top"/>
    </xf>
    <xf numFmtId="0" fontId="5" fillId="0" borderId="3" xfId="0" applyFont="1" applyFill="1" applyBorder="1" applyAlignment="1">
      <alignment vertical="top"/>
    </xf>
    <xf numFmtId="0" fontId="5" fillId="0" borderId="3" xfId="1" applyFont="1" applyFill="1" applyBorder="1" applyAlignment="1">
      <alignment vertical="top"/>
    </xf>
    <xf numFmtId="164" fontId="5" fillId="0" borderId="3" xfId="1" applyNumberFormat="1" applyFont="1" applyFill="1" applyBorder="1" applyAlignment="1">
      <alignment vertical="top"/>
    </xf>
    <xf numFmtId="0" fontId="20" fillId="0" borderId="0" xfId="1" applyFont="1" applyFill="1" applyAlignment="1">
      <alignment vertical="top"/>
    </xf>
    <xf numFmtId="164" fontId="20" fillId="0" borderId="0" xfId="1" applyNumberFormat="1" applyFont="1" applyFill="1" applyAlignment="1">
      <alignment vertical="top"/>
    </xf>
    <xf numFmtId="0" fontId="5" fillId="0" borderId="0" xfId="1" applyFont="1" applyFill="1" applyAlignment="1">
      <alignment horizontal="left" vertical="top" wrapText="1"/>
    </xf>
    <xf numFmtId="0" fontId="16" fillId="0" borderId="5" xfId="1" applyFont="1" applyFill="1" applyBorder="1" applyAlignment="1">
      <alignment horizontal="center" vertical="center" wrapText="1"/>
    </xf>
    <xf numFmtId="43" fontId="5" fillId="0" borderId="0" xfId="2" applyNumberFormat="1" applyFont="1" applyFill="1" applyBorder="1" applyAlignment="1">
      <alignment vertical="top"/>
    </xf>
    <xf numFmtId="165" fontId="20" fillId="0" borderId="0" xfId="8" applyNumberFormat="1" applyFont="1" applyFill="1" applyBorder="1" applyAlignment="1">
      <alignment vertical="top"/>
    </xf>
    <xf numFmtId="0" fontId="20" fillId="0" borderId="0" xfId="1" applyFont="1" applyFill="1" applyBorder="1" applyAlignment="1">
      <alignment vertical="top"/>
    </xf>
    <xf numFmtId="165" fontId="20" fillId="0" borderId="0" xfId="1" applyNumberFormat="1" applyFont="1" applyFill="1" applyBorder="1" applyAlignment="1">
      <alignment vertical="top"/>
    </xf>
    <xf numFmtId="0" fontId="10" fillId="0" borderId="0" xfId="1" applyFont="1" applyFill="1" applyBorder="1" applyAlignment="1">
      <alignment vertical="top"/>
    </xf>
    <xf numFmtId="165" fontId="4" fillId="0" borderId="0" xfId="1" applyNumberFormat="1" applyFont="1" applyFill="1" applyBorder="1" applyAlignment="1">
      <alignment vertical="top"/>
    </xf>
    <xf numFmtId="44" fontId="24" fillId="0" borderId="0" xfId="3" applyFont="1" applyFill="1" applyBorder="1" applyAlignment="1">
      <alignment horizontal="center"/>
    </xf>
    <xf numFmtId="0" fontId="24" fillId="0" borderId="0" xfId="0" applyFont="1" applyBorder="1" applyAlignment="1">
      <alignment horizontal="center"/>
    </xf>
    <xf numFmtId="0" fontId="24" fillId="0" borderId="0" xfId="0" applyFont="1" applyBorder="1"/>
    <xf numFmtId="0" fontId="24" fillId="0" borderId="0" xfId="0" applyFont="1"/>
    <xf numFmtId="0" fontId="24" fillId="4" borderId="0" xfId="0" applyFont="1" applyFill="1" applyBorder="1"/>
    <xf numFmtId="165" fontId="5" fillId="0" borderId="8" xfId="2" applyNumberFormat="1" applyFont="1" applyFill="1" applyBorder="1" applyAlignment="1">
      <alignment vertical="top"/>
    </xf>
    <xf numFmtId="2" fontId="5" fillId="0" borderId="0" xfId="14" applyNumberFormat="1" applyFont="1" applyFill="1" applyBorder="1" applyAlignment="1">
      <alignment vertical="top" wrapText="1"/>
    </xf>
    <xf numFmtId="0" fontId="5" fillId="0" borderId="0" xfId="1" applyFont="1" applyFill="1" applyAlignment="1">
      <alignment horizontal="left" vertical="top" indent="2"/>
    </xf>
    <xf numFmtId="0" fontId="16" fillId="0" borderId="0" xfId="1" applyFont="1" applyFill="1" applyAlignment="1">
      <alignment vertical="top"/>
    </xf>
    <xf numFmtId="164" fontId="5" fillId="0" borderId="11" xfId="1" applyNumberFormat="1" applyFont="1" applyFill="1" applyBorder="1" applyAlignment="1">
      <alignment vertical="top"/>
    </xf>
    <xf numFmtId="0" fontId="4" fillId="0" borderId="14" xfId="1" applyFont="1" applyFill="1" applyBorder="1" applyAlignment="1">
      <alignment vertical="top"/>
    </xf>
    <xf numFmtId="0" fontId="5" fillId="0" borderId="12" xfId="1" applyFont="1" applyFill="1" applyBorder="1" applyAlignment="1">
      <alignment vertical="top"/>
    </xf>
    <xf numFmtId="165" fontId="25" fillId="0" borderId="0" xfId="8" applyNumberFormat="1" applyFont="1"/>
    <xf numFmtId="14" fontId="25" fillId="0" borderId="0" xfId="0" applyNumberFormat="1" applyFont="1" applyAlignment="1">
      <alignment horizontal="right"/>
    </xf>
    <xf numFmtId="14" fontId="25" fillId="0" borderId="0" xfId="0" applyNumberFormat="1" applyFont="1"/>
    <xf numFmtId="44" fontId="25" fillId="0" borderId="0" xfId="9" applyFont="1" applyAlignment="1">
      <alignment horizontal="right"/>
    </xf>
    <xf numFmtId="0" fontId="25" fillId="0" borderId="0" xfId="8" applyNumberFormat="1" applyFont="1" applyFill="1"/>
    <xf numFmtId="14" fontId="5" fillId="6" borderId="0" xfId="1" applyNumberFormat="1" applyFont="1" applyFill="1" applyAlignment="1">
      <alignment vertical="top"/>
    </xf>
    <xf numFmtId="0" fontId="5" fillId="6" borderId="0" xfId="1" applyFont="1" applyFill="1" applyAlignment="1">
      <alignment vertical="top"/>
    </xf>
    <xf numFmtId="9" fontId="5" fillId="6" borderId="11" xfId="1" applyNumberFormat="1" applyFont="1" applyFill="1" applyBorder="1" applyAlignment="1">
      <alignment vertical="top"/>
    </xf>
    <xf numFmtId="1" fontId="25" fillId="0" borderId="0" xfId="0" applyNumberFormat="1" applyFont="1" applyAlignment="1">
      <alignment horizontal="right"/>
    </xf>
    <xf numFmtId="9" fontId="5" fillId="0" borderId="11" xfId="1" applyNumberFormat="1" applyFont="1" applyFill="1" applyBorder="1" applyAlignment="1">
      <alignment vertical="top"/>
    </xf>
    <xf numFmtId="1" fontId="5" fillId="0" borderId="0" xfId="1" applyNumberFormat="1" applyFont="1" applyFill="1" applyAlignment="1">
      <alignment horizontal="center" vertical="top"/>
    </xf>
    <xf numFmtId="1" fontId="2" fillId="0" borderId="0" xfId="1" applyNumberFormat="1" applyFont="1" applyFill="1" applyAlignment="1">
      <alignment horizontal="center" vertical="top"/>
    </xf>
    <xf numFmtId="1" fontId="4" fillId="0" borderId="0" xfId="1" applyNumberFormat="1" applyFont="1" applyFill="1" applyAlignment="1">
      <alignment horizontal="center" vertical="center" wrapText="1"/>
    </xf>
    <xf numFmtId="1" fontId="5" fillId="0" borderId="0" xfId="1" applyNumberFormat="1" applyFont="1" applyFill="1" applyBorder="1" applyAlignment="1">
      <alignment horizontal="center" vertical="top"/>
    </xf>
    <xf numFmtId="1" fontId="5" fillId="0" borderId="0" xfId="0" applyNumberFormat="1" applyFont="1" applyFill="1" applyBorder="1" applyAlignment="1">
      <alignment horizontal="center"/>
    </xf>
    <xf numFmtId="1" fontId="0" fillId="0" borderId="0" xfId="0" applyNumberFormat="1" applyFill="1" applyBorder="1" applyAlignment="1">
      <alignment horizontal="center"/>
    </xf>
    <xf numFmtId="1" fontId="24" fillId="0" borderId="0" xfId="0" applyNumberFormat="1" applyFont="1" applyFill="1" applyBorder="1" applyAlignment="1">
      <alignment horizontal="center"/>
    </xf>
    <xf numFmtId="1" fontId="5" fillId="0" borderId="0" xfId="1" applyNumberFormat="1" applyFont="1" applyFill="1" applyBorder="1" applyAlignment="1">
      <alignment vertical="top" wrapText="1"/>
    </xf>
    <xf numFmtId="1" fontId="5" fillId="0" borderId="0" xfId="1" applyNumberFormat="1" applyFont="1" applyFill="1" applyAlignment="1">
      <alignment vertical="top"/>
    </xf>
    <xf numFmtId="1" fontId="5" fillId="0" borderId="0" xfId="1" applyNumberFormat="1" applyFont="1" applyFill="1" applyAlignment="1">
      <alignment horizontal="left" vertical="top" wrapText="1"/>
    </xf>
    <xf numFmtId="14" fontId="5" fillId="0" borderId="0" xfId="1" applyNumberFormat="1" applyFont="1" applyFill="1" applyAlignment="1">
      <alignment vertical="top"/>
    </xf>
    <xf numFmtId="1" fontId="2" fillId="0" borderId="0" xfId="1" applyNumberFormat="1" applyFont="1" applyFill="1" applyAlignment="1">
      <alignment vertical="top"/>
    </xf>
    <xf numFmtId="1" fontId="4" fillId="0" borderId="0" xfId="1" applyNumberFormat="1" applyFont="1" applyFill="1" applyAlignment="1">
      <alignment vertical="center" wrapText="1"/>
    </xf>
    <xf numFmtId="1" fontId="5" fillId="0" borderId="0" xfId="0" applyNumberFormat="1" applyFont="1" applyFill="1" applyAlignment="1">
      <alignment vertical="top"/>
    </xf>
    <xf numFmtId="1" fontId="0" fillId="0" borderId="0" xfId="0" applyNumberFormat="1"/>
    <xf numFmtId="1" fontId="0" fillId="0" borderId="0" xfId="0" applyNumberFormat="1" applyFill="1"/>
    <xf numFmtId="1" fontId="24" fillId="0" borderId="0" xfId="0" applyNumberFormat="1" applyFont="1"/>
    <xf numFmtId="1" fontId="0" fillId="0" borderId="0" xfId="0" applyNumberFormat="1" applyBorder="1"/>
    <xf numFmtId="37" fontId="5" fillId="0" borderId="0" xfId="3" applyNumberFormat="1" applyFont="1" applyFill="1" applyAlignment="1">
      <alignment horizontal="left" vertical="top"/>
    </xf>
    <xf numFmtId="1" fontId="2" fillId="0" borderId="0" xfId="1" applyNumberFormat="1" applyFont="1" applyFill="1"/>
    <xf numFmtId="1" fontId="0" fillId="0" borderId="0" xfId="0" applyNumberFormat="1" applyFill="1" applyBorder="1"/>
    <xf numFmtId="1" fontId="24" fillId="0" borderId="0" xfId="0" applyNumberFormat="1" applyFont="1" applyBorder="1"/>
    <xf numFmtId="1" fontId="2" fillId="0" borderId="0" xfId="0" applyNumberFormat="1" applyFont="1" applyBorder="1"/>
    <xf numFmtId="165" fontId="2" fillId="0" borderId="0" xfId="1" applyNumberFormat="1" applyFont="1" applyFill="1" applyBorder="1"/>
    <xf numFmtId="15" fontId="5" fillId="0" borderId="5" xfId="1" applyNumberFormat="1" applyFont="1" applyFill="1" applyBorder="1" applyAlignment="1">
      <alignment horizontal="center" vertical="top"/>
    </xf>
    <xf numFmtId="1" fontId="5" fillId="0" borderId="6" xfId="2" applyNumberFormat="1" applyFont="1" applyFill="1" applyBorder="1" applyAlignment="1">
      <alignment horizontal="center" vertical="top"/>
    </xf>
    <xf numFmtId="15" fontId="5" fillId="0" borderId="6" xfId="1" applyNumberFormat="1" applyFont="1" applyFill="1" applyBorder="1" applyAlignment="1">
      <alignment horizontal="center" vertical="top"/>
    </xf>
    <xf numFmtId="0" fontId="0" fillId="0" borderId="6" xfId="0" applyBorder="1" applyAlignment="1">
      <alignment horizontal="center"/>
    </xf>
    <xf numFmtId="170" fontId="0" fillId="0" borderId="6" xfId="9" applyNumberFormat="1" applyFont="1" applyFill="1" applyBorder="1" applyAlignment="1">
      <alignment horizontal="center"/>
    </xf>
    <xf numFmtId="0" fontId="0" fillId="4" borderId="6" xfId="0" applyFill="1" applyBorder="1"/>
    <xf numFmtId="0" fontId="5" fillId="0" borderId="13" xfId="1" applyFont="1" applyFill="1" applyBorder="1" applyAlignment="1">
      <alignment horizontal="center" vertical="top"/>
    </xf>
    <xf numFmtId="0" fontId="5" fillId="0" borderId="14" xfId="1" applyFont="1" applyFill="1" applyBorder="1" applyAlignment="1">
      <alignment horizontal="center" vertical="top"/>
    </xf>
    <xf numFmtId="164" fontId="4" fillId="0" borderId="14" xfId="1" applyNumberFormat="1" applyFont="1" applyFill="1" applyBorder="1" applyAlignment="1">
      <alignment horizontal="center" vertical="top"/>
    </xf>
    <xf numFmtId="164" fontId="4" fillId="0" borderId="14" xfId="1" applyNumberFormat="1" applyFont="1" applyFill="1" applyBorder="1" applyAlignment="1">
      <alignment vertical="top"/>
    </xf>
    <xf numFmtId="164" fontId="5" fillId="2" borderId="14" xfId="1" applyNumberFormat="1" applyFont="1" applyFill="1" applyBorder="1" applyAlignment="1">
      <alignment vertical="top"/>
    </xf>
    <xf numFmtId="164" fontId="5" fillId="0" borderId="12" xfId="1" applyNumberFormat="1" applyFont="1" applyFill="1" applyBorder="1" applyAlignment="1">
      <alignment vertical="top"/>
    </xf>
    <xf numFmtId="170" fontId="21" fillId="0" borderId="6" xfId="9" applyNumberFormat="1" applyFont="1" applyFill="1" applyBorder="1" applyAlignment="1">
      <alignment horizontal="center"/>
    </xf>
    <xf numFmtId="170" fontId="21" fillId="0" borderId="0" xfId="9" applyNumberFormat="1" applyFont="1" applyFill="1" applyBorder="1" applyAlignment="1">
      <alignment horizontal="center"/>
    </xf>
    <xf numFmtId="0" fontId="4" fillId="0" borderId="14" xfId="1" applyFont="1" applyFill="1" applyBorder="1" applyAlignment="1">
      <alignment horizontal="center" vertical="top"/>
    </xf>
    <xf numFmtId="165" fontId="4" fillId="0" borderId="4" xfId="1" applyNumberFormat="1" applyFont="1" applyFill="1" applyBorder="1" applyAlignment="1">
      <alignment vertical="top"/>
    </xf>
    <xf numFmtId="0" fontId="26" fillId="0" borderId="0" xfId="1" applyFont="1" applyFill="1" applyBorder="1" applyAlignment="1">
      <alignment vertical="top"/>
    </xf>
    <xf numFmtId="165" fontId="2" fillId="0" borderId="6" xfId="1" applyNumberFormat="1" applyFont="1" applyFill="1" applyBorder="1"/>
    <xf numFmtId="165" fontId="2" fillId="0" borderId="7" xfId="1" applyNumberFormat="1" applyFont="1" applyFill="1" applyBorder="1"/>
    <xf numFmtId="165" fontId="2" fillId="0" borderId="11" xfId="1" applyNumberFormat="1" applyFont="1" applyFill="1" applyBorder="1"/>
    <xf numFmtId="2" fontId="2" fillId="0" borderId="0" xfId="1" applyNumberFormat="1" applyFont="1" applyFill="1" applyBorder="1"/>
    <xf numFmtId="165" fontId="2" fillId="0" borderId="5" xfId="1" applyNumberFormat="1" applyFont="1" applyFill="1" applyBorder="1"/>
    <xf numFmtId="2" fontId="2" fillId="0" borderId="6" xfId="1" applyNumberFormat="1" applyFont="1" applyFill="1" applyBorder="1"/>
    <xf numFmtId="165" fontId="2" fillId="0" borderId="8" xfId="1" applyNumberFormat="1" applyFont="1" applyFill="1" applyBorder="1"/>
    <xf numFmtId="164" fontId="5" fillId="0" borderId="13" xfId="1" applyNumberFormat="1" applyFont="1" applyFill="1" applyBorder="1" applyAlignment="1">
      <alignment vertical="top"/>
    </xf>
    <xf numFmtId="44" fontId="4" fillId="0" borderId="14" xfId="1" applyNumberFormat="1" applyFont="1" applyFill="1" applyBorder="1" applyAlignment="1">
      <alignment vertical="top"/>
    </xf>
    <xf numFmtId="2" fontId="5" fillId="0" borderId="14" xfId="1" applyNumberFormat="1" applyFont="1" applyFill="1" applyBorder="1" applyAlignment="1">
      <alignment vertical="top"/>
    </xf>
    <xf numFmtId="165" fontId="4" fillId="0" borderId="0" xfId="1" applyNumberFormat="1" applyFont="1" applyFill="1" applyBorder="1" applyAlignment="1">
      <alignment horizontal="center" vertical="top"/>
    </xf>
    <xf numFmtId="165" fontId="5" fillId="0" borderId="5" xfId="2" applyNumberFormat="1" applyFont="1" applyFill="1" applyBorder="1" applyAlignment="1">
      <alignment vertical="top"/>
    </xf>
    <xf numFmtId="165" fontId="5" fillId="0" borderId="6" xfId="2" applyNumberFormat="1" applyFont="1" applyFill="1" applyBorder="1" applyAlignment="1">
      <alignment vertical="top"/>
    </xf>
    <xf numFmtId="165" fontId="4" fillId="0" borderId="13" xfId="1" applyNumberFormat="1" applyFont="1" applyFill="1" applyBorder="1" applyAlignment="1">
      <alignment horizontal="center" vertical="top"/>
    </xf>
    <xf numFmtId="165" fontId="4" fillId="0" borderId="14" xfId="1" applyNumberFormat="1" applyFont="1" applyFill="1" applyBorder="1" applyAlignment="1">
      <alignment horizontal="center" vertical="top"/>
    </xf>
    <xf numFmtId="165" fontId="2" fillId="0" borderId="1" xfId="1" applyNumberFormat="1" applyFont="1" applyFill="1" applyBorder="1"/>
    <xf numFmtId="165" fontId="2" fillId="0" borderId="2" xfId="1" applyNumberFormat="1" applyFont="1" applyFill="1" applyBorder="1"/>
    <xf numFmtId="164" fontId="5" fillId="0" borderId="17" xfId="1" applyNumberFormat="1" applyFont="1" applyFill="1" applyBorder="1" applyAlignment="1">
      <alignment vertical="top"/>
    </xf>
    <xf numFmtId="2" fontId="2" fillId="0" borderId="1" xfId="1" applyNumberFormat="1" applyFont="1" applyFill="1" applyBorder="1"/>
    <xf numFmtId="2" fontId="2" fillId="0" borderId="2" xfId="1" applyNumberFormat="1" applyFont="1" applyFill="1" applyBorder="1"/>
    <xf numFmtId="2" fontId="5" fillId="0" borderId="17" xfId="1" applyNumberFormat="1" applyFont="1" applyFill="1" applyBorder="1" applyAlignment="1">
      <alignment vertical="top"/>
    </xf>
    <xf numFmtId="0" fontId="4" fillId="0" borderId="0" xfId="1" applyFont="1" applyFill="1" applyBorder="1" applyAlignment="1">
      <alignment horizontal="right" vertical="top"/>
    </xf>
    <xf numFmtId="44" fontId="4" fillId="0" borderId="0" xfId="3" applyFont="1" applyFill="1" applyBorder="1" applyAlignment="1">
      <alignment vertical="top"/>
    </xf>
    <xf numFmtId="43" fontId="4" fillId="0" borderId="0" xfId="2" applyFont="1" applyFill="1" applyBorder="1" applyAlignment="1">
      <alignment vertical="top"/>
    </xf>
    <xf numFmtId="164" fontId="4" fillId="0" borderId="0" xfId="3" applyNumberFormat="1" applyFont="1" applyFill="1" applyBorder="1" applyAlignment="1">
      <alignment vertical="top"/>
    </xf>
    <xf numFmtId="165" fontId="4" fillId="0" borderId="0" xfId="1" applyNumberFormat="1" applyFont="1" applyFill="1" applyBorder="1" applyAlignment="1">
      <alignment horizontal="left" vertical="top"/>
    </xf>
    <xf numFmtId="41" fontId="4" fillId="0" borderId="0" xfId="1" applyNumberFormat="1" applyFont="1" applyFill="1" applyBorder="1" applyAlignment="1">
      <alignment vertical="top"/>
    </xf>
    <xf numFmtId="43" fontId="4" fillId="0" borderId="0" xfId="8" applyFont="1" applyFill="1" applyBorder="1" applyAlignment="1">
      <alignment vertical="top"/>
    </xf>
    <xf numFmtId="0" fontId="6" fillId="0" borderId="6" xfId="1" applyFont="1" applyFill="1" applyBorder="1" applyAlignment="1">
      <alignment horizontal="center" vertical="top"/>
    </xf>
    <xf numFmtId="0" fontId="4" fillId="0" borderId="0" xfId="1" applyFont="1" applyFill="1" applyBorder="1" applyAlignment="1">
      <alignment horizontal="center" vertical="top"/>
    </xf>
    <xf numFmtId="0" fontId="25" fillId="0" borderId="0" xfId="0" applyNumberFormat="1" applyFont="1" applyFill="1"/>
    <xf numFmtId="175" fontId="25" fillId="0" borderId="0" xfId="9" applyNumberFormat="1" applyFont="1" applyAlignment="1">
      <alignment horizontal="right"/>
    </xf>
    <xf numFmtId="0" fontId="6" fillId="0" borderId="7" xfId="1" applyFont="1" applyFill="1" applyBorder="1" applyAlignment="1">
      <alignment horizontal="center" vertical="top"/>
    </xf>
    <xf numFmtId="0" fontId="4" fillId="0" borderId="7" xfId="1" applyFont="1" applyFill="1" applyBorder="1" applyAlignment="1">
      <alignment horizontal="center" vertical="center" wrapText="1"/>
    </xf>
    <xf numFmtId="4" fontId="5" fillId="0" borderId="0" xfId="1" applyNumberFormat="1" applyFont="1" applyFill="1" applyAlignment="1">
      <alignment horizontal="center" vertical="top"/>
    </xf>
    <xf numFmtId="4" fontId="2" fillId="0" borderId="0" xfId="1" applyNumberFormat="1" applyFont="1" applyFill="1" applyAlignment="1">
      <alignment horizontal="center" vertical="top"/>
    </xf>
    <xf numFmtId="4" fontId="4" fillId="0" borderId="6" xfId="1" applyNumberFormat="1" applyFont="1" applyFill="1" applyBorder="1" applyAlignment="1">
      <alignment horizontal="center" vertical="center" wrapText="1"/>
    </xf>
    <xf numFmtId="4" fontId="5" fillId="0" borderId="0" xfId="1" applyNumberFormat="1" applyFont="1" applyFill="1" applyBorder="1" applyAlignment="1">
      <alignment horizontal="center" vertical="top"/>
    </xf>
    <xf numFmtId="4" fontId="13" fillId="0" borderId="0" xfId="6" applyNumberFormat="1" applyBorder="1"/>
    <xf numFmtId="4" fontId="2" fillId="0" borderId="0" xfId="6" applyNumberFormat="1" applyFont="1" applyBorder="1"/>
    <xf numFmtId="4" fontId="5" fillId="0" borderId="0" xfId="0" applyNumberFormat="1" applyFont="1" applyFill="1" applyBorder="1" applyAlignment="1">
      <alignment horizontal="center" vertical="top"/>
    </xf>
    <xf numFmtId="4" fontId="0" fillId="0" borderId="0" xfId="9" applyNumberFormat="1" applyFont="1" applyFill="1" applyBorder="1" applyAlignment="1">
      <alignment horizontal="center"/>
    </xf>
    <xf numFmtId="4" fontId="24" fillId="0" borderId="0" xfId="9" applyNumberFormat="1" applyFont="1" applyFill="1" applyBorder="1" applyAlignment="1">
      <alignment horizontal="center"/>
    </xf>
    <xf numFmtId="4" fontId="0" fillId="0" borderId="0" xfId="9" applyNumberFormat="1" applyFont="1" applyBorder="1" applyAlignment="1">
      <alignment horizontal="center"/>
    </xf>
    <xf numFmtId="4" fontId="0" fillId="0" borderId="6" xfId="9" applyNumberFormat="1" applyFont="1" applyBorder="1" applyAlignment="1">
      <alignment horizontal="center"/>
    </xf>
    <xf numFmtId="4" fontId="5" fillId="0" borderId="14" xfId="1" applyNumberFormat="1" applyFont="1" applyFill="1" applyBorder="1" applyAlignment="1">
      <alignment horizontal="center" vertical="top"/>
    </xf>
    <xf numFmtId="0" fontId="6" fillId="0" borderId="6" xfId="1" applyFont="1" applyFill="1" applyBorder="1" applyAlignment="1">
      <alignment horizontal="center" vertical="top"/>
    </xf>
    <xf numFmtId="2" fontId="0" fillId="0" borderId="0" xfId="9" applyNumberFormat="1" applyFont="1" applyFill="1" applyBorder="1" applyAlignment="1">
      <alignment horizontal="center"/>
    </xf>
    <xf numFmtId="2" fontId="24" fillId="0" borderId="0" xfId="9" applyNumberFormat="1" applyFont="1" applyFill="1" applyBorder="1" applyAlignment="1">
      <alignment horizontal="center"/>
    </xf>
    <xf numFmtId="168" fontId="5" fillId="0" borderId="14" xfId="1" applyNumberFormat="1" applyFont="1" applyFill="1" applyBorder="1" applyAlignment="1">
      <alignment horizontal="center" vertical="top"/>
    </xf>
    <xf numFmtId="1" fontId="4" fillId="0" borderId="6" xfId="1" applyNumberFormat="1" applyFont="1" applyFill="1" applyBorder="1" applyAlignment="1">
      <alignment vertical="center" wrapText="1"/>
    </xf>
    <xf numFmtId="1" fontId="4" fillId="0" borderId="7" xfId="1" applyNumberFormat="1" applyFont="1" applyFill="1" applyBorder="1" applyAlignment="1">
      <alignment vertical="center" wrapText="1"/>
    </xf>
    <xf numFmtId="1" fontId="5" fillId="0" borderId="0" xfId="1" applyNumberFormat="1" applyFont="1" applyFill="1" applyBorder="1" applyAlignment="1">
      <alignment vertical="top"/>
    </xf>
    <xf numFmtId="1" fontId="5" fillId="0" borderId="11" xfId="1" applyNumberFormat="1" applyFont="1" applyFill="1" applyBorder="1" applyAlignment="1">
      <alignment vertical="top"/>
    </xf>
    <xf numFmtId="1" fontId="0" fillId="0" borderId="11" xfId="0" applyNumberFormat="1" applyFill="1" applyBorder="1"/>
    <xf numFmtId="0" fontId="5" fillId="0" borderId="2" xfId="1" applyFont="1" applyFill="1" applyBorder="1" applyAlignment="1">
      <alignment vertical="top"/>
    </xf>
    <xf numFmtId="2" fontId="5" fillId="0" borderId="2" xfId="14" applyNumberFormat="1" applyFont="1" applyFill="1" applyBorder="1" applyAlignment="1">
      <alignment vertical="top" wrapText="1"/>
    </xf>
    <xf numFmtId="2" fontId="5" fillId="0" borderId="17" xfId="14" applyNumberFormat="1" applyFont="1" applyFill="1" applyBorder="1" applyAlignment="1">
      <alignment vertical="top" wrapText="1"/>
    </xf>
    <xf numFmtId="0" fontId="8" fillId="0" borderId="2" xfId="4" applyNumberFormat="1" applyFont="1" applyFill="1" applyBorder="1" applyAlignment="1">
      <alignment horizontal="center" vertical="center" wrapText="1"/>
    </xf>
    <xf numFmtId="0" fontId="0" fillId="7" borderId="0" xfId="0" applyFill="1"/>
    <xf numFmtId="0" fontId="0" fillId="7" borderId="0" xfId="0" applyFill="1" applyAlignment="1">
      <alignment horizontal="center"/>
    </xf>
    <xf numFmtId="0" fontId="21" fillId="7" borderId="0" xfId="0" applyFont="1" applyFill="1" applyAlignment="1">
      <alignment horizontal="center" vertical="center"/>
    </xf>
    <xf numFmtId="0" fontId="0" fillId="7" borderId="0" xfId="0" applyFill="1" applyBorder="1" applyAlignment="1">
      <alignment horizontal="center"/>
    </xf>
    <xf numFmtId="169" fontId="0" fillId="7" borderId="0" xfId="0" applyNumberFormat="1" applyFill="1"/>
    <xf numFmtId="3" fontId="0" fillId="7" borderId="0" xfId="0" applyNumberFormat="1" applyFont="1" applyFill="1" applyAlignment="1">
      <alignment horizontal="center"/>
    </xf>
    <xf numFmtId="14" fontId="0" fillId="7" borderId="0" xfId="0" applyNumberFormat="1" applyFill="1" applyAlignment="1">
      <alignment horizontal="center"/>
    </xf>
    <xf numFmtId="169" fontId="0" fillId="7" borderId="0" xfId="0" applyNumberFormat="1" applyFill="1" applyAlignment="1">
      <alignment horizontal="center"/>
    </xf>
    <xf numFmtId="10" fontId="0" fillId="7" borderId="0" xfId="0" applyNumberFormat="1" applyFill="1" applyAlignment="1">
      <alignment horizontal="center"/>
    </xf>
    <xf numFmtId="173" fontId="0" fillId="7" borderId="0" xfId="0" applyNumberFormat="1" applyFill="1" applyAlignment="1">
      <alignment horizontal="center"/>
    </xf>
    <xf numFmtId="174" fontId="0" fillId="7" borderId="0" xfId="0" applyNumberFormat="1" applyFill="1" applyAlignment="1">
      <alignment horizontal="center"/>
    </xf>
    <xf numFmtId="0" fontId="21" fillId="0" borderId="18" xfId="0" applyFont="1" applyFill="1" applyBorder="1" applyAlignment="1">
      <alignment horizontal="center"/>
    </xf>
    <xf numFmtId="0" fontId="21" fillId="0" borderId="19" xfId="0" applyFont="1" applyFill="1" applyBorder="1" applyAlignment="1">
      <alignment horizontal="center"/>
    </xf>
    <xf numFmtId="0" fontId="21" fillId="0" borderId="6" xfId="0" applyFont="1" applyFill="1" applyBorder="1" applyAlignment="1">
      <alignment horizontal="center"/>
    </xf>
    <xf numFmtId="0" fontId="21" fillId="0" borderId="16" xfId="0" applyFont="1" applyFill="1" applyBorder="1" applyAlignment="1">
      <alignment horizontal="center"/>
    </xf>
    <xf numFmtId="0" fontId="0" fillId="0" borderId="8" xfId="0" applyFill="1" applyBorder="1" applyAlignment="1">
      <alignment horizontal="center"/>
    </xf>
    <xf numFmtId="3" fontId="0" fillId="0" borderId="0" xfId="0" applyNumberFormat="1" applyFont="1" applyFill="1" applyBorder="1" applyAlignment="1">
      <alignment horizontal="center"/>
    </xf>
    <xf numFmtId="14" fontId="0" fillId="0" borderId="0" xfId="0" applyNumberFormat="1" applyFill="1" applyBorder="1" applyAlignment="1">
      <alignment horizontal="center"/>
    </xf>
    <xf numFmtId="169" fontId="0" fillId="0" borderId="0" xfId="0" applyNumberFormat="1" applyFill="1" applyBorder="1" applyAlignment="1">
      <alignment horizontal="center"/>
    </xf>
    <xf numFmtId="10" fontId="0" fillId="0" borderId="0" xfId="0" applyNumberFormat="1" applyFill="1" applyBorder="1" applyAlignment="1">
      <alignment horizontal="center"/>
    </xf>
    <xf numFmtId="173" fontId="0" fillId="0" borderId="0" xfId="0" applyNumberFormat="1" applyFill="1" applyBorder="1" applyAlignment="1">
      <alignment horizontal="center"/>
    </xf>
    <xf numFmtId="174" fontId="0" fillId="0" borderId="11" xfId="0" applyNumberFormat="1" applyFill="1" applyBorder="1" applyAlignment="1">
      <alignment horizontal="center"/>
    </xf>
    <xf numFmtId="0" fontId="0" fillId="0" borderId="13" xfId="0" applyFill="1" applyBorder="1" applyAlignment="1">
      <alignment horizontal="center"/>
    </xf>
    <xf numFmtId="3" fontId="0" fillId="0" borderId="14" xfId="0" applyNumberFormat="1" applyFont="1" applyFill="1" applyBorder="1" applyAlignment="1">
      <alignment horizontal="center"/>
    </xf>
    <xf numFmtId="14" fontId="0" fillId="0" borderId="14" xfId="0" applyNumberFormat="1" applyFill="1" applyBorder="1" applyAlignment="1">
      <alignment horizontal="center"/>
    </xf>
    <xf numFmtId="169" fontId="0" fillId="0" borderId="14" xfId="0" applyNumberFormat="1" applyFill="1" applyBorder="1" applyAlignment="1">
      <alignment horizontal="center"/>
    </xf>
    <xf numFmtId="0" fontId="0" fillId="0" borderId="14" xfId="0" applyFill="1" applyBorder="1" applyAlignment="1">
      <alignment horizontal="center"/>
    </xf>
    <xf numFmtId="10" fontId="0" fillId="0" borderId="14" xfId="0" applyNumberFormat="1" applyFill="1" applyBorder="1" applyAlignment="1">
      <alignment horizontal="center"/>
    </xf>
    <xf numFmtId="173" fontId="0" fillId="0" borderId="14" xfId="0" applyNumberFormat="1" applyFill="1" applyBorder="1" applyAlignment="1">
      <alignment horizontal="center"/>
    </xf>
    <xf numFmtId="174" fontId="0" fillId="0" borderId="12" xfId="0" applyNumberFormat="1" applyFill="1" applyBorder="1" applyAlignment="1">
      <alignment horizontal="center"/>
    </xf>
    <xf numFmtId="0" fontId="17" fillId="7" borderId="0" xfId="1" applyFont="1" applyFill="1"/>
    <xf numFmtId="43" fontId="18" fillId="7" borderId="0" xfId="2" applyFont="1" applyFill="1"/>
    <xf numFmtId="0" fontId="2" fillId="7" borderId="0" xfId="1" applyFill="1"/>
    <xf numFmtId="0" fontId="3" fillId="7" borderId="0" xfId="1" applyFont="1" applyFill="1" applyAlignment="1"/>
    <xf numFmtId="0" fontId="18" fillId="7" borderId="0" xfId="1" applyFont="1" applyFill="1"/>
    <xf numFmtId="14" fontId="18" fillId="7" borderId="0" xfId="1" applyNumberFormat="1" applyFont="1" applyFill="1" applyAlignment="1">
      <alignment vertical="top" wrapText="1"/>
    </xf>
    <xf numFmtId="43" fontId="18" fillId="7" borderId="0" xfId="2" applyFont="1" applyFill="1" applyAlignment="1">
      <alignment vertical="top" wrapText="1"/>
    </xf>
    <xf numFmtId="0" fontId="2" fillId="7" borderId="0" xfId="1" applyFont="1" applyFill="1" applyAlignment="1">
      <alignment vertical="top" wrapText="1"/>
    </xf>
    <xf numFmtId="43" fontId="17" fillId="7" borderId="0" xfId="2" applyFont="1" applyFill="1"/>
    <xf numFmtId="43" fontId="0" fillId="7" borderId="0" xfId="2" applyFont="1" applyFill="1"/>
    <xf numFmtId="0" fontId="2" fillId="0" borderId="8" xfId="1" applyFill="1" applyBorder="1"/>
    <xf numFmtId="0" fontId="2" fillId="0" borderId="11" xfId="1" applyFill="1" applyBorder="1"/>
    <xf numFmtId="0" fontId="2" fillId="0" borderId="13" xfId="1" applyFill="1" applyBorder="1"/>
    <xf numFmtId="0" fontId="2" fillId="0" borderId="12" xfId="1" applyFill="1" applyBorder="1"/>
    <xf numFmtId="0" fontId="2" fillId="7" borderId="0" xfId="1" applyFill="1" applyBorder="1"/>
    <xf numFmtId="0" fontId="5" fillId="7" borderId="0" xfId="1" applyFont="1" applyFill="1" applyAlignment="1">
      <alignment vertical="top"/>
    </xf>
    <xf numFmtId="0" fontId="4" fillId="7" borderId="0" xfId="1" applyFont="1" applyFill="1" applyAlignment="1">
      <alignment vertical="top"/>
    </xf>
    <xf numFmtId="0" fontId="5" fillId="7" borderId="0" xfId="1" applyFont="1" applyFill="1" applyAlignment="1">
      <alignment horizontal="center" vertical="top"/>
    </xf>
    <xf numFmtId="166" fontId="5" fillId="7" borderId="0" xfId="3" applyNumberFormat="1" applyFont="1" applyFill="1" applyAlignment="1">
      <alignment horizontal="left" vertical="top"/>
    </xf>
    <xf numFmtId="1" fontId="5" fillId="7" borderId="0" xfId="1" applyNumberFormat="1" applyFont="1" applyFill="1" applyAlignment="1">
      <alignment vertical="top"/>
    </xf>
    <xf numFmtId="14" fontId="5" fillId="7" borderId="0" xfId="1" applyNumberFormat="1" applyFont="1" applyFill="1" applyAlignment="1">
      <alignment horizontal="center" vertical="top"/>
    </xf>
    <xf numFmtId="37" fontId="5" fillId="7" borderId="0" xfId="3" applyNumberFormat="1" applyFont="1" applyFill="1" applyAlignment="1">
      <alignment horizontal="left" vertical="top"/>
    </xf>
    <xf numFmtId="0" fontId="2" fillId="7" borderId="0" xfId="1" applyFont="1" applyFill="1" applyAlignment="1">
      <alignment vertical="top"/>
    </xf>
    <xf numFmtId="0" fontId="3" fillId="7" borderId="0" xfId="1" applyFont="1" applyFill="1" applyAlignment="1">
      <alignment vertical="top"/>
    </xf>
    <xf numFmtId="0" fontId="2" fillId="7" borderId="0" xfId="1" applyFont="1" applyFill="1" applyAlignment="1">
      <alignment horizontal="center" vertical="top"/>
    </xf>
    <xf numFmtId="166" fontId="2" fillId="7" borderId="0" xfId="3" applyNumberFormat="1" applyFont="1" applyFill="1" applyAlignment="1">
      <alignment horizontal="left" vertical="top"/>
    </xf>
    <xf numFmtId="1" fontId="2" fillId="7" borderId="0" xfId="1" applyNumberFormat="1" applyFont="1" applyFill="1" applyAlignment="1">
      <alignment vertical="top"/>
    </xf>
    <xf numFmtId="0" fontId="5" fillId="7" borderId="14" xfId="1" applyFont="1" applyFill="1" applyBorder="1" applyAlignment="1">
      <alignment vertical="top"/>
    </xf>
    <xf numFmtId="0" fontId="16" fillId="7" borderId="0" xfId="1" applyFont="1" applyFill="1" applyAlignment="1">
      <alignment vertical="top"/>
    </xf>
    <xf numFmtId="0" fontId="5" fillId="7" borderId="0" xfId="1" applyFont="1" applyFill="1" applyAlignment="1">
      <alignment horizontal="left" vertical="top" indent="2"/>
    </xf>
    <xf numFmtId="0" fontId="4" fillId="7" borderId="0" xfId="1" applyFont="1" applyFill="1" applyAlignment="1">
      <alignment vertical="center" wrapText="1"/>
    </xf>
    <xf numFmtId="1" fontId="5" fillId="7" borderId="0" xfId="1" applyNumberFormat="1" applyFont="1" applyFill="1" applyBorder="1" applyAlignment="1">
      <alignment vertical="top"/>
    </xf>
    <xf numFmtId="0" fontId="5" fillId="7" borderId="0" xfId="1" applyFont="1" applyFill="1" applyBorder="1" applyAlignment="1">
      <alignment horizontal="center" vertical="top"/>
    </xf>
    <xf numFmtId="0" fontId="5" fillId="7" borderId="0" xfId="1" applyFont="1" applyFill="1" applyBorder="1" applyAlignment="1">
      <alignment vertical="top"/>
    </xf>
    <xf numFmtId="0" fontId="10" fillId="7" borderId="0" xfId="1" applyFont="1" applyFill="1" applyAlignment="1">
      <alignment vertical="top"/>
    </xf>
    <xf numFmtId="1" fontId="5" fillId="7" borderId="0" xfId="2" applyNumberFormat="1" applyFont="1" applyFill="1" applyBorder="1" applyAlignment="1">
      <alignment horizontal="center" vertical="top"/>
    </xf>
    <xf numFmtId="15" fontId="5" fillId="7" borderId="0" xfId="1" applyNumberFormat="1" applyFont="1" applyFill="1" applyBorder="1" applyAlignment="1">
      <alignment horizontal="center" vertical="top"/>
    </xf>
    <xf numFmtId="167" fontId="5" fillId="7" borderId="0" xfId="2" applyNumberFormat="1" applyFont="1" applyFill="1" applyBorder="1" applyAlignment="1">
      <alignment horizontal="center" vertical="top"/>
    </xf>
    <xf numFmtId="44" fontId="5" fillId="7" borderId="0" xfId="1" applyNumberFormat="1" applyFont="1" applyFill="1" applyBorder="1" applyAlignment="1">
      <alignment horizontal="center" vertical="top"/>
    </xf>
    <xf numFmtId="168" fontId="5" fillId="7" borderId="0" xfId="1" applyNumberFormat="1" applyFont="1" applyFill="1" applyBorder="1" applyAlignment="1">
      <alignment horizontal="center" vertical="top"/>
    </xf>
    <xf numFmtId="164" fontId="5" fillId="7" borderId="0" xfId="1" applyNumberFormat="1" applyFont="1" applyFill="1" applyBorder="1" applyAlignment="1">
      <alignment vertical="top"/>
    </xf>
    <xf numFmtId="164" fontId="5" fillId="7" borderId="0" xfId="1" applyNumberFormat="1" applyFont="1" applyFill="1" applyAlignment="1">
      <alignment vertical="top"/>
    </xf>
    <xf numFmtId="44" fontId="5" fillId="7" borderId="0" xfId="1" applyNumberFormat="1" applyFont="1" applyFill="1" applyBorder="1" applyAlignment="1">
      <alignment vertical="top"/>
    </xf>
    <xf numFmtId="165" fontId="5" fillId="7" borderId="0" xfId="2" applyNumberFormat="1" applyFont="1" applyFill="1" applyBorder="1" applyAlignment="1">
      <alignment vertical="top"/>
    </xf>
    <xf numFmtId="0" fontId="5" fillId="7" borderId="0" xfId="0" applyFont="1" applyFill="1" applyAlignment="1">
      <alignment vertical="top"/>
    </xf>
    <xf numFmtId="0" fontId="7" fillId="7" borderId="0" xfId="1" applyFont="1" applyFill="1" applyBorder="1" applyAlignment="1">
      <alignment horizontal="center" vertical="top"/>
    </xf>
    <xf numFmtId="165" fontId="2" fillId="7" borderId="0" xfId="2" applyNumberFormat="1" applyFont="1" applyFill="1" applyAlignment="1">
      <alignment vertical="top"/>
    </xf>
    <xf numFmtId="15" fontId="2" fillId="7" borderId="0" xfId="1" applyNumberFormat="1" applyFont="1" applyFill="1" applyAlignment="1">
      <alignment horizontal="center" vertical="top"/>
    </xf>
    <xf numFmtId="1" fontId="0" fillId="7" borderId="0" xfId="0" applyNumberFormat="1" applyFill="1" applyBorder="1"/>
    <xf numFmtId="0" fontId="24" fillId="7" borderId="0" xfId="0" applyFont="1" applyFill="1"/>
    <xf numFmtId="44" fontId="2" fillId="7" borderId="0" xfId="3" applyNumberFormat="1" applyFont="1" applyFill="1" applyBorder="1" applyAlignment="1">
      <alignment horizontal="right" vertical="top"/>
    </xf>
    <xf numFmtId="0" fontId="2" fillId="7" borderId="0" xfId="0" applyFont="1" applyFill="1" applyBorder="1"/>
    <xf numFmtId="1" fontId="2" fillId="7" borderId="0" xfId="0" applyNumberFormat="1" applyFont="1" applyFill="1" applyBorder="1"/>
    <xf numFmtId="170" fontId="0" fillId="7" borderId="0" xfId="9" applyNumberFormat="1" applyFont="1" applyFill="1" applyBorder="1" applyAlignment="1">
      <alignment horizontal="center"/>
    </xf>
    <xf numFmtId="165" fontId="5" fillId="7" borderId="0" xfId="2" applyNumberFormat="1" applyFont="1" applyFill="1" applyAlignment="1">
      <alignment vertical="top"/>
    </xf>
    <xf numFmtId="41" fontId="5" fillId="7" borderId="0" xfId="1" applyNumberFormat="1" applyFont="1" applyFill="1" applyAlignment="1">
      <alignment vertical="top"/>
    </xf>
    <xf numFmtId="0" fontId="4" fillId="7" borderId="0" xfId="1" applyFont="1" applyFill="1" applyBorder="1" applyAlignment="1">
      <alignment vertical="top"/>
    </xf>
    <xf numFmtId="165" fontId="4" fillId="7" borderId="0" xfId="2" applyNumberFormat="1" applyFont="1" applyFill="1" applyBorder="1" applyAlignment="1">
      <alignment vertical="top"/>
    </xf>
    <xf numFmtId="166" fontId="5" fillId="7" borderId="0" xfId="3" applyNumberFormat="1" applyFont="1" applyFill="1" applyBorder="1" applyAlignment="1">
      <alignment horizontal="left" vertical="top"/>
    </xf>
    <xf numFmtId="164" fontId="4" fillId="7" borderId="0" xfId="1" applyNumberFormat="1" applyFont="1" applyFill="1" applyAlignment="1">
      <alignment vertical="top"/>
    </xf>
    <xf numFmtId="0" fontId="10" fillId="7" borderId="0" xfId="1" applyFont="1" applyFill="1" applyBorder="1" applyAlignment="1">
      <alignment vertical="top"/>
    </xf>
    <xf numFmtId="165" fontId="20" fillId="7" borderId="0" xfId="8" applyNumberFormat="1" applyFont="1" applyFill="1" applyBorder="1" applyAlignment="1">
      <alignment vertical="top"/>
    </xf>
    <xf numFmtId="0" fontId="20" fillId="7" borderId="0" xfId="1" applyFont="1" applyFill="1" applyBorder="1" applyAlignment="1">
      <alignment vertical="top"/>
    </xf>
    <xf numFmtId="165" fontId="5" fillId="7" borderId="0" xfId="1" applyNumberFormat="1" applyFont="1" applyFill="1" applyAlignment="1">
      <alignment vertical="top"/>
    </xf>
    <xf numFmtId="165" fontId="20" fillId="7" borderId="0" xfId="1" applyNumberFormat="1" applyFont="1" applyFill="1" applyBorder="1" applyAlignment="1">
      <alignment vertical="top"/>
    </xf>
    <xf numFmtId="2" fontId="5" fillId="7" borderId="0" xfId="1" applyNumberFormat="1" applyFont="1" applyFill="1" applyAlignment="1">
      <alignment vertical="top"/>
    </xf>
    <xf numFmtId="166" fontId="7" fillId="7" borderId="0" xfId="3" applyNumberFormat="1" applyFont="1" applyFill="1" applyBorder="1" applyAlignment="1">
      <alignment horizontal="left" vertical="top"/>
    </xf>
    <xf numFmtId="44" fontId="5" fillId="7" borderId="0" xfId="3" applyFont="1" applyFill="1" applyBorder="1" applyAlignment="1">
      <alignment vertical="top"/>
    </xf>
    <xf numFmtId="0" fontId="2" fillId="7" borderId="0" xfId="1" applyFont="1" applyFill="1" applyBorder="1" applyAlignment="1">
      <alignment vertical="top"/>
    </xf>
    <xf numFmtId="9" fontId="5" fillId="7" borderId="0" xfId="1" applyNumberFormat="1" applyFont="1" applyFill="1" applyBorder="1" applyAlignment="1">
      <alignment vertical="top"/>
    </xf>
    <xf numFmtId="165" fontId="5" fillId="7" borderId="0" xfId="8" applyNumberFormat="1" applyFont="1" applyFill="1" applyAlignment="1">
      <alignment vertical="top"/>
    </xf>
    <xf numFmtId="0" fontId="5" fillId="7" borderId="0" xfId="1" applyFont="1" applyFill="1" applyBorder="1" applyAlignment="1">
      <alignment horizontal="right" vertical="top"/>
    </xf>
    <xf numFmtId="165" fontId="4" fillId="7" borderId="0" xfId="1" applyNumberFormat="1" applyFont="1" applyFill="1" applyBorder="1" applyAlignment="1">
      <alignment vertical="top"/>
    </xf>
    <xf numFmtId="43" fontId="11" fillId="7" borderId="0" xfId="2" applyFont="1" applyFill="1" applyAlignment="1">
      <alignment horizontal="left" vertical="top"/>
    </xf>
    <xf numFmtId="0" fontId="12" fillId="7" borderId="0" xfId="1" applyFont="1" applyFill="1" applyBorder="1" applyAlignment="1">
      <alignment vertical="top"/>
    </xf>
    <xf numFmtId="0" fontId="12" fillId="7" borderId="0" xfId="1" applyFont="1" applyFill="1" applyBorder="1" applyAlignment="1">
      <alignment horizontal="center" vertical="top"/>
    </xf>
    <xf numFmtId="0" fontId="16" fillId="7" borderId="0" xfId="1" applyFont="1" applyFill="1" applyBorder="1" applyAlignment="1">
      <alignment horizontal="left" vertical="top"/>
    </xf>
    <xf numFmtId="0" fontId="16" fillId="7" borderId="0" xfId="1" applyFont="1" applyFill="1" applyBorder="1" applyAlignment="1">
      <alignment horizontal="right" vertical="top"/>
    </xf>
    <xf numFmtId="0" fontId="5" fillId="7" borderId="0" xfId="0" applyFont="1" applyFill="1" applyBorder="1" applyAlignment="1">
      <alignment vertical="top"/>
    </xf>
    <xf numFmtId="0" fontId="5" fillId="7" borderId="0" xfId="1" applyNumberFormat="1" applyFont="1" applyFill="1" applyBorder="1" applyAlignment="1">
      <alignment vertical="top" wrapText="1"/>
    </xf>
    <xf numFmtId="0" fontId="4" fillId="7" borderId="0" xfId="0" applyFont="1" applyFill="1" applyBorder="1" applyAlignment="1">
      <alignment vertical="top"/>
    </xf>
    <xf numFmtId="164" fontId="20" fillId="7" borderId="0" xfId="1" applyNumberFormat="1" applyFont="1" applyFill="1" applyBorder="1" applyAlignment="1">
      <alignment vertical="top"/>
    </xf>
    <xf numFmtId="171" fontId="5" fillId="7" borderId="0" xfId="1" applyNumberFormat="1" applyFont="1" applyFill="1" applyAlignment="1">
      <alignment vertical="top"/>
    </xf>
    <xf numFmtId="171" fontId="5" fillId="7" borderId="9" xfId="1" applyNumberFormat="1" applyFont="1" applyFill="1" applyBorder="1" applyAlignment="1">
      <alignment vertical="top"/>
    </xf>
    <xf numFmtId="2" fontId="4" fillId="7" borderId="0" xfId="1" applyNumberFormat="1" applyFont="1" applyFill="1" applyAlignment="1">
      <alignment vertical="top"/>
    </xf>
    <xf numFmtId="41" fontId="4" fillId="7" borderId="0" xfId="1" applyNumberFormat="1" applyFont="1" applyFill="1" applyAlignment="1">
      <alignment vertical="top"/>
    </xf>
    <xf numFmtId="172" fontId="4" fillId="7" borderId="0" xfId="1" applyNumberFormat="1" applyFont="1" applyFill="1" applyAlignment="1">
      <alignment vertical="top"/>
    </xf>
    <xf numFmtId="0" fontId="5" fillId="7" borderId="0" xfId="1" applyFont="1" applyFill="1" applyAlignment="1">
      <alignment horizontal="left" vertical="top" wrapText="1"/>
    </xf>
    <xf numFmtId="1" fontId="5" fillId="7" borderId="0" xfId="1" applyNumberFormat="1" applyFont="1" applyFill="1" applyAlignment="1">
      <alignment horizontal="left" vertical="top" wrapText="1"/>
    </xf>
    <xf numFmtId="14" fontId="32" fillId="7" borderId="0" xfId="1" applyNumberFormat="1" applyFont="1" applyFill="1" applyAlignment="1">
      <alignment vertical="top"/>
    </xf>
    <xf numFmtId="0" fontId="32" fillId="7" borderId="0" xfId="1" applyFont="1" applyFill="1" applyAlignment="1">
      <alignment vertical="top"/>
    </xf>
    <xf numFmtId="2" fontId="13" fillId="0" borderId="0" xfId="6" applyNumberFormat="1" applyFill="1" applyBorder="1"/>
    <xf numFmtId="0" fontId="24" fillId="0" borderId="0" xfId="0" applyFont="1" applyFill="1" applyBorder="1" applyAlignment="1">
      <alignment horizontal="center"/>
    </xf>
    <xf numFmtId="1" fontId="24" fillId="0" borderId="0" xfId="0" applyNumberFormat="1" applyFont="1" applyFill="1" applyBorder="1"/>
    <xf numFmtId="1" fontId="24" fillId="0" borderId="11" xfId="0" applyNumberFormat="1" applyFont="1" applyFill="1" applyBorder="1"/>
    <xf numFmtId="1" fontId="2" fillId="0" borderId="14" xfId="0" applyNumberFormat="1" applyFont="1" applyFill="1" applyBorder="1"/>
    <xf numFmtId="1" fontId="0" fillId="0" borderId="12" xfId="0" applyNumberFormat="1" applyFill="1" applyBorder="1"/>
    <xf numFmtId="0" fontId="4" fillId="0" borderId="6" xfId="1" applyFont="1" applyFill="1" applyBorder="1" applyAlignment="1">
      <alignment vertical="center" wrapText="1"/>
    </xf>
    <xf numFmtId="14" fontId="5" fillId="0" borderId="0" xfId="1" applyNumberFormat="1" applyFont="1" applyFill="1" applyBorder="1" applyAlignment="1">
      <alignment vertical="top"/>
    </xf>
    <xf numFmtId="14" fontId="5" fillId="0" borderId="14" xfId="1" applyNumberFormat="1" applyFont="1" applyFill="1" applyBorder="1" applyAlignment="1">
      <alignment vertical="top"/>
    </xf>
    <xf numFmtId="170" fontId="21" fillId="0" borderId="1" xfId="9" applyNumberFormat="1" applyFont="1" applyFill="1" applyBorder="1" applyAlignment="1">
      <alignment horizontal="center"/>
    </xf>
    <xf numFmtId="170" fontId="21" fillId="0" borderId="2" xfId="9" applyNumberFormat="1" applyFont="1" applyFill="1" applyBorder="1" applyAlignment="1">
      <alignment horizontal="center"/>
    </xf>
    <xf numFmtId="0" fontId="4" fillId="0" borderId="17" xfId="1" applyFont="1" applyFill="1" applyBorder="1" applyAlignment="1">
      <alignment horizontal="center" vertical="top"/>
    </xf>
    <xf numFmtId="0" fontId="5" fillId="7" borderId="0" xfId="1" applyFont="1" applyFill="1" applyBorder="1" applyAlignment="1">
      <alignment vertical="top" wrapText="1"/>
    </xf>
    <xf numFmtId="0" fontId="5" fillId="8" borderId="0" xfId="1" applyFont="1" applyFill="1" applyBorder="1" applyAlignment="1" applyProtection="1">
      <alignment vertical="top"/>
      <protection locked="0"/>
    </xf>
    <xf numFmtId="0" fontId="5" fillId="8" borderId="0" xfId="1" applyFont="1" applyFill="1" applyBorder="1" applyAlignment="1" applyProtection="1">
      <alignment horizontal="center" vertical="top"/>
      <protection locked="0"/>
    </xf>
    <xf numFmtId="166" fontId="5" fillId="8" borderId="0" xfId="3" applyNumberFormat="1" applyFont="1" applyFill="1" applyBorder="1" applyAlignment="1" applyProtection="1">
      <alignment horizontal="left" vertical="top"/>
      <protection locked="0"/>
    </xf>
    <xf numFmtId="0" fontId="5" fillId="8" borderId="11" xfId="1" applyFont="1" applyFill="1" applyBorder="1" applyAlignment="1" applyProtection="1">
      <alignment vertical="top"/>
      <protection locked="0"/>
    </xf>
    <xf numFmtId="0" fontId="25" fillId="8" borderId="0" xfId="0" applyNumberFormat="1" applyFont="1" applyFill="1" applyBorder="1" applyProtection="1">
      <protection locked="0"/>
    </xf>
    <xf numFmtId="165" fontId="25" fillId="8" borderId="0" xfId="8" applyNumberFormat="1" applyFont="1" applyFill="1" applyBorder="1" applyProtection="1">
      <protection locked="0"/>
    </xf>
    <xf numFmtId="14" fontId="25" fillId="8" borderId="0" xfId="0" applyNumberFormat="1" applyFont="1" applyFill="1" applyBorder="1" applyAlignment="1" applyProtection="1">
      <alignment horizontal="right"/>
      <protection locked="0"/>
    </xf>
    <xf numFmtId="1" fontId="25" fillId="8" borderId="0" xfId="0" applyNumberFormat="1" applyFont="1" applyFill="1" applyBorder="1" applyAlignment="1" applyProtection="1">
      <alignment horizontal="right"/>
      <protection locked="0"/>
    </xf>
    <xf numFmtId="44" fontId="25" fillId="8" borderId="0" xfId="9" applyFont="1" applyFill="1" applyBorder="1" applyAlignment="1" applyProtection="1">
      <alignment horizontal="right"/>
      <protection locked="0"/>
    </xf>
    <xf numFmtId="14" fontId="25" fillId="8" borderId="0" xfId="0" applyNumberFormat="1" applyFont="1" applyFill="1" applyBorder="1" applyProtection="1">
      <protection locked="0"/>
    </xf>
    <xf numFmtId="0" fontId="25" fillId="8" borderId="0" xfId="8" applyNumberFormat="1" applyFont="1" applyFill="1" applyBorder="1" applyProtection="1">
      <protection locked="0"/>
    </xf>
    <xf numFmtId="0" fontId="7" fillId="8" borderId="0" xfId="0" applyFont="1" applyFill="1" applyBorder="1" applyAlignment="1" applyProtection="1">
      <alignment horizontal="center" vertical="top"/>
      <protection locked="0"/>
    </xf>
    <xf numFmtId="165" fontId="27" fillId="8" borderId="0" xfId="8" applyNumberFormat="1" applyFont="1" applyFill="1" applyBorder="1" applyProtection="1">
      <protection locked="0"/>
    </xf>
    <xf numFmtId="14" fontId="27" fillId="8" borderId="0" xfId="0" applyNumberFormat="1" applyFont="1" applyFill="1" applyBorder="1" applyProtection="1">
      <protection locked="0"/>
    </xf>
    <xf numFmtId="0" fontId="7" fillId="8" borderId="0" xfId="1" applyFont="1" applyFill="1" applyBorder="1" applyAlignment="1" applyProtection="1">
      <alignment horizontal="center" vertical="top"/>
      <protection locked="0"/>
    </xf>
    <xf numFmtId="0" fontId="0" fillId="8" borderId="0" xfId="0" applyFill="1" applyBorder="1" applyProtection="1">
      <protection locked="0"/>
    </xf>
    <xf numFmtId="165" fontId="2" fillId="8" borderId="0" xfId="2" applyNumberFormat="1" applyFont="1" applyFill="1" applyBorder="1" applyAlignment="1" applyProtection="1">
      <alignment vertical="top"/>
      <protection locked="0"/>
    </xf>
    <xf numFmtId="15" fontId="2" fillId="8" borderId="0" xfId="1" applyNumberFormat="1" applyFont="1" applyFill="1" applyBorder="1" applyAlignment="1" applyProtection="1">
      <alignment horizontal="center" vertical="top"/>
      <protection locked="0"/>
    </xf>
    <xf numFmtId="44" fontId="0" fillId="8" borderId="0" xfId="3" applyFont="1" applyFill="1" applyBorder="1" applyAlignment="1" applyProtection="1">
      <alignment horizontal="center"/>
      <protection locked="0"/>
    </xf>
    <xf numFmtId="0" fontId="0" fillId="8" borderId="11" xfId="0" applyFill="1" applyBorder="1" applyProtection="1">
      <protection locked="0"/>
    </xf>
    <xf numFmtId="0" fontId="4" fillId="8" borderId="0" xfId="1" applyFont="1" applyFill="1" applyBorder="1" applyAlignment="1" applyProtection="1">
      <alignment horizontal="center" vertical="top"/>
      <protection locked="0"/>
    </xf>
    <xf numFmtId="44" fontId="24" fillId="8" borderId="0" xfId="3" applyFont="1" applyFill="1" applyBorder="1" applyAlignment="1" applyProtection="1">
      <alignment horizontal="center"/>
      <protection locked="0"/>
    </xf>
    <xf numFmtId="0" fontId="24" fillId="8" borderId="11" xfId="0" applyFont="1" applyFill="1" applyBorder="1" applyProtection="1">
      <protection locked="0"/>
    </xf>
    <xf numFmtId="0" fontId="7" fillId="8" borderId="14" xfId="1" applyFont="1" applyFill="1" applyBorder="1" applyAlignment="1" applyProtection="1">
      <alignment horizontal="center" vertical="top"/>
      <protection locked="0"/>
    </xf>
    <xf numFmtId="0" fontId="5" fillId="8" borderId="14" xfId="1" applyFont="1" applyFill="1" applyBorder="1" applyAlignment="1" applyProtection="1">
      <alignment vertical="top"/>
      <protection locked="0"/>
    </xf>
    <xf numFmtId="165" fontId="2" fillId="8" borderId="14" xfId="1" applyNumberFormat="1" applyFont="1" applyFill="1" applyBorder="1" applyProtection="1">
      <protection locked="0"/>
    </xf>
    <xf numFmtId="15" fontId="2" fillId="8" borderId="14" xfId="1" applyNumberFormat="1" applyFont="1" applyFill="1" applyBorder="1" applyAlignment="1" applyProtection="1">
      <alignment horizontal="center" vertical="top"/>
      <protection locked="0"/>
    </xf>
    <xf numFmtId="44" fontId="2" fillId="8" borderId="14" xfId="3" applyNumberFormat="1" applyFont="1" applyFill="1" applyBorder="1" applyAlignment="1" applyProtection="1">
      <alignment horizontal="right" vertical="top"/>
      <protection locked="0"/>
    </xf>
    <xf numFmtId="0" fontId="2" fillId="8" borderId="12" xfId="0" applyFont="1" applyFill="1" applyBorder="1" applyProtection="1">
      <protection locked="0"/>
    </xf>
    <xf numFmtId="0" fontId="4" fillId="0" borderId="5" xfId="1" applyFont="1" applyFill="1" applyBorder="1" applyAlignment="1">
      <alignment horizontal="center" vertical="center" wrapText="1"/>
    </xf>
    <xf numFmtId="165" fontId="2" fillId="5" borderId="1" xfId="1" applyNumberFormat="1" applyFont="1" applyFill="1" applyBorder="1"/>
    <xf numFmtId="165" fontId="2" fillId="5" borderId="2" xfId="1" applyNumberFormat="1" applyFont="1" applyFill="1" applyBorder="1"/>
    <xf numFmtId="165" fontId="4" fillId="5" borderId="17" xfId="1" applyNumberFormat="1" applyFont="1" applyFill="1" applyBorder="1" applyAlignment="1">
      <alignment vertical="top"/>
    </xf>
    <xf numFmtId="0" fontId="32" fillId="7" borderId="0" xfId="1" applyFont="1" applyFill="1" applyBorder="1" applyAlignment="1">
      <alignment vertical="top"/>
    </xf>
    <xf numFmtId="0" fontId="4" fillId="0" borderId="5" xfId="1" applyFont="1" applyFill="1" applyBorder="1" applyAlignment="1">
      <alignment horizontal="center" vertical="top"/>
    </xf>
    <xf numFmtId="0" fontId="4" fillId="0" borderId="6" xfId="1" applyFont="1" applyFill="1" applyBorder="1" applyAlignment="1">
      <alignment horizontal="center" vertical="top"/>
    </xf>
    <xf numFmtId="0" fontId="4" fillId="0" borderId="7" xfId="1" applyFont="1" applyFill="1" applyBorder="1" applyAlignment="1">
      <alignment horizontal="center" vertical="top"/>
    </xf>
    <xf numFmtId="0" fontId="6" fillId="0" borderId="5" xfId="1" applyFont="1" applyFill="1" applyBorder="1" applyAlignment="1">
      <alignment horizontal="center" vertical="top"/>
    </xf>
    <xf numFmtId="0" fontId="6" fillId="0" borderId="6" xfId="1" applyFont="1" applyFill="1" applyBorder="1" applyAlignment="1">
      <alignment horizontal="center" vertical="top"/>
    </xf>
    <xf numFmtId="0" fontId="4" fillId="0" borderId="8" xfId="1" applyFont="1" applyFill="1" applyBorder="1" applyAlignment="1">
      <alignment horizontal="center" vertical="top"/>
    </xf>
    <xf numFmtId="0" fontId="4" fillId="0" borderId="0" xfId="1" applyFont="1" applyFill="1" applyBorder="1" applyAlignment="1">
      <alignment horizontal="center" vertical="top"/>
    </xf>
    <xf numFmtId="0" fontId="4" fillId="0" borderId="11" xfId="1" applyFont="1" applyFill="1" applyBorder="1" applyAlignment="1">
      <alignment horizontal="center" vertical="top"/>
    </xf>
    <xf numFmtId="0" fontId="31" fillId="0" borderId="5" xfId="1" applyFont="1" applyFill="1" applyBorder="1" applyAlignment="1">
      <alignment horizontal="center" vertical="center"/>
    </xf>
    <xf numFmtId="0" fontId="31" fillId="0" borderId="6" xfId="1" applyFont="1" applyFill="1" applyBorder="1" applyAlignment="1">
      <alignment horizontal="center" vertical="center"/>
    </xf>
    <xf numFmtId="0" fontId="31" fillId="0" borderId="7" xfId="1" applyFont="1" applyFill="1" applyBorder="1" applyAlignment="1">
      <alignment horizontal="center" vertical="center"/>
    </xf>
    <xf numFmtId="0" fontId="31" fillId="0" borderId="8" xfId="1" applyFont="1" applyFill="1" applyBorder="1" applyAlignment="1">
      <alignment horizontal="center" vertical="center"/>
    </xf>
    <xf numFmtId="0" fontId="31" fillId="0" borderId="0" xfId="1" applyFont="1" applyFill="1" applyBorder="1" applyAlignment="1">
      <alignment horizontal="center" vertical="center"/>
    </xf>
    <xf numFmtId="0" fontId="31" fillId="0" borderId="11" xfId="1" applyFont="1" applyFill="1" applyBorder="1" applyAlignment="1">
      <alignment horizontal="center" vertical="center"/>
    </xf>
    <xf numFmtId="0" fontId="31" fillId="0" borderId="13" xfId="1" applyFont="1" applyFill="1" applyBorder="1" applyAlignment="1">
      <alignment horizontal="center" vertical="center"/>
    </xf>
    <xf numFmtId="0" fontId="31" fillId="0" borderId="14" xfId="1" applyFont="1" applyFill="1" applyBorder="1" applyAlignment="1">
      <alignment horizontal="center" vertical="center"/>
    </xf>
    <xf numFmtId="0" fontId="31" fillId="0" borderId="12" xfId="1" applyFont="1" applyFill="1" applyBorder="1" applyAlignment="1">
      <alignment horizontal="center" vertical="center"/>
    </xf>
    <xf numFmtId="0" fontId="5" fillId="5" borderId="5" xfId="1" applyFont="1" applyFill="1" applyBorder="1" applyAlignment="1">
      <alignment horizontal="left" vertical="top" wrapText="1"/>
    </xf>
    <xf numFmtId="0" fontId="5" fillId="5" borderId="6" xfId="1" applyFont="1" applyFill="1" applyBorder="1" applyAlignment="1">
      <alignment horizontal="left" vertical="top" wrapText="1"/>
    </xf>
    <xf numFmtId="0" fontId="5" fillId="5" borderId="7" xfId="1" applyFont="1" applyFill="1" applyBorder="1" applyAlignment="1">
      <alignment horizontal="left" vertical="top" wrapText="1"/>
    </xf>
    <xf numFmtId="0" fontId="5" fillId="5" borderId="8" xfId="1" applyFont="1" applyFill="1" applyBorder="1" applyAlignment="1">
      <alignment horizontal="left" vertical="top" wrapText="1"/>
    </xf>
    <xf numFmtId="0" fontId="5" fillId="5" borderId="0" xfId="1" applyFont="1" applyFill="1" applyBorder="1" applyAlignment="1">
      <alignment horizontal="left" vertical="top" wrapText="1"/>
    </xf>
    <xf numFmtId="0" fontId="5" fillId="5" borderId="11" xfId="1" applyFont="1" applyFill="1" applyBorder="1" applyAlignment="1">
      <alignment horizontal="left" vertical="top" wrapText="1"/>
    </xf>
    <xf numFmtId="0" fontId="5" fillId="5" borderId="13" xfId="1" applyFont="1" applyFill="1" applyBorder="1" applyAlignment="1">
      <alignment horizontal="left" vertical="top" wrapText="1"/>
    </xf>
    <xf numFmtId="0" fontId="5" fillId="5" borderId="14" xfId="1" applyFont="1" applyFill="1" applyBorder="1" applyAlignment="1">
      <alignment horizontal="left" vertical="top" wrapText="1"/>
    </xf>
    <xf numFmtId="0" fontId="5" fillId="5" borderId="12" xfId="1" applyFont="1" applyFill="1" applyBorder="1" applyAlignment="1">
      <alignment horizontal="left" vertical="top" wrapText="1"/>
    </xf>
    <xf numFmtId="0" fontId="30" fillId="0" borderId="5" xfId="0" applyFont="1" applyFill="1" applyBorder="1" applyAlignment="1">
      <alignment horizontal="center" vertical="center"/>
    </xf>
    <xf numFmtId="0" fontId="30" fillId="0" borderId="6" xfId="0" applyFont="1" applyFill="1" applyBorder="1" applyAlignment="1">
      <alignment horizontal="center" vertical="center"/>
    </xf>
    <xf numFmtId="0" fontId="30" fillId="0" borderId="7" xfId="0" applyFont="1" applyFill="1" applyBorder="1" applyAlignment="1">
      <alignment horizontal="center" vertical="center"/>
    </xf>
    <xf numFmtId="0" fontId="30" fillId="0" borderId="13" xfId="0" applyFont="1" applyFill="1" applyBorder="1" applyAlignment="1">
      <alignment horizontal="center" vertical="center"/>
    </xf>
    <xf numFmtId="0" fontId="30" fillId="0" borderId="14" xfId="0" applyFont="1" applyFill="1" applyBorder="1" applyAlignment="1">
      <alignment horizontal="center" vertical="center"/>
    </xf>
    <xf numFmtId="0" fontId="30" fillId="0" borderId="12" xfId="0" applyFont="1" applyFill="1" applyBorder="1" applyAlignment="1">
      <alignment horizontal="center" vertical="center"/>
    </xf>
    <xf numFmtId="0" fontId="0" fillId="0" borderId="5" xfId="0" applyFill="1" applyBorder="1" applyAlignment="1">
      <alignment horizontal="left" vertical="top" wrapText="1"/>
    </xf>
    <xf numFmtId="0" fontId="0" fillId="0" borderId="6" xfId="0" applyFill="1" applyBorder="1" applyAlignment="1">
      <alignment horizontal="left" vertical="top" wrapText="1"/>
    </xf>
    <xf numFmtId="0" fontId="0" fillId="0" borderId="7" xfId="0" applyFill="1" applyBorder="1" applyAlignment="1">
      <alignment horizontal="left" vertical="top" wrapText="1"/>
    </xf>
    <xf numFmtId="0" fontId="0" fillId="0" borderId="8" xfId="0" applyFill="1" applyBorder="1" applyAlignment="1">
      <alignment horizontal="left" vertical="top" wrapText="1"/>
    </xf>
    <xf numFmtId="0" fontId="0" fillId="0" borderId="0" xfId="0" applyFill="1" applyBorder="1" applyAlignment="1">
      <alignment horizontal="left" vertical="top" wrapText="1"/>
    </xf>
    <xf numFmtId="0" fontId="0" fillId="0" borderId="11" xfId="0" applyFill="1" applyBorder="1" applyAlignment="1">
      <alignment horizontal="left" vertical="top" wrapText="1"/>
    </xf>
    <xf numFmtId="0" fontId="0" fillId="0" borderId="13" xfId="0" applyFill="1" applyBorder="1" applyAlignment="1">
      <alignment horizontal="left" vertical="top" wrapText="1"/>
    </xf>
    <xf numFmtId="0" fontId="0" fillId="0" borderId="14" xfId="0" applyFill="1" applyBorder="1" applyAlignment="1">
      <alignment horizontal="left" vertical="top" wrapText="1"/>
    </xf>
    <xf numFmtId="0" fontId="0" fillId="0" borderId="12" xfId="0" applyFill="1" applyBorder="1" applyAlignment="1">
      <alignment horizontal="left" vertical="top" wrapText="1"/>
    </xf>
    <xf numFmtId="0" fontId="3" fillId="0" borderId="5" xfId="1" applyFont="1" applyFill="1" applyBorder="1" applyAlignment="1">
      <alignment horizontal="center" vertical="center"/>
    </xf>
    <xf numFmtId="0" fontId="3" fillId="0" borderId="6" xfId="1" applyFont="1" applyFill="1" applyBorder="1" applyAlignment="1">
      <alignment horizontal="center" vertical="center"/>
    </xf>
    <xf numFmtId="0" fontId="3" fillId="0" borderId="7" xfId="1" applyFont="1" applyFill="1" applyBorder="1" applyAlignment="1">
      <alignment horizontal="center" vertical="center"/>
    </xf>
    <xf numFmtId="0" fontId="3" fillId="0" borderId="13" xfId="1" applyFont="1" applyFill="1" applyBorder="1" applyAlignment="1">
      <alignment horizontal="center" vertical="center"/>
    </xf>
    <xf numFmtId="0" fontId="3" fillId="0" borderId="14" xfId="1" applyFont="1" applyFill="1" applyBorder="1" applyAlignment="1">
      <alignment horizontal="center" vertical="center"/>
    </xf>
    <xf numFmtId="0" fontId="3" fillId="0" borderId="12" xfId="1" applyFont="1" applyFill="1" applyBorder="1" applyAlignment="1">
      <alignment horizontal="center" vertical="center"/>
    </xf>
    <xf numFmtId="0" fontId="2" fillId="0" borderId="5" xfId="1" applyFill="1" applyBorder="1" applyAlignment="1">
      <alignment horizontal="left" vertical="center" wrapText="1"/>
    </xf>
    <xf numFmtId="0" fontId="2" fillId="0" borderId="6" xfId="1" applyFill="1" applyBorder="1" applyAlignment="1">
      <alignment horizontal="left" vertical="center" wrapText="1"/>
    </xf>
    <xf numFmtId="0" fontId="2" fillId="0" borderId="7" xfId="1" applyFill="1" applyBorder="1" applyAlignment="1">
      <alignment horizontal="left" vertical="center" wrapText="1"/>
    </xf>
    <xf numFmtId="0" fontId="2" fillId="0" borderId="8" xfId="1" applyFill="1" applyBorder="1" applyAlignment="1">
      <alignment horizontal="left" vertical="center" wrapText="1"/>
    </xf>
    <xf numFmtId="0" fontId="2" fillId="0" borderId="0" xfId="1" applyFill="1" applyBorder="1" applyAlignment="1">
      <alignment horizontal="left" vertical="center" wrapText="1"/>
    </xf>
    <xf numFmtId="0" fontId="2" fillId="0" borderId="11" xfId="1" applyFill="1" applyBorder="1" applyAlignment="1">
      <alignment horizontal="left" vertical="center" wrapText="1"/>
    </xf>
    <xf numFmtId="0" fontId="2" fillId="0" borderId="13" xfId="1" applyFill="1" applyBorder="1" applyAlignment="1">
      <alignment horizontal="left" vertical="center" wrapText="1"/>
    </xf>
    <xf numFmtId="0" fontId="2" fillId="0" borderId="14" xfId="1" applyFill="1" applyBorder="1" applyAlignment="1">
      <alignment horizontal="left" vertical="center" wrapText="1"/>
    </xf>
    <xf numFmtId="0" fontId="2" fillId="0" borderId="12" xfId="1" applyFill="1" applyBorder="1" applyAlignment="1">
      <alignment horizontal="left" vertical="center" wrapText="1"/>
    </xf>
    <xf numFmtId="0" fontId="29" fillId="0" borderId="5" xfId="15" applyFill="1" applyBorder="1" applyAlignment="1">
      <alignment horizontal="left" vertical="center" wrapText="1"/>
    </xf>
    <xf numFmtId="0" fontId="29" fillId="0" borderId="6" xfId="15" applyFill="1" applyBorder="1" applyAlignment="1">
      <alignment horizontal="left" vertical="center" wrapText="1"/>
    </xf>
    <xf numFmtId="0" fontId="29" fillId="0" borderId="7" xfId="15" applyFill="1" applyBorder="1" applyAlignment="1">
      <alignment horizontal="left" vertical="center" wrapText="1"/>
    </xf>
    <xf numFmtId="0" fontId="29" fillId="0" borderId="8" xfId="15" applyFill="1" applyBorder="1" applyAlignment="1">
      <alignment horizontal="left" vertical="center" wrapText="1"/>
    </xf>
    <xf numFmtId="0" fontId="29" fillId="0" borderId="0" xfId="15" applyFill="1" applyBorder="1" applyAlignment="1">
      <alignment horizontal="left" vertical="center" wrapText="1"/>
    </xf>
    <xf numFmtId="0" fontId="29" fillId="0" borderId="11" xfId="15" applyFill="1" applyBorder="1" applyAlignment="1">
      <alignment horizontal="left" vertical="center" wrapText="1"/>
    </xf>
    <xf numFmtId="0" fontId="29" fillId="0" borderId="13" xfId="15" applyFill="1" applyBorder="1" applyAlignment="1">
      <alignment horizontal="left" vertical="center" wrapText="1"/>
    </xf>
    <xf numFmtId="0" fontId="29" fillId="0" borderId="14" xfId="15" applyFill="1" applyBorder="1" applyAlignment="1">
      <alignment horizontal="left" vertical="center" wrapText="1"/>
    </xf>
    <xf numFmtId="0" fontId="29" fillId="0" borderId="12" xfId="15" applyFill="1" applyBorder="1" applyAlignment="1">
      <alignment horizontal="left" vertical="center" wrapText="1"/>
    </xf>
    <xf numFmtId="0" fontId="0" fillId="5" borderId="8" xfId="0" applyFill="1" applyBorder="1"/>
    <xf numFmtId="4" fontId="0" fillId="5" borderId="0" xfId="0" applyNumberFormat="1" applyFill="1" applyBorder="1"/>
    <xf numFmtId="4" fontId="0" fillId="5" borderId="14" xfId="0" applyNumberFormat="1" applyFill="1" applyBorder="1"/>
    <xf numFmtId="0" fontId="0" fillId="7" borderId="0" xfId="0" applyFill="1" applyAlignment="1">
      <alignment vertical="center"/>
    </xf>
    <xf numFmtId="0" fontId="21" fillId="5" borderId="5" xfId="0" applyFont="1" applyFill="1" applyBorder="1" applyAlignment="1">
      <alignment horizontal="center" vertical="center"/>
    </xf>
    <xf numFmtId="0" fontId="21" fillId="5" borderId="6" xfId="0" applyFont="1" applyFill="1" applyBorder="1" applyAlignment="1">
      <alignment horizontal="center" vertical="center"/>
    </xf>
    <xf numFmtId="0" fontId="21" fillId="5" borderId="7" xfId="0" applyFont="1" applyFill="1" applyBorder="1" applyAlignment="1">
      <alignment horizontal="center" vertical="center"/>
    </xf>
    <xf numFmtId="0" fontId="0" fillId="7" borderId="0" xfId="0" applyFill="1" applyAlignment="1">
      <alignment horizontal="center" vertical="center"/>
    </xf>
    <xf numFmtId="4" fontId="0" fillId="7" borderId="0" xfId="0" applyNumberFormat="1" applyFill="1" applyAlignment="1">
      <alignment horizontal="center" vertical="center"/>
    </xf>
    <xf numFmtId="0" fontId="21" fillId="5" borderId="20" xfId="0" applyFont="1" applyFill="1" applyBorder="1" applyAlignment="1">
      <alignment horizontal="center" vertical="center"/>
    </xf>
    <xf numFmtId="4" fontId="21" fillId="5" borderId="4" xfId="0" applyNumberFormat="1" applyFont="1" applyFill="1" applyBorder="1" applyAlignment="1">
      <alignment horizontal="center" vertical="center"/>
    </xf>
    <xf numFmtId="0" fontId="21" fillId="5" borderId="21" xfId="0" applyFont="1" applyFill="1" applyBorder="1" applyAlignment="1">
      <alignment horizontal="center" vertical="center"/>
    </xf>
    <xf numFmtId="0" fontId="33" fillId="0" borderId="5" xfId="0" applyFont="1" applyFill="1" applyBorder="1" applyAlignment="1">
      <alignment horizontal="center" vertical="center"/>
    </xf>
    <xf numFmtId="0" fontId="33" fillId="0" borderId="6" xfId="0" applyFont="1" applyFill="1" applyBorder="1" applyAlignment="1">
      <alignment horizontal="center" vertical="center"/>
    </xf>
    <xf numFmtId="0" fontId="33" fillId="0" borderId="7" xfId="0" applyFont="1" applyFill="1" applyBorder="1" applyAlignment="1">
      <alignment horizontal="center" vertical="center"/>
    </xf>
    <xf numFmtId="0" fontId="33" fillId="0" borderId="8" xfId="0" applyFont="1" applyFill="1" applyBorder="1" applyAlignment="1">
      <alignment horizontal="center" vertical="center"/>
    </xf>
    <xf numFmtId="0" fontId="33" fillId="0" borderId="0" xfId="0" applyFont="1" applyFill="1" applyBorder="1" applyAlignment="1">
      <alignment horizontal="center" vertical="center"/>
    </xf>
    <xf numFmtId="0" fontId="33" fillId="0" borderId="11" xfId="0" applyFont="1" applyFill="1" applyBorder="1" applyAlignment="1">
      <alignment horizontal="center" vertical="center"/>
    </xf>
    <xf numFmtId="0" fontId="33" fillId="0" borderId="13" xfId="0" applyFont="1" applyFill="1" applyBorder="1" applyAlignment="1">
      <alignment horizontal="center" vertical="center"/>
    </xf>
    <xf numFmtId="0" fontId="33" fillId="0" borderId="14" xfId="0" applyFont="1" applyFill="1" applyBorder="1" applyAlignment="1">
      <alignment horizontal="center" vertical="center"/>
    </xf>
    <xf numFmtId="0" fontId="33" fillId="0" borderId="12" xfId="0" applyFont="1" applyFill="1" applyBorder="1" applyAlignment="1">
      <alignment horizontal="center" vertical="center"/>
    </xf>
    <xf numFmtId="0" fontId="21" fillId="5" borderId="18" xfId="0" applyFont="1" applyFill="1" applyBorder="1" applyAlignment="1" applyProtection="1">
      <alignment horizontal="center"/>
      <protection locked="0"/>
    </xf>
    <xf numFmtId="0" fontId="21" fillId="5" borderId="16" xfId="0" applyFont="1" applyFill="1" applyBorder="1" applyAlignment="1" applyProtection="1">
      <alignment horizontal="center"/>
      <protection locked="0"/>
    </xf>
    <xf numFmtId="0" fontId="0" fillId="8" borderId="8" xfId="0" applyFill="1" applyBorder="1" applyProtection="1">
      <protection locked="0"/>
    </xf>
    <xf numFmtId="14" fontId="0" fillId="8" borderId="11" xfId="0" applyNumberFormat="1" applyFill="1" applyBorder="1" applyProtection="1">
      <protection locked="0"/>
    </xf>
    <xf numFmtId="10" fontId="0" fillId="8" borderId="11" xfId="0" applyNumberFormat="1" applyFill="1" applyBorder="1" applyProtection="1">
      <protection locked="0"/>
    </xf>
    <xf numFmtId="0" fontId="0" fillId="8" borderId="13" xfId="0" applyFill="1" applyBorder="1" applyProtection="1">
      <protection locked="0"/>
    </xf>
    <xf numFmtId="0" fontId="0" fillId="8" borderId="12" xfId="0" applyFill="1" applyBorder="1" applyProtection="1">
      <protection locked="0"/>
    </xf>
    <xf numFmtId="14" fontId="0" fillId="8" borderId="8" xfId="0" applyNumberFormat="1" applyFill="1" applyBorder="1" applyAlignment="1" applyProtection="1">
      <alignment horizontal="center" vertical="center"/>
      <protection locked="0"/>
    </xf>
    <xf numFmtId="4" fontId="0" fillId="8" borderId="0" xfId="0" applyNumberFormat="1" applyFill="1" applyBorder="1" applyAlignment="1" applyProtection="1">
      <alignment horizontal="center" vertical="center"/>
      <protection locked="0"/>
    </xf>
    <xf numFmtId="10" fontId="0" fillId="8" borderId="11" xfId="0" applyNumberFormat="1" applyFill="1" applyBorder="1" applyAlignment="1" applyProtection="1">
      <alignment horizontal="center" vertical="center"/>
      <protection locked="0"/>
    </xf>
    <xf numFmtId="0" fontId="0" fillId="8" borderId="8" xfId="0" applyFill="1" applyBorder="1" applyAlignment="1" applyProtection="1">
      <alignment horizontal="center" vertical="center"/>
      <protection locked="0"/>
    </xf>
    <xf numFmtId="0" fontId="0" fillId="8" borderId="11" xfId="0" applyFill="1" applyBorder="1" applyAlignment="1" applyProtection="1">
      <alignment horizontal="center" vertical="center"/>
      <protection locked="0"/>
    </xf>
    <xf numFmtId="0" fontId="0" fillId="8" borderId="13" xfId="0" applyFill="1" applyBorder="1" applyAlignment="1" applyProtection="1">
      <alignment horizontal="center" vertical="center"/>
      <protection locked="0"/>
    </xf>
    <xf numFmtId="4" fontId="0" fillId="8" borderId="14" xfId="0" applyNumberFormat="1" applyFill="1" applyBorder="1" applyAlignment="1" applyProtection="1">
      <alignment horizontal="center" vertical="center"/>
      <protection locked="0"/>
    </xf>
    <xf numFmtId="0" fontId="0" fillId="8" borderId="12" xfId="0" applyFill="1" applyBorder="1" applyAlignment="1" applyProtection="1">
      <alignment horizontal="center" vertical="center"/>
      <protection locked="0"/>
    </xf>
    <xf numFmtId="0" fontId="3" fillId="8" borderId="18" xfId="1" applyFont="1" applyFill="1" applyBorder="1" applyAlignment="1" applyProtection="1">
      <alignment horizontal="center" vertical="center" wrapText="1"/>
      <protection locked="0"/>
    </xf>
    <xf numFmtId="0" fontId="3" fillId="8" borderId="16" xfId="1" applyFont="1" applyFill="1" applyBorder="1" applyAlignment="1" applyProtection="1">
      <alignment horizontal="center" vertical="center" wrapText="1"/>
      <protection locked="0"/>
    </xf>
    <xf numFmtId="14" fontId="1" fillId="8" borderId="8" xfId="0" applyNumberFormat="1" applyFont="1" applyFill="1" applyBorder="1" applyAlignment="1" applyProtection="1">
      <alignment horizontal="center" vertical="top" wrapText="1"/>
      <protection locked="0"/>
    </xf>
    <xf numFmtId="0" fontId="1" fillId="8" borderId="11" xfId="0" applyFont="1" applyFill="1" applyBorder="1" applyAlignment="1" applyProtection="1">
      <alignment horizontal="center" vertical="top" wrapText="1"/>
      <protection locked="0"/>
    </xf>
    <xf numFmtId="14" fontId="2" fillId="8" borderId="8" xfId="1" applyNumberFormat="1" applyFont="1" applyFill="1" applyBorder="1" applyAlignment="1" applyProtection="1">
      <alignment horizontal="center" vertical="top" wrapText="1"/>
      <protection locked="0"/>
    </xf>
    <xf numFmtId="0" fontId="2" fillId="8" borderId="11" xfId="1" applyFont="1" applyFill="1" applyBorder="1" applyAlignment="1" applyProtection="1">
      <alignment horizontal="center" vertical="top" wrapText="1"/>
      <protection locked="0"/>
    </xf>
    <xf numFmtId="14" fontId="28" fillId="8" borderId="8" xfId="0" applyNumberFormat="1" applyFont="1" applyFill="1" applyBorder="1" applyAlignment="1" applyProtection="1">
      <alignment horizontal="center" vertical="top" wrapText="1"/>
      <protection locked="0"/>
    </xf>
    <xf numFmtId="0" fontId="28" fillId="8" borderId="11" xfId="0" applyFont="1" applyFill="1" applyBorder="1" applyAlignment="1" applyProtection="1">
      <alignment horizontal="center" vertical="top" wrapText="1"/>
      <protection locked="0"/>
    </xf>
    <xf numFmtId="14" fontId="0" fillId="8" borderId="8" xfId="0" applyNumberFormat="1" applyFill="1" applyBorder="1" applyAlignment="1" applyProtection="1">
      <alignment horizontal="center"/>
      <protection locked="0"/>
    </xf>
    <xf numFmtId="0" fontId="0" fillId="8" borderId="11" xfId="0" applyFill="1" applyBorder="1" applyAlignment="1" applyProtection="1">
      <alignment horizontal="center"/>
      <protection locked="0"/>
    </xf>
    <xf numFmtId="0" fontId="2" fillId="8" borderId="8" xfId="1" applyFill="1" applyBorder="1" applyProtection="1">
      <protection locked="0"/>
    </xf>
    <xf numFmtId="0" fontId="2" fillId="8" borderId="11" xfId="1" applyFill="1" applyBorder="1" applyProtection="1">
      <protection locked="0"/>
    </xf>
    <xf numFmtId="0" fontId="2" fillId="8" borderId="13" xfId="1" applyFill="1" applyBorder="1" applyProtection="1">
      <protection locked="0"/>
    </xf>
    <xf numFmtId="0" fontId="2" fillId="8" borderId="12" xfId="1" applyFill="1" applyBorder="1" applyProtection="1">
      <protection locked="0"/>
    </xf>
    <xf numFmtId="0" fontId="5" fillId="7" borderId="0" xfId="1" applyFont="1" applyFill="1" applyAlignment="1">
      <alignment horizontal="left" vertical="top"/>
    </xf>
    <xf numFmtId="0" fontId="2" fillId="7" borderId="0" xfId="1" applyFont="1" applyFill="1" applyAlignment="1">
      <alignment horizontal="left" vertical="top"/>
    </xf>
    <xf numFmtId="0" fontId="5" fillId="8" borderId="8" xfId="1" applyFont="1" applyFill="1" applyBorder="1" applyAlignment="1" applyProtection="1">
      <alignment horizontal="left" vertical="top"/>
      <protection locked="0"/>
    </xf>
    <xf numFmtId="0" fontId="5" fillId="8" borderId="13" xfId="1" applyFont="1" applyFill="1" applyBorder="1" applyAlignment="1" applyProtection="1">
      <alignment horizontal="left" vertical="top"/>
      <protection locked="0"/>
    </xf>
    <xf numFmtId="0" fontId="0" fillId="7" borderId="0" xfId="0" applyFill="1" applyAlignment="1">
      <alignment horizontal="left"/>
    </xf>
    <xf numFmtId="0" fontId="4" fillId="5" borderId="5" xfId="1" applyFont="1" applyFill="1" applyBorder="1" applyAlignment="1" applyProtection="1">
      <alignment horizontal="left" vertical="center" wrapText="1"/>
      <protection locked="0"/>
    </xf>
    <xf numFmtId="0" fontId="4" fillId="5" borderId="6" xfId="1" applyFont="1" applyFill="1" applyBorder="1" applyAlignment="1" applyProtection="1">
      <alignment vertical="center" wrapText="1"/>
      <protection locked="0"/>
    </xf>
    <xf numFmtId="0" fontId="4" fillId="5" borderId="6" xfId="1" applyFont="1" applyFill="1" applyBorder="1" applyAlignment="1" applyProtection="1">
      <alignment horizontal="center" vertical="center" wrapText="1"/>
      <protection locked="0"/>
    </xf>
    <xf numFmtId="166" fontId="4" fillId="5" borderId="6" xfId="3" applyNumberFormat="1" applyFont="1" applyFill="1" applyBorder="1" applyAlignment="1" applyProtection="1">
      <alignment horizontal="center" vertical="center" wrapText="1"/>
      <protection locked="0"/>
    </xf>
    <xf numFmtId="0" fontId="4" fillId="5" borderId="7" xfId="1" applyFont="1" applyFill="1" applyBorder="1" applyAlignment="1" applyProtection="1">
      <alignment vertical="center" wrapText="1"/>
      <protection locked="0"/>
    </xf>
    <xf numFmtId="0" fontId="0" fillId="5" borderId="5" xfId="0" applyFill="1" applyBorder="1"/>
    <xf numFmtId="0" fontId="21" fillId="5" borderId="19" xfId="0" applyFont="1" applyFill="1" applyBorder="1"/>
    <xf numFmtId="0" fontId="21" fillId="5" borderId="16" xfId="0" applyFont="1" applyFill="1" applyBorder="1"/>
    <xf numFmtId="4" fontId="0" fillId="5" borderId="11" xfId="0" applyNumberFormat="1" applyFill="1" applyBorder="1"/>
    <xf numFmtId="0" fontId="0" fillId="5" borderId="13" xfId="0" applyFill="1" applyBorder="1" applyAlignment="1">
      <alignment horizontal="left"/>
    </xf>
    <xf numFmtId="4" fontId="0" fillId="5" borderId="12" xfId="0" applyNumberFormat="1" applyFill="1" applyBorder="1"/>
    <xf numFmtId="0" fontId="33" fillId="7" borderId="0" xfId="0" applyFont="1" applyFill="1" applyBorder="1" applyAlignment="1">
      <alignment vertical="center"/>
    </xf>
    <xf numFmtId="0" fontId="33" fillId="0" borderId="5" xfId="0" applyFont="1" applyFill="1" applyBorder="1" applyAlignment="1">
      <alignment horizontal="center" vertical="center" wrapText="1"/>
    </xf>
    <xf numFmtId="0" fontId="33" fillId="0" borderId="6" xfId="0" applyFont="1" applyFill="1" applyBorder="1" applyAlignment="1">
      <alignment horizontal="center" vertical="center" wrapText="1"/>
    </xf>
    <xf numFmtId="0" fontId="33" fillId="0" borderId="7" xfId="0" applyFont="1" applyFill="1" applyBorder="1" applyAlignment="1">
      <alignment horizontal="center" vertical="center" wrapText="1"/>
    </xf>
    <xf numFmtId="0" fontId="33" fillId="0" borderId="8" xfId="0" applyFont="1" applyFill="1" applyBorder="1" applyAlignment="1">
      <alignment horizontal="center" vertical="center" wrapText="1"/>
    </xf>
    <xf numFmtId="0" fontId="33" fillId="0" borderId="0" xfId="0" applyFont="1" applyFill="1" applyBorder="1" applyAlignment="1">
      <alignment horizontal="center" vertical="center" wrapText="1"/>
    </xf>
    <xf numFmtId="0" fontId="33" fillId="0" borderId="11" xfId="0" applyFont="1" applyFill="1" applyBorder="1" applyAlignment="1">
      <alignment horizontal="center" vertical="center" wrapText="1"/>
    </xf>
    <xf numFmtId="0" fontId="33" fillId="0" borderId="13" xfId="0" applyFont="1" applyFill="1" applyBorder="1" applyAlignment="1">
      <alignment horizontal="center" vertical="center" wrapText="1"/>
    </xf>
    <xf numFmtId="0" fontId="33" fillId="0" borderId="14" xfId="0" applyFont="1" applyFill="1" applyBorder="1" applyAlignment="1">
      <alignment horizontal="center" vertical="center" wrapText="1"/>
    </xf>
    <xf numFmtId="0" fontId="33" fillId="0" borderId="12" xfId="0" applyFont="1" applyFill="1" applyBorder="1" applyAlignment="1">
      <alignment horizontal="center" vertical="center" wrapText="1"/>
    </xf>
    <xf numFmtId="0" fontId="0" fillId="7" borderId="0" xfId="0" applyFill="1" applyBorder="1" applyAlignment="1">
      <alignment vertical="top" wrapText="1"/>
    </xf>
    <xf numFmtId="0" fontId="29" fillId="0" borderId="22" xfId="15" applyFill="1" applyBorder="1" applyAlignment="1">
      <alignment horizontal="center" vertical="top" wrapText="1"/>
    </xf>
    <xf numFmtId="0" fontId="29" fillId="0" borderId="23" xfId="15" applyFill="1" applyBorder="1" applyAlignment="1">
      <alignment horizontal="center" vertical="top" wrapText="1"/>
    </xf>
    <xf numFmtId="0" fontId="29" fillId="0" borderId="24" xfId="15" applyFill="1" applyBorder="1" applyAlignment="1">
      <alignment horizontal="center" vertical="top" wrapText="1"/>
    </xf>
  </cellXfs>
  <cellStyles count="16">
    <cellStyle name="Comma" xfId="8" builtinId="3"/>
    <cellStyle name="Comma 2" xfId="2"/>
    <cellStyle name="Currency" xfId="9" builtinId="4"/>
    <cellStyle name="Currency 2" xfId="3"/>
    <cellStyle name="Hyperlink" xfId="15" builtinId="8"/>
    <cellStyle name="Hyperlink 2" xfId="12"/>
    <cellStyle name="Normal" xfId="0" builtinId="0" customBuiltin="1"/>
    <cellStyle name="Normal 2" xfId="1"/>
    <cellStyle name="Normal 2 2" xfId="7"/>
    <cellStyle name="Normal 3" xfId="4"/>
    <cellStyle name="Normal 4" xfId="10"/>
    <cellStyle name="Normal 4 2" xfId="13"/>
    <cellStyle name="Normal 5" xfId="11"/>
    <cellStyle name="Normal_black-scholes calculator template" xfId="6"/>
    <cellStyle name="Percent" xfId="14" builtinId="5"/>
    <cellStyle name="Percent 2"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info@aerofinancialpartners.com?subject=Follow%20Up%20from%20Options%20Tool" TargetMode="External"/><Relationship Id="rId2" Type="http://schemas.openxmlformats.org/officeDocument/2006/relationships/hyperlink" Target="http://www.aerofinancialpartners.com/" TargetMode="External"/><Relationship Id="rId1" Type="http://schemas.openxmlformats.org/officeDocument/2006/relationships/hyperlink" Target="http://www.aerofinancialpartners.com/"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www.treasury.gov/resource-center/data-chart-center/interest-rates/Pages/TextView.aspx?data=yieldYear&amp;year=2012"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6"/>
  <sheetViews>
    <sheetView showGridLines="0" tabSelected="1" workbookViewId="0">
      <selection activeCell="H16" sqref="H16"/>
    </sheetView>
  </sheetViews>
  <sheetFormatPr defaultColWidth="0" defaultRowHeight="15" zeroHeight="1" x14ac:dyDescent="0.3"/>
  <cols>
    <col min="1" max="11" width="9.140625" style="244" customWidth="1"/>
    <col min="12" max="12" width="0" style="244" hidden="1"/>
    <col min="13" max="16384" width="9.140625" style="244" hidden="1"/>
  </cols>
  <sheetData>
    <row r="1" spans="2:10" x14ac:dyDescent="0.3"/>
    <row r="2" spans="2:10" ht="15.75" thickBot="1" x14ac:dyDescent="0.35"/>
    <row r="3" spans="2:10" x14ac:dyDescent="0.3">
      <c r="E3" s="489" t="s">
        <v>111</v>
      </c>
      <c r="F3" s="490"/>
      <c r="G3" s="491"/>
    </row>
    <row r="4" spans="2:10" ht="15.75" thickBot="1" x14ac:dyDescent="0.35">
      <c r="E4" s="495"/>
      <c r="F4" s="496"/>
      <c r="G4" s="497"/>
    </row>
    <row r="5" spans="2:10" x14ac:dyDescent="0.3"/>
    <row r="6" spans="2:10" ht="15.75" thickBot="1" x14ac:dyDescent="0.35"/>
    <row r="7" spans="2:10" ht="15" customHeight="1" x14ac:dyDescent="0.3">
      <c r="B7" s="444" t="s">
        <v>117</v>
      </c>
      <c r="C7" s="445"/>
      <c r="D7" s="445"/>
      <c r="E7" s="445"/>
      <c r="F7" s="445"/>
      <c r="G7" s="445"/>
      <c r="H7" s="445"/>
      <c r="I7" s="445"/>
      <c r="J7" s="446"/>
    </row>
    <row r="8" spans="2:10" x14ac:dyDescent="0.3">
      <c r="B8" s="447"/>
      <c r="C8" s="448"/>
      <c r="D8" s="448"/>
      <c r="E8" s="448"/>
      <c r="F8" s="448"/>
      <c r="G8" s="448"/>
      <c r="H8" s="448"/>
      <c r="I8" s="448"/>
      <c r="J8" s="449"/>
    </row>
    <row r="9" spans="2:10" x14ac:dyDescent="0.3">
      <c r="B9" s="447"/>
      <c r="C9" s="448"/>
      <c r="D9" s="448"/>
      <c r="E9" s="448"/>
      <c r="F9" s="448"/>
      <c r="G9" s="448"/>
      <c r="H9" s="448"/>
      <c r="I9" s="448"/>
      <c r="J9" s="449"/>
    </row>
    <row r="10" spans="2:10" x14ac:dyDescent="0.3">
      <c r="B10" s="447"/>
      <c r="C10" s="448"/>
      <c r="D10" s="448"/>
      <c r="E10" s="448"/>
      <c r="F10" s="448"/>
      <c r="G10" s="448"/>
      <c r="H10" s="448"/>
      <c r="I10" s="448"/>
      <c r="J10" s="449"/>
    </row>
    <row r="11" spans="2:10" ht="15.75" thickBot="1" x14ac:dyDescent="0.35">
      <c r="B11" s="450"/>
      <c r="C11" s="451"/>
      <c r="D11" s="451"/>
      <c r="E11" s="451"/>
      <c r="F11" s="451"/>
      <c r="G11" s="451"/>
      <c r="H11" s="451"/>
      <c r="I11" s="451"/>
      <c r="J11" s="452"/>
    </row>
    <row r="12" spans="2:10" ht="15.75" thickBot="1" x14ac:dyDescent="0.35">
      <c r="B12" s="553"/>
      <c r="C12" s="553"/>
      <c r="D12" s="553"/>
      <c r="E12" s="553"/>
      <c r="F12" s="553"/>
      <c r="G12" s="553"/>
      <c r="H12" s="553"/>
      <c r="I12" s="553"/>
      <c r="J12" s="553"/>
    </row>
    <row r="13" spans="2:10" ht="15" customHeight="1" thickBot="1" x14ac:dyDescent="0.35">
      <c r="B13" s="553"/>
      <c r="C13" s="553"/>
      <c r="E13" s="554" t="s">
        <v>112</v>
      </c>
      <c r="F13" s="555"/>
      <c r="G13" s="556"/>
      <c r="H13" s="553"/>
      <c r="I13" s="553"/>
      <c r="J13" s="553"/>
    </row>
    <row r="14" spans="2:10" ht="15.75" thickBot="1" x14ac:dyDescent="0.35">
      <c r="B14" s="553"/>
      <c r="C14" s="553"/>
      <c r="D14" s="553"/>
      <c r="E14" s="553"/>
      <c r="F14" s="553"/>
      <c r="G14" s="553"/>
      <c r="H14" s="553"/>
      <c r="I14" s="553"/>
      <c r="J14" s="553"/>
    </row>
    <row r="15" spans="2:10" ht="15.75" thickBot="1" x14ac:dyDescent="0.35">
      <c r="E15" s="554" t="s">
        <v>113</v>
      </c>
      <c r="F15" s="555"/>
      <c r="G15" s="556"/>
    </row>
    <row r="16" spans="2:10" x14ac:dyDescent="0.3"/>
    <row r="17" spans="2:10" ht="15.75" thickBot="1" x14ac:dyDescent="0.35"/>
    <row r="18" spans="2:10" x14ac:dyDescent="0.3">
      <c r="E18" s="489" t="s">
        <v>114</v>
      </c>
      <c r="F18" s="490"/>
      <c r="G18" s="491"/>
    </row>
    <row r="19" spans="2:10" ht="15.75" thickBot="1" x14ac:dyDescent="0.35">
      <c r="E19" s="495"/>
      <c r="F19" s="496"/>
      <c r="G19" s="497"/>
    </row>
    <row r="20" spans="2:10" x14ac:dyDescent="0.3"/>
    <row r="21" spans="2:10" ht="15.75" thickBot="1" x14ac:dyDescent="0.35"/>
    <row r="22" spans="2:10" ht="15" customHeight="1" x14ac:dyDescent="0.3">
      <c r="B22" s="444" t="s">
        <v>115</v>
      </c>
      <c r="C22" s="445"/>
      <c r="D22" s="445"/>
      <c r="E22" s="445"/>
      <c r="F22" s="445"/>
      <c r="G22" s="445"/>
      <c r="H22" s="445"/>
      <c r="I22" s="445"/>
      <c r="J22" s="446"/>
    </row>
    <row r="23" spans="2:10" x14ac:dyDescent="0.3">
      <c r="B23" s="447"/>
      <c r="C23" s="448"/>
      <c r="D23" s="448"/>
      <c r="E23" s="448"/>
      <c r="F23" s="448"/>
      <c r="G23" s="448"/>
      <c r="H23" s="448"/>
      <c r="I23" s="448"/>
      <c r="J23" s="449"/>
    </row>
    <row r="24" spans="2:10" x14ac:dyDescent="0.3">
      <c r="B24" s="447"/>
      <c r="C24" s="448"/>
      <c r="D24" s="448"/>
      <c r="E24" s="448"/>
      <c r="F24" s="448"/>
      <c r="G24" s="448"/>
      <c r="H24" s="448"/>
      <c r="I24" s="448"/>
      <c r="J24" s="449"/>
    </row>
    <row r="25" spans="2:10" x14ac:dyDescent="0.3">
      <c r="B25" s="447"/>
      <c r="C25" s="448"/>
      <c r="D25" s="448"/>
      <c r="E25" s="448"/>
      <c r="F25" s="448"/>
      <c r="G25" s="448"/>
      <c r="H25" s="448"/>
      <c r="I25" s="448"/>
      <c r="J25" s="449"/>
    </row>
    <row r="26" spans="2:10" x14ac:dyDescent="0.3">
      <c r="B26" s="447"/>
      <c r="C26" s="448"/>
      <c r="D26" s="448"/>
      <c r="E26" s="448"/>
      <c r="F26" s="448"/>
      <c r="G26" s="448"/>
      <c r="H26" s="448"/>
      <c r="I26" s="448"/>
      <c r="J26" s="449"/>
    </row>
    <row r="27" spans="2:10" x14ac:dyDescent="0.3">
      <c r="B27" s="447"/>
      <c r="C27" s="448"/>
      <c r="D27" s="448"/>
      <c r="E27" s="448"/>
      <c r="F27" s="448"/>
      <c r="G27" s="448"/>
      <c r="H27" s="448"/>
      <c r="I27" s="448"/>
      <c r="J27" s="449"/>
    </row>
    <row r="28" spans="2:10" x14ac:dyDescent="0.3">
      <c r="B28" s="447"/>
      <c r="C28" s="448"/>
      <c r="D28" s="448"/>
      <c r="E28" s="448"/>
      <c r="F28" s="448"/>
      <c r="G28" s="448"/>
      <c r="H28" s="448"/>
      <c r="I28" s="448"/>
      <c r="J28" s="449"/>
    </row>
    <row r="29" spans="2:10" x14ac:dyDescent="0.3">
      <c r="B29" s="447"/>
      <c r="C29" s="448"/>
      <c r="D29" s="448"/>
      <c r="E29" s="448"/>
      <c r="F29" s="448"/>
      <c r="G29" s="448"/>
      <c r="H29" s="448"/>
      <c r="I29" s="448"/>
      <c r="J29" s="449"/>
    </row>
    <row r="30" spans="2:10" x14ac:dyDescent="0.3">
      <c r="B30" s="447"/>
      <c r="C30" s="448"/>
      <c r="D30" s="448"/>
      <c r="E30" s="448"/>
      <c r="F30" s="448"/>
      <c r="G30" s="448"/>
      <c r="H30" s="448"/>
      <c r="I30" s="448"/>
      <c r="J30" s="449"/>
    </row>
    <row r="31" spans="2:10" x14ac:dyDescent="0.3">
      <c r="B31" s="447"/>
      <c r="C31" s="448"/>
      <c r="D31" s="448"/>
      <c r="E31" s="448"/>
      <c r="F31" s="448"/>
      <c r="G31" s="448"/>
      <c r="H31" s="448"/>
      <c r="I31" s="448"/>
      <c r="J31" s="449"/>
    </row>
    <row r="32" spans="2:10" x14ac:dyDescent="0.3">
      <c r="B32" s="447"/>
      <c r="C32" s="448"/>
      <c r="D32" s="448"/>
      <c r="E32" s="448"/>
      <c r="F32" s="448"/>
      <c r="G32" s="448"/>
      <c r="H32" s="448"/>
      <c r="I32" s="448"/>
      <c r="J32" s="449"/>
    </row>
    <row r="33" spans="2:10" x14ac:dyDescent="0.3">
      <c r="B33" s="447"/>
      <c r="C33" s="448"/>
      <c r="D33" s="448"/>
      <c r="E33" s="448"/>
      <c r="F33" s="448"/>
      <c r="G33" s="448"/>
      <c r="H33" s="448"/>
      <c r="I33" s="448"/>
      <c r="J33" s="449"/>
    </row>
    <row r="34" spans="2:10" x14ac:dyDescent="0.3">
      <c r="B34" s="447"/>
      <c r="C34" s="448"/>
      <c r="D34" s="448"/>
      <c r="E34" s="448"/>
      <c r="F34" s="448"/>
      <c r="G34" s="448"/>
      <c r="H34" s="448"/>
      <c r="I34" s="448"/>
      <c r="J34" s="449"/>
    </row>
    <row r="35" spans="2:10" x14ac:dyDescent="0.3">
      <c r="B35" s="447"/>
      <c r="C35" s="448"/>
      <c r="D35" s="448"/>
      <c r="E35" s="448"/>
      <c r="F35" s="448"/>
      <c r="G35" s="448"/>
      <c r="H35" s="448"/>
      <c r="I35" s="448"/>
      <c r="J35" s="449"/>
    </row>
    <row r="36" spans="2:10" x14ac:dyDescent="0.3">
      <c r="B36" s="447"/>
      <c r="C36" s="448"/>
      <c r="D36" s="448"/>
      <c r="E36" s="448"/>
      <c r="F36" s="448"/>
      <c r="G36" s="448"/>
      <c r="H36" s="448"/>
      <c r="I36" s="448"/>
      <c r="J36" s="449"/>
    </row>
    <row r="37" spans="2:10" x14ac:dyDescent="0.3">
      <c r="B37" s="447"/>
      <c r="C37" s="448"/>
      <c r="D37" s="448"/>
      <c r="E37" s="448"/>
      <c r="F37" s="448"/>
      <c r="G37" s="448"/>
      <c r="H37" s="448"/>
      <c r="I37" s="448"/>
      <c r="J37" s="449"/>
    </row>
    <row r="38" spans="2:10" x14ac:dyDescent="0.3">
      <c r="B38" s="447"/>
      <c r="C38" s="448"/>
      <c r="D38" s="448"/>
      <c r="E38" s="448"/>
      <c r="F38" s="448"/>
      <c r="G38" s="448"/>
      <c r="H38" s="448"/>
      <c r="I38" s="448"/>
      <c r="J38" s="449"/>
    </row>
    <row r="39" spans="2:10" x14ac:dyDescent="0.3">
      <c r="B39" s="447"/>
      <c r="C39" s="448"/>
      <c r="D39" s="448"/>
      <c r="E39" s="448"/>
      <c r="F39" s="448"/>
      <c r="G39" s="448"/>
      <c r="H39" s="448"/>
      <c r="I39" s="448"/>
      <c r="J39" s="449"/>
    </row>
    <row r="40" spans="2:10" x14ac:dyDescent="0.3">
      <c r="B40" s="447"/>
      <c r="C40" s="448"/>
      <c r="D40" s="448"/>
      <c r="E40" s="448"/>
      <c r="F40" s="448"/>
      <c r="G40" s="448"/>
      <c r="H40" s="448"/>
      <c r="I40" s="448"/>
      <c r="J40" s="449"/>
    </row>
    <row r="41" spans="2:10" x14ac:dyDescent="0.3">
      <c r="B41" s="447"/>
      <c r="C41" s="448"/>
      <c r="D41" s="448"/>
      <c r="E41" s="448"/>
      <c r="F41" s="448"/>
      <c r="G41" s="448"/>
      <c r="H41" s="448"/>
      <c r="I41" s="448"/>
      <c r="J41" s="449"/>
    </row>
    <row r="42" spans="2:10" x14ac:dyDescent="0.3">
      <c r="B42" s="447"/>
      <c r="C42" s="448"/>
      <c r="D42" s="448"/>
      <c r="E42" s="448"/>
      <c r="F42" s="448"/>
      <c r="G42" s="448"/>
      <c r="H42" s="448"/>
      <c r="I42" s="448"/>
      <c r="J42" s="449"/>
    </row>
    <row r="43" spans="2:10" x14ac:dyDescent="0.3">
      <c r="B43" s="447"/>
      <c r="C43" s="448"/>
      <c r="D43" s="448"/>
      <c r="E43" s="448"/>
      <c r="F43" s="448"/>
      <c r="G43" s="448"/>
      <c r="H43" s="448"/>
      <c r="I43" s="448"/>
      <c r="J43" s="449"/>
    </row>
    <row r="44" spans="2:10" x14ac:dyDescent="0.3">
      <c r="B44" s="447"/>
      <c r="C44" s="448"/>
      <c r="D44" s="448"/>
      <c r="E44" s="448"/>
      <c r="F44" s="448"/>
      <c r="G44" s="448"/>
      <c r="H44" s="448"/>
      <c r="I44" s="448"/>
      <c r="J44" s="449"/>
    </row>
    <row r="45" spans="2:10" x14ac:dyDescent="0.3">
      <c r="B45" s="447"/>
      <c r="C45" s="448"/>
      <c r="D45" s="448"/>
      <c r="E45" s="448"/>
      <c r="F45" s="448"/>
      <c r="G45" s="448"/>
      <c r="H45" s="448"/>
      <c r="I45" s="448"/>
      <c r="J45" s="449"/>
    </row>
    <row r="46" spans="2:10" x14ac:dyDescent="0.3">
      <c r="B46" s="447"/>
      <c r="C46" s="448"/>
      <c r="D46" s="448"/>
      <c r="E46" s="448"/>
      <c r="F46" s="448"/>
      <c r="G46" s="448"/>
      <c r="H46" s="448"/>
      <c r="I46" s="448"/>
      <c r="J46" s="449"/>
    </row>
    <row r="47" spans="2:10" x14ac:dyDescent="0.3">
      <c r="B47" s="447"/>
      <c r="C47" s="448"/>
      <c r="D47" s="448"/>
      <c r="E47" s="448"/>
      <c r="F47" s="448"/>
      <c r="G47" s="448"/>
      <c r="H47" s="448"/>
      <c r="I47" s="448"/>
      <c r="J47" s="449"/>
    </row>
    <row r="48" spans="2:10" x14ac:dyDescent="0.3">
      <c r="B48" s="447"/>
      <c r="C48" s="448"/>
      <c r="D48" s="448"/>
      <c r="E48" s="448"/>
      <c r="F48" s="448"/>
      <c r="G48" s="448"/>
      <c r="H48" s="448"/>
      <c r="I48" s="448"/>
      <c r="J48" s="449"/>
    </row>
    <row r="49" spans="2:10" x14ac:dyDescent="0.3">
      <c r="B49" s="447"/>
      <c r="C49" s="448"/>
      <c r="D49" s="448"/>
      <c r="E49" s="448"/>
      <c r="F49" s="448"/>
      <c r="G49" s="448"/>
      <c r="H49" s="448"/>
      <c r="I49" s="448"/>
      <c r="J49" s="449"/>
    </row>
    <row r="50" spans="2:10" x14ac:dyDescent="0.3">
      <c r="B50" s="447"/>
      <c r="C50" s="448"/>
      <c r="D50" s="448"/>
      <c r="E50" s="448"/>
      <c r="F50" s="448"/>
      <c r="G50" s="448"/>
      <c r="H50" s="448"/>
      <c r="I50" s="448"/>
      <c r="J50" s="449"/>
    </row>
    <row r="51" spans="2:10" x14ac:dyDescent="0.3">
      <c r="B51" s="447"/>
      <c r="C51" s="448"/>
      <c r="D51" s="448"/>
      <c r="E51" s="448"/>
      <c r="F51" s="448"/>
      <c r="G51" s="448"/>
      <c r="H51" s="448"/>
      <c r="I51" s="448"/>
      <c r="J51" s="449"/>
    </row>
    <row r="52" spans="2:10" x14ac:dyDescent="0.3">
      <c r="B52" s="447"/>
      <c r="C52" s="448"/>
      <c r="D52" s="448"/>
      <c r="E52" s="448"/>
      <c r="F52" s="448"/>
      <c r="G52" s="448"/>
      <c r="H52" s="448"/>
      <c r="I52" s="448"/>
      <c r="J52" s="449"/>
    </row>
    <row r="53" spans="2:10" x14ac:dyDescent="0.3">
      <c r="B53" s="447"/>
      <c r="C53" s="448"/>
      <c r="D53" s="448"/>
      <c r="E53" s="448"/>
      <c r="F53" s="448"/>
      <c r="G53" s="448"/>
      <c r="H53" s="448"/>
      <c r="I53" s="448"/>
      <c r="J53" s="449"/>
    </row>
    <row r="54" spans="2:10" x14ac:dyDescent="0.3">
      <c r="B54" s="447"/>
      <c r="C54" s="448"/>
      <c r="D54" s="448"/>
      <c r="E54" s="448"/>
      <c r="F54" s="448"/>
      <c r="G54" s="448"/>
      <c r="H54" s="448"/>
      <c r="I54" s="448"/>
      <c r="J54" s="449"/>
    </row>
    <row r="55" spans="2:10" ht="15.75" thickBot="1" x14ac:dyDescent="0.35">
      <c r="B55" s="450"/>
      <c r="C55" s="451"/>
      <c r="D55" s="451"/>
      <c r="E55" s="451"/>
      <c r="F55" s="451"/>
      <c r="G55" s="451"/>
      <c r="H55" s="451"/>
      <c r="I55" s="451"/>
      <c r="J55" s="452"/>
    </row>
    <row r="56" spans="2:10" x14ac:dyDescent="0.3"/>
    <row r="57" spans="2:10" x14ac:dyDescent="0.3"/>
    <row r="58" spans="2:10" hidden="1" x14ac:dyDescent="0.3"/>
    <row r="59" spans="2:10" hidden="1" x14ac:dyDescent="0.3"/>
    <row r="60" spans="2:10" hidden="1" x14ac:dyDescent="0.3"/>
    <row r="61" spans="2:10" hidden="1" x14ac:dyDescent="0.3"/>
    <row r="62" spans="2:10" hidden="1" x14ac:dyDescent="0.3"/>
    <row r="63" spans="2:10" hidden="1" x14ac:dyDescent="0.3"/>
    <row r="64" spans="2:10" hidden="1" x14ac:dyDescent="0.3"/>
    <row r="65" hidden="1" x14ac:dyDescent="0.3"/>
    <row r="66" hidden="1" x14ac:dyDescent="0.3"/>
    <row r="67" hidden="1" x14ac:dyDescent="0.3"/>
    <row r="68" hidden="1" x14ac:dyDescent="0.3"/>
    <row r="69" hidden="1" x14ac:dyDescent="0.3"/>
    <row r="70" hidden="1" x14ac:dyDescent="0.3"/>
    <row r="71" hidden="1" x14ac:dyDescent="0.3"/>
    <row r="72" hidden="1" x14ac:dyDescent="0.3"/>
    <row r="73" hidden="1" x14ac:dyDescent="0.3"/>
    <row r="74" hidden="1" x14ac:dyDescent="0.3"/>
    <row r="75" hidden="1" x14ac:dyDescent="0.3"/>
    <row r="76" x14ac:dyDescent="0.3"/>
  </sheetData>
  <sheetProtection sheet="1" objects="1" scenarios="1"/>
  <mergeCells count="6">
    <mergeCell ref="B22:J55"/>
    <mergeCell ref="B7:J11"/>
    <mergeCell ref="E3:G4"/>
    <mergeCell ref="E13:G13"/>
    <mergeCell ref="E15:G15"/>
    <mergeCell ref="E18:G19"/>
  </mergeCells>
  <hyperlinks>
    <hyperlink ref="E13" r:id="rId1"/>
    <hyperlink ref="E15" r:id="rId2" display="Aero Financial Partners"/>
    <hyperlink ref="E15:G15" r:id="rId3" display="Email U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D1:K43"/>
  <sheetViews>
    <sheetView showGridLines="0" workbookViewId="0">
      <selection activeCell="C35" sqref="C35"/>
    </sheetView>
  </sheetViews>
  <sheetFormatPr defaultColWidth="0" defaultRowHeight="15" zeroHeight="1" x14ac:dyDescent="0.3"/>
  <cols>
    <col min="1" max="3" width="9.140625" style="244" customWidth="1"/>
    <col min="4" max="4" width="30.5703125" style="244" customWidth="1"/>
    <col min="5" max="5" width="10.140625" style="244" bestFit="1" customWidth="1"/>
    <col min="6" max="8" width="9.140625" style="244" customWidth="1"/>
    <col min="9" max="9" width="11.85546875" style="484" customWidth="1"/>
    <col min="10" max="10" width="11.85546875" style="485" customWidth="1"/>
    <col min="11" max="11" width="11.85546875" style="484" customWidth="1"/>
    <col min="12" max="16" width="9.140625" style="244" customWidth="1"/>
    <col min="17" max="21" width="9.140625" style="244" hidden="1" customWidth="1"/>
    <col min="22" max="16384" width="9.140625" style="244" hidden="1"/>
  </cols>
  <sheetData>
    <row r="1" spans="4:11" ht="15.75" thickBot="1" x14ac:dyDescent="0.35"/>
    <row r="2" spans="4:11" x14ac:dyDescent="0.3">
      <c r="E2" s="489" t="s">
        <v>109</v>
      </c>
      <c r="F2" s="490"/>
      <c r="G2" s="490"/>
      <c r="H2" s="491"/>
    </row>
    <row r="3" spans="4:11" x14ac:dyDescent="0.3">
      <c r="E3" s="492"/>
      <c r="F3" s="493"/>
      <c r="G3" s="493"/>
      <c r="H3" s="494"/>
    </row>
    <row r="4" spans="4:11" ht="15.75" thickBot="1" x14ac:dyDescent="0.35">
      <c r="E4" s="495"/>
      <c r="F4" s="496"/>
      <c r="G4" s="496"/>
      <c r="H4" s="497"/>
    </row>
    <row r="5" spans="4:11" x14ac:dyDescent="0.3"/>
    <row r="6" spans="4:11" ht="15.75" thickBot="1" x14ac:dyDescent="0.35"/>
    <row r="7" spans="4:11" x14ac:dyDescent="0.3">
      <c r="D7" s="498" t="s">
        <v>107</v>
      </c>
      <c r="E7" s="499"/>
      <c r="I7" s="481" t="s">
        <v>108</v>
      </c>
      <c r="J7" s="482"/>
      <c r="K7" s="483"/>
    </row>
    <row r="8" spans="4:11" x14ac:dyDescent="0.3">
      <c r="D8" s="500" t="s">
        <v>95</v>
      </c>
      <c r="E8" s="501">
        <v>42004</v>
      </c>
      <c r="I8" s="486" t="s">
        <v>98</v>
      </c>
      <c r="J8" s="487" t="s">
        <v>99</v>
      </c>
      <c r="K8" s="488" t="s">
        <v>62</v>
      </c>
    </row>
    <row r="9" spans="4:11" x14ac:dyDescent="0.3">
      <c r="D9" s="500" t="s">
        <v>96</v>
      </c>
      <c r="E9" s="397">
        <v>0.36</v>
      </c>
      <c r="I9" s="505">
        <v>40967</v>
      </c>
      <c r="J9" s="506">
        <v>0.1</v>
      </c>
      <c r="K9" s="507">
        <v>0.45350000000000001</v>
      </c>
    </row>
    <row r="10" spans="4:11" x14ac:dyDescent="0.3">
      <c r="D10" s="500" t="s">
        <v>29</v>
      </c>
      <c r="E10" s="502">
        <v>0.05</v>
      </c>
      <c r="I10" s="505">
        <v>41274</v>
      </c>
      <c r="J10" s="506">
        <v>0.15</v>
      </c>
      <c r="K10" s="507">
        <v>0.45350000000000001</v>
      </c>
    </row>
    <row r="11" spans="4:11" x14ac:dyDescent="0.3">
      <c r="D11" s="500" t="s">
        <v>100</v>
      </c>
      <c r="E11" s="397">
        <v>0</v>
      </c>
      <c r="I11" s="505">
        <v>41455</v>
      </c>
      <c r="J11" s="506">
        <v>0.28000000000000003</v>
      </c>
      <c r="K11" s="507">
        <v>0.41699999999999998</v>
      </c>
    </row>
    <row r="12" spans="4:11" ht="15.75" thickBot="1" x14ac:dyDescent="0.35">
      <c r="D12" s="503" t="s">
        <v>67</v>
      </c>
      <c r="E12" s="504">
        <v>5</v>
      </c>
      <c r="I12" s="505">
        <v>41912</v>
      </c>
      <c r="J12" s="506">
        <v>0.36</v>
      </c>
      <c r="K12" s="507">
        <v>0.41699999999999998</v>
      </c>
    </row>
    <row r="13" spans="4:11" x14ac:dyDescent="0.3">
      <c r="I13" s="508"/>
      <c r="J13" s="506"/>
      <c r="K13" s="509"/>
    </row>
    <row r="14" spans="4:11" x14ac:dyDescent="0.3">
      <c r="I14" s="508"/>
      <c r="J14" s="506"/>
      <c r="K14" s="509"/>
    </row>
    <row r="15" spans="4:11" x14ac:dyDescent="0.3">
      <c r="I15" s="508"/>
      <c r="J15" s="506"/>
      <c r="K15" s="509"/>
    </row>
    <row r="16" spans="4:11" x14ac:dyDescent="0.3">
      <c r="I16" s="508"/>
      <c r="J16" s="506"/>
      <c r="K16" s="509"/>
    </row>
    <row r="17" spans="9:11" x14ac:dyDescent="0.3">
      <c r="I17" s="508"/>
      <c r="J17" s="506"/>
      <c r="K17" s="509"/>
    </row>
    <row r="18" spans="9:11" x14ac:dyDescent="0.3">
      <c r="I18" s="508"/>
      <c r="J18" s="506"/>
      <c r="K18" s="509"/>
    </row>
    <row r="19" spans="9:11" x14ac:dyDescent="0.3">
      <c r="I19" s="508"/>
      <c r="J19" s="506"/>
      <c r="K19" s="509"/>
    </row>
    <row r="20" spans="9:11" x14ac:dyDescent="0.3">
      <c r="I20" s="508"/>
      <c r="J20" s="506"/>
      <c r="K20" s="509"/>
    </row>
    <row r="21" spans="9:11" x14ac:dyDescent="0.3">
      <c r="I21" s="508"/>
      <c r="J21" s="506"/>
      <c r="K21" s="509"/>
    </row>
    <row r="22" spans="9:11" x14ac:dyDescent="0.3">
      <c r="I22" s="508"/>
      <c r="J22" s="506"/>
      <c r="K22" s="509"/>
    </row>
    <row r="23" spans="9:11" x14ac:dyDescent="0.3">
      <c r="I23" s="508"/>
      <c r="J23" s="506"/>
      <c r="K23" s="509"/>
    </row>
    <row r="24" spans="9:11" x14ac:dyDescent="0.3">
      <c r="I24" s="508"/>
      <c r="J24" s="506"/>
      <c r="K24" s="509"/>
    </row>
    <row r="25" spans="9:11" x14ac:dyDescent="0.3">
      <c r="I25" s="508"/>
      <c r="J25" s="506"/>
      <c r="K25" s="509"/>
    </row>
    <row r="26" spans="9:11" x14ac:dyDescent="0.3">
      <c r="I26" s="508"/>
      <c r="J26" s="506"/>
      <c r="K26" s="509"/>
    </row>
    <row r="27" spans="9:11" x14ac:dyDescent="0.3">
      <c r="I27" s="508"/>
      <c r="J27" s="506"/>
      <c r="K27" s="509"/>
    </row>
    <row r="28" spans="9:11" x14ac:dyDescent="0.3">
      <c r="I28" s="508"/>
      <c r="J28" s="506"/>
      <c r="K28" s="509"/>
    </row>
    <row r="29" spans="9:11" x14ac:dyDescent="0.3">
      <c r="I29" s="508"/>
      <c r="J29" s="506"/>
      <c r="K29" s="509"/>
    </row>
    <row r="30" spans="9:11" x14ac:dyDescent="0.3">
      <c r="I30" s="508"/>
      <c r="J30" s="506"/>
      <c r="K30" s="509"/>
    </row>
    <row r="31" spans="9:11" x14ac:dyDescent="0.3">
      <c r="I31" s="508"/>
      <c r="J31" s="506"/>
      <c r="K31" s="509"/>
    </row>
    <row r="32" spans="9:11" x14ac:dyDescent="0.3">
      <c r="I32" s="508"/>
      <c r="J32" s="506"/>
      <c r="K32" s="509"/>
    </row>
    <row r="33" spans="9:11" x14ac:dyDescent="0.3">
      <c r="I33" s="508"/>
      <c r="J33" s="506"/>
      <c r="K33" s="509"/>
    </row>
    <row r="34" spans="9:11" x14ac:dyDescent="0.3">
      <c r="I34" s="508"/>
      <c r="J34" s="506"/>
      <c r="K34" s="509"/>
    </row>
    <row r="35" spans="9:11" x14ac:dyDescent="0.3">
      <c r="I35" s="508"/>
      <c r="J35" s="506"/>
      <c r="K35" s="509"/>
    </row>
    <row r="36" spans="9:11" x14ac:dyDescent="0.3">
      <c r="I36" s="508"/>
      <c r="J36" s="506"/>
      <c r="K36" s="509"/>
    </row>
    <row r="37" spans="9:11" x14ac:dyDescent="0.3">
      <c r="I37" s="508"/>
      <c r="J37" s="506"/>
      <c r="K37" s="509"/>
    </row>
    <row r="38" spans="9:11" x14ac:dyDescent="0.3">
      <c r="I38" s="508"/>
      <c r="J38" s="506"/>
      <c r="K38" s="509"/>
    </row>
    <row r="39" spans="9:11" x14ac:dyDescent="0.3">
      <c r="I39" s="508"/>
      <c r="J39" s="506"/>
      <c r="K39" s="509"/>
    </row>
    <row r="40" spans="9:11" x14ac:dyDescent="0.3">
      <c r="I40" s="508"/>
      <c r="J40" s="506"/>
      <c r="K40" s="509"/>
    </row>
    <row r="41" spans="9:11" ht="15.75" thickBot="1" x14ac:dyDescent="0.35">
      <c r="I41" s="510"/>
      <c r="J41" s="511"/>
      <c r="K41" s="512"/>
    </row>
    <row r="42" spans="9:11" x14ac:dyDescent="0.3"/>
    <row r="43" spans="9:11" x14ac:dyDescent="0.3"/>
  </sheetData>
  <sheetProtection sheet="1" objects="1" scenarios="1"/>
  <mergeCells count="3">
    <mergeCell ref="D7:E7"/>
    <mergeCell ref="I7:K7"/>
    <mergeCell ref="E2:H4"/>
  </mergeCells>
  <dataValidations count="1">
    <dataValidation type="date" allowBlank="1" showInputMessage="1" showErrorMessage="1" sqref="E8">
      <formula1>41639</formula1>
      <formula2>47848</formula2>
    </dataValidation>
  </dataValidations>
  <pageMargins left="0.7" right="0.7" top="0.75" bottom="0.75" header="0.3" footer="0.3"/>
  <pageSetup paperSize="119"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L2245"/>
  <sheetViews>
    <sheetView showGridLines="0" topLeftCell="C1" workbookViewId="0">
      <selection activeCell="H33" sqref="H33"/>
    </sheetView>
  </sheetViews>
  <sheetFormatPr defaultColWidth="0" defaultRowHeight="15" zeroHeight="1" outlineLevelCol="1" x14ac:dyDescent="0.3"/>
  <cols>
    <col min="1" max="1" width="35.85546875" style="276" hidden="1" customWidth="1" outlineLevel="1"/>
    <col min="2" max="2" width="5.7109375" style="283" hidden="1" customWidth="1" outlineLevel="1"/>
    <col min="3" max="3" width="8.85546875" style="276" customWidth="1" collapsed="1"/>
    <col min="4" max="4" width="13.28515625" style="276" bestFit="1" customWidth="1"/>
    <col min="5" max="5" width="8.85546875" style="276" customWidth="1"/>
    <col min="6" max="6" width="12.42578125" style="276" customWidth="1"/>
    <col min="7" max="7" width="10.140625" style="276" bestFit="1" customWidth="1"/>
    <col min="8" max="8" width="8.85546875" style="276" customWidth="1"/>
    <col min="9" max="12" width="9.140625" style="276" customWidth="1"/>
    <col min="13" max="16384" width="9.140625" style="276" hidden="1"/>
  </cols>
  <sheetData>
    <row r="1" spans="1:11" ht="12.75" x14ac:dyDescent="0.2">
      <c r="A1" s="274" t="s">
        <v>43</v>
      </c>
      <c r="B1" s="275"/>
      <c r="D1" s="277"/>
      <c r="E1" s="277"/>
    </row>
    <row r="2" spans="1:11" ht="13.5" thickBot="1" x14ac:dyDescent="0.25">
      <c r="A2" s="274"/>
      <c r="B2" s="275"/>
      <c r="D2" s="277"/>
      <c r="E2" s="277"/>
    </row>
    <row r="3" spans="1:11" ht="12.75" x14ac:dyDescent="0.2">
      <c r="A3" s="274"/>
      <c r="B3" s="275"/>
      <c r="D3" s="453" t="s">
        <v>102</v>
      </c>
      <c r="E3" s="454"/>
      <c r="F3" s="454"/>
      <c r="G3" s="455"/>
    </row>
    <row r="4" spans="1:11" ht="13.5" thickBot="1" x14ac:dyDescent="0.25">
      <c r="A4" s="274"/>
      <c r="B4" s="275"/>
      <c r="D4" s="456"/>
      <c r="E4" s="457"/>
      <c r="F4" s="457"/>
      <c r="G4" s="458"/>
    </row>
    <row r="5" spans="1:11" ht="12.75" x14ac:dyDescent="0.2">
      <c r="A5" s="278"/>
      <c r="B5" s="275"/>
    </row>
    <row r="6" spans="1:11" ht="12.75" x14ac:dyDescent="0.2">
      <c r="A6" s="278"/>
      <c r="B6" s="275"/>
    </row>
    <row r="7" spans="1:11" ht="13.5" thickBot="1" x14ac:dyDescent="0.25">
      <c r="A7" s="278"/>
      <c r="B7" s="275"/>
    </row>
    <row r="8" spans="1:11" ht="13.5" thickBot="1" x14ac:dyDescent="0.25">
      <c r="A8" s="278"/>
      <c r="B8" s="275"/>
      <c r="D8" s="513" t="s">
        <v>45</v>
      </c>
      <c r="E8" s="514" t="s">
        <v>46</v>
      </c>
    </row>
    <row r="9" spans="1:11" ht="12.75" x14ac:dyDescent="0.2">
      <c r="A9" s="279">
        <v>40182</v>
      </c>
      <c r="B9" s="280">
        <v>2.65</v>
      </c>
      <c r="D9" s="515">
        <v>40546</v>
      </c>
      <c r="E9" s="516">
        <v>2.02</v>
      </c>
      <c r="G9" s="459" t="s">
        <v>103</v>
      </c>
      <c r="H9" s="460"/>
      <c r="I9" s="460"/>
      <c r="J9" s="460"/>
      <c r="K9" s="461"/>
    </row>
    <row r="10" spans="1:11" ht="12.75" x14ac:dyDescent="0.2">
      <c r="A10" s="279">
        <v>40183</v>
      </c>
      <c r="B10" s="280">
        <v>2.56</v>
      </c>
      <c r="D10" s="515">
        <v>40547</v>
      </c>
      <c r="E10" s="516">
        <v>2.0099999999999998</v>
      </c>
      <c r="G10" s="462"/>
      <c r="H10" s="463"/>
      <c r="I10" s="463"/>
      <c r="J10" s="463"/>
      <c r="K10" s="464"/>
    </row>
    <row r="11" spans="1:11" ht="12.75" x14ac:dyDescent="0.2">
      <c r="A11" s="279">
        <v>40184</v>
      </c>
      <c r="B11" s="280">
        <v>2.6</v>
      </c>
      <c r="D11" s="515">
        <v>40548</v>
      </c>
      <c r="E11" s="516">
        <v>2.14</v>
      </c>
      <c r="G11" s="462"/>
      <c r="H11" s="463"/>
      <c r="I11" s="463"/>
      <c r="J11" s="463"/>
      <c r="K11" s="464"/>
    </row>
    <row r="12" spans="1:11" ht="12.75" x14ac:dyDescent="0.2">
      <c r="A12" s="279">
        <v>40185</v>
      </c>
      <c r="B12" s="280">
        <v>2.62</v>
      </c>
      <c r="D12" s="515">
        <v>40549</v>
      </c>
      <c r="E12" s="516">
        <v>2.09</v>
      </c>
      <c r="G12" s="462"/>
      <c r="H12" s="463"/>
      <c r="I12" s="463"/>
      <c r="J12" s="463"/>
      <c r="K12" s="464"/>
    </row>
    <row r="13" spans="1:11" ht="12.75" x14ac:dyDescent="0.2">
      <c r="A13" s="279">
        <v>40186</v>
      </c>
      <c r="B13" s="280">
        <v>2.57</v>
      </c>
      <c r="D13" s="515">
        <v>40550</v>
      </c>
      <c r="E13" s="516">
        <v>1.96</v>
      </c>
      <c r="G13" s="462"/>
      <c r="H13" s="463"/>
      <c r="I13" s="463"/>
      <c r="J13" s="463"/>
      <c r="K13" s="464"/>
    </row>
    <row r="14" spans="1:11" ht="13.5" thickBot="1" x14ac:dyDescent="0.25">
      <c r="A14" s="279">
        <v>40189</v>
      </c>
      <c r="B14" s="280">
        <v>2.58</v>
      </c>
      <c r="D14" s="515">
        <v>40553</v>
      </c>
      <c r="E14" s="516">
        <v>1.93</v>
      </c>
      <c r="G14" s="465"/>
      <c r="H14" s="466"/>
      <c r="I14" s="466"/>
      <c r="J14" s="466"/>
      <c r="K14" s="467"/>
    </row>
    <row r="15" spans="1:11" ht="12.75" x14ac:dyDescent="0.2">
      <c r="A15" s="279">
        <v>40190</v>
      </c>
      <c r="B15" s="280">
        <v>2.4900000000000002</v>
      </c>
      <c r="D15" s="515">
        <v>40554</v>
      </c>
      <c r="E15" s="516">
        <v>1.98</v>
      </c>
    </row>
    <row r="16" spans="1:11" ht="13.5" thickBot="1" x14ac:dyDescent="0.25">
      <c r="A16" s="279">
        <v>40191</v>
      </c>
      <c r="B16" s="280">
        <v>2.5499999999999998</v>
      </c>
      <c r="D16" s="515">
        <v>40555</v>
      </c>
      <c r="E16" s="516">
        <v>1.99</v>
      </c>
    </row>
    <row r="17" spans="1:11" ht="12.75" customHeight="1" x14ac:dyDescent="0.2">
      <c r="A17" s="279">
        <v>40192</v>
      </c>
      <c r="B17" s="280">
        <v>2.5099999999999998</v>
      </c>
      <c r="D17" s="515">
        <v>40556</v>
      </c>
      <c r="E17" s="516">
        <v>1.93</v>
      </c>
      <c r="G17" s="468" t="s">
        <v>44</v>
      </c>
      <c r="H17" s="469"/>
      <c r="I17" s="469"/>
      <c r="J17" s="469"/>
      <c r="K17" s="470"/>
    </row>
    <row r="18" spans="1:11" ht="12.75" customHeight="1" x14ac:dyDescent="0.2">
      <c r="A18" s="279">
        <v>40193</v>
      </c>
      <c r="B18" s="280">
        <v>2.44</v>
      </c>
      <c r="D18" s="515">
        <v>40557</v>
      </c>
      <c r="E18" s="516">
        <v>1.95</v>
      </c>
      <c r="G18" s="471"/>
      <c r="H18" s="472"/>
      <c r="I18" s="472"/>
      <c r="J18" s="472"/>
      <c r="K18" s="473"/>
    </row>
    <row r="19" spans="1:11" ht="13.5" customHeight="1" x14ac:dyDescent="0.2">
      <c r="A19" s="279">
        <v>40197</v>
      </c>
      <c r="B19" s="280">
        <v>2.48</v>
      </c>
      <c r="D19" s="515">
        <v>40561</v>
      </c>
      <c r="E19" s="516">
        <v>1.97</v>
      </c>
      <c r="G19" s="471"/>
      <c r="H19" s="472"/>
      <c r="I19" s="472"/>
      <c r="J19" s="472"/>
      <c r="K19" s="473"/>
    </row>
    <row r="20" spans="1:11" ht="15" customHeight="1" thickBot="1" x14ac:dyDescent="0.25">
      <c r="A20" s="279">
        <v>40198</v>
      </c>
      <c r="B20" s="280">
        <v>2.4500000000000002</v>
      </c>
      <c r="D20" s="515">
        <v>40562</v>
      </c>
      <c r="E20" s="516">
        <v>1.95</v>
      </c>
      <c r="G20" s="474"/>
      <c r="H20" s="475"/>
      <c r="I20" s="475"/>
      <c r="J20" s="475"/>
      <c r="K20" s="476"/>
    </row>
    <row r="21" spans="1:11" ht="12.75" x14ac:dyDescent="0.2">
      <c r="A21" s="279">
        <v>40199</v>
      </c>
      <c r="B21" s="280">
        <v>2.38</v>
      </c>
      <c r="D21" s="515">
        <v>40563</v>
      </c>
      <c r="E21" s="516">
        <v>2.06</v>
      </c>
    </row>
    <row r="22" spans="1:11" ht="12.75" x14ac:dyDescent="0.2">
      <c r="A22" s="279">
        <v>40200</v>
      </c>
      <c r="B22" s="280">
        <v>2.37</v>
      </c>
      <c r="D22" s="515">
        <v>40564</v>
      </c>
      <c r="E22" s="516">
        <v>2.04</v>
      </c>
    </row>
    <row r="23" spans="1:11" ht="12.75" x14ac:dyDescent="0.2">
      <c r="A23" s="279">
        <v>40203</v>
      </c>
      <c r="B23" s="280">
        <v>2.39</v>
      </c>
      <c r="D23" s="515">
        <v>40567</v>
      </c>
      <c r="E23" s="516">
        <v>2.0299999999999998</v>
      </c>
    </row>
    <row r="24" spans="1:11" ht="12.75" x14ac:dyDescent="0.2">
      <c r="A24" s="279">
        <v>40204</v>
      </c>
      <c r="B24" s="280">
        <v>2.38</v>
      </c>
      <c r="D24" s="515">
        <v>40568</v>
      </c>
      <c r="E24" s="516">
        <v>1.96</v>
      </c>
    </row>
    <row r="25" spans="1:11" ht="12.75" x14ac:dyDescent="0.2">
      <c r="A25" s="279">
        <v>40205</v>
      </c>
      <c r="B25" s="280">
        <v>2.4300000000000002</v>
      </c>
      <c r="D25" s="515">
        <v>40569</v>
      </c>
      <c r="E25" s="516">
        <v>2.0299999999999998</v>
      </c>
    </row>
    <row r="26" spans="1:11" ht="12.75" x14ac:dyDescent="0.2">
      <c r="A26" s="279">
        <v>40206</v>
      </c>
      <c r="B26" s="280">
        <v>2.41</v>
      </c>
      <c r="D26" s="515">
        <v>40570</v>
      </c>
      <c r="E26" s="516">
        <v>1.98</v>
      </c>
    </row>
    <row r="27" spans="1:11" ht="12.75" x14ac:dyDescent="0.2">
      <c r="A27" s="279">
        <v>40207</v>
      </c>
      <c r="B27" s="280">
        <v>2.34</v>
      </c>
      <c r="D27" s="515">
        <v>40571</v>
      </c>
      <c r="E27" s="516">
        <v>1.92</v>
      </c>
    </row>
    <row r="28" spans="1:11" ht="12.75" x14ac:dyDescent="0.2">
      <c r="A28" s="279">
        <v>40210</v>
      </c>
      <c r="B28" s="280">
        <v>2.38</v>
      </c>
      <c r="D28" s="515">
        <v>40574</v>
      </c>
      <c r="E28" s="516">
        <v>1.95</v>
      </c>
    </row>
    <row r="29" spans="1:11" ht="12.75" x14ac:dyDescent="0.2">
      <c r="A29" s="279">
        <v>40211</v>
      </c>
      <c r="B29" s="280">
        <v>2.37</v>
      </c>
      <c r="D29" s="515">
        <v>40575</v>
      </c>
      <c r="E29" s="516">
        <v>2.02</v>
      </c>
    </row>
    <row r="30" spans="1:11" ht="12.75" x14ac:dyDescent="0.2">
      <c r="A30" s="279">
        <v>40212</v>
      </c>
      <c r="B30" s="280">
        <v>2.4</v>
      </c>
      <c r="D30" s="515">
        <v>40576</v>
      </c>
      <c r="E30" s="516">
        <v>2.1</v>
      </c>
    </row>
    <row r="31" spans="1:11" ht="12.75" x14ac:dyDescent="0.2">
      <c r="A31" s="279">
        <v>40213</v>
      </c>
      <c r="B31" s="280">
        <v>2.29</v>
      </c>
      <c r="D31" s="515">
        <v>40577</v>
      </c>
      <c r="E31" s="516">
        <v>2.1800000000000002</v>
      </c>
    </row>
    <row r="32" spans="1:11" ht="12.75" x14ac:dyDescent="0.2">
      <c r="A32" s="279">
        <v>40214</v>
      </c>
      <c r="B32" s="280">
        <v>2.23</v>
      </c>
      <c r="D32" s="515">
        <v>40578</v>
      </c>
      <c r="E32" s="516">
        <v>2.27</v>
      </c>
    </row>
    <row r="33" spans="1:5" ht="12.75" x14ac:dyDescent="0.2">
      <c r="A33" s="279">
        <v>40217</v>
      </c>
      <c r="B33" s="280">
        <v>2.2599999999999998</v>
      </c>
      <c r="D33" s="515">
        <v>40581</v>
      </c>
      <c r="E33" s="516">
        <v>2.29</v>
      </c>
    </row>
    <row r="34" spans="1:5" ht="12.75" x14ac:dyDescent="0.2">
      <c r="A34" s="279">
        <v>40218</v>
      </c>
      <c r="B34" s="280">
        <v>2.3199999999999998</v>
      </c>
      <c r="D34" s="515">
        <v>40582</v>
      </c>
      <c r="E34" s="516">
        <v>2.39</v>
      </c>
    </row>
    <row r="35" spans="1:5" ht="12.75" x14ac:dyDescent="0.2">
      <c r="A35" s="279">
        <v>40219</v>
      </c>
      <c r="B35" s="280">
        <v>2.39</v>
      </c>
      <c r="D35" s="515">
        <v>40583</v>
      </c>
      <c r="E35" s="516">
        <v>2.33</v>
      </c>
    </row>
    <row r="36" spans="1:5" ht="12.75" x14ac:dyDescent="0.2">
      <c r="A36" s="279">
        <v>40220</v>
      </c>
      <c r="B36" s="280">
        <v>2.39</v>
      </c>
      <c r="D36" s="515">
        <v>40584</v>
      </c>
      <c r="E36" s="516">
        <v>2.4</v>
      </c>
    </row>
    <row r="37" spans="1:5" ht="12.75" x14ac:dyDescent="0.2">
      <c r="A37" s="279">
        <v>40221</v>
      </c>
      <c r="B37" s="280">
        <v>2.35</v>
      </c>
      <c r="D37" s="515">
        <v>40585</v>
      </c>
      <c r="E37" s="516">
        <v>2.38</v>
      </c>
    </row>
    <row r="38" spans="1:5" ht="12.75" x14ac:dyDescent="0.2">
      <c r="A38" s="279">
        <v>40225</v>
      </c>
      <c r="B38" s="280">
        <v>2.3199999999999998</v>
      </c>
      <c r="D38" s="515">
        <v>40588</v>
      </c>
      <c r="E38" s="516">
        <v>2.37</v>
      </c>
    </row>
    <row r="39" spans="1:5" ht="12.75" x14ac:dyDescent="0.2">
      <c r="A39" s="279">
        <v>40226</v>
      </c>
      <c r="B39" s="280">
        <v>2.4</v>
      </c>
      <c r="D39" s="515">
        <v>40589</v>
      </c>
      <c r="E39" s="516">
        <v>2.35</v>
      </c>
    </row>
    <row r="40" spans="1:5" ht="12.75" x14ac:dyDescent="0.2">
      <c r="A40" s="279">
        <v>40227</v>
      </c>
      <c r="B40" s="280">
        <v>2.46</v>
      </c>
      <c r="D40" s="515">
        <v>40590</v>
      </c>
      <c r="E40" s="516">
        <v>2.37</v>
      </c>
    </row>
    <row r="41" spans="1:5" ht="12.75" x14ac:dyDescent="0.2">
      <c r="A41" s="279">
        <v>40228</v>
      </c>
      <c r="B41" s="280">
        <v>2.48</v>
      </c>
      <c r="D41" s="515">
        <v>40591</v>
      </c>
      <c r="E41" s="516">
        <v>2.2999999999999998</v>
      </c>
    </row>
    <row r="42" spans="1:5" ht="12.75" x14ac:dyDescent="0.2">
      <c r="A42" s="279">
        <v>40231</v>
      </c>
      <c r="B42" s="280">
        <v>2.4700000000000002</v>
      </c>
      <c r="D42" s="515">
        <v>40592</v>
      </c>
      <c r="E42" s="516">
        <v>2.2999999999999998</v>
      </c>
    </row>
    <row r="43" spans="1:5" ht="12.75" x14ac:dyDescent="0.2">
      <c r="A43" s="279">
        <v>40232</v>
      </c>
      <c r="B43" s="280">
        <v>2.37</v>
      </c>
      <c r="D43" s="515">
        <v>40596</v>
      </c>
      <c r="E43" s="516">
        <v>2.16</v>
      </c>
    </row>
    <row r="44" spans="1:5" ht="12.75" x14ac:dyDescent="0.2">
      <c r="A44" s="279">
        <v>40233</v>
      </c>
      <c r="B44" s="280">
        <v>2.4</v>
      </c>
      <c r="D44" s="515">
        <v>40597</v>
      </c>
      <c r="E44" s="516">
        <v>2.21</v>
      </c>
    </row>
    <row r="45" spans="1:5" ht="12.75" x14ac:dyDescent="0.2">
      <c r="A45" s="279">
        <v>40234</v>
      </c>
      <c r="B45" s="280">
        <v>2.33</v>
      </c>
      <c r="D45" s="515">
        <v>40598</v>
      </c>
      <c r="E45" s="516">
        <v>2.19</v>
      </c>
    </row>
    <row r="46" spans="1:5" ht="12.75" x14ac:dyDescent="0.2">
      <c r="A46" s="279">
        <v>40235</v>
      </c>
      <c r="B46" s="280">
        <v>2.2999999999999998</v>
      </c>
      <c r="D46" s="515">
        <v>40599</v>
      </c>
      <c r="E46" s="516">
        <v>2.16</v>
      </c>
    </row>
    <row r="47" spans="1:5" ht="12.75" x14ac:dyDescent="0.2">
      <c r="A47" s="279">
        <v>40238</v>
      </c>
      <c r="B47" s="280">
        <v>2.2799999999999998</v>
      </c>
      <c r="D47" s="515">
        <v>40602</v>
      </c>
      <c r="E47" s="516">
        <v>2.13</v>
      </c>
    </row>
    <row r="48" spans="1:5" ht="12.75" x14ac:dyDescent="0.2">
      <c r="A48" s="279">
        <v>40239</v>
      </c>
      <c r="B48" s="280">
        <v>2.27</v>
      </c>
      <c r="D48" s="515">
        <v>40603</v>
      </c>
      <c r="E48" s="516">
        <v>2.11</v>
      </c>
    </row>
    <row r="49" spans="1:5" ht="12.75" x14ac:dyDescent="0.2">
      <c r="A49" s="279">
        <v>40240</v>
      </c>
      <c r="B49" s="280">
        <v>2.27</v>
      </c>
      <c r="D49" s="515">
        <v>40604</v>
      </c>
      <c r="E49" s="516">
        <v>2.16</v>
      </c>
    </row>
    <row r="50" spans="1:5" ht="12.75" x14ac:dyDescent="0.2">
      <c r="A50" s="279">
        <v>40241</v>
      </c>
      <c r="B50" s="280">
        <v>2.2799999999999998</v>
      </c>
      <c r="D50" s="515">
        <v>40605</v>
      </c>
      <c r="E50" s="516">
        <v>2.2999999999999998</v>
      </c>
    </row>
    <row r="51" spans="1:5" ht="12.75" x14ac:dyDescent="0.2">
      <c r="A51" s="279">
        <v>40242</v>
      </c>
      <c r="B51" s="280">
        <v>2.35</v>
      </c>
      <c r="D51" s="515">
        <v>40606</v>
      </c>
      <c r="E51" s="516">
        <v>2.17</v>
      </c>
    </row>
    <row r="52" spans="1:5" ht="12.75" x14ac:dyDescent="0.2">
      <c r="A52" s="279">
        <v>40245</v>
      </c>
      <c r="B52" s="280">
        <v>2.36</v>
      </c>
      <c r="D52" s="515">
        <v>40609</v>
      </c>
      <c r="E52" s="516">
        <v>2.19</v>
      </c>
    </row>
    <row r="53" spans="1:5" ht="12.75" x14ac:dyDescent="0.2">
      <c r="A53" s="279">
        <v>40246</v>
      </c>
      <c r="B53" s="280">
        <v>2.34</v>
      </c>
      <c r="D53" s="515">
        <v>40610</v>
      </c>
      <c r="E53" s="516">
        <v>2.2200000000000002</v>
      </c>
    </row>
    <row r="54" spans="1:5" ht="12.75" x14ac:dyDescent="0.2">
      <c r="A54" s="279">
        <v>40247</v>
      </c>
      <c r="B54" s="280">
        <v>2.39</v>
      </c>
      <c r="D54" s="515">
        <v>40611</v>
      </c>
      <c r="E54" s="516">
        <v>2.16</v>
      </c>
    </row>
    <row r="55" spans="1:5" ht="12.75" x14ac:dyDescent="0.2">
      <c r="A55" s="279">
        <v>40248</v>
      </c>
      <c r="B55" s="280">
        <v>2.4300000000000002</v>
      </c>
      <c r="D55" s="515">
        <v>40612</v>
      </c>
      <c r="E55" s="516">
        <v>2.0499999999999998</v>
      </c>
    </row>
    <row r="56" spans="1:5" ht="12.75" x14ac:dyDescent="0.2">
      <c r="A56" s="279">
        <v>40249</v>
      </c>
      <c r="B56" s="280">
        <v>2.42</v>
      </c>
      <c r="D56" s="515">
        <v>40613</v>
      </c>
      <c r="E56" s="516">
        <v>2.06</v>
      </c>
    </row>
    <row r="57" spans="1:5" ht="12.75" x14ac:dyDescent="0.2">
      <c r="A57" s="279">
        <v>40252</v>
      </c>
      <c r="B57" s="280">
        <v>2.42</v>
      </c>
      <c r="D57" s="515">
        <v>40616</v>
      </c>
      <c r="E57" s="516">
        <v>2</v>
      </c>
    </row>
    <row r="58" spans="1:5" ht="12.75" x14ac:dyDescent="0.2">
      <c r="A58" s="279">
        <v>40253</v>
      </c>
      <c r="B58" s="280">
        <v>2.37</v>
      </c>
      <c r="D58" s="515">
        <v>40617</v>
      </c>
      <c r="E58" s="516">
        <v>2</v>
      </c>
    </row>
    <row r="59" spans="1:5" ht="12.75" x14ac:dyDescent="0.2">
      <c r="A59" s="279">
        <v>40254</v>
      </c>
      <c r="B59" s="280">
        <v>2.38</v>
      </c>
      <c r="D59" s="515">
        <v>40618</v>
      </c>
      <c r="E59" s="516">
        <v>1.87</v>
      </c>
    </row>
    <row r="60" spans="1:5" ht="12.75" x14ac:dyDescent="0.2">
      <c r="A60" s="279">
        <v>40255</v>
      </c>
      <c r="B60" s="280">
        <v>2.44</v>
      </c>
      <c r="D60" s="515">
        <v>40619</v>
      </c>
      <c r="E60" s="516">
        <v>1.91</v>
      </c>
    </row>
    <row r="61" spans="1:5" ht="12.75" x14ac:dyDescent="0.2">
      <c r="A61" s="279">
        <v>40256</v>
      </c>
      <c r="B61" s="280">
        <v>2.48</v>
      </c>
      <c r="D61" s="515">
        <v>40620</v>
      </c>
      <c r="E61" s="516">
        <v>1.96</v>
      </c>
    </row>
    <row r="62" spans="1:5" ht="12.75" x14ac:dyDescent="0.2">
      <c r="A62" s="279">
        <v>40259</v>
      </c>
      <c r="B62" s="280">
        <v>2.4300000000000002</v>
      </c>
      <c r="D62" s="515">
        <v>40623</v>
      </c>
      <c r="E62" s="516">
        <v>2.04</v>
      </c>
    </row>
    <row r="63" spans="1:5" ht="12.75" x14ac:dyDescent="0.2">
      <c r="A63" s="279">
        <v>40260</v>
      </c>
      <c r="B63" s="280">
        <v>2.44</v>
      </c>
      <c r="D63" s="515">
        <v>40624</v>
      </c>
      <c r="E63" s="516">
        <v>2.0699999999999998</v>
      </c>
    </row>
    <row r="64" spans="1:5" ht="12.75" x14ac:dyDescent="0.2">
      <c r="A64" s="279">
        <v>40261</v>
      </c>
      <c r="B64" s="280">
        <v>2.62</v>
      </c>
      <c r="D64" s="515">
        <v>40625</v>
      </c>
      <c r="E64" s="516">
        <v>2.0699999999999998</v>
      </c>
    </row>
    <row r="65" spans="1:5" ht="12.75" x14ac:dyDescent="0.2">
      <c r="A65" s="279">
        <v>40262</v>
      </c>
      <c r="B65" s="280">
        <v>2.65</v>
      </c>
      <c r="D65" s="515">
        <v>40626</v>
      </c>
      <c r="E65" s="516">
        <v>2.14</v>
      </c>
    </row>
    <row r="66" spans="1:5" ht="12.75" x14ac:dyDescent="0.2">
      <c r="A66" s="279">
        <v>40263</v>
      </c>
      <c r="B66" s="280">
        <v>2.59</v>
      </c>
      <c r="D66" s="515">
        <v>40627</v>
      </c>
      <c r="E66" s="516">
        <v>2.2000000000000002</v>
      </c>
    </row>
    <row r="67" spans="1:5" ht="12.75" x14ac:dyDescent="0.2">
      <c r="A67" s="279">
        <v>40266</v>
      </c>
      <c r="B67" s="280">
        <v>2.6</v>
      </c>
      <c r="D67" s="515">
        <v>40630</v>
      </c>
      <c r="E67" s="516">
        <v>2.23</v>
      </c>
    </row>
    <row r="68" spans="1:5" ht="12.75" x14ac:dyDescent="0.2">
      <c r="A68" s="279">
        <v>40267</v>
      </c>
      <c r="B68" s="280">
        <v>2.6</v>
      </c>
      <c r="D68" s="515">
        <v>40631</v>
      </c>
      <c r="E68" s="516">
        <v>2.25</v>
      </c>
    </row>
    <row r="69" spans="1:5" ht="12.75" x14ac:dyDescent="0.2">
      <c r="A69" s="279">
        <v>40268</v>
      </c>
      <c r="B69" s="280">
        <v>2.5499999999999998</v>
      </c>
      <c r="D69" s="515">
        <v>40632</v>
      </c>
      <c r="E69" s="516">
        <v>2.21</v>
      </c>
    </row>
    <row r="70" spans="1:5" ht="12.75" x14ac:dyDescent="0.2">
      <c r="A70" s="279">
        <v>40269</v>
      </c>
      <c r="B70" s="280">
        <v>2.59</v>
      </c>
      <c r="D70" s="515">
        <v>40633</v>
      </c>
      <c r="E70" s="516">
        <v>2.2400000000000002</v>
      </c>
    </row>
    <row r="71" spans="1:5" ht="12.75" x14ac:dyDescent="0.2">
      <c r="A71" s="279">
        <v>40270</v>
      </c>
      <c r="B71" s="280">
        <v>2.67</v>
      </c>
      <c r="D71" s="515">
        <v>40634</v>
      </c>
      <c r="E71" s="516">
        <v>2.2400000000000002</v>
      </c>
    </row>
    <row r="72" spans="1:5" ht="12.75" x14ac:dyDescent="0.2">
      <c r="A72" s="279">
        <v>40273</v>
      </c>
      <c r="B72" s="280">
        <v>2.75</v>
      </c>
      <c r="D72" s="515">
        <v>40637</v>
      </c>
      <c r="E72" s="516">
        <v>2.2000000000000002</v>
      </c>
    </row>
    <row r="73" spans="1:5" ht="12.75" x14ac:dyDescent="0.2">
      <c r="A73" s="279">
        <v>40274</v>
      </c>
      <c r="B73" s="280">
        <v>2.71</v>
      </c>
      <c r="D73" s="515">
        <v>40638</v>
      </c>
      <c r="E73" s="516">
        <v>2.2799999999999998</v>
      </c>
    </row>
    <row r="74" spans="1:5" ht="12.75" x14ac:dyDescent="0.2">
      <c r="A74" s="279">
        <v>40275</v>
      </c>
      <c r="B74" s="280">
        <v>2.62</v>
      </c>
      <c r="D74" s="515">
        <v>40639</v>
      </c>
      <c r="E74" s="516">
        <v>2.3199999999999998</v>
      </c>
    </row>
    <row r="75" spans="1:5" ht="12.75" x14ac:dyDescent="0.2">
      <c r="A75" s="279">
        <v>40276</v>
      </c>
      <c r="B75" s="280">
        <v>2.64</v>
      </c>
      <c r="D75" s="515">
        <v>40640</v>
      </c>
      <c r="E75" s="516">
        <v>2.29</v>
      </c>
    </row>
    <row r="76" spans="1:5" ht="12.75" x14ac:dyDescent="0.2">
      <c r="A76" s="279">
        <v>40277</v>
      </c>
      <c r="B76" s="280">
        <v>2.65</v>
      </c>
      <c r="D76" s="515">
        <v>40641</v>
      </c>
      <c r="E76" s="516">
        <v>2.31</v>
      </c>
    </row>
    <row r="77" spans="1:5" ht="12.75" x14ac:dyDescent="0.2">
      <c r="A77" s="279">
        <v>40280</v>
      </c>
      <c r="B77" s="280">
        <v>2.6</v>
      </c>
      <c r="D77" s="515">
        <v>40644</v>
      </c>
      <c r="E77" s="516">
        <v>2.31</v>
      </c>
    </row>
    <row r="78" spans="1:5" ht="12.75" x14ac:dyDescent="0.2">
      <c r="A78" s="279">
        <v>40281</v>
      </c>
      <c r="B78" s="280">
        <v>2.58</v>
      </c>
      <c r="D78" s="515">
        <v>40645</v>
      </c>
      <c r="E78" s="516">
        <v>2.2200000000000002</v>
      </c>
    </row>
    <row r="79" spans="1:5" ht="12.75" x14ac:dyDescent="0.2">
      <c r="A79" s="279">
        <v>40282</v>
      </c>
      <c r="B79" s="280">
        <v>2.61</v>
      </c>
      <c r="D79" s="515">
        <v>40646</v>
      </c>
      <c r="E79" s="516">
        <v>2.19</v>
      </c>
    </row>
    <row r="80" spans="1:5" ht="12.75" x14ac:dyDescent="0.2">
      <c r="A80" s="279">
        <v>40283</v>
      </c>
      <c r="B80" s="280">
        <v>2.57</v>
      </c>
      <c r="D80" s="515">
        <v>40647</v>
      </c>
      <c r="E80" s="516">
        <v>2.23</v>
      </c>
    </row>
    <row r="81" spans="1:5" ht="12.75" x14ac:dyDescent="0.2">
      <c r="A81" s="279">
        <v>40284</v>
      </c>
      <c r="B81" s="280">
        <v>2.4900000000000002</v>
      </c>
      <c r="D81" s="515">
        <v>40648</v>
      </c>
      <c r="E81" s="516">
        <v>2.14</v>
      </c>
    </row>
    <row r="82" spans="1:5" ht="12.75" x14ac:dyDescent="0.2">
      <c r="A82" s="279">
        <v>40287</v>
      </c>
      <c r="B82" s="280">
        <v>2.54</v>
      </c>
      <c r="D82" s="515">
        <v>40651</v>
      </c>
      <c r="E82" s="516">
        <v>2.09</v>
      </c>
    </row>
    <row r="83" spans="1:5" ht="12.75" x14ac:dyDescent="0.2">
      <c r="A83" s="279">
        <v>40288</v>
      </c>
      <c r="B83" s="280">
        <v>2.56</v>
      </c>
      <c r="D83" s="515">
        <v>40652</v>
      </c>
      <c r="E83" s="516">
        <v>2.09</v>
      </c>
    </row>
    <row r="84" spans="1:5" ht="12.75" x14ac:dyDescent="0.2">
      <c r="A84" s="279">
        <v>40289</v>
      </c>
      <c r="B84" s="280">
        <v>2.52</v>
      </c>
      <c r="D84" s="515">
        <v>40653</v>
      </c>
      <c r="E84" s="516">
        <v>2.15</v>
      </c>
    </row>
    <row r="85" spans="1:5" ht="12.75" x14ac:dyDescent="0.2">
      <c r="A85" s="279">
        <v>40290</v>
      </c>
      <c r="B85" s="280">
        <v>2.57</v>
      </c>
      <c r="D85" s="515">
        <v>40654</v>
      </c>
      <c r="E85" s="516">
        <v>2.14</v>
      </c>
    </row>
    <row r="86" spans="1:5" ht="12.75" x14ac:dyDescent="0.2">
      <c r="A86" s="279">
        <v>40291</v>
      </c>
      <c r="B86" s="280">
        <v>2.61</v>
      </c>
      <c r="D86" s="515">
        <v>40658</v>
      </c>
      <c r="E86" s="516">
        <v>2.1</v>
      </c>
    </row>
    <row r="87" spans="1:5" ht="12.75" x14ac:dyDescent="0.2">
      <c r="A87" s="279">
        <v>40294</v>
      </c>
      <c r="B87" s="280">
        <v>2.6</v>
      </c>
      <c r="D87" s="515">
        <v>40659</v>
      </c>
      <c r="E87" s="516">
        <v>2.0499999999999998</v>
      </c>
    </row>
    <row r="88" spans="1:5" ht="12.75" x14ac:dyDescent="0.2">
      <c r="A88" s="279">
        <v>40295</v>
      </c>
      <c r="B88" s="280">
        <v>2.46</v>
      </c>
      <c r="D88" s="515">
        <v>40660</v>
      </c>
      <c r="E88" s="516">
        <v>2.06</v>
      </c>
    </row>
    <row r="89" spans="1:5" ht="12.75" x14ac:dyDescent="0.2">
      <c r="A89" s="279">
        <v>40296</v>
      </c>
      <c r="B89" s="280">
        <v>2.5299999999999998</v>
      </c>
      <c r="D89" s="515">
        <v>40661</v>
      </c>
      <c r="E89" s="516">
        <v>2</v>
      </c>
    </row>
    <row r="90" spans="1:5" ht="12.75" x14ac:dyDescent="0.2">
      <c r="A90" s="279">
        <v>40297</v>
      </c>
      <c r="B90" s="280">
        <v>2.4900000000000002</v>
      </c>
      <c r="D90" s="515">
        <v>40662</v>
      </c>
      <c r="E90" s="516">
        <v>1.97</v>
      </c>
    </row>
    <row r="91" spans="1:5" ht="12.75" x14ac:dyDescent="0.2">
      <c r="A91" s="279">
        <v>40298</v>
      </c>
      <c r="B91" s="280">
        <v>2.4300000000000002</v>
      </c>
      <c r="D91" s="515">
        <v>40665</v>
      </c>
      <c r="E91" s="516">
        <v>1.96</v>
      </c>
    </row>
    <row r="92" spans="1:5" ht="12.75" x14ac:dyDescent="0.2">
      <c r="A92" s="279">
        <v>40301</v>
      </c>
      <c r="B92" s="280">
        <v>2.4700000000000002</v>
      </c>
      <c r="D92" s="515">
        <v>40666</v>
      </c>
      <c r="E92" s="516">
        <v>1.96</v>
      </c>
    </row>
    <row r="93" spans="1:5" ht="12.75" x14ac:dyDescent="0.2">
      <c r="A93" s="279">
        <v>40302</v>
      </c>
      <c r="B93" s="280">
        <v>2.38</v>
      </c>
      <c r="D93" s="515">
        <v>40667</v>
      </c>
      <c r="E93" s="516">
        <v>1.95</v>
      </c>
    </row>
    <row r="94" spans="1:5" ht="12.75" x14ac:dyDescent="0.2">
      <c r="A94" s="279">
        <v>40303</v>
      </c>
      <c r="B94" s="280">
        <v>2.31</v>
      </c>
      <c r="D94" s="515">
        <v>40668</v>
      </c>
      <c r="E94" s="516">
        <v>1.88</v>
      </c>
    </row>
    <row r="95" spans="1:5" ht="12.75" x14ac:dyDescent="0.2">
      <c r="A95" s="279">
        <v>40304</v>
      </c>
      <c r="B95" s="280">
        <v>2.13</v>
      </c>
      <c r="D95" s="515">
        <v>40669</v>
      </c>
      <c r="E95" s="516">
        <v>1.87</v>
      </c>
    </row>
    <row r="96" spans="1:5" ht="12.75" x14ac:dyDescent="0.2">
      <c r="A96" s="279">
        <v>40305</v>
      </c>
      <c r="B96" s="280">
        <v>2.17</v>
      </c>
      <c r="D96" s="515">
        <v>40672</v>
      </c>
      <c r="E96" s="516">
        <v>1.84</v>
      </c>
    </row>
    <row r="97" spans="1:5" ht="12.75" x14ac:dyDescent="0.2">
      <c r="A97" s="279">
        <v>40308</v>
      </c>
      <c r="B97" s="280">
        <v>2.27</v>
      </c>
      <c r="D97" s="515">
        <v>40673</v>
      </c>
      <c r="E97" s="516">
        <v>1.91</v>
      </c>
    </row>
    <row r="98" spans="1:5" ht="12.75" x14ac:dyDescent="0.2">
      <c r="A98" s="279">
        <v>40309</v>
      </c>
      <c r="B98" s="280">
        <v>2.2599999999999998</v>
      </c>
      <c r="D98" s="515">
        <v>40674</v>
      </c>
      <c r="E98" s="516">
        <v>1.87</v>
      </c>
    </row>
    <row r="99" spans="1:5" ht="12.75" x14ac:dyDescent="0.2">
      <c r="A99" s="279">
        <v>40310</v>
      </c>
      <c r="B99" s="280">
        <v>2.29</v>
      </c>
      <c r="D99" s="515">
        <v>40675</v>
      </c>
      <c r="E99" s="516">
        <v>1.89</v>
      </c>
    </row>
    <row r="100" spans="1:5" ht="12.75" x14ac:dyDescent="0.2">
      <c r="A100" s="279">
        <v>40311</v>
      </c>
      <c r="B100" s="280">
        <v>2.27</v>
      </c>
      <c r="D100" s="515">
        <v>40676</v>
      </c>
      <c r="E100" s="516">
        <v>1.86</v>
      </c>
    </row>
    <row r="101" spans="1:5" ht="12.75" x14ac:dyDescent="0.2">
      <c r="A101" s="279">
        <v>40312</v>
      </c>
      <c r="B101" s="280">
        <v>2.16</v>
      </c>
      <c r="D101" s="515">
        <v>40679</v>
      </c>
      <c r="E101" s="516">
        <v>1.83</v>
      </c>
    </row>
    <row r="102" spans="1:5" ht="12.75" x14ac:dyDescent="0.2">
      <c r="A102" s="279">
        <v>40315</v>
      </c>
      <c r="B102" s="280">
        <v>2.2000000000000002</v>
      </c>
      <c r="D102" s="515">
        <v>40680</v>
      </c>
      <c r="E102" s="516">
        <v>1.8</v>
      </c>
    </row>
    <row r="103" spans="1:5" ht="12.75" x14ac:dyDescent="0.2">
      <c r="A103" s="279">
        <v>40316</v>
      </c>
      <c r="B103" s="280">
        <v>2.11</v>
      </c>
      <c r="D103" s="515">
        <v>40681</v>
      </c>
      <c r="E103" s="516">
        <v>1.87</v>
      </c>
    </row>
    <row r="104" spans="1:5" ht="12.75" x14ac:dyDescent="0.2">
      <c r="A104" s="279">
        <v>40317</v>
      </c>
      <c r="B104" s="280">
        <v>2.13</v>
      </c>
      <c r="D104" s="515">
        <v>40682</v>
      </c>
      <c r="E104" s="516">
        <v>1.85</v>
      </c>
    </row>
    <row r="105" spans="1:5" ht="12.75" x14ac:dyDescent="0.2">
      <c r="A105" s="279">
        <v>40318</v>
      </c>
      <c r="B105" s="280">
        <v>2.04</v>
      </c>
      <c r="D105" s="515">
        <v>40683</v>
      </c>
      <c r="E105" s="516">
        <v>1.82</v>
      </c>
    </row>
    <row r="106" spans="1:5" ht="12.75" x14ac:dyDescent="0.2">
      <c r="A106" s="279">
        <v>40319</v>
      </c>
      <c r="B106" s="280">
        <v>2.02</v>
      </c>
      <c r="D106" s="515">
        <v>40686</v>
      </c>
      <c r="E106" s="516">
        <v>1.8</v>
      </c>
    </row>
    <row r="107" spans="1:5" ht="12.75" x14ac:dyDescent="0.2">
      <c r="A107" s="279">
        <v>40322</v>
      </c>
      <c r="B107" s="280">
        <v>2.04</v>
      </c>
      <c r="D107" s="515">
        <v>40687</v>
      </c>
      <c r="E107" s="516">
        <v>1.81</v>
      </c>
    </row>
    <row r="108" spans="1:5" ht="12.75" x14ac:dyDescent="0.2">
      <c r="A108" s="279">
        <v>40323</v>
      </c>
      <c r="B108" s="280">
        <v>2.0099999999999998</v>
      </c>
      <c r="D108" s="515">
        <v>40688</v>
      </c>
      <c r="E108" s="516">
        <v>1.81</v>
      </c>
    </row>
    <row r="109" spans="1:5" ht="12.75" x14ac:dyDescent="0.2">
      <c r="A109" s="279">
        <v>40324</v>
      </c>
      <c r="B109" s="280">
        <v>2.06</v>
      </c>
      <c r="D109" s="515">
        <v>40689</v>
      </c>
      <c r="E109" s="516">
        <v>1.72</v>
      </c>
    </row>
    <row r="110" spans="1:5" ht="12.75" x14ac:dyDescent="0.2">
      <c r="A110" s="279">
        <v>40325</v>
      </c>
      <c r="B110" s="280">
        <v>2.1800000000000002</v>
      </c>
      <c r="D110" s="515">
        <v>40690</v>
      </c>
      <c r="E110" s="516">
        <v>1.71</v>
      </c>
    </row>
    <row r="111" spans="1:5" ht="12.75" x14ac:dyDescent="0.2">
      <c r="A111" s="279">
        <v>40326</v>
      </c>
      <c r="B111" s="280">
        <v>2.1</v>
      </c>
      <c r="D111" s="515">
        <v>40694</v>
      </c>
      <c r="E111" s="516">
        <v>1.68</v>
      </c>
    </row>
    <row r="112" spans="1:5" ht="12.75" x14ac:dyDescent="0.2">
      <c r="A112" s="279">
        <v>40330</v>
      </c>
      <c r="B112" s="280">
        <v>2.09</v>
      </c>
      <c r="D112" s="515">
        <v>40695</v>
      </c>
      <c r="E112" s="516">
        <v>1.6</v>
      </c>
    </row>
    <row r="113" spans="1:5" ht="12.75" x14ac:dyDescent="0.2">
      <c r="A113" s="279">
        <v>40331</v>
      </c>
      <c r="B113" s="280">
        <v>2.14</v>
      </c>
      <c r="D113" s="515">
        <v>40696</v>
      </c>
      <c r="E113" s="516">
        <v>1.65</v>
      </c>
    </row>
    <row r="114" spans="1:5" ht="12.75" x14ac:dyDescent="0.2">
      <c r="A114" s="279">
        <v>40332</v>
      </c>
      <c r="B114" s="280">
        <v>2.17</v>
      </c>
      <c r="D114" s="515">
        <v>40697</v>
      </c>
      <c r="E114" s="516">
        <v>1.6</v>
      </c>
    </row>
    <row r="115" spans="1:5" ht="12.75" x14ac:dyDescent="0.2">
      <c r="A115" s="279">
        <v>40333</v>
      </c>
      <c r="B115" s="280">
        <v>1.98</v>
      </c>
      <c r="D115" s="515">
        <v>40700</v>
      </c>
      <c r="E115" s="516">
        <v>1.6</v>
      </c>
    </row>
    <row r="116" spans="1:5" ht="12.75" x14ac:dyDescent="0.2">
      <c r="A116" s="279">
        <v>40336</v>
      </c>
      <c r="B116" s="280">
        <v>1.95</v>
      </c>
      <c r="D116" s="515">
        <v>40701</v>
      </c>
      <c r="E116" s="516">
        <v>1.59</v>
      </c>
    </row>
    <row r="117" spans="1:5" ht="12.75" x14ac:dyDescent="0.2">
      <c r="A117" s="279">
        <v>40337</v>
      </c>
      <c r="B117" s="280">
        <v>1.98</v>
      </c>
      <c r="D117" s="515">
        <v>40702</v>
      </c>
      <c r="E117" s="516">
        <v>1.52</v>
      </c>
    </row>
    <row r="118" spans="1:5" ht="12.75" x14ac:dyDescent="0.2">
      <c r="A118" s="279">
        <v>40338</v>
      </c>
      <c r="B118" s="280">
        <v>1.99</v>
      </c>
      <c r="D118" s="515">
        <v>40703</v>
      </c>
      <c r="E118" s="516">
        <v>1.6</v>
      </c>
    </row>
    <row r="119" spans="1:5" ht="12.75" x14ac:dyDescent="0.2">
      <c r="A119" s="279">
        <v>40339</v>
      </c>
      <c r="B119" s="280">
        <v>2.12</v>
      </c>
      <c r="D119" s="515">
        <v>40704</v>
      </c>
      <c r="E119" s="516">
        <v>1.58</v>
      </c>
    </row>
    <row r="120" spans="1:5" ht="12.75" x14ac:dyDescent="0.2">
      <c r="A120" s="279">
        <v>40340</v>
      </c>
      <c r="B120" s="280">
        <v>2.0299999999999998</v>
      </c>
      <c r="D120" s="515">
        <v>40707</v>
      </c>
      <c r="E120" s="516">
        <v>1.59</v>
      </c>
    </row>
    <row r="121" spans="1:5" ht="12.75" x14ac:dyDescent="0.2">
      <c r="A121" s="279">
        <v>40343</v>
      </c>
      <c r="B121" s="280">
        <v>2.0699999999999998</v>
      </c>
      <c r="D121" s="515">
        <v>40708</v>
      </c>
      <c r="E121" s="516">
        <v>1.7</v>
      </c>
    </row>
    <row r="122" spans="1:5" ht="12.75" x14ac:dyDescent="0.2">
      <c r="A122" s="279">
        <v>40344</v>
      </c>
      <c r="B122" s="280">
        <v>2.1</v>
      </c>
      <c r="D122" s="515">
        <v>40709</v>
      </c>
      <c r="E122" s="516">
        <v>1.55</v>
      </c>
    </row>
    <row r="123" spans="1:5" ht="12.75" x14ac:dyDescent="0.2">
      <c r="A123" s="279">
        <v>40345</v>
      </c>
      <c r="B123" s="280">
        <v>2.06</v>
      </c>
      <c r="D123" s="515">
        <v>40710</v>
      </c>
      <c r="E123" s="516">
        <v>1.52</v>
      </c>
    </row>
    <row r="124" spans="1:5" ht="12.75" x14ac:dyDescent="0.2">
      <c r="A124" s="279">
        <v>40346</v>
      </c>
      <c r="B124" s="280">
        <v>2.0099999999999998</v>
      </c>
      <c r="D124" s="515">
        <v>40711</v>
      </c>
      <c r="E124" s="516">
        <v>1.53</v>
      </c>
    </row>
    <row r="125" spans="1:5" ht="12.75" x14ac:dyDescent="0.2">
      <c r="A125" s="279">
        <v>40347</v>
      </c>
      <c r="B125" s="280">
        <v>2.04</v>
      </c>
      <c r="D125" s="515">
        <v>40714</v>
      </c>
      <c r="E125" s="516">
        <v>1.55</v>
      </c>
    </row>
    <row r="126" spans="1:5" ht="12.75" x14ac:dyDescent="0.2">
      <c r="A126" s="279">
        <v>40350</v>
      </c>
      <c r="B126" s="280">
        <v>2.0499999999999998</v>
      </c>
      <c r="D126" s="515">
        <v>40715</v>
      </c>
      <c r="E126" s="516">
        <v>1.57</v>
      </c>
    </row>
    <row r="127" spans="1:5" ht="12.75" x14ac:dyDescent="0.2">
      <c r="A127" s="279">
        <v>40351</v>
      </c>
      <c r="B127" s="280">
        <v>1.98</v>
      </c>
      <c r="D127" s="515">
        <v>40716</v>
      </c>
      <c r="E127" s="516">
        <v>1.58</v>
      </c>
    </row>
    <row r="128" spans="1:5" ht="12.75" x14ac:dyDescent="0.2">
      <c r="A128" s="279">
        <v>40352</v>
      </c>
      <c r="B128" s="280">
        <v>1.93</v>
      </c>
      <c r="D128" s="515">
        <v>40717</v>
      </c>
      <c r="E128" s="516">
        <v>1.48</v>
      </c>
    </row>
    <row r="129" spans="1:5" ht="12.75" x14ac:dyDescent="0.2">
      <c r="A129" s="279">
        <v>40353</v>
      </c>
      <c r="B129" s="280">
        <v>1.93</v>
      </c>
      <c r="D129" s="515">
        <v>40718</v>
      </c>
      <c r="E129" s="516">
        <v>1.4</v>
      </c>
    </row>
    <row r="130" spans="1:5" ht="12.75" x14ac:dyDescent="0.2">
      <c r="A130" s="279">
        <v>40354</v>
      </c>
      <c r="B130" s="280">
        <v>1.9</v>
      </c>
      <c r="D130" s="515">
        <v>40721</v>
      </c>
      <c r="E130" s="516">
        <v>1.47</v>
      </c>
    </row>
    <row r="131" spans="1:5" ht="12.75" x14ac:dyDescent="0.2">
      <c r="A131" s="279">
        <v>40357</v>
      </c>
      <c r="B131" s="280">
        <v>1.83</v>
      </c>
      <c r="D131" s="515">
        <v>40722</v>
      </c>
      <c r="E131" s="516">
        <v>1.62</v>
      </c>
    </row>
    <row r="132" spans="1:5" ht="12.75" x14ac:dyDescent="0.2">
      <c r="A132" s="279">
        <v>40358</v>
      </c>
      <c r="B132" s="280">
        <v>1.78</v>
      </c>
      <c r="D132" s="515">
        <v>40723</v>
      </c>
      <c r="E132" s="516">
        <v>1.7</v>
      </c>
    </row>
    <row r="133" spans="1:5" ht="12.75" x14ac:dyDescent="0.2">
      <c r="A133" s="279">
        <v>40359</v>
      </c>
      <c r="B133" s="280">
        <v>1.79</v>
      </c>
      <c r="D133" s="515">
        <v>40724</v>
      </c>
      <c r="E133" s="516">
        <v>1.76</v>
      </c>
    </row>
    <row r="134" spans="1:5" ht="12.75" x14ac:dyDescent="0.2">
      <c r="A134" s="279">
        <v>40360</v>
      </c>
      <c r="B134" s="280">
        <v>1.8</v>
      </c>
      <c r="D134" s="515">
        <v>40725</v>
      </c>
      <c r="E134" s="516">
        <v>1.8</v>
      </c>
    </row>
    <row r="135" spans="1:5" ht="12.75" x14ac:dyDescent="0.2">
      <c r="A135" s="279">
        <v>40361</v>
      </c>
      <c r="B135" s="280">
        <v>1.82</v>
      </c>
      <c r="D135" s="515">
        <v>40729</v>
      </c>
      <c r="E135" s="516">
        <v>1.7</v>
      </c>
    </row>
    <row r="136" spans="1:5" ht="12.75" x14ac:dyDescent="0.2">
      <c r="A136" s="279">
        <v>40365</v>
      </c>
      <c r="B136" s="280">
        <v>1.76</v>
      </c>
      <c r="D136" s="515">
        <v>40730</v>
      </c>
      <c r="E136" s="516">
        <v>1.66</v>
      </c>
    </row>
    <row r="137" spans="1:5" ht="12.75" x14ac:dyDescent="0.2">
      <c r="A137" s="279">
        <v>40366</v>
      </c>
      <c r="B137" s="280">
        <v>1.79</v>
      </c>
      <c r="D137" s="515">
        <v>40731</v>
      </c>
      <c r="E137" s="516">
        <v>1.74</v>
      </c>
    </row>
    <row r="138" spans="1:5" ht="12.75" x14ac:dyDescent="0.2">
      <c r="A138" s="279">
        <v>40367</v>
      </c>
      <c r="B138" s="280">
        <v>1.8</v>
      </c>
      <c r="D138" s="515">
        <v>40732</v>
      </c>
      <c r="E138" s="516">
        <v>1.57</v>
      </c>
    </row>
    <row r="139" spans="1:5" ht="12.75" x14ac:dyDescent="0.2">
      <c r="A139" s="279">
        <v>40368</v>
      </c>
      <c r="B139" s="280">
        <v>1.85</v>
      </c>
      <c r="D139" s="515">
        <v>40735</v>
      </c>
      <c r="E139" s="516">
        <v>1.49</v>
      </c>
    </row>
    <row r="140" spans="1:5" ht="12.75" x14ac:dyDescent="0.2">
      <c r="A140" s="279">
        <v>40371</v>
      </c>
      <c r="B140" s="280">
        <v>1.85</v>
      </c>
      <c r="D140" s="515">
        <v>40736</v>
      </c>
      <c r="E140" s="516">
        <v>1.47</v>
      </c>
    </row>
    <row r="141" spans="1:5" ht="12.75" x14ac:dyDescent="0.2">
      <c r="A141" s="279">
        <v>40372</v>
      </c>
      <c r="B141" s="280">
        <v>1.9</v>
      </c>
      <c r="D141" s="515">
        <v>40737</v>
      </c>
      <c r="E141" s="516">
        <v>1.45</v>
      </c>
    </row>
    <row r="142" spans="1:5" ht="12.75" x14ac:dyDescent="0.2">
      <c r="A142" s="279">
        <v>40373</v>
      </c>
      <c r="B142" s="280">
        <v>1.82</v>
      </c>
      <c r="D142" s="515">
        <v>40738</v>
      </c>
      <c r="E142" s="516">
        <v>1.51</v>
      </c>
    </row>
    <row r="143" spans="1:5" ht="12.75" x14ac:dyDescent="0.2">
      <c r="A143" s="279">
        <v>40374</v>
      </c>
      <c r="B143" s="280">
        <v>1.76</v>
      </c>
      <c r="D143" s="515">
        <v>40739</v>
      </c>
      <c r="E143" s="516">
        <v>1.46</v>
      </c>
    </row>
    <row r="144" spans="1:5" ht="12.75" x14ac:dyDescent="0.2">
      <c r="A144" s="279">
        <v>40375</v>
      </c>
      <c r="B144" s="280">
        <v>1.7</v>
      </c>
      <c r="D144" s="515">
        <v>40742</v>
      </c>
      <c r="E144" s="516">
        <v>1.45</v>
      </c>
    </row>
    <row r="145" spans="1:5" ht="12.75" x14ac:dyDescent="0.2">
      <c r="A145" s="279">
        <v>40378</v>
      </c>
      <c r="B145" s="280">
        <v>1.73</v>
      </c>
      <c r="D145" s="515">
        <v>40743</v>
      </c>
      <c r="E145" s="516">
        <v>1.45</v>
      </c>
    </row>
    <row r="146" spans="1:5" ht="12.75" x14ac:dyDescent="0.2">
      <c r="A146" s="279">
        <v>40379</v>
      </c>
      <c r="B146" s="280">
        <v>1.71</v>
      </c>
      <c r="D146" s="515">
        <v>40744</v>
      </c>
      <c r="E146" s="516">
        <v>1.49</v>
      </c>
    </row>
    <row r="147" spans="1:5" ht="12.75" x14ac:dyDescent="0.2">
      <c r="A147" s="279">
        <v>40380</v>
      </c>
      <c r="B147" s="280">
        <v>1.66</v>
      </c>
      <c r="D147" s="515">
        <v>40745</v>
      </c>
      <c r="E147" s="516">
        <v>1.56</v>
      </c>
    </row>
    <row r="148" spans="1:5" ht="12.75" x14ac:dyDescent="0.2">
      <c r="A148" s="279">
        <v>40381</v>
      </c>
      <c r="B148" s="280">
        <v>1.69</v>
      </c>
      <c r="D148" s="515">
        <v>40746</v>
      </c>
      <c r="E148" s="516">
        <v>1.53</v>
      </c>
    </row>
    <row r="149" spans="1:5" ht="12.75" x14ac:dyDescent="0.2">
      <c r="A149" s="279">
        <v>40382</v>
      </c>
      <c r="B149" s="280">
        <v>1.75</v>
      </c>
      <c r="D149" s="515">
        <v>40749</v>
      </c>
      <c r="E149" s="516">
        <v>1.55</v>
      </c>
    </row>
    <row r="150" spans="1:5" ht="12.75" x14ac:dyDescent="0.2">
      <c r="A150" s="279">
        <v>40385</v>
      </c>
      <c r="B150" s="280">
        <v>1.76</v>
      </c>
      <c r="D150" s="515">
        <v>40750</v>
      </c>
      <c r="E150" s="516">
        <v>1.51</v>
      </c>
    </row>
    <row r="151" spans="1:5" ht="12.75" x14ac:dyDescent="0.2">
      <c r="A151" s="279">
        <v>40386</v>
      </c>
      <c r="B151" s="280">
        <v>1.82</v>
      </c>
      <c r="D151" s="515">
        <v>40751</v>
      </c>
      <c r="E151" s="516">
        <v>1.56</v>
      </c>
    </row>
    <row r="152" spans="1:5" ht="12.75" x14ac:dyDescent="0.2">
      <c r="A152" s="279">
        <v>40387</v>
      </c>
      <c r="B152" s="280">
        <v>1.75</v>
      </c>
      <c r="D152" s="515">
        <v>40752</v>
      </c>
      <c r="E152" s="516">
        <v>1.52</v>
      </c>
    </row>
    <row r="153" spans="1:5" ht="12.75" x14ac:dyDescent="0.2">
      <c r="A153" s="279">
        <v>40388</v>
      </c>
      <c r="B153" s="280">
        <v>1.7</v>
      </c>
      <c r="D153" s="515">
        <v>40753</v>
      </c>
      <c r="E153" s="516">
        <v>1.35</v>
      </c>
    </row>
    <row r="154" spans="1:5" ht="12.75" x14ac:dyDescent="0.2">
      <c r="A154" s="279">
        <v>40389</v>
      </c>
      <c r="B154" s="280">
        <v>1.6</v>
      </c>
      <c r="D154" s="515">
        <v>40756</v>
      </c>
      <c r="E154" s="516">
        <v>1.32</v>
      </c>
    </row>
    <row r="155" spans="1:5" ht="12.75" x14ac:dyDescent="0.2">
      <c r="A155" s="279">
        <v>40392</v>
      </c>
      <c r="B155" s="280">
        <v>1.64</v>
      </c>
      <c r="D155" s="515">
        <v>40757</v>
      </c>
      <c r="E155" s="516">
        <v>1.23</v>
      </c>
    </row>
    <row r="156" spans="1:5" ht="12.75" x14ac:dyDescent="0.2">
      <c r="A156" s="279">
        <v>40393</v>
      </c>
      <c r="B156" s="280">
        <v>1.55</v>
      </c>
      <c r="D156" s="515">
        <v>40758</v>
      </c>
      <c r="E156" s="516">
        <v>1.25</v>
      </c>
    </row>
    <row r="157" spans="1:5" ht="12.75" x14ac:dyDescent="0.2">
      <c r="A157" s="279">
        <v>40394</v>
      </c>
      <c r="B157" s="280">
        <v>1.62</v>
      </c>
      <c r="D157" s="515">
        <v>40759</v>
      </c>
      <c r="E157" s="516">
        <v>1.1200000000000001</v>
      </c>
    </row>
    <row r="158" spans="1:5" ht="12.75" x14ac:dyDescent="0.2">
      <c r="A158" s="279">
        <v>40395</v>
      </c>
      <c r="B158" s="280">
        <v>1.57</v>
      </c>
      <c r="D158" s="515">
        <v>40760</v>
      </c>
      <c r="E158" s="516">
        <v>1.23</v>
      </c>
    </row>
    <row r="159" spans="1:5" ht="12.75" x14ac:dyDescent="0.2">
      <c r="A159" s="279">
        <v>40396</v>
      </c>
      <c r="B159" s="280">
        <v>1.51</v>
      </c>
      <c r="D159" s="515">
        <v>40763</v>
      </c>
      <c r="E159" s="516">
        <v>1.1100000000000001</v>
      </c>
    </row>
    <row r="160" spans="1:5" ht="12.75" x14ac:dyDescent="0.2">
      <c r="A160" s="279">
        <v>40399</v>
      </c>
      <c r="B160" s="280">
        <v>1.54</v>
      </c>
      <c r="D160" s="515">
        <v>40764</v>
      </c>
      <c r="E160" s="516">
        <v>0.91</v>
      </c>
    </row>
    <row r="161" spans="1:5" ht="12.75" x14ac:dyDescent="0.2">
      <c r="A161" s="279">
        <v>40400</v>
      </c>
      <c r="B161" s="280">
        <v>1.46</v>
      </c>
      <c r="D161" s="515">
        <v>40765</v>
      </c>
      <c r="E161" s="516">
        <v>0.93</v>
      </c>
    </row>
    <row r="162" spans="1:5" ht="12.75" x14ac:dyDescent="0.2">
      <c r="A162" s="279">
        <v>40401</v>
      </c>
      <c r="B162" s="280">
        <v>1.44</v>
      </c>
      <c r="D162" s="515">
        <v>40766</v>
      </c>
      <c r="E162" s="516">
        <v>1.02</v>
      </c>
    </row>
    <row r="163" spans="1:5" ht="12.75" x14ac:dyDescent="0.2">
      <c r="A163" s="279">
        <v>40402</v>
      </c>
      <c r="B163" s="280">
        <v>1.48</v>
      </c>
      <c r="D163" s="515">
        <v>40767</v>
      </c>
      <c r="E163" s="516">
        <v>0.96</v>
      </c>
    </row>
    <row r="164" spans="1:5" ht="12.75" x14ac:dyDescent="0.2">
      <c r="A164" s="279">
        <v>40403</v>
      </c>
      <c r="B164" s="280">
        <v>1.47</v>
      </c>
      <c r="D164" s="515">
        <v>40770</v>
      </c>
      <c r="E164" s="516">
        <v>0.99</v>
      </c>
    </row>
    <row r="165" spans="1:5" ht="12.75" x14ac:dyDescent="0.2">
      <c r="A165" s="279">
        <v>40406</v>
      </c>
      <c r="B165" s="280">
        <v>1.4</v>
      </c>
      <c r="D165" s="515">
        <v>40771</v>
      </c>
      <c r="E165" s="516">
        <v>0.95</v>
      </c>
    </row>
    <row r="166" spans="1:5" ht="12.75" x14ac:dyDescent="0.2">
      <c r="A166" s="279">
        <v>40407</v>
      </c>
      <c r="B166" s="280">
        <v>1.44</v>
      </c>
      <c r="D166" s="515">
        <v>40772</v>
      </c>
      <c r="E166" s="516">
        <v>0.92</v>
      </c>
    </row>
    <row r="167" spans="1:5" ht="12.75" x14ac:dyDescent="0.2">
      <c r="A167" s="279">
        <v>40408</v>
      </c>
      <c r="B167" s="280">
        <v>1.46</v>
      </c>
      <c r="D167" s="515">
        <v>40773</v>
      </c>
      <c r="E167" s="516">
        <v>0.9</v>
      </c>
    </row>
    <row r="168" spans="1:5" ht="12.75" x14ac:dyDescent="0.2">
      <c r="A168" s="279">
        <v>40409</v>
      </c>
      <c r="B168" s="280">
        <v>1.41</v>
      </c>
      <c r="D168" s="515">
        <v>40774</v>
      </c>
      <c r="E168" s="516">
        <v>0.9</v>
      </c>
    </row>
    <row r="169" spans="1:5" ht="12.75" x14ac:dyDescent="0.2">
      <c r="A169" s="279">
        <v>40410</v>
      </c>
      <c r="B169" s="280">
        <v>1.47</v>
      </c>
      <c r="D169" s="515">
        <v>40777</v>
      </c>
      <c r="E169" s="516">
        <v>0.94</v>
      </c>
    </row>
    <row r="170" spans="1:5" ht="12.75" x14ac:dyDescent="0.2">
      <c r="A170" s="279">
        <v>40413</v>
      </c>
      <c r="B170" s="280">
        <v>1.43</v>
      </c>
      <c r="D170" s="515">
        <v>40778</v>
      </c>
      <c r="E170" s="516">
        <v>0.95</v>
      </c>
    </row>
    <row r="171" spans="1:5" ht="12.75" x14ac:dyDescent="0.2">
      <c r="A171" s="279">
        <v>40414</v>
      </c>
      <c r="B171" s="280">
        <v>1.36</v>
      </c>
      <c r="D171" s="515">
        <v>40779</v>
      </c>
      <c r="E171" s="516">
        <v>1.05</v>
      </c>
    </row>
    <row r="172" spans="1:5" ht="12.75" x14ac:dyDescent="0.2">
      <c r="A172" s="279">
        <v>40415</v>
      </c>
      <c r="B172" s="280">
        <v>1.4</v>
      </c>
      <c r="D172" s="515">
        <v>40780</v>
      </c>
      <c r="E172" s="516">
        <v>0.98</v>
      </c>
    </row>
    <row r="173" spans="1:5" ht="12.75" x14ac:dyDescent="0.2">
      <c r="A173" s="279">
        <v>40416</v>
      </c>
      <c r="B173" s="280">
        <v>1.38</v>
      </c>
      <c r="D173" s="515">
        <v>40781</v>
      </c>
      <c r="E173" s="516">
        <v>0.94</v>
      </c>
    </row>
    <row r="174" spans="1:5" ht="12.75" x14ac:dyDescent="0.2">
      <c r="A174" s="279">
        <v>40417</v>
      </c>
      <c r="B174" s="280">
        <v>1.49</v>
      </c>
      <c r="D174" s="515">
        <v>40784</v>
      </c>
      <c r="E174" s="516">
        <v>0.99</v>
      </c>
    </row>
    <row r="175" spans="1:5" ht="12.75" x14ac:dyDescent="0.2">
      <c r="A175" s="279">
        <v>40420</v>
      </c>
      <c r="B175" s="280">
        <v>1.39</v>
      </c>
      <c r="D175" s="515">
        <v>40785</v>
      </c>
      <c r="E175" s="516">
        <v>0.94</v>
      </c>
    </row>
    <row r="176" spans="1:5" ht="12.75" x14ac:dyDescent="0.2">
      <c r="A176" s="279">
        <v>40421</v>
      </c>
      <c r="B176" s="280">
        <v>1.33</v>
      </c>
      <c r="D176" s="515">
        <v>40786</v>
      </c>
      <c r="E176" s="516">
        <v>0.96</v>
      </c>
    </row>
    <row r="177" spans="1:5" ht="12.75" x14ac:dyDescent="0.2">
      <c r="A177" s="279">
        <v>40422</v>
      </c>
      <c r="B177" s="280">
        <v>1.41</v>
      </c>
      <c r="D177" s="515">
        <v>40787</v>
      </c>
      <c r="E177" s="516">
        <v>0.9</v>
      </c>
    </row>
    <row r="178" spans="1:5" ht="12.75" x14ac:dyDescent="0.2">
      <c r="A178" s="279">
        <v>40423</v>
      </c>
      <c r="B178" s="280">
        <v>1.43</v>
      </c>
      <c r="D178" s="515">
        <v>40788</v>
      </c>
      <c r="E178" s="516">
        <v>0.88</v>
      </c>
    </row>
    <row r="179" spans="1:5" ht="12.75" x14ac:dyDescent="0.2">
      <c r="A179" s="279">
        <v>40424</v>
      </c>
      <c r="B179" s="280">
        <v>1.49</v>
      </c>
      <c r="D179" s="515">
        <v>40792</v>
      </c>
      <c r="E179" s="516">
        <v>0.88</v>
      </c>
    </row>
    <row r="180" spans="1:5" ht="12.75" x14ac:dyDescent="0.2">
      <c r="A180" s="279">
        <v>40428</v>
      </c>
      <c r="B180" s="280">
        <v>1.41</v>
      </c>
      <c r="D180" s="515">
        <v>40793</v>
      </c>
      <c r="E180" s="516">
        <v>0.92</v>
      </c>
    </row>
    <row r="181" spans="1:5" ht="12.75" x14ac:dyDescent="0.2">
      <c r="A181" s="279">
        <v>40429</v>
      </c>
      <c r="B181" s="280">
        <v>1.46</v>
      </c>
      <c r="D181" s="515">
        <v>40794</v>
      </c>
      <c r="E181" s="516">
        <v>0.88</v>
      </c>
    </row>
    <row r="182" spans="1:5" ht="12.75" x14ac:dyDescent="0.2">
      <c r="A182" s="279">
        <v>40430</v>
      </c>
      <c r="B182" s="280">
        <v>1.57</v>
      </c>
      <c r="D182" s="515">
        <v>40795</v>
      </c>
      <c r="E182" s="516">
        <v>0.81</v>
      </c>
    </row>
    <row r="183" spans="1:5" ht="12.75" x14ac:dyDescent="0.2">
      <c r="A183" s="279">
        <v>40431</v>
      </c>
      <c r="B183" s="280">
        <v>1.59</v>
      </c>
      <c r="D183" s="515">
        <v>40798</v>
      </c>
      <c r="E183" s="516">
        <v>0.87</v>
      </c>
    </row>
    <row r="184" spans="1:5" ht="12.75" x14ac:dyDescent="0.2">
      <c r="A184" s="279">
        <v>40434</v>
      </c>
      <c r="B184" s="280">
        <v>1.51</v>
      </c>
      <c r="D184" s="515">
        <v>40799</v>
      </c>
      <c r="E184" s="516">
        <v>0.89</v>
      </c>
    </row>
    <row r="185" spans="1:5" ht="12.75" x14ac:dyDescent="0.2">
      <c r="A185" s="279">
        <v>40435</v>
      </c>
      <c r="B185" s="280">
        <v>1.43</v>
      </c>
      <c r="D185" s="515">
        <v>40800</v>
      </c>
      <c r="E185" s="516">
        <v>0.91</v>
      </c>
    </row>
    <row r="186" spans="1:5" ht="12.75" x14ac:dyDescent="0.2">
      <c r="A186" s="279">
        <v>40436</v>
      </c>
      <c r="B186" s="280">
        <v>1.46</v>
      </c>
      <c r="D186" s="515">
        <v>40801</v>
      </c>
      <c r="E186" s="516">
        <v>0.95</v>
      </c>
    </row>
    <row r="187" spans="1:5" ht="12.75" x14ac:dyDescent="0.2">
      <c r="A187" s="279">
        <v>40437</v>
      </c>
      <c r="B187" s="280">
        <v>1.48</v>
      </c>
      <c r="D187" s="515">
        <v>40802</v>
      </c>
      <c r="E187" s="516">
        <v>0.94</v>
      </c>
    </row>
    <row r="188" spans="1:5" ht="12.75" x14ac:dyDescent="0.2">
      <c r="A188" s="279">
        <v>40438</v>
      </c>
      <c r="B188" s="280">
        <v>1.46</v>
      </c>
      <c r="D188" s="515">
        <v>40805</v>
      </c>
      <c r="E188" s="516">
        <v>0.85</v>
      </c>
    </row>
    <row r="189" spans="1:5" ht="12.75" x14ac:dyDescent="0.2">
      <c r="A189" s="279">
        <v>40441</v>
      </c>
      <c r="B189" s="280">
        <v>1.43</v>
      </c>
      <c r="D189" s="515">
        <v>40806</v>
      </c>
      <c r="E189" s="516">
        <v>0.85</v>
      </c>
    </row>
    <row r="190" spans="1:5" ht="12.75" x14ac:dyDescent="0.2">
      <c r="A190" s="279">
        <v>40442</v>
      </c>
      <c r="B190" s="280">
        <v>1.34</v>
      </c>
      <c r="D190" s="515">
        <v>40807</v>
      </c>
      <c r="E190" s="516">
        <v>0.88</v>
      </c>
    </row>
    <row r="191" spans="1:5" ht="12.75" x14ac:dyDescent="0.2">
      <c r="A191" s="279">
        <v>40443</v>
      </c>
      <c r="B191" s="280">
        <v>1.33</v>
      </c>
      <c r="D191" s="515">
        <v>40808</v>
      </c>
      <c r="E191" s="516">
        <v>0.79</v>
      </c>
    </row>
    <row r="192" spans="1:5" ht="12.75" x14ac:dyDescent="0.2">
      <c r="A192" s="279">
        <v>40444</v>
      </c>
      <c r="B192" s="280">
        <v>1.34</v>
      </c>
      <c r="D192" s="515">
        <v>40809</v>
      </c>
      <c r="E192" s="516">
        <v>0.89</v>
      </c>
    </row>
    <row r="193" spans="1:5" ht="12.75" x14ac:dyDescent="0.2">
      <c r="A193" s="279">
        <v>40445</v>
      </c>
      <c r="B193" s="280">
        <v>1.37</v>
      </c>
      <c r="D193" s="515">
        <v>40812</v>
      </c>
      <c r="E193" s="516">
        <v>0.92</v>
      </c>
    </row>
    <row r="194" spans="1:5" ht="12.75" x14ac:dyDescent="0.2">
      <c r="A194" s="279">
        <v>40448</v>
      </c>
      <c r="B194" s="280">
        <v>1.31</v>
      </c>
      <c r="D194" s="515">
        <v>40813</v>
      </c>
      <c r="E194" s="516">
        <v>0.97</v>
      </c>
    </row>
    <row r="195" spans="1:5" ht="12.75" x14ac:dyDescent="0.2">
      <c r="A195" s="279">
        <v>40449</v>
      </c>
      <c r="B195" s="280">
        <v>1.25</v>
      </c>
      <c r="D195" s="515">
        <v>40814</v>
      </c>
      <c r="E195" s="516">
        <v>0.99</v>
      </c>
    </row>
    <row r="196" spans="1:5" ht="12.75" x14ac:dyDescent="0.2">
      <c r="A196" s="279">
        <v>40450</v>
      </c>
      <c r="B196" s="280">
        <v>1.28</v>
      </c>
      <c r="D196" s="515">
        <v>40815</v>
      </c>
      <c r="E196" s="516">
        <v>0.98</v>
      </c>
    </row>
    <row r="197" spans="1:5" ht="12.75" x14ac:dyDescent="0.2">
      <c r="A197" s="279">
        <v>40451</v>
      </c>
      <c r="B197" s="280">
        <v>1.27</v>
      </c>
      <c r="D197" s="515">
        <v>40816</v>
      </c>
      <c r="E197" s="516">
        <v>0.96</v>
      </c>
    </row>
    <row r="198" spans="1:5" ht="12.75" x14ac:dyDescent="0.2">
      <c r="A198" s="279">
        <v>40452</v>
      </c>
      <c r="B198" s="280">
        <v>1.26</v>
      </c>
      <c r="D198" s="515">
        <v>40819</v>
      </c>
      <c r="E198" s="516">
        <v>0.87</v>
      </c>
    </row>
    <row r="199" spans="1:5" ht="12.75" x14ac:dyDescent="0.2">
      <c r="A199" s="279">
        <v>40455</v>
      </c>
      <c r="B199" s="280">
        <v>1.23</v>
      </c>
      <c r="D199" s="515">
        <v>40820</v>
      </c>
      <c r="E199" s="516">
        <v>0.9</v>
      </c>
    </row>
    <row r="200" spans="1:5" ht="12.75" x14ac:dyDescent="0.2">
      <c r="A200" s="279">
        <v>40456</v>
      </c>
      <c r="B200" s="280">
        <v>1.21</v>
      </c>
      <c r="D200" s="515">
        <v>40821</v>
      </c>
      <c r="E200" s="516">
        <v>0.96</v>
      </c>
    </row>
    <row r="201" spans="1:5" ht="12.75" x14ac:dyDescent="0.2">
      <c r="A201" s="279">
        <v>40457</v>
      </c>
      <c r="B201" s="280">
        <v>1.1599999999999999</v>
      </c>
      <c r="D201" s="515">
        <v>40822</v>
      </c>
      <c r="E201" s="516">
        <v>1.01</v>
      </c>
    </row>
    <row r="202" spans="1:5" ht="12.75" x14ac:dyDescent="0.2">
      <c r="A202" s="279">
        <v>40458</v>
      </c>
      <c r="B202" s="280">
        <v>1.1399999999999999</v>
      </c>
      <c r="D202" s="515">
        <v>40823</v>
      </c>
      <c r="E202" s="516">
        <v>1.08</v>
      </c>
    </row>
    <row r="203" spans="1:5" ht="12.75" x14ac:dyDescent="0.2">
      <c r="A203" s="279">
        <v>40459</v>
      </c>
      <c r="B203" s="280">
        <v>1.1100000000000001</v>
      </c>
      <c r="D203" s="515">
        <v>40827</v>
      </c>
      <c r="E203" s="516">
        <v>1.1399999999999999</v>
      </c>
    </row>
    <row r="204" spans="1:5" ht="12.75" x14ac:dyDescent="0.2">
      <c r="A204" s="279">
        <v>40463</v>
      </c>
      <c r="B204" s="280">
        <v>1.1399999999999999</v>
      </c>
      <c r="D204" s="515">
        <v>40828</v>
      </c>
      <c r="E204" s="516">
        <v>1.17</v>
      </c>
    </row>
    <row r="205" spans="1:5" ht="12.75" x14ac:dyDescent="0.2">
      <c r="A205" s="279">
        <v>40464</v>
      </c>
      <c r="B205" s="280">
        <v>1.1299999999999999</v>
      </c>
      <c r="D205" s="515">
        <v>40829</v>
      </c>
      <c r="E205" s="516">
        <v>1.1100000000000001</v>
      </c>
    </row>
    <row r="206" spans="1:5" ht="12.75" x14ac:dyDescent="0.2">
      <c r="A206" s="279">
        <v>40465</v>
      </c>
      <c r="B206" s="280">
        <v>1.18</v>
      </c>
      <c r="D206" s="515">
        <v>40830</v>
      </c>
      <c r="E206" s="516">
        <v>1.1200000000000001</v>
      </c>
    </row>
    <row r="207" spans="1:5" ht="12.75" x14ac:dyDescent="0.2">
      <c r="A207" s="279">
        <v>40466</v>
      </c>
      <c r="B207" s="280">
        <v>1.2</v>
      </c>
      <c r="D207" s="515">
        <v>40833</v>
      </c>
      <c r="E207" s="516">
        <v>1.08</v>
      </c>
    </row>
    <row r="208" spans="1:5" ht="12.75" x14ac:dyDescent="0.2">
      <c r="A208" s="279">
        <v>40469</v>
      </c>
      <c r="B208" s="280">
        <v>1.1399999999999999</v>
      </c>
      <c r="D208" s="515">
        <v>40834</v>
      </c>
      <c r="E208" s="516">
        <v>1.07</v>
      </c>
    </row>
    <row r="209" spans="1:5" ht="12.75" x14ac:dyDescent="0.2">
      <c r="A209" s="279">
        <v>40470</v>
      </c>
      <c r="B209" s="280">
        <v>1.1100000000000001</v>
      </c>
      <c r="D209" s="515">
        <v>40835</v>
      </c>
      <c r="E209" s="516">
        <v>1.05</v>
      </c>
    </row>
    <row r="210" spans="1:5" ht="12.75" x14ac:dyDescent="0.2">
      <c r="A210" s="279">
        <v>40471</v>
      </c>
      <c r="B210" s="280">
        <v>1.1100000000000001</v>
      </c>
      <c r="D210" s="515">
        <v>40836</v>
      </c>
      <c r="E210" s="516">
        <v>1.07</v>
      </c>
    </row>
    <row r="211" spans="1:5" ht="12.75" x14ac:dyDescent="0.2">
      <c r="A211" s="279">
        <v>40472</v>
      </c>
      <c r="B211" s="280">
        <v>1.1499999999999999</v>
      </c>
      <c r="D211" s="515">
        <v>40837</v>
      </c>
      <c r="E211" s="516">
        <v>1.08</v>
      </c>
    </row>
    <row r="212" spans="1:5" ht="12.75" x14ac:dyDescent="0.2">
      <c r="A212" s="279">
        <v>40473</v>
      </c>
      <c r="B212" s="280">
        <v>1.17</v>
      </c>
      <c r="D212" s="515">
        <v>40840</v>
      </c>
      <c r="E212" s="516">
        <v>1.1000000000000001</v>
      </c>
    </row>
    <row r="213" spans="1:5" ht="12.75" x14ac:dyDescent="0.2">
      <c r="A213" s="279">
        <v>40476</v>
      </c>
      <c r="B213" s="280">
        <v>1.2</v>
      </c>
      <c r="D213" s="515">
        <v>40841</v>
      </c>
      <c r="E213" s="516">
        <v>1.01</v>
      </c>
    </row>
    <row r="214" spans="1:5" ht="12.75" x14ac:dyDescent="0.2">
      <c r="A214" s="279">
        <v>40477</v>
      </c>
      <c r="B214" s="280">
        <v>1.27</v>
      </c>
      <c r="D214" s="515">
        <v>40842</v>
      </c>
      <c r="E214" s="516">
        <v>1.0900000000000001</v>
      </c>
    </row>
    <row r="215" spans="1:5" ht="12.75" x14ac:dyDescent="0.2">
      <c r="A215" s="279">
        <v>40478</v>
      </c>
      <c r="B215" s="280">
        <v>1.34</v>
      </c>
      <c r="D215" s="515">
        <v>40843</v>
      </c>
      <c r="E215" s="516">
        <v>1.2</v>
      </c>
    </row>
    <row r="216" spans="1:5" ht="12.75" x14ac:dyDescent="0.2">
      <c r="A216" s="279">
        <v>40479</v>
      </c>
      <c r="B216" s="280">
        <v>1.23</v>
      </c>
      <c r="D216" s="515">
        <v>40844</v>
      </c>
      <c r="E216" s="516">
        <v>1.1299999999999999</v>
      </c>
    </row>
    <row r="217" spans="1:5" ht="12.75" x14ac:dyDescent="0.2">
      <c r="A217" s="279">
        <v>40480</v>
      </c>
      <c r="B217" s="280">
        <v>1.17</v>
      </c>
      <c r="D217" s="515">
        <v>40847</v>
      </c>
      <c r="E217" s="516">
        <v>0.99</v>
      </c>
    </row>
    <row r="218" spans="1:5" ht="12.75" x14ac:dyDescent="0.2">
      <c r="A218" s="279">
        <v>40483</v>
      </c>
      <c r="B218" s="280">
        <v>1.17</v>
      </c>
      <c r="D218" s="515">
        <v>40848</v>
      </c>
      <c r="E218" s="516">
        <v>0.9</v>
      </c>
    </row>
    <row r="219" spans="1:5" ht="12.75" x14ac:dyDescent="0.2">
      <c r="A219" s="279">
        <v>40484</v>
      </c>
      <c r="B219" s="280">
        <v>1.1499999999999999</v>
      </c>
      <c r="D219" s="515">
        <v>40849</v>
      </c>
      <c r="E219" s="516">
        <v>0.89</v>
      </c>
    </row>
    <row r="220" spans="1:5" ht="12.75" x14ac:dyDescent="0.2">
      <c r="A220" s="279">
        <v>40485</v>
      </c>
      <c r="B220" s="280">
        <v>1.1100000000000001</v>
      </c>
      <c r="D220" s="515">
        <v>40850</v>
      </c>
      <c r="E220" s="516">
        <v>0.91</v>
      </c>
    </row>
    <row r="221" spans="1:5" ht="12.75" x14ac:dyDescent="0.2">
      <c r="A221" s="279">
        <v>40486</v>
      </c>
      <c r="B221" s="280">
        <v>1.04</v>
      </c>
      <c r="D221" s="515">
        <v>40851</v>
      </c>
      <c r="E221" s="516">
        <v>0.88</v>
      </c>
    </row>
    <row r="222" spans="1:5" ht="12.75" x14ac:dyDescent="0.2">
      <c r="A222" s="279">
        <v>40487</v>
      </c>
      <c r="B222" s="280">
        <v>1.1000000000000001</v>
      </c>
      <c r="D222" s="515">
        <v>40854</v>
      </c>
      <c r="E222" s="516">
        <v>0.88</v>
      </c>
    </row>
    <row r="223" spans="1:5" ht="12.75" x14ac:dyDescent="0.2">
      <c r="A223" s="279">
        <v>40490</v>
      </c>
      <c r="B223" s="280">
        <v>1.1299999999999999</v>
      </c>
      <c r="D223" s="515">
        <v>40855</v>
      </c>
      <c r="E223" s="516">
        <v>0.92</v>
      </c>
    </row>
    <row r="224" spans="1:5" ht="12.75" x14ac:dyDescent="0.2">
      <c r="A224" s="279">
        <v>40491</v>
      </c>
      <c r="B224" s="280">
        <v>1.27</v>
      </c>
      <c r="D224" s="515">
        <v>40856</v>
      </c>
      <c r="E224" s="516">
        <v>0.88</v>
      </c>
    </row>
    <row r="225" spans="1:5" ht="12.75" x14ac:dyDescent="0.2">
      <c r="A225" s="279">
        <v>40492</v>
      </c>
      <c r="B225" s="280">
        <v>1.23</v>
      </c>
      <c r="D225" s="515">
        <v>40857</v>
      </c>
      <c r="E225" s="516">
        <v>0.9</v>
      </c>
    </row>
    <row r="226" spans="1:5" ht="12.75" x14ac:dyDescent="0.2">
      <c r="A226" s="279">
        <v>40494</v>
      </c>
      <c r="B226" s="280">
        <v>1.35</v>
      </c>
      <c r="D226" s="515">
        <v>40861</v>
      </c>
      <c r="E226" s="516">
        <v>0.91</v>
      </c>
    </row>
    <row r="227" spans="1:5" ht="12.75" x14ac:dyDescent="0.2">
      <c r="A227" s="279">
        <v>40497</v>
      </c>
      <c r="B227" s="280">
        <v>1.51</v>
      </c>
      <c r="D227" s="515">
        <v>40862</v>
      </c>
      <c r="E227" s="516">
        <v>0.93</v>
      </c>
    </row>
    <row r="228" spans="1:5" ht="12.75" x14ac:dyDescent="0.2">
      <c r="A228" s="279">
        <v>40498</v>
      </c>
      <c r="B228" s="280">
        <v>1.49</v>
      </c>
      <c r="D228" s="515">
        <v>40863</v>
      </c>
      <c r="E228" s="516">
        <v>0.9</v>
      </c>
    </row>
    <row r="229" spans="1:5" ht="12.75" x14ac:dyDescent="0.2">
      <c r="A229" s="279">
        <v>40499</v>
      </c>
      <c r="B229" s="280">
        <v>1.49</v>
      </c>
      <c r="D229" s="515">
        <v>40864</v>
      </c>
      <c r="E229" s="516">
        <v>0.88</v>
      </c>
    </row>
    <row r="230" spans="1:5" ht="12.75" x14ac:dyDescent="0.2">
      <c r="A230" s="279">
        <v>40500</v>
      </c>
      <c r="B230" s="280">
        <v>1.51</v>
      </c>
      <c r="D230" s="515">
        <v>40865</v>
      </c>
      <c r="E230" s="516">
        <v>0.94</v>
      </c>
    </row>
    <row r="231" spans="1:5" ht="12.75" x14ac:dyDescent="0.2">
      <c r="A231" s="279">
        <v>40501</v>
      </c>
      <c r="B231" s="280">
        <v>1.54</v>
      </c>
      <c r="D231" s="515">
        <v>40868</v>
      </c>
      <c r="E231" s="516">
        <v>0.92</v>
      </c>
    </row>
    <row r="232" spans="1:5" ht="12.75" x14ac:dyDescent="0.2">
      <c r="A232" s="279">
        <v>40504</v>
      </c>
      <c r="B232" s="280">
        <v>1.44</v>
      </c>
      <c r="D232" s="515">
        <v>40869</v>
      </c>
      <c r="E232" s="516">
        <v>0.91</v>
      </c>
    </row>
    <row r="233" spans="1:5" ht="12.75" x14ac:dyDescent="0.2">
      <c r="A233" s="279">
        <v>40505</v>
      </c>
      <c r="B233" s="280">
        <v>1.4</v>
      </c>
      <c r="D233" s="515">
        <v>40870</v>
      </c>
      <c r="E233" s="516">
        <v>0.88</v>
      </c>
    </row>
    <row r="234" spans="1:5" ht="12.75" x14ac:dyDescent="0.2">
      <c r="A234" s="279">
        <v>40508</v>
      </c>
      <c r="B234" s="280">
        <v>1.53</v>
      </c>
      <c r="D234" s="515">
        <v>40872</v>
      </c>
      <c r="E234" s="516">
        <v>0.93</v>
      </c>
    </row>
    <row r="235" spans="1:5" ht="12.75" x14ac:dyDescent="0.2">
      <c r="A235" s="279">
        <v>40511</v>
      </c>
      <c r="B235" s="280">
        <v>1.51</v>
      </c>
      <c r="D235" s="515">
        <v>40875</v>
      </c>
      <c r="E235" s="516">
        <v>0.91</v>
      </c>
    </row>
    <row r="236" spans="1:5" ht="12.75" x14ac:dyDescent="0.2">
      <c r="A236" s="279">
        <v>40512</v>
      </c>
      <c r="B236" s="280">
        <v>1.47</v>
      </c>
      <c r="D236" s="515">
        <v>40876</v>
      </c>
      <c r="E236" s="516">
        <v>0.93</v>
      </c>
    </row>
    <row r="237" spans="1:5" ht="12.75" x14ac:dyDescent="0.2">
      <c r="A237" s="279">
        <v>40513</v>
      </c>
      <c r="B237" s="280">
        <v>1.64</v>
      </c>
      <c r="D237" s="515">
        <v>40877</v>
      </c>
      <c r="E237" s="516">
        <v>0.96</v>
      </c>
    </row>
    <row r="238" spans="1:5" ht="12.75" x14ac:dyDescent="0.2">
      <c r="A238" s="279">
        <v>40514</v>
      </c>
      <c r="B238" s="280">
        <v>1.68</v>
      </c>
      <c r="D238" s="515">
        <v>40878</v>
      </c>
      <c r="E238" s="516">
        <v>0.97</v>
      </c>
    </row>
    <row r="239" spans="1:5" ht="12.75" x14ac:dyDescent="0.2">
      <c r="A239" s="279">
        <v>40515</v>
      </c>
      <c r="B239" s="280">
        <v>1.64</v>
      </c>
      <c r="D239" s="515">
        <v>40879</v>
      </c>
      <c r="E239" s="516">
        <v>0.92</v>
      </c>
    </row>
    <row r="240" spans="1:5" ht="12.75" x14ac:dyDescent="0.2">
      <c r="A240" s="279">
        <v>40518</v>
      </c>
      <c r="B240" s="280">
        <v>1.53</v>
      </c>
      <c r="D240" s="515">
        <v>40882</v>
      </c>
      <c r="E240" s="516">
        <v>0.93</v>
      </c>
    </row>
    <row r="241" spans="1:5" ht="12.75" x14ac:dyDescent="0.2">
      <c r="A241" s="279">
        <v>40519</v>
      </c>
      <c r="B241" s="280">
        <v>1.74</v>
      </c>
      <c r="D241" s="515">
        <v>40883</v>
      </c>
      <c r="E241" s="516">
        <v>0.94</v>
      </c>
    </row>
    <row r="242" spans="1:5" ht="12.75" x14ac:dyDescent="0.2">
      <c r="A242" s="279">
        <v>40520</v>
      </c>
      <c r="B242" s="280">
        <v>1.87</v>
      </c>
      <c r="D242" s="515">
        <v>40884</v>
      </c>
      <c r="E242" s="516">
        <v>0.89</v>
      </c>
    </row>
    <row r="243" spans="1:5" ht="12.75" x14ac:dyDescent="0.2">
      <c r="A243" s="279">
        <v>40521</v>
      </c>
      <c r="B243" s="280">
        <v>1.9</v>
      </c>
      <c r="D243" s="515">
        <v>40885</v>
      </c>
      <c r="E243" s="516">
        <v>0.86</v>
      </c>
    </row>
    <row r="244" spans="1:5" ht="12.75" x14ac:dyDescent="0.2">
      <c r="A244" s="279">
        <v>40522</v>
      </c>
      <c r="B244" s="280">
        <v>1.98</v>
      </c>
      <c r="D244" s="515">
        <v>40886</v>
      </c>
      <c r="E244" s="516">
        <v>0.89</v>
      </c>
    </row>
    <row r="245" spans="1:5" ht="12.75" x14ac:dyDescent="0.2">
      <c r="A245" s="279">
        <v>40525</v>
      </c>
      <c r="B245" s="280">
        <v>1.91</v>
      </c>
      <c r="D245" s="515">
        <v>40889</v>
      </c>
      <c r="E245" s="516">
        <v>0.87</v>
      </c>
    </row>
    <row r="246" spans="1:5" ht="12.75" x14ac:dyDescent="0.2">
      <c r="A246" s="279">
        <v>40526</v>
      </c>
      <c r="B246" s="280">
        <v>2.08</v>
      </c>
      <c r="D246" s="515">
        <v>40890</v>
      </c>
      <c r="E246" s="516">
        <v>0.85</v>
      </c>
    </row>
    <row r="247" spans="1:5" ht="12.75" x14ac:dyDescent="0.2">
      <c r="A247" s="279">
        <v>40527</v>
      </c>
      <c r="B247" s="280">
        <v>2.11</v>
      </c>
      <c r="D247" s="515">
        <v>40891</v>
      </c>
      <c r="E247" s="516">
        <v>0.86</v>
      </c>
    </row>
    <row r="248" spans="1:5" ht="12.75" x14ac:dyDescent="0.2">
      <c r="A248" s="279">
        <v>40528</v>
      </c>
      <c r="B248" s="280">
        <v>2.06</v>
      </c>
      <c r="D248" s="515">
        <v>40892</v>
      </c>
      <c r="E248" s="516">
        <v>0.86</v>
      </c>
    </row>
    <row r="249" spans="1:5" ht="12.75" x14ac:dyDescent="0.2">
      <c r="A249" s="279">
        <v>40529</v>
      </c>
      <c r="B249" s="280">
        <v>1.97</v>
      </c>
      <c r="D249" s="515">
        <v>40893</v>
      </c>
      <c r="E249" s="516">
        <v>0.81</v>
      </c>
    </row>
    <row r="250" spans="1:5" ht="12.75" x14ac:dyDescent="0.2">
      <c r="A250" s="279">
        <v>40532</v>
      </c>
      <c r="B250" s="280">
        <v>1.99</v>
      </c>
      <c r="D250" s="515">
        <v>40896</v>
      </c>
      <c r="E250" s="516">
        <v>0.82</v>
      </c>
    </row>
    <row r="251" spans="1:5" ht="12.75" x14ac:dyDescent="0.2">
      <c r="A251" s="279">
        <v>40533</v>
      </c>
      <c r="B251" s="280">
        <v>1.99</v>
      </c>
      <c r="D251" s="515">
        <v>40897</v>
      </c>
      <c r="E251" s="516">
        <v>0.88</v>
      </c>
    </row>
    <row r="252" spans="1:5" ht="12.75" x14ac:dyDescent="0.2">
      <c r="A252" s="279">
        <v>40534</v>
      </c>
      <c r="B252" s="280">
        <v>2.02</v>
      </c>
      <c r="D252" s="515">
        <v>40898</v>
      </c>
      <c r="E252" s="516">
        <v>0.91</v>
      </c>
    </row>
    <row r="253" spans="1:5" ht="12.75" x14ac:dyDescent="0.2">
      <c r="A253" s="279">
        <v>40535</v>
      </c>
      <c r="B253" s="280">
        <v>2.09</v>
      </c>
      <c r="D253" s="515">
        <v>40899</v>
      </c>
      <c r="E253" s="516">
        <v>0.91</v>
      </c>
    </row>
    <row r="254" spans="1:5" ht="12.75" x14ac:dyDescent="0.2">
      <c r="A254" s="279">
        <v>40539</v>
      </c>
      <c r="B254" s="280">
        <v>2.08</v>
      </c>
      <c r="D254" s="515">
        <v>40900</v>
      </c>
      <c r="E254" s="516">
        <v>0.97</v>
      </c>
    </row>
    <row r="255" spans="1:5" ht="12.75" x14ac:dyDescent="0.2">
      <c r="A255" s="279">
        <v>40540</v>
      </c>
      <c r="B255" s="280">
        <v>2.1800000000000002</v>
      </c>
      <c r="D255" s="515">
        <v>40904</v>
      </c>
      <c r="E255" s="516">
        <v>0.96</v>
      </c>
    </row>
    <row r="256" spans="1:5" ht="12.75" x14ac:dyDescent="0.2">
      <c r="A256" s="279">
        <v>40541</v>
      </c>
      <c r="B256" s="280">
        <v>2.0299999999999998</v>
      </c>
      <c r="D256" s="515">
        <v>40905</v>
      </c>
      <c r="E256" s="516">
        <v>0.91</v>
      </c>
    </row>
    <row r="257" spans="1:5" ht="12.75" x14ac:dyDescent="0.2">
      <c r="A257" s="279">
        <v>40542</v>
      </c>
      <c r="B257" s="280">
        <v>2.06</v>
      </c>
      <c r="D257" s="515">
        <v>40906</v>
      </c>
      <c r="E257" s="516">
        <v>0.88</v>
      </c>
    </row>
    <row r="258" spans="1:5" ht="12.75" x14ac:dyDescent="0.2">
      <c r="A258" s="279">
        <v>40543</v>
      </c>
      <c r="B258" s="280">
        <v>2.0099999999999998</v>
      </c>
      <c r="D258" s="515">
        <v>40907</v>
      </c>
      <c r="E258" s="516">
        <v>0.83</v>
      </c>
    </row>
    <row r="259" spans="1:5" ht="12.75" x14ac:dyDescent="0.2">
      <c r="A259" s="278"/>
      <c r="B259" s="275"/>
      <c r="D259" s="517">
        <v>40911</v>
      </c>
      <c r="E259" s="518">
        <v>0.89</v>
      </c>
    </row>
    <row r="260" spans="1:5" ht="12.75" x14ac:dyDescent="0.2">
      <c r="A260" s="274" t="s">
        <v>47</v>
      </c>
      <c r="B260" s="282">
        <f>AVERAGE(B9:B258)</f>
        <v>1.9316399999999996</v>
      </c>
      <c r="D260" s="517">
        <v>40912</v>
      </c>
      <c r="E260" s="518">
        <v>0.89</v>
      </c>
    </row>
    <row r="261" spans="1:5" x14ac:dyDescent="0.3">
      <c r="D261" s="517">
        <v>40913</v>
      </c>
      <c r="E261" s="518">
        <v>0.88</v>
      </c>
    </row>
    <row r="262" spans="1:5" x14ac:dyDescent="0.3">
      <c r="D262" s="517">
        <v>40914</v>
      </c>
      <c r="E262" s="518">
        <v>0.86</v>
      </c>
    </row>
    <row r="263" spans="1:5" x14ac:dyDescent="0.3">
      <c r="D263" s="517">
        <v>40917</v>
      </c>
      <c r="E263" s="518">
        <v>0.85</v>
      </c>
    </row>
    <row r="264" spans="1:5" x14ac:dyDescent="0.3">
      <c r="D264" s="517">
        <v>40918</v>
      </c>
      <c r="E264" s="518">
        <v>0.86</v>
      </c>
    </row>
    <row r="265" spans="1:5" x14ac:dyDescent="0.3">
      <c r="D265" s="517">
        <v>40919</v>
      </c>
      <c r="E265" s="518">
        <v>0.82</v>
      </c>
    </row>
    <row r="266" spans="1:5" x14ac:dyDescent="0.3">
      <c r="D266" s="517">
        <v>40920</v>
      </c>
      <c r="E266" s="518">
        <v>0.84</v>
      </c>
    </row>
    <row r="267" spans="1:5" x14ac:dyDescent="0.3">
      <c r="D267" s="517">
        <v>40921</v>
      </c>
      <c r="E267" s="518">
        <v>0.8</v>
      </c>
    </row>
    <row r="268" spans="1:5" x14ac:dyDescent="0.3">
      <c r="D268" s="517">
        <v>40925</v>
      </c>
      <c r="E268" s="518">
        <v>0.79</v>
      </c>
    </row>
    <row r="269" spans="1:5" x14ac:dyDescent="0.3">
      <c r="D269" s="517">
        <v>40926</v>
      </c>
      <c r="E269" s="518">
        <v>0.82</v>
      </c>
    </row>
    <row r="270" spans="1:5" x14ac:dyDescent="0.3">
      <c r="D270" s="517">
        <v>40927</v>
      </c>
      <c r="E270" s="518">
        <v>0.87</v>
      </c>
    </row>
    <row r="271" spans="1:5" x14ac:dyDescent="0.3">
      <c r="D271" s="517">
        <v>40928</v>
      </c>
      <c r="E271" s="518">
        <v>0.91</v>
      </c>
    </row>
    <row r="272" spans="1:5" x14ac:dyDescent="0.3">
      <c r="D272" s="517">
        <v>40931</v>
      </c>
      <c r="E272" s="518">
        <v>0.93</v>
      </c>
    </row>
    <row r="273" spans="4:5" x14ac:dyDescent="0.3">
      <c r="D273" s="517">
        <v>40932</v>
      </c>
      <c r="E273" s="518">
        <v>0.92</v>
      </c>
    </row>
    <row r="274" spans="4:5" x14ac:dyDescent="0.3">
      <c r="D274" s="517">
        <v>40933</v>
      </c>
      <c r="E274" s="518">
        <v>0.81</v>
      </c>
    </row>
    <row r="275" spans="4:5" x14ac:dyDescent="0.3">
      <c r="D275" s="517">
        <v>40934</v>
      </c>
      <c r="E275" s="518">
        <v>0.77</v>
      </c>
    </row>
    <row r="276" spans="4:5" x14ac:dyDescent="0.3">
      <c r="D276" s="517">
        <v>40935</v>
      </c>
      <c r="E276" s="518">
        <v>0.75</v>
      </c>
    </row>
    <row r="277" spans="4:5" x14ac:dyDescent="0.3">
      <c r="D277" s="517">
        <v>40938</v>
      </c>
      <c r="E277" s="518">
        <v>0.73</v>
      </c>
    </row>
    <row r="278" spans="4:5" x14ac:dyDescent="0.3">
      <c r="D278" s="517">
        <v>40939</v>
      </c>
      <c r="E278" s="518">
        <v>0.71</v>
      </c>
    </row>
    <row r="279" spans="4:5" x14ac:dyDescent="0.3">
      <c r="D279" s="517">
        <v>40940</v>
      </c>
      <c r="E279" s="518">
        <v>0.72</v>
      </c>
    </row>
    <row r="280" spans="4:5" x14ac:dyDescent="0.3">
      <c r="D280" s="517">
        <v>40941</v>
      </c>
      <c r="E280" s="518">
        <v>0.71</v>
      </c>
    </row>
    <row r="281" spans="4:5" x14ac:dyDescent="0.3">
      <c r="D281" s="517">
        <v>40942</v>
      </c>
      <c r="E281" s="518">
        <v>0.78</v>
      </c>
    </row>
    <row r="282" spans="4:5" x14ac:dyDescent="0.3">
      <c r="D282" s="517">
        <v>40945</v>
      </c>
      <c r="E282" s="518">
        <v>0.76</v>
      </c>
    </row>
    <row r="283" spans="4:5" x14ac:dyDescent="0.3">
      <c r="D283" s="517">
        <v>40946</v>
      </c>
      <c r="E283" s="518">
        <v>0.82</v>
      </c>
    </row>
    <row r="284" spans="4:5" x14ac:dyDescent="0.3">
      <c r="D284" s="517">
        <v>40947</v>
      </c>
      <c r="E284" s="518">
        <v>0.82</v>
      </c>
    </row>
    <row r="285" spans="4:5" x14ac:dyDescent="0.3">
      <c r="D285" s="517">
        <v>40948</v>
      </c>
      <c r="E285" s="518">
        <v>0.86</v>
      </c>
    </row>
    <row r="286" spans="4:5" x14ac:dyDescent="0.3">
      <c r="D286" s="517">
        <v>40949</v>
      </c>
      <c r="E286" s="518">
        <v>0.81</v>
      </c>
    </row>
    <row r="287" spans="4:5" x14ac:dyDescent="0.3">
      <c r="D287" s="517">
        <v>40952</v>
      </c>
      <c r="E287" s="518">
        <v>0.85</v>
      </c>
    </row>
    <row r="288" spans="4:5" x14ac:dyDescent="0.3">
      <c r="D288" s="517">
        <v>40953</v>
      </c>
      <c r="E288" s="518">
        <v>0.81</v>
      </c>
    </row>
    <row r="289" spans="4:5" x14ac:dyDescent="0.3">
      <c r="D289" s="517">
        <v>40954</v>
      </c>
      <c r="E289" s="518">
        <v>0.81</v>
      </c>
    </row>
    <row r="290" spans="4:5" x14ac:dyDescent="0.3">
      <c r="D290" s="517">
        <v>40955</v>
      </c>
      <c r="E290" s="518">
        <v>0.87</v>
      </c>
    </row>
    <row r="291" spans="4:5" x14ac:dyDescent="0.3">
      <c r="D291" s="517">
        <v>40956</v>
      </c>
      <c r="E291" s="518">
        <v>0.88</v>
      </c>
    </row>
    <row r="292" spans="4:5" x14ac:dyDescent="0.3">
      <c r="D292" s="517">
        <v>40960</v>
      </c>
      <c r="E292" s="518">
        <v>0.92</v>
      </c>
    </row>
    <row r="293" spans="4:5" x14ac:dyDescent="0.3">
      <c r="D293" s="517">
        <v>40961</v>
      </c>
      <c r="E293" s="518">
        <v>0.88</v>
      </c>
    </row>
    <row r="294" spans="4:5" x14ac:dyDescent="0.3">
      <c r="D294" s="517">
        <v>40962</v>
      </c>
      <c r="E294" s="518">
        <v>0.88</v>
      </c>
    </row>
    <row r="295" spans="4:5" x14ac:dyDescent="0.3">
      <c r="D295" s="517">
        <v>40963</v>
      </c>
      <c r="E295" s="518">
        <v>0.89</v>
      </c>
    </row>
    <row r="296" spans="4:5" x14ac:dyDescent="0.3">
      <c r="D296" s="517">
        <v>40966</v>
      </c>
      <c r="E296" s="518">
        <v>0.84</v>
      </c>
    </row>
    <row r="297" spans="4:5" x14ac:dyDescent="0.3">
      <c r="D297" s="517">
        <v>40967</v>
      </c>
      <c r="E297" s="518">
        <v>0.84</v>
      </c>
    </row>
    <row r="298" spans="4:5" x14ac:dyDescent="0.3">
      <c r="D298" s="517">
        <v>40968</v>
      </c>
      <c r="E298" s="518">
        <v>0.87</v>
      </c>
    </row>
    <row r="299" spans="4:5" x14ac:dyDescent="0.3">
      <c r="D299" s="517">
        <v>40969</v>
      </c>
      <c r="E299" s="518">
        <v>0.89</v>
      </c>
    </row>
    <row r="300" spans="4:5" x14ac:dyDescent="0.3">
      <c r="D300" s="517">
        <v>40970</v>
      </c>
      <c r="E300" s="518">
        <v>0.84</v>
      </c>
    </row>
    <row r="301" spans="4:5" x14ac:dyDescent="0.3">
      <c r="D301" s="517">
        <v>40973</v>
      </c>
      <c r="E301" s="518">
        <v>0.87</v>
      </c>
    </row>
    <row r="302" spans="4:5" x14ac:dyDescent="0.3">
      <c r="D302" s="517">
        <v>40974</v>
      </c>
      <c r="E302" s="518">
        <v>0.83</v>
      </c>
    </row>
    <row r="303" spans="4:5" x14ac:dyDescent="0.3">
      <c r="D303" s="517">
        <v>40975</v>
      </c>
      <c r="E303" s="518">
        <v>0.85</v>
      </c>
    </row>
    <row r="304" spans="4:5" x14ac:dyDescent="0.3">
      <c r="D304" s="517">
        <v>40976</v>
      </c>
      <c r="E304" s="518">
        <v>0.89</v>
      </c>
    </row>
    <row r="305" spans="4:5" x14ac:dyDescent="0.3">
      <c r="D305" s="517">
        <v>40977</v>
      </c>
      <c r="E305" s="518">
        <v>0.9</v>
      </c>
    </row>
    <row r="306" spans="4:5" x14ac:dyDescent="0.3">
      <c r="D306" s="517">
        <v>40980</v>
      </c>
      <c r="E306" s="518">
        <v>0.92</v>
      </c>
    </row>
    <row r="307" spans="4:5" x14ac:dyDescent="0.3">
      <c r="D307" s="517">
        <v>40981</v>
      </c>
      <c r="E307" s="518">
        <v>0.99</v>
      </c>
    </row>
    <row r="308" spans="4:5" x14ac:dyDescent="0.3">
      <c r="D308" s="517">
        <v>40982</v>
      </c>
      <c r="E308" s="518">
        <v>1.1299999999999999</v>
      </c>
    </row>
    <row r="309" spans="4:5" x14ac:dyDescent="0.3">
      <c r="D309" s="517">
        <v>40983</v>
      </c>
      <c r="E309" s="518">
        <v>1.1100000000000001</v>
      </c>
    </row>
    <row r="310" spans="4:5" x14ac:dyDescent="0.3">
      <c r="D310" s="517">
        <v>40984</v>
      </c>
      <c r="E310" s="518">
        <v>1.1299999999999999</v>
      </c>
    </row>
    <row r="311" spans="4:5" x14ac:dyDescent="0.3">
      <c r="D311" s="517">
        <v>40987</v>
      </c>
      <c r="E311" s="518">
        <v>1.2</v>
      </c>
    </row>
    <row r="312" spans="4:5" x14ac:dyDescent="0.3">
      <c r="D312" s="517">
        <v>40988</v>
      </c>
      <c r="E312" s="518">
        <v>1.22</v>
      </c>
    </row>
    <row r="313" spans="4:5" x14ac:dyDescent="0.3">
      <c r="D313" s="517">
        <v>40989</v>
      </c>
      <c r="E313" s="518">
        <v>1.1499999999999999</v>
      </c>
    </row>
    <row r="314" spans="4:5" x14ac:dyDescent="0.3">
      <c r="D314" s="517">
        <v>40990</v>
      </c>
      <c r="E314" s="518">
        <v>1.1299999999999999</v>
      </c>
    </row>
    <row r="315" spans="4:5" x14ac:dyDescent="0.3">
      <c r="D315" s="517">
        <v>40991</v>
      </c>
      <c r="E315" s="518">
        <v>1.1000000000000001</v>
      </c>
    </row>
    <row r="316" spans="4:5" x14ac:dyDescent="0.3">
      <c r="D316" s="517">
        <v>40994</v>
      </c>
      <c r="E316" s="518">
        <v>1.0900000000000001</v>
      </c>
    </row>
    <row r="317" spans="4:5" x14ac:dyDescent="0.3">
      <c r="D317" s="517">
        <v>40995</v>
      </c>
      <c r="E317" s="518">
        <v>1.04</v>
      </c>
    </row>
    <row r="318" spans="4:5" x14ac:dyDescent="0.3">
      <c r="D318" s="517">
        <v>40996</v>
      </c>
      <c r="E318" s="518">
        <v>1.05</v>
      </c>
    </row>
    <row r="319" spans="4:5" x14ac:dyDescent="0.3">
      <c r="D319" s="517">
        <v>40997</v>
      </c>
      <c r="E319" s="518">
        <v>1.01</v>
      </c>
    </row>
    <row r="320" spans="4:5" x14ac:dyDescent="0.3">
      <c r="D320" s="517">
        <v>40998</v>
      </c>
      <c r="E320" s="518">
        <v>1.04</v>
      </c>
    </row>
    <row r="321" spans="4:5" x14ac:dyDescent="0.3">
      <c r="D321" s="517">
        <v>41001</v>
      </c>
      <c r="E321" s="518">
        <v>1.03</v>
      </c>
    </row>
    <row r="322" spans="4:5" x14ac:dyDescent="0.3">
      <c r="D322" s="517">
        <v>41002</v>
      </c>
      <c r="E322" s="518">
        <v>1.1000000000000001</v>
      </c>
    </row>
    <row r="323" spans="4:5" x14ac:dyDescent="0.3">
      <c r="D323" s="517">
        <v>41003</v>
      </c>
      <c r="E323" s="518">
        <v>1.05</v>
      </c>
    </row>
    <row r="324" spans="4:5" x14ac:dyDescent="0.3">
      <c r="D324" s="517">
        <v>41004</v>
      </c>
      <c r="E324" s="518">
        <v>1.01</v>
      </c>
    </row>
    <row r="325" spans="4:5" x14ac:dyDescent="0.3">
      <c r="D325" s="517">
        <v>41005</v>
      </c>
      <c r="E325" s="518">
        <v>0.89</v>
      </c>
    </row>
    <row r="326" spans="4:5" x14ac:dyDescent="0.3">
      <c r="D326" s="517">
        <v>41008</v>
      </c>
      <c r="E326" s="518">
        <v>0.9</v>
      </c>
    </row>
    <row r="327" spans="4:5" x14ac:dyDescent="0.3">
      <c r="D327" s="517">
        <v>41009</v>
      </c>
      <c r="E327" s="518">
        <v>0.85</v>
      </c>
    </row>
    <row r="328" spans="4:5" x14ac:dyDescent="0.3">
      <c r="D328" s="517">
        <v>41010</v>
      </c>
      <c r="E328" s="518">
        <v>0.89</v>
      </c>
    </row>
    <row r="329" spans="4:5" x14ac:dyDescent="0.3">
      <c r="D329" s="517">
        <v>41011</v>
      </c>
      <c r="E329" s="518">
        <v>0.9</v>
      </c>
    </row>
    <row r="330" spans="4:5" x14ac:dyDescent="0.3">
      <c r="D330" s="517">
        <v>41012</v>
      </c>
      <c r="E330" s="518">
        <v>0.86</v>
      </c>
    </row>
    <row r="331" spans="4:5" x14ac:dyDescent="0.3">
      <c r="D331" s="517">
        <v>41015</v>
      </c>
      <c r="E331" s="518">
        <v>0.85</v>
      </c>
    </row>
    <row r="332" spans="4:5" x14ac:dyDescent="0.3">
      <c r="D332" s="517">
        <v>41016</v>
      </c>
      <c r="E332" s="518">
        <v>0.88</v>
      </c>
    </row>
    <row r="333" spans="4:5" x14ac:dyDescent="0.3">
      <c r="D333" s="517">
        <v>41017</v>
      </c>
      <c r="E333" s="518">
        <v>0.86</v>
      </c>
    </row>
    <row r="334" spans="4:5" x14ac:dyDescent="0.3">
      <c r="D334" s="517">
        <v>41018</v>
      </c>
      <c r="E334" s="518">
        <v>0.84</v>
      </c>
    </row>
    <row r="335" spans="4:5" x14ac:dyDescent="0.3">
      <c r="D335" s="517">
        <v>41019</v>
      </c>
      <c r="E335" s="518">
        <v>0.86</v>
      </c>
    </row>
    <row r="336" spans="4:5" x14ac:dyDescent="0.3">
      <c r="D336" s="517">
        <v>41022</v>
      </c>
      <c r="E336" s="518">
        <v>0.83</v>
      </c>
    </row>
    <row r="337" spans="4:5" x14ac:dyDescent="0.3">
      <c r="D337" s="517">
        <v>41023</v>
      </c>
      <c r="E337" s="518">
        <v>0.86</v>
      </c>
    </row>
    <row r="338" spans="4:5" x14ac:dyDescent="0.3">
      <c r="D338" s="517">
        <v>41024</v>
      </c>
      <c r="E338" s="518">
        <v>0.86</v>
      </c>
    </row>
    <row r="339" spans="4:5" x14ac:dyDescent="0.3">
      <c r="D339" s="517">
        <v>41025</v>
      </c>
      <c r="E339" s="518">
        <v>0.83</v>
      </c>
    </row>
    <row r="340" spans="4:5" x14ac:dyDescent="0.3">
      <c r="D340" s="517">
        <v>41026</v>
      </c>
      <c r="E340" s="518">
        <v>0.82</v>
      </c>
    </row>
    <row r="341" spans="4:5" x14ac:dyDescent="0.3">
      <c r="D341" s="517">
        <v>41029</v>
      </c>
      <c r="E341" s="518">
        <v>0.82</v>
      </c>
    </row>
    <row r="342" spans="4:5" x14ac:dyDescent="0.3">
      <c r="D342" s="517">
        <v>41030</v>
      </c>
      <c r="E342" s="518">
        <v>0.84</v>
      </c>
    </row>
    <row r="343" spans="4:5" x14ac:dyDescent="0.3">
      <c r="D343" s="517">
        <v>41031</v>
      </c>
      <c r="E343" s="518">
        <v>0.82</v>
      </c>
    </row>
    <row r="344" spans="4:5" x14ac:dyDescent="0.3">
      <c r="D344" s="517">
        <v>41032</v>
      </c>
      <c r="E344" s="518">
        <v>0.82</v>
      </c>
    </row>
    <row r="345" spans="4:5" x14ac:dyDescent="0.3">
      <c r="D345" s="517">
        <v>41033</v>
      </c>
      <c r="E345" s="518">
        <v>0.78</v>
      </c>
    </row>
    <row r="346" spans="4:5" x14ac:dyDescent="0.3">
      <c r="D346" s="517">
        <v>41036</v>
      </c>
      <c r="E346" s="518">
        <v>0.79</v>
      </c>
    </row>
    <row r="347" spans="4:5" x14ac:dyDescent="0.3">
      <c r="D347" s="517">
        <v>41037</v>
      </c>
      <c r="E347" s="518">
        <v>0.77</v>
      </c>
    </row>
    <row r="348" spans="4:5" x14ac:dyDescent="0.3">
      <c r="D348" s="517">
        <v>41038</v>
      </c>
      <c r="E348" s="518">
        <v>0.77</v>
      </c>
    </row>
    <row r="349" spans="4:5" x14ac:dyDescent="0.3">
      <c r="D349" s="517">
        <v>41039</v>
      </c>
      <c r="E349" s="518">
        <v>0.79</v>
      </c>
    </row>
    <row r="350" spans="4:5" x14ac:dyDescent="0.3">
      <c r="D350" s="517">
        <v>41040</v>
      </c>
      <c r="E350" s="518">
        <v>0.75</v>
      </c>
    </row>
    <row r="351" spans="4:5" x14ac:dyDescent="0.3">
      <c r="D351" s="517">
        <v>41043</v>
      </c>
      <c r="E351" s="518">
        <v>0.73</v>
      </c>
    </row>
    <row r="352" spans="4:5" x14ac:dyDescent="0.3">
      <c r="D352" s="517">
        <v>41044</v>
      </c>
      <c r="E352" s="518">
        <v>0.74</v>
      </c>
    </row>
    <row r="353" spans="4:5" x14ac:dyDescent="0.3">
      <c r="D353" s="517">
        <v>41045</v>
      </c>
      <c r="E353" s="518">
        <v>0.75</v>
      </c>
    </row>
    <row r="354" spans="4:5" x14ac:dyDescent="0.3">
      <c r="D354" s="517">
        <v>41046</v>
      </c>
      <c r="E354" s="518">
        <v>0.74</v>
      </c>
    </row>
    <row r="355" spans="4:5" x14ac:dyDescent="0.3">
      <c r="D355" s="517">
        <v>41047</v>
      </c>
      <c r="E355" s="518">
        <v>0.75</v>
      </c>
    </row>
    <row r="356" spans="4:5" x14ac:dyDescent="0.3">
      <c r="D356" s="517">
        <v>41050</v>
      </c>
      <c r="E356" s="518">
        <v>0.75</v>
      </c>
    </row>
    <row r="357" spans="4:5" x14ac:dyDescent="0.3">
      <c r="D357" s="517">
        <v>41051</v>
      </c>
      <c r="E357" s="518">
        <v>0.78</v>
      </c>
    </row>
    <row r="358" spans="4:5" x14ac:dyDescent="0.3">
      <c r="D358" s="517">
        <v>41052</v>
      </c>
      <c r="E358" s="518">
        <v>0.74</v>
      </c>
    </row>
    <row r="359" spans="4:5" x14ac:dyDescent="0.3">
      <c r="D359" s="517">
        <v>41053</v>
      </c>
      <c r="E359" s="518">
        <v>0.77</v>
      </c>
    </row>
    <row r="360" spans="4:5" x14ac:dyDescent="0.3">
      <c r="D360" s="517">
        <v>41054</v>
      </c>
      <c r="E360" s="518">
        <v>0.76</v>
      </c>
    </row>
    <row r="361" spans="4:5" x14ac:dyDescent="0.3">
      <c r="D361" s="517">
        <v>41058</v>
      </c>
      <c r="E361" s="518">
        <v>0.76</v>
      </c>
    </row>
    <row r="362" spans="4:5" x14ac:dyDescent="0.3">
      <c r="D362" s="517">
        <v>41059</v>
      </c>
      <c r="E362" s="518">
        <v>0.69</v>
      </c>
    </row>
    <row r="363" spans="4:5" x14ac:dyDescent="0.3">
      <c r="D363" s="517">
        <v>41060</v>
      </c>
      <c r="E363" s="518">
        <v>0.67</v>
      </c>
    </row>
    <row r="364" spans="4:5" x14ac:dyDescent="0.3">
      <c r="D364" s="517">
        <v>41061</v>
      </c>
      <c r="E364" s="518">
        <v>0.62</v>
      </c>
    </row>
    <row r="365" spans="4:5" x14ac:dyDescent="0.3">
      <c r="D365" s="517">
        <v>41064</v>
      </c>
      <c r="E365" s="518">
        <v>0.68</v>
      </c>
    </row>
    <row r="366" spans="4:5" x14ac:dyDescent="0.3">
      <c r="D366" s="517">
        <v>41065</v>
      </c>
      <c r="E366" s="518">
        <v>0.68</v>
      </c>
    </row>
    <row r="367" spans="4:5" x14ac:dyDescent="0.3">
      <c r="D367" s="517">
        <v>41066</v>
      </c>
      <c r="E367" s="518">
        <v>0.73</v>
      </c>
    </row>
    <row r="368" spans="4:5" x14ac:dyDescent="0.3">
      <c r="D368" s="517">
        <v>41067</v>
      </c>
      <c r="E368" s="518">
        <v>0.72</v>
      </c>
    </row>
    <row r="369" spans="4:5" x14ac:dyDescent="0.3">
      <c r="D369" s="517">
        <v>41068</v>
      </c>
      <c r="E369" s="518">
        <v>0.71</v>
      </c>
    </row>
    <row r="370" spans="4:5" x14ac:dyDescent="0.3">
      <c r="D370" s="517">
        <v>41071</v>
      </c>
      <c r="E370" s="518">
        <v>0.69</v>
      </c>
    </row>
    <row r="371" spans="4:5" x14ac:dyDescent="0.3">
      <c r="D371" s="517">
        <v>41072</v>
      </c>
      <c r="E371" s="518">
        <v>0.75</v>
      </c>
    </row>
    <row r="372" spans="4:5" x14ac:dyDescent="0.3">
      <c r="D372" s="517">
        <v>41073</v>
      </c>
      <c r="E372" s="518">
        <v>0.71</v>
      </c>
    </row>
    <row r="373" spans="4:5" x14ac:dyDescent="0.3">
      <c r="D373" s="517">
        <v>41074</v>
      </c>
      <c r="E373" s="518">
        <v>0.73</v>
      </c>
    </row>
    <row r="374" spans="4:5" x14ac:dyDescent="0.3">
      <c r="D374" s="517">
        <v>41075</v>
      </c>
      <c r="E374" s="518">
        <v>0.68</v>
      </c>
    </row>
    <row r="375" spans="4:5" x14ac:dyDescent="0.3">
      <c r="D375" s="517">
        <v>41078</v>
      </c>
      <c r="E375" s="518">
        <v>0.69</v>
      </c>
    </row>
    <row r="376" spans="4:5" x14ac:dyDescent="0.3">
      <c r="D376" s="517">
        <v>41079</v>
      </c>
      <c r="E376" s="518">
        <v>0.71</v>
      </c>
    </row>
    <row r="377" spans="4:5" x14ac:dyDescent="0.3">
      <c r="D377" s="517">
        <v>41080</v>
      </c>
      <c r="E377" s="518">
        <v>0.74</v>
      </c>
    </row>
    <row r="378" spans="4:5" x14ac:dyDescent="0.3">
      <c r="D378" s="517">
        <v>41081</v>
      </c>
      <c r="E378" s="518">
        <v>0.73</v>
      </c>
    </row>
    <row r="379" spans="4:5" x14ac:dyDescent="0.3">
      <c r="D379" s="517">
        <v>41082</v>
      </c>
      <c r="E379" s="518">
        <v>0.76</v>
      </c>
    </row>
    <row r="380" spans="4:5" x14ac:dyDescent="0.3">
      <c r="D380" s="517">
        <v>41085</v>
      </c>
      <c r="E380" s="518">
        <v>0.72</v>
      </c>
    </row>
    <row r="381" spans="4:5" x14ac:dyDescent="0.3">
      <c r="D381" s="517">
        <v>41086</v>
      </c>
      <c r="E381" s="518">
        <v>0.75</v>
      </c>
    </row>
    <row r="382" spans="4:5" x14ac:dyDescent="0.3">
      <c r="D382" s="517">
        <v>41087</v>
      </c>
      <c r="E382" s="518">
        <v>0.73</v>
      </c>
    </row>
    <row r="383" spans="4:5" x14ac:dyDescent="0.3">
      <c r="D383" s="517">
        <v>41088</v>
      </c>
      <c r="E383" s="518">
        <v>0.69</v>
      </c>
    </row>
    <row r="384" spans="4:5" x14ac:dyDescent="0.3">
      <c r="D384" s="517">
        <v>41089</v>
      </c>
      <c r="E384" s="518">
        <v>0.72</v>
      </c>
    </row>
    <row r="385" spans="4:5" x14ac:dyDescent="0.3">
      <c r="D385" s="517">
        <v>41092</v>
      </c>
      <c r="E385" s="518">
        <v>0.67</v>
      </c>
    </row>
    <row r="386" spans="4:5" x14ac:dyDescent="0.3">
      <c r="D386" s="517">
        <v>41093</v>
      </c>
      <c r="E386" s="518">
        <v>0.69</v>
      </c>
    </row>
    <row r="387" spans="4:5" x14ac:dyDescent="0.3">
      <c r="D387" s="517">
        <v>41095</v>
      </c>
      <c r="E387" s="518">
        <v>0.68</v>
      </c>
    </row>
    <row r="388" spans="4:5" x14ac:dyDescent="0.3">
      <c r="D388" s="517">
        <v>41096</v>
      </c>
      <c r="E388" s="518">
        <v>0.64</v>
      </c>
    </row>
    <row r="389" spans="4:5" x14ac:dyDescent="0.3">
      <c r="D389" s="517">
        <v>41099</v>
      </c>
      <c r="E389" s="518">
        <v>0.63</v>
      </c>
    </row>
    <row r="390" spans="4:5" x14ac:dyDescent="0.3">
      <c r="D390" s="517">
        <v>41100</v>
      </c>
      <c r="E390" s="518">
        <v>0.63</v>
      </c>
    </row>
    <row r="391" spans="4:5" x14ac:dyDescent="0.3">
      <c r="D391" s="517">
        <v>41101</v>
      </c>
      <c r="E391" s="518">
        <v>0.64</v>
      </c>
    </row>
    <row r="392" spans="4:5" x14ac:dyDescent="0.3">
      <c r="D392" s="517">
        <v>41102</v>
      </c>
      <c r="E392" s="518">
        <v>0.63</v>
      </c>
    </row>
    <row r="393" spans="4:5" x14ac:dyDescent="0.3">
      <c r="D393" s="517">
        <v>41103</v>
      </c>
      <c r="E393" s="518">
        <v>0.63</v>
      </c>
    </row>
    <row r="394" spans="4:5" x14ac:dyDescent="0.3">
      <c r="D394" s="517">
        <v>41106</v>
      </c>
      <c r="E394" s="518">
        <v>0.6</v>
      </c>
    </row>
    <row r="395" spans="4:5" x14ac:dyDescent="0.3">
      <c r="D395" s="517">
        <v>41107</v>
      </c>
      <c r="E395" s="518">
        <v>0.62</v>
      </c>
    </row>
    <row r="396" spans="4:5" x14ac:dyDescent="0.3">
      <c r="D396" s="517">
        <v>41108</v>
      </c>
      <c r="E396" s="518">
        <v>0.6</v>
      </c>
    </row>
    <row r="397" spans="4:5" x14ac:dyDescent="0.3">
      <c r="D397" s="517">
        <v>41109</v>
      </c>
      <c r="E397" s="518">
        <v>0.62</v>
      </c>
    </row>
    <row r="398" spans="4:5" x14ac:dyDescent="0.3">
      <c r="D398" s="517">
        <v>41110</v>
      </c>
      <c r="E398" s="518">
        <v>0.59</v>
      </c>
    </row>
    <row r="399" spans="4:5" x14ac:dyDescent="0.3">
      <c r="D399" s="517">
        <v>41113</v>
      </c>
      <c r="E399" s="518">
        <v>0.56999999999999995</v>
      </c>
    </row>
    <row r="400" spans="4:5" x14ac:dyDescent="0.3">
      <c r="D400" s="517">
        <v>41114</v>
      </c>
      <c r="E400" s="518">
        <v>0.56999999999999995</v>
      </c>
    </row>
    <row r="401" spans="4:5" x14ac:dyDescent="0.3">
      <c r="D401" s="517">
        <v>41115</v>
      </c>
      <c r="E401" s="518">
        <v>0.56000000000000005</v>
      </c>
    </row>
    <row r="402" spans="4:5" x14ac:dyDescent="0.3">
      <c r="D402" s="517">
        <v>41116</v>
      </c>
      <c r="E402" s="518">
        <v>0.57999999999999996</v>
      </c>
    </row>
    <row r="403" spans="4:5" x14ac:dyDescent="0.3">
      <c r="D403" s="517">
        <v>41117</v>
      </c>
      <c r="E403" s="518">
        <v>0.65</v>
      </c>
    </row>
    <row r="404" spans="4:5" x14ac:dyDescent="0.3">
      <c r="D404" s="517">
        <v>41120</v>
      </c>
      <c r="E404" s="518">
        <v>0.61</v>
      </c>
    </row>
    <row r="405" spans="4:5" x14ac:dyDescent="0.3">
      <c r="D405" s="517">
        <v>41121</v>
      </c>
      <c r="E405" s="518">
        <v>0.6</v>
      </c>
    </row>
    <row r="406" spans="4:5" x14ac:dyDescent="0.3">
      <c r="D406" s="517">
        <v>41122</v>
      </c>
      <c r="E406" s="518">
        <v>0.63</v>
      </c>
    </row>
    <row r="407" spans="4:5" x14ac:dyDescent="0.3">
      <c r="D407" s="517">
        <v>41123</v>
      </c>
      <c r="E407" s="518">
        <v>0.61</v>
      </c>
    </row>
    <row r="408" spans="4:5" x14ac:dyDescent="0.3">
      <c r="D408" s="517">
        <v>41124</v>
      </c>
      <c r="E408" s="518">
        <v>0.67</v>
      </c>
    </row>
    <row r="409" spans="4:5" x14ac:dyDescent="0.3">
      <c r="D409" s="517">
        <v>41127</v>
      </c>
      <c r="E409" s="518">
        <v>0.65</v>
      </c>
    </row>
    <row r="410" spans="4:5" x14ac:dyDescent="0.3">
      <c r="D410" s="517">
        <v>41128</v>
      </c>
      <c r="E410" s="518">
        <v>0.71</v>
      </c>
    </row>
    <row r="411" spans="4:5" x14ac:dyDescent="0.3">
      <c r="D411" s="517">
        <v>41129</v>
      </c>
      <c r="E411" s="518">
        <v>0.73</v>
      </c>
    </row>
    <row r="412" spans="4:5" x14ac:dyDescent="0.3">
      <c r="D412" s="517">
        <v>41130</v>
      </c>
      <c r="E412" s="518">
        <v>0.74</v>
      </c>
    </row>
    <row r="413" spans="4:5" x14ac:dyDescent="0.3">
      <c r="D413" s="517">
        <v>41131</v>
      </c>
      <c r="E413" s="518">
        <v>0.71</v>
      </c>
    </row>
    <row r="414" spans="4:5" x14ac:dyDescent="0.3">
      <c r="D414" s="517">
        <v>41134</v>
      </c>
      <c r="E414" s="518">
        <v>0.71</v>
      </c>
    </row>
    <row r="415" spans="4:5" x14ac:dyDescent="0.3">
      <c r="D415" s="517">
        <v>41135</v>
      </c>
      <c r="E415" s="518">
        <v>0.75</v>
      </c>
    </row>
    <row r="416" spans="4:5" x14ac:dyDescent="0.3">
      <c r="D416" s="517">
        <v>41136</v>
      </c>
      <c r="E416" s="518">
        <v>0.8</v>
      </c>
    </row>
    <row r="417" spans="4:5" x14ac:dyDescent="0.3">
      <c r="D417" s="517">
        <v>41137</v>
      </c>
      <c r="E417" s="518">
        <v>0.83</v>
      </c>
    </row>
    <row r="418" spans="4:5" x14ac:dyDescent="0.3">
      <c r="D418" s="517">
        <v>41138</v>
      </c>
      <c r="E418" s="518">
        <v>0.81</v>
      </c>
    </row>
    <row r="419" spans="4:5" x14ac:dyDescent="0.3">
      <c r="D419" s="517">
        <v>41141</v>
      </c>
      <c r="E419" s="518">
        <v>0.8</v>
      </c>
    </row>
    <row r="420" spans="4:5" x14ac:dyDescent="0.3">
      <c r="D420" s="517">
        <v>41142</v>
      </c>
      <c r="E420" s="518">
        <v>0.8</v>
      </c>
    </row>
    <row r="421" spans="4:5" x14ac:dyDescent="0.3">
      <c r="D421" s="517">
        <v>41143</v>
      </c>
      <c r="E421" s="518">
        <v>0.71</v>
      </c>
    </row>
    <row r="422" spans="4:5" x14ac:dyDescent="0.3">
      <c r="D422" s="517">
        <v>41144</v>
      </c>
      <c r="E422" s="518">
        <v>0.71</v>
      </c>
    </row>
    <row r="423" spans="4:5" x14ac:dyDescent="0.3">
      <c r="D423" s="517">
        <v>41145</v>
      </c>
      <c r="E423" s="518">
        <v>0.72</v>
      </c>
    </row>
    <row r="424" spans="4:5" x14ac:dyDescent="0.3">
      <c r="D424" s="517">
        <v>41148</v>
      </c>
      <c r="E424" s="518">
        <v>0.7</v>
      </c>
    </row>
    <row r="425" spans="4:5" x14ac:dyDescent="0.3">
      <c r="D425" s="517">
        <v>41149</v>
      </c>
      <c r="E425" s="518">
        <v>0.69</v>
      </c>
    </row>
    <row r="426" spans="4:5" x14ac:dyDescent="0.3">
      <c r="D426" s="517">
        <v>41150</v>
      </c>
      <c r="E426" s="518">
        <v>0.69</v>
      </c>
    </row>
    <row r="427" spans="4:5" x14ac:dyDescent="0.3">
      <c r="D427" s="517">
        <v>41151</v>
      </c>
      <c r="E427" s="518">
        <v>0.66</v>
      </c>
    </row>
    <row r="428" spans="4:5" x14ac:dyDescent="0.3">
      <c r="D428" s="517">
        <v>41152</v>
      </c>
      <c r="E428" s="518">
        <v>0.59</v>
      </c>
    </row>
    <row r="429" spans="4:5" x14ac:dyDescent="0.3">
      <c r="D429" s="517">
        <v>41156</v>
      </c>
      <c r="E429" s="518">
        <v>0.62</v>
      </c>
    </row>
    <row r="430" spans="4:5" x14ac:dyDescent="0.3">
      <c r="D430" s="517">
        <v>41157</v>
      </c>
      <c r="E430" s="518">
        <v>0.62</v>
      </c>
    </row>
    <row r="431" spans="4:5" x14ac:dyDescent="0.3">
      <c r="D431" s="517">
        <v>41158</v>
      </c>
      <c r="E431" s="518">
        <v>0.68</v>
      </c>
    </row>
    <row r="432" spans="4:5" x14ac:dyDescent="0.3">
      <c r="D432" s="517">
        <v>41159</v>
      </c>
      <c r="E432" s="518">
        <v>0.64</v>
      </c>
    </row>
    <row r="433" spans="4:5" x14ac:dyDescent="0.3">
      <c r="D433" s="517">
        <v>41162</v>
      </c>
      <c r="E433" s="518">
        <v>0.66</v>
      </c>
    </row>
    <row r="434" spans="4:5" x14ac:dyDescent="0.3">
      <c r="D434" s="517">
        <v>41163</v>
      </c>
      <c r="E434" s="518">
        <v>0.67</v>
      </c>
    </row>
    <row r="435" spans="4:5" x14ac:dyDescent="0.3">
      <c r="D435" s="517">
        <v>41164</v>
      </c>
      <c r="E435" s="518">
        <v>0.7</v>
      </c>
    </row>
    <row r="436" spans="4:5" x14ac:dyDescent="0.3">
      <c r="D436" s="517">
        <v>41165</v>
      </c>
      <c r="E436" s="518">
        <v>0.65</v>
      </c>
    </row>
    <row r="437" spans="4:5" x14ac:dyDescent="0.3">
      <c r="D437" s="517">
        <v>41166</v>
      </c>
      <c r="E437" s="518">
        <v>0.72</v>
      </c>
    </row>
    <row r="438" spans="4:5" x14ac:dyDescent="0.3">
      <c r="D438" s="517">
        <v>41169</v>
      </c>
      <c r="E438" s="518">
        <v>0.73</v>
      </c>
    </row>
    <row r="439" spans="4:5" x14ac:dyDescent="0.3">
      <c r="D439" s="517">
        <v>41170</v>
      </c>
      <c r="E439" s="518">
        <v>0.71</v>
      </c>
    </row>
    <row r="440" spans="4:5" x14ac:dyDescent="0.3">
      <c r="D440" s="517">
        <v>41171</v>
      </c>
      <c r="E440" s="518">
        <v>0.7</v>
      </c>
    </row>
    <row r="441" spans="4:5" x14ac:dyDescent="0.3">
      <c r="D441" s="517">
        <v>41172</v>
      </c>
      <c r="E441" s="518">
        <v>0.7</v>
      </c>
    </row>
    <row r="442" spans="4:5" x14ac:dyDescent="0.3">
      <c r="D442" s="517">
        <v>41173</v>
      </c>
      <c r="E442" s="518">
        <v>0.68</v>
      </c>
    </row>
    <row r="443" spans="4:5" x14ac:dyDescent="0.3">
      <c r="D443" s="517">
        <v>41176</v>
      </c>
      <c r="E443" s="518">
        <v>0.68</v>
      </c>
    </row>
    <row r="444" spans="4:5" x14ac:dyDescent="0.3">
      <c r="D444" s="517">
        <v>41177</v>
      </c>
      <c r="E444" s="518">
        <v>0.66</v>
      </c>
    </row>
    <row r="445" spans="4:5" x14ac:dyDescent="0.3">
      <c r="D445" s="517">
        <v>41178</v>
      </c>
      <c r="E445" s="518">
        <v>0.63</v>
      </c>
    </row>
    <row r="446" spans="4:5" x14ac:dyDescent="0.3">
      <c r="D446" s="517">
        <v>41179</v>
      </c>
      <c r="E446" s="518">
        <v>0.64</v>
      </c>
    </row>
    <row r="447" spans="4:5" x14ac:dyDescent="0.3">
      <c r="D447" s="517">
        <v>41180</v>
      </c>
      <c r="E447" s="518">
        <v>0.62</v>
      </c>
    </row>
    <row r="448" spans="4:5" x14ac:dyDescent="0.3">
      <c r="D448" s="517">
        <v>41183</v>
      </c>
      <c r="E448" s="518">
        <v>0.62</v>
      </c>
    </row>
    <row r="449" spans="4:5" x14ac:dyDescent="0.3">
      <c r="D449" s="517">
        <v>41184</v>
      </c>
      <c r="E449" s="518">
        <v>0.61</v>
      </c>
    </row>
    <row r="450" spans="4:5" x14ac:dyDescent="0.3">
      <c r="D450" s="517">
        <v>41185</v>
      </c>
      <c r="E450" s="518">
        <v>0.61</v>
      </c>
    </row>
    <row r="451" spans="4:5" x14ac:dyDescent="0.3">
      <c r="D451" s="517">
        <v>41186</v>
      </c>
      <c r="E451" s="518">
        <v>0.63</v>
      </c>
    </row>
    <row r="452" spans="4:5" x14ac:dyDescent="0.3">
      <c r="D452" s="517">
        <v>41187</v>
      </c>
      <c r="E452" s="518">
        <v>0.67</v>
      </c>
    </row>
    <row r="453" spans="4:5" x14ac:dyDescent="0.3">
      <c r="D453" s="517">
        <v>41191</v>
      </c>
      <c r="E453" s="518">
        <v>0.67</v>
      </c>
    </row>
    <row r="454" spans="4:5" x14ac:dyDescent="0.3">
      <c r="D454" s="517">
        <v>41192</v>
      </c>
      <c r="E454" s="518">
        <v>0.66</v>
      </c>
    </row>
    <row r="455" spans="4:5" x14ac:dyDescent="0.3">
      <c r="D455" s="517">
        <v>41193</v>
      </c>
      <c r="E455" s="518">
        <v>0.67</v>
      </c>
    </row>
    <row r="456" spans="4:5" x14ac:dyDescent="0.3">
      <c r="D456" s="517">
        <v>41194</v>
      </c>
      <c r="E456" s="518">
        <v>0.67</v>
      </c>
    </row>
    <row r="457" spans="4:5" x14ac:dyDescent="0.3">
      <c r="D457" s="517">
        <v>41197</v>
      </c>
      <c r="E457" s="518">
        <v>0.67</v>
      </c>
    </row>
    <row r="458" spans="4:5" x14ac:dyDescent="0.3">
      <c r="D458" s="517">
        <v>41198</v>
      </c>
      <c r="E458" s="518">
        <v>0.7</v>
      </c>
    </row>
    <row r="459" spans="4:5" x14ac:dyDescent="0.3">
      <c r="D459" s="517">
        <v>41199</v>
      </c>
      <c r="E459" s="518">
        <v>0.78</v>
      </c>
    </row>
    <row r="460" spans="4:5" x14ac:dyDescent="0.3">
      <c r="D460" s="517">
        <v>41200</v>
      </c>
      <c r="E460" s="518">
        <v>0.79</v>
      </c>
    </row>
    <row r="461" spans="4:5" x14ac:dyDescent="0.3">
      <c r="D461" s="517">
        <v>41201</v>
      </c>
      <c r="E461" s="518">
        <v>0.77</v>
      </c>
    </row>
    <row r="462" spans="4:5" x14ac:dyDescent="0.3">
      <c r="D462" s="517">
        <v>41204</v>
      </c>
      <c r="E462" s="518">
        <v>0.79</v>
      </c>
    </row>
    <row r="463" spans="4:5" x14ac:dyDescent="0.3">
      <c r="D463" s="517">
        <v>41205</v>
      </c>
      <c r="E463" s="518">
        <v>0.77</v>
      </c>
    </row>
    <row r="464" spans="4:5" x14ac:dyDescent="0.3">
      <c r="D464" s="517">
        <v>41206</v>
      </c>
      <c r="E464" s="518">
        <v>0.76</v>
      </c>
    </row>
    <row r="465" spans="4:5" x14ac:dyDescent="0.3">
      <c r="D465" s="517">
        <v>41207</v>
      </c>
      <c r="E465" s="518">
        <v>0.82</v>
      </c>
    </row>
    <row r="466" spans="4:5" x14ac:dyDescent="0.3">
      <c r="D466" s="517">
        <v>41208</v>
      </c>
      <c r="E466" s="518">
        <v>0.76</v>
      </c>
    </row>
    <row r="467" spans="4:5" x14ac:dyDescent="0.3">
      <c r="D467" s="517">
        <v>41211</v>
      </c>
      <c r="E467" s="518">
        <v>0.74</v>
      </c>
    </row>
    <row r="468" spans="4:5" x14ac:dyDescent="0.3">
      <c r="D468" s="517">
        <v>41213</v>
      </c>
      <c r="E468" s="518">
        <v>0.72</v>
      </c>
    </row>
    <row r="469" spans="4:5" x14ac:dyDescent="0.3">
      <c r="D469" s="517">
        <v>41214</v>
      </c>
      <c r="E469" s="518">
        <v>0.73</v>
      </c>
    </row>
    <row r="470" spans="4:5" x14ac:dyDescent="0.3">
      <c r="D470" s="517">
        <v>41215</v>
      </c>
      <c r="E470" s="518">
        <v>0.73</v>
      </c>
    </row>
    <row r="471" spans="4:5" x14ac:dyDescent="0.3">
      <c r="D471" s="517">
        <v>41218</v>
      </c>
      <c r="E471" s="518">
        <v>0.7</v>
      </c>
    </row>
    <row r="472" spans="4:5" x14ac:dyDescent="0.3">
      <c r="D472" s="517">
        <v>41219</v>
      </c>
      <c r="E472" s="518">
        <v>0.75</v>
      </c>
    </row>
    <row r="473" spans="4:5" x14ac:dyDescent="0.3">
      <c r="D473" s="517">
        <v>41220</v>
      </c>
      <c r="E473" s="518">
        <v>0.67</v>
      </c>
    </row>
    <row r="474" spans="4:5" x14ac:dyDescent="0.3">
      <c r="D474" s="517">
        <v>41221</v>
      </c>
      <c r="E474" s="518">
        <v>0.65</v>
      </c>
    </row>
    <row r="475" spans="4:5" x14ac:dyDescent="0.3">
      <c r="D475" s="517">
        <v>41222</v>
      </c>
      <c r="E475" s="518">
        <v>0.65</v>
      </c>
    </row>
    <row r="476" spans="4:5" x14ac:dyDescent="0.3">
      <c r="D476" s="517">
        <v>41226</v>
      </c>
      <c r="E476" s="518">
        <v>0.63</v>
      </c>
    </row>
    <row r="477" spans="4:5" x14ac:dyDescent="0.3">
      <c r="D477" s="517">
        <v>41227</v>
      </c>
      <c r="E477" s="518">
        <v>0.63</v>
      </c>
    </row>
    <row r="478" spans="4:5" x14ac:dyDescent="0.3">
      <c r="D478" s="517">
        <v>41228</v>
      </c>
      <c r="E478" s="518">
        <v>0.62</v>
      </c>
    </row>
    <row r="479" spans="4:5" x14ac:dyDescent="0.3">
      <c r="D479" s="517">
        <v>41229</v>
      </c>
      <c r="E479" s="518">
        <v>0.62</v>
      </c>
    </row>
    <row r="480" spans="4:5" x14ac:dyDescent="0.3">
      <c r="D480" s="517">
        <v>41232</v>
      </c>
      <c r="E480" s="518">
        <v>0.64</v>
      </c>
    </row>
    <row r="481" spans="4:5" x14ac:dyDescent="0.3">
      <c r="D481" s="517">
        <v>41233</v>
      </c>
      <c r="E481" s="518">
        <v>0.67</v>
      </c>
    </row>
    <row r="482" spans="4:5" x14ac:dyDescent="0.3">
      <c r="D482" s="517">
        <v>41234</v>
      </c>
      <c r="E482" s="518">
        <v>0.69</v>
      </c>
    </row>
    <row r="483" spans="4:5" x14ac:dyDescent="0.3">
      <c r="D483" s="517">
        <v>41236</v>
      </c>
      <c r="E483" s="518">
        <v>0.7</v>
      </c>
    </row>
    <row r="484" spans="4:5" x14ac:dyDescent="0.3">
      <c r="D484" s="517">
        <v>41239</v>
      </c>
      <c r="E484" s="518">
        <v>0.68</v>
      </c>
    </row>
    <row r="485" spans="4:5" x14ac:dyDescent="0.3">
      <c r="D485" s="517">
        <v>41240</v>
      </c>
      <c r="E485" s="518">
        <v>0.66</v>
      </c>
    </row>
    <row r="486" spans="4:5" x14ac:dyDescent="0.3">
      <c r="D486" s="517">
        <v>41241</v>
      </c>
      <c r="E486" s="518">
        <v>0.64</v>
      </c>
    </row>
    <row r="487" spans="4:5" x14ac:dyDescent="0.3">
      <c r="D487" s="517">
        <v>41242</v>
      </c>
      <c r="E487" s="518">
        <v>0.63</v>
      </c>
    </row>
    <row r="488" spans="4:5" x14ac:dyDescent="0.3">
      <c r="D488" s="517">
        <v>41243</v>
      </c>
      <c r="E488" s="518">
        <v>0.61</v>
      </c>
    </row>
    <row r="489" spans="4:5" x14ac:dyDescent="0.3">
      <c r="D489" s="517">
        <v>41246</v>
      </c>
      <c r="E489" s="518">
        <v>0.63</v>
      </c>
    </row>
    <row r="490" spans="4:5" x14ac:dyDescent="0.3">
      <c r="D490" s="517">
        <v>41247</v>
      </c>
      <c r="E490" s="518">
        <v>0.63</v>
      </c>
    </row>
    <row r="491" spans="4:5" x14ac:dyDescent="0.3">
      <c r="D491" s="517">
        <v>41248</v>
      </c>
      <c r="E491" s="518">
        <v>0.61</v>
      </c>
    </row>
    <row r="492" spans="4:5" x14ac:dyDescent="0.3">
      <c r="D492" s="517">
        <v>41249</v>
      </c>
      <c r="E492" s="518">
        <v>0.6</v>
      </c>
    </row>
    <row r="493" spans="4:5" x14ac:dyDescent="0.3">
      <c r="D493" s="517">
        <v>41250</v>
      </c>
      <c r="E493" s="518">
        <v>0.63</v>
      </c>
    </row>
    <row r="494" spans="4:5" x14ac:dyDescent="0.3">
      <c r="D494" s="517">
        <v>41253</v>
      </c>
      <c r="E494" s="518">
        <v>0.62</v>
      </c>
    </row>
    <row r="495" spans="4:5" x14ac:dyDescent="0.3">
      <c r="D495" s="517">
        <v>41254</v>
      </c>
      <c r="E495" s="518">
        <v>0.64</v>
      </c>
    </row>
    <row r="496" spans="4:5" x14ac:dyDescent="0.3">
      <c r="D496" s="517">
        <v>41255</v>
      </c>
      <c r="E496" s="518">
        <v>0.66</v>
      </c>
    </row>
    <row r="497" spans="4:5" x14ac:dyDescent="0.3">
      <c r="D497" s="517">
        <v>41256</v>
      </c>
      <c r="E497" s="518">
        <v>0.7</v>
      </c>
    </row>
    <row r="498" spans="4:5" x14ac:dyDescent="0.3">
      <c r="D498" s="517">
        <v>41257</v>
      </c>
      <c r="E498" s="518">
        <v>0.7</v>
      </c>
    </row>
    <row r="499" spans="4:5" x14ac:dyDescent="0.3">
      <c r="D499" s="517">
        <v>41260</v>
      </c>
      <c r="E499" s="518">
        <v>0.74</v>
      </c>
    </row>
    <row r="500" spans="4:5" x14ac:dyDescent="0.3">
      <c r="D500" s="517">
        <v>41261</v>
      </c>
      <c r="E500" s="518">
        <v>0.78</v>
      </c>
    </row>
    <row r="501" spans="4:5" x14ac:dyDescent="0.3">
      <c r="D501" s="517">
        <v>41262</v>
      </c>
      <c r="E501" s="518">
        <v>0.77</v>
      </c>
    </row>
    <row r="502" spans="4:5" x14ac:dyDescent="0.3">
      <c r="D502" s="517">
        <v>41263</v>
      </c>
      <c r="E502" s="518">
        <v>0.77</v>
      </c>
    </row>
    <row r="503" spans="4:5" x14ac:dyDescent="0.3">
      <c r="D503" s="517">
        <v>41264</v>
      </c>
      <c r="E503" s="518">
        <v>0.75</v>
      </c>
    </row>
    <row r="504" spans="4:5" x14ac:dyDescent="0.3">
      <c r="D504" s="517">
        <v>41267</v>
      </c>
      <c r="E504" s="518">
        <v>0.77</v>
      </c>
    </row>
    <row r="505" spans="4:5" x14ac:dyDescent="0.3">
      <c r="D505" s="517">
        <v>41269</v>
      </c>
      <c r="E505" s="518">
        <v>0.76</v>
      </c>
    </row>
    <row r="506" spans="4:5" x14ac:dyDescent="0.3">
      <c r="D506" s="517">
        <v>41270</v>
      </c>
      <c r="E506" s="518">
        <v>0.72</v>
      </c>
    </row>
    <row r="507" spans="4:5" x14ac:dyDescent="0.3">
      <c r="D507" s="517">
        <v>41271</v>
      </c>
      <c r="E507" s="518">
        <v>0.72</v>
      </c>
    </row>
    <row r="508" spans="4:5" x14ac:dyDescent="0.3">
      <c r="D508" s="517">
        <v>41274</v>
      </c>
      <c r="E508" s="518">
        <v>0.72</v>
      </c>
    </row>
    <row r="509" spans="4:5" x14ac:dyDescent="0.3">
      <c r="D509" s="519">
        <v>41276</v>
      </c>
      <c r="E509" s="520">
        <v>0.76</v>
      </c>
    </row>
    <row r="510" spans="4:5" x14ac:dyDescent="0.3">
      <c r="D510" s="519">
        <v>41277</v>
      </c>
      <c r="E510" s="520">
        <v>0.81</v>
      </c>
    </row>
    <row r="511" spans="4:5" x14ac:dyDescent="0.3">
      <c r="D511" s="519">
        <v>41278</v>
      </c>
      <c r="E511" s="520">
        <v>0.82</v>
      </c>
    </row>
    <row r="512" spans="4:5" x14ac:dyDescent="0.3">
      <c r="D512" s="519">
        <v>41281</v>
      </c>
      <c r="E512" s="520">
        <v>0.82</v>
      </c>
    </row>
    <row r="513" spans="4:5" x14ac:dyDescent="0.3">
      <c r="D513" s="519">
        <v>41282</v>
      </c>
      <c r="E513" s="520">
        <v>0.79</v>
      </c>
    </row>
    <row r="514" spans="4:5" x14ac:dyDescent="0.3">
      <c r="D514" s="519">
        <v>41283</v>
      </c>
      <c r="E514" s="520">
        <v>0.77</v>
      </c>
    </row>
    <row r="515" spans="4:5" x14ac:dyDescent="0.3">
      <c r="D515" s="519">
        <v>41284</v>
      </c>
      <c r="E515" s="520">
        <v>0.8</v>
      </c>
    </row>
    <row r="516" spans="4:5" x14ac:dyDescent="0.3">
      <c r="D516" s="519">
        <v>41285</v>
      </c>
      <c r="E516" s="520">
        <v>0.78</v>
      </c>
    </row>
    <row r="517" spans="4:5" x14ac:dyDescent="0.3">
      <c r="D517" s="519">
        <v>41288</v>
      </c>
      <c r="E517" s="520">
        <v>0.78</v>
      </c>
    </row>
    <row r="518" spans="4:5" x14ac:dyDescent="0.3">
      <c r="D518" s="519">
        <v>41289</v>
      </c>
      <c r="E518" s="520">
        <v>0.75</v>
      </c>
    </row>
    <row r="519" spans="4:5" x14ac:dyDescent="0.3">
      <c r="D519" s="519">
        <v>41290</v>
      </c>
      <c r="E519" s="520">
        <v>0.75</v>
      </c>
    </row>
    <row r="520" spans="4:5" x14ac:dyDescent="0.3">
      <c r="D520" s="519">
        <v>41291</v>
      </c>
      <c r="E520" s="520">
        <v>0.79</v>
      </c>
    </row>
    <row r="521" spans="4:5" x14ac:dyDescent="0.3">
      <c r="D521" s="519">
        <v>41292</v>
      </c>
      <c r="E521" s="520">
        <v>0.77</v>
      </c>
    </row>
    <row r="522" spans="4:5" x14ac:dyDescent="0.3">
      <c r="D522" s="519">
        <v>41296</v>
      </c>
      <c r="E522" s="520">
        <v>0.76</v>
      </c>
    </row>
    <row r="523" spans="4:5" x14ac:dyDescent="0.3">
      <c r="D523" s="519">
        <v>41297</v>
      </c>
      <c r="E523" s="520">
        <v>0.76</v>
      </c>
    </row>
    <row r="524" spans="4:5" x14ac:dyDescent="0.3">
      <c r="D524" s="519">
        <v>41298</v>
      </c>
      <c r="E524" s="520">
        <v>0.78</v>
      </c>
    </row>
    <row r="525" spans="4:5" x14ac:dyDescent="0.3">
      <c r="D525" s="519">
        <v>41299</v>
      </c>
      <c r="E525" s="520">
        <v>0.87</v>
      </c>
    </row>
    <row r="526" spans="4:5" x14ac:dyDescent="0.3">
      <c r="D526" s="519">
        <v>41302</v>
      </c>
      <c r="E526" s="520">
        <v>0.89</v>
      </c>
    </row>
    <row r="527" spans="4:5" x14ac:dyDescent="0.3">
      <c r="D527" s="519">
        <v>41303</v>
      </c>
      <c r="E527" s="520">
        <v>0.9</v>
      </c>
    </row>
    <row r="528" spans="4:5" x14ac:dyDescent="0.3">
      <c r="D528" s="519">
        <v>41304</v>
      </c>
      <c r="E528" s="520">
        <v>0.88</v>
      </c>
    </row>
    <row r="529" spans="4:5" x14ac:dyDescent="0.3">
      <c r="D529" s="519">
        <v>41305</v>
      </c>
      <c r="E529" s="520">
        <v>0.88</v>
      </c>
    </row>
    <row r="530" spans="4:5" x14ac:dyDescent="0.3">
      <c r="D530" s="519">
        <v>41306</v>
      </c>
      <c r="E530" s="520">
        <v>0.88</v>
      </c>
    </row>
    <row r="531" spans="4:5" x14ac:dyDescent="0.3">
      <c r="D531" s="519">
        <v>41309</v>
      </c>
      <c r="E531" s="520">
        <v>0.85</v>
      </c>
    </row>
    <row r="532" spans="4:5" x14ac:dyDescent="0.3">
      <c r="D532" s="519">
        <v>41310</v>
      </c>
      <c r="E532" s="520">
        <v>0.88</v>
      </c>
    </row>
    <row r="533" spans="4:5" x14ac:dyDescent="0.3">
      <c r="D533" s="519">
        <v>41311</v>
      </c>
      <c r="E533" s="520">
        <v>0.84</v>
      </c>
    </row>
    <row r="534" spans="4:5" x14ac:dyDescent="0.3">
      <c r="D534" s="519">
        <v>41312</v>
      </c>
      <c r="E534" s="520">
        <v>0.83</v>
      </c>
    </row>
    <row r="535" spans="4:5" x14ac:dyDescent="0.3">
      <c r="D535" s="519">
        <v>41313</v>
      </c>
      <c r="E535" s="520">
        <v>0.84</v>
      </c>
    </row>
    <row r="536" spans="4:5" x14ac:dyDescent="0.3">
      <c r="D536" s="519">
        <v>41316</v>
      </c>
      <c r="E536" s="520">
        <v>0.85</v>
      </c>
    </row>
    <row r="537" spans="4:5" x14ac:dyDescent="0.3">
      <c r="D537" s="519">
        <v>41317</v>
      </c>
      <c r="E537" s="520">
        <v>0.88</v>
      </c>
    </row>
    <row r="538" spans="4:5" x14ac:dyDescent="0.3">
      <c r="D538" s="519">
        <v>41318</v>
      </c>
      <c r="E538" s="520">
        <v>0.92</v>
      </c>
    </row>
    <row r="539" spans="4:5" x14ac:dyDescent="0.3">
      <c r="D539" s="519">
        <v>41319</v>
      </c>
      <c r="E539" s="520">
        <v>0.86</v>
      </c>
    </row>
    <row r="540" spans="4:5" x14ac:dyDescent="0.3">
      <c r="D540" s="519">
        <v>41320</v>
      </c>
      <c r="E540" s="520">
        <v>0.87</v>
      </c>
    </row>
    <row r="541" spans="4:5" x14ac:dyDescent="0.3">
      <c r="D541" s="519">
        <v>41324</v>
      </c>
      <c r="E541" s="520">
        <v>0.89</v>
      </c>
    </row>
    <row r="542" spans="4:5" x14ac:dyDescent="0.3">
      <c r="D542" s="519">
        <v>41325</v>
      </c>
      <c r="E542" s="520">
        <v>0.88</v>
      </c>
    </row>
    <row r="543" spans="4:5" x14ac:dyDescent="0.3">
      <c r="D543" s="519">
        <v>41326</v>
      </c>
      <c r="E543" s="520">
        <v>0.86</v>
      </c>
    </row>
    <row r="544" spans="4:5" x14ac:dyDescent="0.3">
      <c r="D544" s="519">
        <v>41327</v>
      </c>
      <c r="E544" s="520">
        <v>0.84</v>
      </c>
    </row>
    <row r="545" spans="4:5" x14ac:dyDescent="0.3">
      <c r="D545" s="519">
        <v>41330</v>
      </c>
      <c r="E545" s="520">
        <v>0.78</v>
      </c>
    </row>
    <row r="546" spans="4:5" x14ac:dyDescent="0.3">
      <c r="D546" s="519">
        <v>41331</v>
      </c>
      <c r="E546" s="520">
        <v>0.78</v>
      </c>
    </row>
    <row r="547" spans="4:5" x14ac:dyDescent="0.3">
      <c r="D547" s="519">
        <v>41332</v>
      </c>
      <c r="E547" s="520">
        <v>0.78</v>
      </c>
    </row>
    <row r="548" spans="4:5" x14ac:dyDescent="0.3">
      <c r="D548" s="519">
        <v>41333</v>
      </c>
      <c r="E548" s="520">
        <v>0.77</v>
      </c>
    </row>
    <row r="549" spans="4:5" x14ac:dyDescent="0.3">
      <c r="D549" s="519">
        <v>41334</v>
      </c>
      <c r="E549" s="520">
        <v>0.75</v>
      </c>
    </row>
    <row r="550" spans="4:5" x14ac:dyDescent="0.3">
      <c r="D550" s="519">
        <v>41337</v>
      </c>
      <c r="E550" s="520">
        <v>0.76</v>
      </c>
    </row>
    <row r="551" spans="4:5" x14ac:dyDescent="0.3">
      <c r="D551" s="519">
        <v>41338</v>
      </c>
      <c r="E551" s="520">
        <v>0.77</v>
      </c>
    </row>
    <row r="552" spans="4:5" x14ac:dyDescent="0.3">
      <c r="D552" s="519">
        <v>41339</v>
      </c>
      <c r="E552" s="520">
        <v>0.81</v>
      </c>
    </row>
    <row r="553" spans="4:5" x14ac:dyDescent="0.3">
      <c r="D553" s="519">
        <v>41340</v>
      </c>
      <c r="E553" s="520">
        <v>0.85</v>
      </c>
    </row>
    <row r="554" spans="4:5" x14ac:dyDescent="0.3">
      <c r="D554" s="519">
        <v>41341</v>
      </c>
      <c r="E554" s="520">
        <v>0.9</v>
      </c>
    </row>
    <row r="555" spans="4:5" x14ac:dyDescent="0.3">
      <c r="D555" s="519">
        <v>41344</v>
      </c>
      <c r="E555" s="520">
        <v>0.9</v>
      </c>
    </row>
    <row r="556" spans="4:5" x14ac:dyDescent="0.3">
      <c r="D556" s="519">
        <v>41345</v>
      </c>
      <c r="E556" s="520">
        <v>0.88</v>
      </c>
    </row>
    <row r="557" spans="4:5" x14ac:dyDescent="0.3">
      <c r="D557" s="519">
        <v>41346</v>
      </c>
      <c r="E557" s="520">
        <v>0.89</v>
      </c>
    </row>
    <row r="558" spans="4:5" x14ac:dyDescent="0.3">
      <c r="D558" s="519">
        <v>41347</v>
      </c>
      <c r="E558" s="520">
        <v>0.88</v>
      </c>
    </row>
    <row r="559" spans="4:5" x14ac:dyDescent="0.3">
      <c r="D559" s="519">
        <v>41348</v>
      </c>
      <c r="E559" s="520">
        <v>0.84</v>
      </c>
    </row>
    <row r="560" spans="4:5" x14ac:dyDescent="0.3">
      <c r="D560" s="519">
        <v>41351</v>
      </c>
      <c r="E560" s="520">
        <v>0.81</v>
      </c>
    </row>
    <row r="561" spans="4:5" x14ac:dyDescent="0.3">
      <c r="D561" s="519">
        <v>41352</v>
      </c>
      <c r="E561" s="520">
        <v>0.79</v>
      </c>
    </row>
    <row r="562" spans="4:5" x14ac:dyDescent="0.3">
      <c r="D562" s="519">
        <v>41353</v>
      </c>
      <c r="E562" s="520">
        <v>0.81</v>
      </c>
    </row>
    <row r="563" spans="4:5" x14ac:dyDescent="0.3">
      <c r="D563" s="519">
        <v>41354</v>
      </c>
      <c r="E563" s="520">
        <v>0.81</v>
      </c>
    </row>
    <row r="564" spans="4:5" x14ac:dyDescent="0.3">
      <c r="D564" s="519">
        <v>41355</v>
      </c>
      <c r="E564" s="520">
        <v>0.8</v>
      </c>
    </row>
    <row r="565" spans="4:5" x14ac:dyDescent="0.3">
      <c r="D565" s="519">
        <v>41358</v>
      </c>
      <c r="E565" s="520">
        <v>0.8</v>
      </c>
    </row>
    <row r="566" spans="4:5" x14ac:dyDescent="0.3">
      <c r="D566" s="519">
        <v>41359</v>
      </c>
      <c r="E566" s="520">
        <v>0.79</v>
      </c>
    </row>
    <row r="567" spans="4:5" x14ac:dyDescent="0.3">
      <c r="D567" s="519">
        <v>41360</v>
      </c>
      <c r="E567" s="520">
        <v>0.76</v>
      </c>
    </row>
    <row r="568" spans="4:5" x14ac:dyDescent="0.3">
      <c r="D568" s="519">
        <v>41361</v>
      </c>
      <c r="E568" s="520">
        <v>0.77</v>
      </c>
    </row>
    <row r="569" spans="4:5" x14ac:dyDescent="0.3">
      <c r="D569" s="519">
        <v>41365</v>
      </c>
      <c r="E569" s="520">
        <v>0.76</v>
      </c>
    </row>
    <row r="570" spans="4:5" x14ac:dyDescent="0.3">
      <c r="D570" s="519">
        <v>41366</v>
      </c>
      <c r="E570" s="520">
        <v>0.78</v>
      </c>
    </row>
    <row r="571" spans="4:5" x14ac:dyDescent="0.3">
      <c r="D571" s="519">
        <v>41367</v>
      </c>
      <c r="E571" s="520">
        <v>0.73</v>
      </c>
    </row>
    <row r="572" spans="4:5" x14ac:dyDescent="0.3">
      <c r="D572" s="519">
        <v>41368</v>
      </c>
      <c r="E572" s="520">
        <v>0.69</v>
      </c>
    </row>
    <row r="573" spans="4:5" x14ac:dyDescent="0.3">
      <c r="D573" s="519">
        <v>41369</v>
      </c>
      <c r="E573" s="520">
        <v>0.68</v>
      </c>
    </row>
    <row r="574" spans="4:5" x14ac:dyDescent="0.3">
      <c r="D574" s="519">
        <v>41372</v>
      </c>
      <c r="E574" s="520">
        <v>0.71</v>
      </c>
    </row>
    <row r="575" spans="4:5" x14ac:dyDescent="0.3">
      <c r="D575" s="519">
        <v>41373</v>
      </c>
      <c r="E575" s="520">
        <v>0.7</v>
      </c>
    </row>
    <row r="576" spans="4:5" x14ac:dyDescent="0.3">
      <c r="D576" s="519">
        <v>41374</v>
      </c>
      <c r="E576" s="520">
        <v>0.74</v>
      </c>
    </row>
    <row r="577" spans="4:5" x14ac:dyDescent="0.3">
      <c r="D577" s="519">
        <v>41375</v>
      </c>
      <c r="E577" s="520">
        <v>0.74</v>
      </c>
    </row>
    <row r="578" spans="4:5" x14ac:dyDescent="0.3">
      <c r="D578" s="519">
        <v>41376</v>
      </c>
      <c r="E578" s="520">
        <v>0.7</v>
      </c>
    </row>
    <row r="579" spans="4:5" x14ac:dyDescent="0.3">
      <c r="D579" s="519">
        <v>41379</v>
      </c>
      <c r="E579" s="520">
        <v>0.69</v>
      </c>
    </row>
    <row r="580" spans="4:5" x14ac:dyDescent="0.3">
      <c r="D580" s="519">
        <v>41380</v>
      </c>
      <c r="E580" s="520">
        <v>0.71</v>
      </c>
    </row>
    <row r="581" spans="4:5" x14ac:dyDescent="0.3">
      <c r="D581" s="519">
        <v>41381</v>
      </c>
      <c r="E581" s="520">
        <v>0.71</v>
      </c>
    </row>
    <row r="582" spans="4:5" x14ac:dyDescent="0.3">
      <c r="D582" s="519">
        <v>41382</v>
      </c>
      <c r="E582" s="520">
        <v>0.71</v>
      </c>
    </row>
    <row r="583" spans="4:5" x14ac:dyDescent="0.3">
      <c r="D583" s="519">
        <v>41383</v>
      </c>
      <c r="E583" s="520">
        <v>0.72</v>
      </c>
    </row>
    <row r="584" spans="4:5" x14ac:dyDescent="0.3">
      <c r="D584" s="519">
        <v>41386</v>
      </c>
      <c r="E584" s="520">
        <v>0.7</v>
      </c>
    </row>
    <row r="585" spans="4:5" x14ac:dyDescent="0.3">
      <c r="D585" s="519">
        <v>41387</v>
      </c>
      <c r="E585" s="520">
        <v>0.71</v>
      </c>
    </row>
    <row r="586" spans="4:5" x14ac:dyDescent="0.3">
      <c r="D586" s="519">
        <v>41388</v>
      </c>
      <c r="E586" s="520">
        <v>0.7</v>
      </c>
    </row>
    <row r="587" spans="4:5" x14ac:dyDescent="0.3">
      <c r="D587" s="519">
        <v>41389</v>
      </c>
      <c r="E587" s="520">
        <v>0.71</v>
      </c>
    </row>
    <row r="588" spans="4:5" x14ac:dyDescent="0.3">
      <c r="D588" s="519">
        <v>41390</v>
      </c>
      <c r="E588" s="520">
        <v>0.68</v>
      </c>
    </row>
    <row r="589" spans="4:5" x14ac:dyDescent="0.3">
      <c r="D589" s="519">
        <v>41393</v>
      </c>
      <c r="E589" s="520">
        <v>0.68</v>
      </c>
    </row>
    <row r="590" spans="4:5" x14ac:dyDescent="0.3">
      <c r="D590" s="519">
        <v>41394</v>
      </c>
      <c r="E590" s="520">
        <v>0.68</v>
      </c>
    </row>
    <row r="591" spans="4:5" x14ac:dyDescent="0.3">
      <c r="D591" s="519">
        <v>41395</v>
      </c>
      <c r="E591" s="520">
        <v>0.65</v>
      </c>
    </row>
    <row r="592" spans="4:5" x14ac:dyDescent="0.3">
      <c r="D592" s="519">
        <v>41396</v>
      </c>
      <c r="E592" s="520">
        <v>0.65</v>
      </c>
    </row>
    <row r="593" spans="4:5" x14ac:dyDescent="0.3">
      <c r="D593" s="519">
        <v>41397</v>
      </c>
      <c r="E593" s="520">
        <v>0.73</v>
      </c>
    </row>
    <row r="594" spans="4:5" x14ac:dyDescent="0.3">
      <c r="D594" s="519">
        <v>41400</v>
      </c>
      <c r="E594" s="520">
        <v>0.74</v>
      </c>
    </row>
    <row r="595" spans="4:5" x14ac:dyDescent="0.3">
      <c r="D595" s="519">
        <v>41401</v>
      </c>
      <c r="E595" s="520">
        <v>0.75</v>
      </c>
    </row>
    <row r="596" spans="4:5" x14ac:dyDescent="0.3">
      <c r="D596" s="519">
        <v>41402</v>
      </c>
      <c r="E596" s="520">
        <v>0.75</v>
      </c>
    </row>
    <row r="597" spans="4:5" x14ac:dyDescent="0.3">
      <c r="D597" s="519">
        <v>41403</v>
      </c>
      <c r="E597" s="520">
        <v>0.75</v>
      </c>
    </row>
    <row r="598" spans="4:5" x14ac:dyDescent="0.3">
      <c r="D598" s="519">
        <v>41404</v>
      </c>
      <c r="E598" s="520">
        <v>0.82</v>
      </c>
    </row>
    <row r="599" spans="4:5" x14ac:dyDescent="0.3">
      <c r="D599" s="519">
        <v>41407</v>
      </c>
      <c r="E599" s="520">
        <v>0.83</v>
      </c>
    </row>
    <row r="600" spans="4:5" x14ac:dyDescent="0.3">
      <c r="D600" s="519">
        <v>41408</v>
      </c>
      <c r="E600" s="520">
        <v>0.85</v>
      </c>
    </row>
    <row r="601" spans="4:5" x14ac:dyDescent="0.3">
      <c r="D601" s="519">
        <v>41409</v>
      </c>
      <c r="E601" s="520">
        <v>0.84</v>
      </c>
    </row>
    <row r="602" spans="4:5" x14ac:dyDescent="0.3">
      <c r="D602" s="519">
        <v>41410</v>
      </c>
      <c r="E602" s="520">
        <v>0.79</v>
      </c>
    </row>
    <row r="603" spans="4:5" x14ac:dyDescent="0.3">
      <c r="D603" s="519">
        <v>41411</v>
      </c>
      <c r="E603" s="520">
        <v>0.84</v>
      </c>
    </row>
    <row r="604" spans="4:5" x14ac:dyDescent="0.3">
      <c r="D604" s="519">
        <v>41414</v>
      </c>
      <c r="E604" s="520">
        <v>0.85</v>
      </c>
    </row>
    <row r="605" spans="4:5" x14ac:dyDescent="0.3">
      <c r="D605" s="519">
        <v>41415</v>
      </c>
      <c r="E605" s="520">
        <v>0.84</v>
      </c>
    </row>
    <row r="606" spans="4:5" x14ac:dyDescent="0.3">
      <c r="D606" s="519">
        <v>41416</v>
      </c>
      <c r="E606" s="520">
        <v>0.91</v>
      </c>
    </row>
    <row r="607" spans="4:5" x14ac:dyDescent="0.3">
      <c r="D607" s="519">
        <v>41417</v>
      </c>
      <c r="E607" s="520">
        <v>0.91</v>
      </c>
    </row>
    <row r="608" spans="4:5" x14ac:dyDescent="0.3">
      <c r="D608" s="519">
        <v>41418</v>
      </c>
      <c r="E608" s="520">
        <v>0.9</v>
      </c>
    </row>
    <row r="609" spans="4:5" x14ac:dyDescent="0.3">
      <c r="D609" s="519">
        <v>41422</v>
      </c>
      <c r="E609" s="520">
        <v>1.02</v>
      </c>
    </row>
    <row r="610" spans="4:5" x14ac:dyDescent="0.3">
      <c r="D610" s="519">
        <v>41423</v>
      </c>
      <c r="E610" s="520">
        <v>1.02</v>
      </c>
    </row>
    <row r="611" spans="4:5" x14ac:dyDescent="0.3">
      <c r="D611" s="519">
        <v>41424</v>
      </c>
      <c r="E611" s="520">
        <v>1.01</v>
      </c>
    </row>
    <row r="612" spans="4:5" x14ac:dyDescent="0.3">
      <c r="D612" s="519">
        <v>41425</v>
      </c>
      <c r="E612" s="520">
        <v>1.05</v>
      </c>
    </row>
    <row r="613" spans="4:5" x14ac:dyDescent="0.3">
      <c r="D613" s="519">
        <v>41428</v>
      </c>
      <c r="E613" s="520">
        <v>1.03</v>
      </c>
    </row>
    <row r="614" spans="4:5" x14ac:dyDescent="0.3">
      <c r="D614" s="519">
        <v>41429</v>
      </c>
      <c r="E614" s="520">
        <v>1.05</v>
      </c>
    </row>
    <row r="615" spans="4:5" x14ac:dyDescent="0.3">
      <c r="D615" s="519">
        <v>41430</v>
      </c>
      <c r="E615" s="520">
        <v>1.02</v>
      </c>
    </row>
    <row r="616" spans="4:5" x14ac:dyDescent="0.3">
      <c r="D616" s="519">
        <v>41431</v>
      </c>
      <c r="E616" s="520">
        <v>1.01</v>
      </c>
    </row>
    <row r="617" spans="4:5" x14ac:dyDescent="0.3">
      <c r="D617" s="519">
        <v>41432</v>
      </c>
      <c r="E617" s="520">
        <v>1.1000000000000001</v>
      </c>
    </row>
    <row r="618" spans="4:5" x14ac:dyDescent="0.3">
      <c r="D618" s="519">
        <v>41435</v>
      </c>
      <c r="E618" s="520">
        <v>1.1299999999999999</v>
      </c>
    </row>
    <row r="619" spans="4:5" x14ac:dyDescent="0.3">
      <c r="D619" s="519">
        <v>41436</v>
      </c>
      <c r="E619" s="520">
        <v>1.1200000000000001</v>
      </c>
    </row>
    <row r="620" spans="4:5" x14ac:dyDescent="0.3">
      <c r="D620" s="519">
        <v>41437</v>
      </c>
      <c r="E620" s="520">
        <v>1.1499999999999999</v>
      </c>
    </row>
    <row r="621" spans="4:5" x14ac:dyDescent="0.3">
      <c r="D621" s="519">
        <v>41438</v>
      </c>
      <c r="E621" s="520">
        <v>1.1100000000000001</v>
      </c>
    </row>
    <row r="622" spans="4:5" x14ac:dyDescent="0.3">
      <c r="D622" s="519">
        <v>41439</v>
      </c>
      <c r="E622" s="520">
        <v>1.04</v>
      </c>
    </row>
    <row r="623" spans="4:5" x14ac:dyDescent="0.3">
      <c r="D623" s="519">
        <v>41442</v>
      </c>
      <c r="E623" s="520">
        <v>1.06</v>
      </c>
    </row>
    <row r="624" spans="4:5" x14ac:dyDescent="0.3">
      <c r="D624" s="519">
        <v>41443</v>
      </c>
      <c r="E624" s="520">
        <v>1.07</v>
      </c>
    </row>
    <row r="625" spans="4:5" x14ac:dyDescent="0.3">
      <c r="D625" s="519">
        <v>41444</v>
      </c>
      <c r="E625" s="520">
        <v>1.24</v>
      </c>
    </row>
    <row r="626" spans="4:5" x14ac:dyDescent="0.3">
      <c r="D626" s="519">
        <v>41445</v>
      </c>
      <c r="E626" s="520">
        <v>1.31</v>
      </c>
    </row>
    <row r="627" spans="4:5" x14ac:dyDescent="0.3">
      <c r="D627" s="519">
        <v>41446</v>
      </c>
      <c r="E627" s="520">
        <v>1.42</v>
      </c>
    </row>
    <row r="628" spans="4:5" x14ac:dyDescent="0.3">
      <c r="D628" s="519">
        <v>41449</v>
      </c>
      <c r="E628" s="520">
        <v>1.48</v>
      </c>
    </row>
    <row r="629" spans="4:5" x14ac:dyDescent="0.3">
      <c r="D629" s="519">
        <v>41450</v>
      </c>
      <c r="E629" s="520">
        <v>1.49</v>
      </c>
    </row>
    <row r="630" spans="4:5" x14ac:dyDescent="0.3">
      <c r="D630" s="519">
        <v>41451</v>
      </c>
      <c r="E630" s="520">
        <v>1.45</v>
      </c>
    </row>
    <row r="631" spans="4:5" x14ac:dyDescent="0.3">
      <c r="D631" s="519">
        <v>41452</v>
      </c>
      <c r="E631" s="520">
        <v>1.38</v>
      </c>
    </row>
    <row r="632" spans="4:5" x14ac:dyDescent="0.3">
      <c r="D632" s="519">
        <v>41453</v>
      </c>
      <c r="E632" s="520">
        <v>1.41</v>
      </c>
    </row>
    <row r="633" spans="4:5" x14ac:dyDescent="0.3">
      <c r="D633" s="519">
        <v>41456</v>
      </c>
      <c r="E633" s="520">
        <v>1.39</v>
      </c>
    </row>
    <row r="634" spans="4:5" x14ac:dyDescent="0.3">
      <c r="D634" s="519">
        <v>41457</v>
      </c>
      <c r="E634" s="520">
        <v>1.38</v>
      </c>
    </row>
    <row r="635" spans="4:5" x14ac:dyDescent="0.3">
      <c r="D635" s="519">
        <v>41458</v>
      </c>
      <c r="E635" s="520">
        <v>1.42</v>
      </c>
    </row>
    <row r="636" spans="4:5" x14ac:dyDescent="0.3">
      <c r="D636" s="519">
        <v>41460</v>
      </c>
      <c r="E636" s="520">
        <v>1.6</v>
      </c>
    </row>
    <row r="637" spans="4:5" x14ac:dyDescent="0.3">
      <c r="D637" s="519">
        <v>41463</v>
      </c>
      <c r="E637" s="520">
        <v>1.51</v>
      </c>
    </row>
    <row r="638" spans="4:5" x14ac:dyDescent="0.3">
      <c r="D638" s="519">
        <v>41464</v>
      </c>
      <c r="E638" s="520">
        <v>1.5</v>
      </c>
    </row>
    <row r="639" spans="4:5" x14ac:dyDescent="0.3">
      <c r="D639" s="519">
        <v>41465</v>
      </c>
      <c r="E639" s="520">
        <v>1.54</v>
      </c>
    </row>
    <row r="640" spans="4:5" x14ac:dyDescent="0.3">
      <c r="D640" s="519">
        <v>41466</v>
      </c>
      <c r="E640" s="520">
        <v>1.4</v>
      </c>
    </row>
    <row r="641" spans="4:5" x14ac:dyDescent="0.3">
      <c r="D641" s="519">
        <v>41467</v>
      </c>
      <c r="E641" s="520">
        <v>1.43</v>
      </c>
    </row>
    <row r="642" spans="4:5" x14ac:dyDescent="0.3">
      <c r="D642" s="519">
        <v>41470</v>
      </c>
      <c r="E642" s="520">
        <v>1.4</v>
      </c>
    </row>
    <row r="643" spans="4:5" x14ac:dyDescent="0.3">
      <c r="D643" s="519">
        <v>41471</v>
      </c>
      <c r="E643" s="520">
        <v>1.38</v>
      </c>
    </row>
    <row r="644" spans="4:5" x14ac:dyDescent="0.3">
      <c r="D644" s="519">
        <v>41472</v>
      </c>
      <c r="E644" s="520">
        <v>1.33</v>
      </c>
    </row>
    <row r="645" spans="4:5" x14ac:dyDescent="0.3">
      <c r="D645" s="519">
        <v>41473</v>
      </c>
      <c r="E645" s="520">
        <v>1.35</v>
      </c>
    </row>
    <row r="646" spans="4:5" x14ac:dyDescent="0.3">
      <c r="D646" s="519">
        <v>41474</v>
      </c>
      <c r="E646" s="520">
        <v>1.31</v>
      </c>
    </row>
    <row r="647" spans="4:5" x14ac:dyDescent="0.3">
      <c r="D647" s="519">
        <v>41477</v>
      </c>
      <c r="E647" s="520">
        <v>1.32</v>
      </c>
    </row>
    <row r="648" spans="4:5" x14ac:dyDescent="0.3">
      <c r="D648" s="519">
        <v>41478</v>
      </c>
      <c r="E648" s="520">
        <v>1.33</v>
      </c>
    </row>
    <row r="649" spans="4:5" x14ac:dyDescent="0.3">
      <c r="D649" s="519">
        <v>41479</v>
      </c>
      <c r="E649" s="520">
        <v>1.4</v>
      </c>
    </row>
    <row r="650" spans="4:5" x14ac:dyDescent="0.3">
      <c r="D650" s="519">
        <v>41480</v>
      </c>
      <c r="E650" s="520">
        <v>1.38</v>
      </c>
    </row>
    <row r="651" spans="4:5" x14ac:dyDescent="0.3">
      <c r="D651" s="519">
        <v>41481</v>
      </c>
      <c r="E651" s="520">
        <v>1.36</v>
      </c>
    </row>
    <row r="652" spans="4:5" x14ac:dyDescent="0.3">
      <c r="D652" s="519">
        <v>41484</v>
      </c>
      <c r="E652" s="520">
        <v>1.37</v>
      </c>
    </row>
    <row r="653" spans="4:5" x14ac:dyDescent="0.3">
      <c r="D653" s="519">
        <v>41485</v>
      </c>
      <c r="E653" s="520">
        <v>1.39</v>
      </c>
    </row>
    <row r="654" spans="4:5" x14ac:dyDescent="0.3">
      <c r="D654" s="519">
        <v>41486</v>
      </c>
      <c r="E654" s="520">
        <v>1.38</v>
      </c>
    </row>
    <row r="655" spans="4:5" x14ac:dyDescent="0.3">
      <c r="D655" s="519">
        <v>41487</v>
      </c>
      <c r="E655" s="520">
        <v>1.49</v>
      </c>
    </row>
    <row r="656" spans="4:5" x14ac:dyDescent="0.3">
      <c r="D656" s="519">
        <v>41488</v>
      </c>
      <c r="E656" s="520">
        <v>1.36</v>
      </c>
    </row>
    <row r="657" spans="4:5" x14ac:dyDescent="0.3">
      <c r="D657" s="519">
        <v>41491</v>
      </c>
      <c r="E657" s="520">
        <v>1.39</v>
      </c>
    </row>
    <row r="658" spans="4:5" x14ac:dyDescent="0.3">
      <c r="D658" s="519">
        <v>41492</v>
      </c>
      <c r="E658" s="520">
        <v>1.39</v>
      </c>
    </row>
    <row r="659" spans="4:5" x14ac:dyDescent="0.3">
      <c r="D659" s="519">
        <v>41493</v>
      </c>
      <c r="E659" s="520">
        <v>1.38</v>
      </c>
    </row>
    <row r="660" spans="4:5" x14ac:dyDescent="0.3">
      <c r="D660" s="519">
        <v>41494</v>
      </c>
      <c r="E660" s="520">
        <v>1.36</v>
      </c>
    </row>
    <row r="661" spans="4:5" x14ac:dyDescent="0.3">
      <c r="D661" s="519">
        <v>41495</v>
      </c>
      <c r="E661" s="520">
        <v>1.36</v>
      </c>
    </row>
    <row r="662" spans="4:5" x14ac:dyDescent="0.3">
      <c r="D662" s="519">
        <v>41498</v>
      </c>
      <c r="E662" s="520">
        <v>1.39</v>
      </c>
    </row>
    <row r="663" spans="4:5" x14ac:dyDescent="0.3">
      <c r="D663" s="519">
        <v>41499</v>
      </c>
      <c r="E663" s="520">
        <v>1.49</v>
      </c>
    </row>
    <row r="664" spans="4:5" x14ac:dyDescent="0.3">
      <c r="D664" s="519">
        <v>41500</v>
      </c>
      <c r="E664" s="520">
        <v>1.48</v>
      </c>
    </row>
    <row r="665" spans="4:5" x14ac:dyDescent="0.3">
      <c r="D665" s="519">
        <v>41501</v>
      </c>
      <c r="E665" s="520">
        <v>1.54</v>
      </c>
    </row>
    <row r="666" spans="4:5" x14ac:dyDescent="0.3">
      <c r="D666" s="519">
        <v>41502</v>
      </c>
      <c r="E666" s="520">
        <v>1.6</v>
      </c>
    </row>
    <row r="667" spans="4:5" x14ac:dyDescent="0.3">
      <c r="D667" s="519">
        <v>41505</v>
      </c>
      <c r="E667" s="520">
        <v>1.63</v>
      </c>
    </row>
    <row r="668" spans="4:5" x14ac:dyDescent="0.3">
      <c r="D668" s="519">
        <v>41506</v>
      </c>
      <c r="E668" s="520">
        <v>1.57</v>
      </c>
    </row>
    <row r="669" spans="4:5" x14ac:dyDescent="0.3">
      <c r="D669" s="519">
        <v>41507</v>
      </c>
      <c r="E669" s="520">
        <v>1.64</v>
      </c>
    </row>
    <row r="670" spans="4:5" x14ac:dyDescent="0.3">
      <c r="D670" s="519">
        <v>41508</v>
      </c>
      <c r="E670" s="520">
        <v>1.71</v>
      </c>
    </row>
    <row r="671" spans="4:5" x14ac:dyDescent="0.3">
      <c r="D671" s="519">
        <v>41509</v>
      </c>
      <c r="E671" s="520">
        <v>1.66</v>
      </c>
    </row>
    <row r="672" spans="4:5" x14ac:dyDescent="0.3">
      <c r="D672" s="519">
        <v>41512</v>
      </c>
      <c r="E672" s="520">
        <v>1.61</v>
      </c>
    </row>
    <row r="673" spans="4:5" x14ac:dyDescent="0.3">
      <c r="D673" s="519">
        <v>41513</v>
      </c>
      <c r="E673" s="520">
        <v>1.56</v>
      </c>
    </row>
    <row r="674" spans="4:5" x14ac:dyDescent="0.3">
      <c r="D674" s="519">
        <v>41514</v>
      </c>
      <c r="E674" s="520">
        <v>1.62</v>
      </c>
    </row>
    <row r="675" spans="4:5" x14ac:dyDescent="0.3">
      <c r="D675" s="519">
        <v>41515</v>
      </c>
      <c r="E675" s="520">
        <v>1.6</v>
      </c>
    </row>
    <row r="676" spans="4:5" x14ac:dyDescent="0.3">
      <c r="D676" s="519">
        <v>41516</v>
      </c>
      <c r="E676" s="520">
        <v>1.62</v>
      </c>
    </row>
    <row r="677" spans="4:5" x14ac:dyDescent="0.3">
      <c r="D677" s="519">
        <v>41520</v>
      </c>
      <c r="E677" s="520">
        <v>1.68</v>
      </c>
    </row>
    <row r="678" spans="4:5" x14ac:dyDescent="0.3">
      <c r="D678" s="519">
        <v>41521</v>
      </c>
      <c r="E678" s="520">
        <v>1.74</v>
      </c>
    </row>
    <row r="679" spans="4:5" x14ac:dyDescent="0.3">
      <c r="D679" s="519">
        <v>41522</v>
      </c>
      <c r="E679" s="520">
        <v>1.85</v>
      </c>
    </row>
    <row r="680" spans="4:5" x14ac:dyDescent="0.3">
      <c r="D680" s="519">
        <v>41523</v>
      </c>
      <c r="E680" s="520">
        <v>1.77</v>
      </c>
    </row>
    <row r="681" spans="4:5" x14ac:dyDescent="0.3">
      <c r="D681" s="519">
        <v>41526</v>
      </c>
      <c r="E681" s="520">
        <v>1.71</v>
      </c>
    </row>
    <row r="682" spans="4:5" x14ac:dyDescent="0.3">
      <c r="D682" s="519">
        <v>41527</v>
      </c>
      <c r="E682" s="520">
        <v>1.78</v>
      </c>
    </row>
    <row r="683" spans="4:5" x14ac:dyDescent="0.3">
      <c r="D683" s="519">
        <v>41528</v>
      </c>
      <c r="E683" s="520">
        <v>1.72</v>
      </c>
    </row>
    <row r="684" spans="4:5" x14ac:dyDescent="0.3">
      <c r="D684" s="519">
        <v>41529</v>
      </c>
      <c r="E684" s="520">
        <v>1.72</v>
      </c>
    </row>
    <row r="685" spans="4:5" x14ac:dyDescent="0.3">
      <c r="D685" s="519">
        <v>41530</v>
      </c>
      <c r="E685" s="520">
        <v>1.71</v>
      </c>
    </row>
    <row r="686" spans="4:5" x14ac:dyDescent="0.3">
      <c r="D686" s="519">
        <v>41533</v>
      </c>
      <c r="E686" s="520">
        <v>1.65</v>
      </c>
    </row>
    <row r="687" spans="4:5" x14ac:dyDescent="0.3">
      <c r="D687" s="519">
        <v>41534</v>
      </c>
      <c r="E687" s="520">
        <v>1.62</v>
      </c>
    </row>
    <row r="688" spans="4:5" x14ac:dyDescent="0.3">
      <c r="D688" s="519">
        <v>41535</v>
      </c>
      <c r="E688" s="520">
        <v>1.43</v>
      </c>
    </row>
    <row r="689" spans="4:5" x14ac:dyDescent="0.3">
      <c r="D689" s="519">
        <v>41536</v>
      </c>
      <c r="E689" s="520">
        <v>1.49</v>
      </c>
    </row>
    <row r="690" spans="4:5" x14ac:dyDescent="0.3">
      <c r="D690" s="519">
        <v>41537</v>
      </c>
      <c r="E690" s="520">
        <v>1.5</v>
      </c>
    </row>
    <row r="691" spans="4:5" x14ac:dyDescent="0.3">
      <c r="D691" s="519">
        <v>41540</v>
      </c>
      <c r="E691" s="520">
        <v>1.48</v>
      </c>
    </row>
    <row r="692" spans="4:5" x14ac:dyDescent="0.3">
      <c r="D692" s="519">
        <v>41541</v>
      </c>
      <c r="E692" s="520">
        <v>1.44</v>
      </c>
    </row>
    <row r="693" spans="4:5" x14ac:dyDescent="0.3">
      <c r="D693" s="519">
        <v>41542</v>
      </c>
      <c r="E693" s="520">
        <v>1.41</v>
      </c>
    </row>
    <row r="694" spans="4:5" x14ac:dyDescent="0.3">
      <c r="D694" s="519">
        <v>41543</v>
      </c>
      <c r="E694" s="520">
        <v>1.43</v>
      </c>
    </row>
    <row r="695" spans="4:5" x14ac:dyDescent="0.3">
      <c r="D695" s="519">
        <v>41544</v>
      </c>
      <c r="E695" s="520">
        <v>1.4</v>
      </c>
    </row>
    <row r="696" spans="4:5" x14ac:dyDescent="0.3">
      <c r="D696" s="519">
        <v>41547</v>
      </c>
      <c r="E696" s="520">
        <v>1.39</v>
      </c>
    </row>
    <row r="697" spans="4:5" x14ac:dyDescent="0.3">
      <c r="D697" s="519">
        <v>41548</v>
      </c>
      <c r="E697" s="520">
        <v>1.42</v>
      </c>
    </row>
    <row r="698" spans="4:5" x14ac:dyDescent="0.3">
      <c r="D698" s="519">
        <v>41549</v>
      </c>
      <c r="E698" s="520">
        <v>1.38</v>
      </c>
    </row>
    <row r="699" spans="4:5" x14ac:dyDescent="0.3">
      <c r="D699" s="519">
        <v>41550</v>
      </c>
      <c r="E699" s="520">
        <v>1.36</v>
      </c>
    </row>
    <row r="700" spans="4:5" x14ac:dyDescent="0.3">
      <c r="D700" s="519">
        <v>41551</v>
      </c>
      <c r="E700" s="520">
        <v>1.41</v>
      </c>
    </row>
    <row r="701" spans="4:5" x14ac:dyDescent="0.3">
      <c r="D701" s="519">
        <v>41554</v>
      </c>
      <c r="E701" s="520">
        <v>1.41</v>
      </c>
    </row>
    <row r="702" spans="4:5" x14ac:dyDescent="0.3">
      <c r="D702" s="519">
        <v>41555</v>
      </c>
      <c r="E702" s="520">
        <v>1.43</v>
      </c>
    </row>
    <row r="703" spans="4:5" x14ac:dyDescent="0.3">
      <c r="D703" s="519">
        <v>41556</v>
      </c>
      <c r="E703" s="520">
        <v>1.43</v>
      </c>
    </row>
    <row r="704" spans="4:5" x14ac:dyDescent="0.3">
      <c r="D704" s="519">
        <v>41557</v>
      </c>
      <c r="E704" s="520">
        <v>1.44</v>
      </c>
    </row>
    <row r="705" spans="4:5" x14ac:dyDescent="0.3">
      <c r="D705" s="519">
        <v>41558</v>
      </c>
      <c r="E705" s="520">
        <v>1.42</v>
      </c>
    </row>
    <row r="706" spans="4:5" x14ac:dyDescent="0.3">
      <c r="D706" s="519">
        <v>41562</v>
      </c>
      <c r="E706" s="520">
        <v>1.45</v>
      </c>
    </row>
    <row r="707" spans="4:5" x14ac:dyDescent="0.3">
      <c r="D707" s="519">
        <v>41563</v>
      </c>
      <c r="E707" s="520">
        <v>1.41</v>
      </c>
    </row>
    <row r="708" spans="4:5" x14ac:dyDescent="0.3">
      <c r="D708" s="519">
        <v>41564</v>
      </c>
      <c r="E708" s="520">
        <v>1.35</v>
      </c>
    </row>
    <row r="709" spans="4:5" x14ac:dyDescent="0.3">
      <c r="D709" s="519">
        <v>41565</v>
      </c>
      <c r="E709" s="520">
        <v>1.35</v>
      </c>
    </row>
    <row r="710" spans="4:5" x14ac:dyDescent="0.3">
      <c r="D710" s="519">
        <v>41568</v>
      </c>
      <c r="E710" s="520">
        <v>1.38</v>
      </c>
    </row>
    <row r="711" spans="4:5" x14ac:dyDescent="0.3">
      <c r="D711" s="519">
        <v>41569</v>
      </c>
      <c r="E711" s="520">
        <v>1.3</v>
      </c>
    </row>
    <row r="712" spans="4:5" x14ac:dyDescent="0.3">
      <c r="D712" s="519">
        <v>41570</v>
      </c>
      <c r="E712" s="520">
        <v>1.3</v>
      </c>
    </row>
    <row r="713" spans="4:5" x14ac:dyDescent="0.3">
      <c r="D713" s="519">
        <v>41571</v>
      </c>
      <c r="E713" s="520">
        <v>1.32</v>
      </c>
    </row>
    <row r="714" spans="4:5" x14ac:dyDescent="0.3">
      <c r="D714" s="519">
        <v>41572</v>
      </c>
      <c r="E714" s="520">
        <v>1.3</v>
      </c>
    </row>
    <row r="715" spans="4:5" x14ac:dyDescent="0.3">
      <c r="D715" s="519">
        <v>41575</v>
      </c>
      <c r="E715" s="520">
        <v>1.31</v>
      </c>
    </row>
    <row r="716" spans="4:5" x14ac:dyDescent="0.3">
      <c r="D716" s="519">
        <v>41576</v>
      </c>
      <c r="E716" s="520">
        <v>1.29</v>
      </c>
    </row>
    <row r="717" spans="4:5" x14ac:dyDescent="0.3">
      <c r="D717" s="519">
        <v>41577</v>
      </c>
      <c r="E717" s="520">
        <v>1.3</v>
      </c>
    </row>
    <row r="718" spans="4:5" x14ac:dyDescent="0.3">
      <c r="D718" s="519">
        <v>41578</v>
      </c>
      <c r="E718" s="520">
        <v>1.31</v>
      </c>
    </row>
    <row r="719" spans="4:5" x14ac:dyDescent="0.3">
      <c r="D719" s="519">
        <v>41579</v>
      </c>
      <c r="E719" s="520">
        <v>1.37</v>
      </c>
    </row>
    <row r="720" spans="4:5" x14ac:dyDescent="0.3">
      <c r="D720" s="519">
        <v>41582</v>
      </c>
      <c r="E720" s="520">
        <v>1.36</v>
      </c>
    </row>
    <row r="721" spans="4:5" x14ac:dyDescent="0.3">
      <c r="D721" s="519">
        <v>41583</v>
      </c>
      <c r="E721" s="520">
        <v>1.39</v>
      </c>
    </row>
    <row r="722" spans="4:5" x14ac:dyDescent="0.3">
      <c r="D722" s="519">
        <v>41584</v>
      </c>
      <c r="E722" s="520">
        <v>1.34</v>
      </c>
    </row>
    <row r="723" spans="4:5" x14ac:dyDescent="0.3">
      <c r="D723" s="519">
        <v>41585</v>
      </c>
      <c r="E723" s="520">
        <v>1.31</v>
      </c>
    </row>
    <row r="724" spans="4:5" x14ac:dyDescent="0.3">
      <c r="D724" s="519">
        <v>41586</v>
      </c>
      <c r="E724" s="520">
        <v>1.42</v>
      </c>
    </row>
    <row r="725" spans="4:5" x14ac:dyDescent="0.3">
      <c r="D725" s="519">
        <v>41590</v>
      </c>
      <c r="E725" s="520">
        <v>1.47</v>
      </c>
    </row>
    <row r="726" spans="4:5" x14ac:dyDescent="0.3">
      <c r="D726" s="519">
        <v>41591</v>
      </c>
      <c r="E726" s="520">
        <v>1.41</v>
      </c>
    </row>
    <row r="727" spans="4:5" x14ac:dyDescent="0.3">
      <c r="D727" s="519">
        <v>41592</v>
      </c>
      <c r="E727" s="520">
        <v>1.34</v>
      </c>
    </row>
    <row r="728" spans="4:5" x14ac:dyDescent="0.3">
      <c r="D728" s="519">
        <v>41593</v>
      </c>
      <c r="E728" s="520">
        <v>1.36</v>
      </c>
    </row>
    <row r="729" spans="4:5" x14ac:dyDescent="0.3">
      <c r="D729" s="519">
        <v>41596</v>
      </c>
      <c r="E729" s="520">
        <v>1.33</v>
      </c>
    </row>
    <row r="730" spans="4:5" x14ac:dyDescent="0.3">
      <c r="D730" s="519">
        <v>41597</v>
      </c>
      <c r="E730" s="520">
        <v>1.37</v>
      </c>
    </row>
    <row r="731" spans="4:5" x14ac:dyDescent="0.3">
      <c r="D731" s="519">
        <v>41598</v>
      </c>
      <c r="E731" s="520">
        <v>1.39</v>
      </c>
    </row>
    <row r="732" spans="4:5" x14ac:dyDescent="0.3">
      <c r="D732" s="519">
        <v>41599</v>
      </c>
      <c r="E732" s="520">
        <v>1.38</v>
      </c>
    </row>
    <row r="733" spans="4:5" x14ac:dyDescent="0.3">
      <c r="D733" s="519">
        <v>41600</v>
      </c>
      <c r="E733" s="520">
        <v>1.37</v>
      </c>
    </row>
    <row r="734" spans="4:5" x14ac:dyDescent="0.3">
      <c r="D734" s="519">
        <v>41603</v>
      </c>
      <c r="E734" s="520">
        <v>1.37</v>
      </c>
    </row>
    <row r="735" spans="4:5" x14ac:dyDescent="0.3">
      <c r="D735" s="519">
        <v>41604</v>
      </c>
      <c r="E735" s="520">
        <v>1.34</v>
      </c>
    </row>
    <row r="736" spans="4:5" x14ac:dyDescent="0.3">
      <c r="D736" s="519">
        <v>41605</v>
      </c>
      <c r="E736" s="520">
        <v>1.36</v>
      </c>
    </row>
    <row r="737" spans="4:5" x14ac:dyDescent="0.3">
      <c r="D737" s="519">
        <v>41607</v>
      </c>
      <c r="E737" s="520">
        <v>1.37</v>
      </c>
    </row>
    <row r="738" spans="4:5" x14ac:dyDescent="0.3">
      <c r="D738" s="519">
        <v>41610</v>
      </c>
      <c r="E738" s="520">
        <v>1.43</v>
      </c>
    </row>
    <row r="739" spans="4:5" x14ac:dyDescent="0.3">
      <c r="D739" s="519">
        <v>41611</v>
      </c>
      <c r="E739" s="520">
        <v>1.4</v>
      </c>
    </row>
    <row r="740" spans="4:5" x14ac:dyDescent="0.3">
      <c r="D740" s="519">
        <v>41612</v>
      </c>
      <c r="E740" s="520">
        <v>1.45</v>
      </c>
    </row>
    <row r="741" spans="4:5" x14ac:dyDescent="0.3">
      <c r="D741" s="519">
        <v>41613</v>
      </c>
      <c r="E741" s="520">
        <v>1.49</v>
      </c>
    </row>
    <row r="742" spans="4:5" x14ac:dyDescent="0.3">
      <c r="D742" s="519">
        <v>41614</v>
      </c>
      <c r="E742" s="520">
        <v>1.51</v>
      </c>
    </row>
    <row r="743" spans="4:5" x14ac:dyDescent="0.3">
      <c r="D743" s="519">
        <v>41617</v>
      </c>
      <c r="E743" s="520">
        <v>1.5</v>
      </c>
    </row>
    <row r="744" spans="4:5" x14ac:dyDescent="0.3">
      <c r="D744" s="519">
        <v>41618</v>
      </c>
      <c r="E744" s="520">
        <v>1.46</v>
      </c>
    </row>
    <row r="745" spans="4:5" x14ac:dyDescent="0.3">
      <c r="D745" s="519">
        <v>41619</v>
      </c>
      <c r="E745" s="520">
        <v>1.5</v>
      </c>
    </row>
    <row r="746" spans="4:5" x14ac:dyDescent="0.3">
      <c r="D746" s="519">
        <v>41620</v>
      </c>
      <c r="E746" s="520">
        <v>1.55</v>
      </c>
    </row>
    <row r="747" spans="4:5" x14ac:dyDescent="0.3">
      <c r="D747" s="519">
        <v>41621</v>
      </c>
      <c r="E747" s="520">
        <v>1.55</v>
      </c>
    </row>
    <row r="748" spans="4:5" x14ac:dyDescent="0.3">
      <c r="D748" s="519">
        <v>41624</v>
      </c>
      <c r="E748" s="520">
        <v>1.55</v>
      </c>
    </row>
    <row r="749" spans="4:5" x14ac:dyDescent="0.3">
      <c r="D749" s="519">
        <v>41625</v>
      </c>
      <c r="E749" s="520">
        <v>1.52</v>
      </c>
    </row>
    <row r="750" spans="4:5" x14ac:dyDescent="0.3">
      <c r="D750" s="519">
        <v>41626</v>
      </c>
      <c r="E750" s="520">
        <v>1.55</v>
      </c>
    </row>
    <row r="751" spans="4:5" x14ac:dyDescent="0.3">
      <c r="D751" s="519">
        <v>41627</v>
      </c>
      <c r="E751" s="520">
        <v>1.63</v>
      </c>
    </row>
    <row r="752" spans="4:5" x14ac:dyDescent="0.3">
      <c r="D752" s="519">
        <v>41628</v>
      </c>
      <c r="E752" s="520">
        <v>1.66</v>
      </c>
    </row>
    <row r="753" spans="4:5" x14ac:dyDescent="0.3">
      <c r="D753" s="519">
        <v>41631</v>
      </c>
      <c r="E753" s="520">
        <v>1.68</v>
      </c>
    </row>
    <row r="754" spans="4:5" x14ac:dyDescent="0.3">
      <c r="D754" s="519">
        <v>41632</v>
      </c>
      <c r="E754" s="520">
        <v>1.73</v>
      </c>
    </row>
    <row r="755" spans="4:5" x14ac:dyDescent="0.3">
      <c r="D755" s="519">
        <v>41634</v>
      </c>
      <c r="E755" s="520">
        <v>1.74</v>
      </c>
    </row>
    <row r="756" spans="4:5" x14ac:dyDescent="0.3">
      <c r="D756" s="519">
        <v>41635</v>
      </c>
      <c r="E756" s="520">
        <v>1.74</v>
      </c>
    </row>
    <row r="757" spans="4:5" x14ac:dyDescent="0.3">
      <c r="D757" s="519">
        <v>41638</v>
      </c>
      <c r="E757" s="520">
        <v>1.71</v>
      </c>
    </row>
    <row r="758" spans="4:5" x14ac:dyDescent="0.3">
      <c r="D758" s="519">
        <v>41639</v>
      </c>
      <c r="E758" s="520">
        <v>1.75</v>
      </c>
    </row>
    <row r="759" spans="4:5" x14ac:dyDescent="0.3">
      <c r="D759" s="521">
        <v>41641</v>
      </c>
      <c r="E759" s="522">
        <v>1.72</v>
      </c>
    </row>
    <row r="760" spans="4:5" x14ac:dyDescent="0.3">
      <c r="D760" s="521">
        <v>41642</v>
      </c>
      <c r="E760" s="522">
        <v>1.73</v>
      </c>
    </row>
    <row r="761" spans="4:5" x14ac:dyDescent="0.3">
      <c r="D761" s="521">
        <v>41645</v>
      </c>
      <c r="E761" s="522">
        <v>1.7</v>
      </c>
    </row>
    <row r="762" spans="4:5" x14ac:dyDescent="0.3">
      <c r="D762" s="521">
        <v>41646</v>
      </c>
      <c r="E762" s="522">
        <v>1.69</v>
      </c>
    </row>
    <row r="763" spans="4:5" x14ac:dyDescent="0.3">
      <c r="D763" s="521">
        <v>41647</v>
      </c>
      <c r="E763" s="522">
        <v>1.77</v>
      </c>
    </row>
    <row r="764" spans="4:5" x14ac:dyDescent="0.3">
      <c r="D764" s="521">
        <v>41648</v>
      </c>
      <c r="E764" s="522">
        <v>1.75</v>
      </c>
    </row>
    <row r="765" spans="4:5" x14ac:dyDescent="0.3">
      <c r="D765" s="521">
        <v>41649</v>
      </c>
      <c r="E765" s="522">
        <v>1.64</v>
      </c>
    </row>
    <row r="766" spans="4:5" x14ac:dyDescent="0.3">
      <c r="D766" s="521">
        <v>41652</v>
      </c>
      <c r="E766" s="522">
        <v>1.6</v>
      </c>
    </row>
    <row r="767" spans="4:5" x14ac:dyDescent="0.3">
      <c r="D767" s="521">
        <v>41653</v>
      </c>
      <c r="E767" s="522">
        <v>1.65</v>
      </c>
    </row>
    <row r="768" spans="4:5" x14ac:dyDescent="0.3">
      <c r="D768" s="521">
        <v>41654</v>
      </c>
      <c r="E768" s="522">
        <v>1.68</v>
      </c>
    </row>
    <row r="769" spans="4:5" x14ac:dyDescent="0.3">
      <c r="D769" s="521">
        <v>41655</v>
      </c>
      <c r="E769" s="522">
        <v>1.66</v>
      </c>
    </row>
    <row r="770" spans="4:5" x14ac:dyDescent="0.3">
      <c r="D770" s="521">
        <v>41656</v>
      </c>
      <c r="E770" s="522">
        <v>1.64</v>
      </c>
    </row>
    <row r="771" spans="4:5" x14ac:dyDescent="0.3">
      <c r="D771" s="521">
        <v>41660</v>
      </c>
      <c r="E771" s="522">
        <v>1.67</v>
      </c>
    </row>
    <row r="772" spans="4:5" x14ac:dyDescent="0.3">
      <c r="D772" s="521">
        <v>41661</v>
      </c>
      <c r="E772" s="522">
        <v>1.72</v>
      </c>
    </row>
    <row r="773" spans="4:5" x14ac:dyDescent="0.3">
      <c r="D773" s="521">
        <v>41662</v>
      </c>
      <c r="E773" s="522">
        <v>1.62</v>
      </c>
    </row>
    <row r="774" spans="4:5" x14ac:dyDescent="0.3">
      <c r="D774" s="521">
        <v>41663</v>
      </c>
      <c r="E774" s="522">
        <v>1.58</v>
      </c>
    </row>
    <row r="775" spans="4:5" x14ac:dyDescent="0.3">
      <c r="D775" s="521">
        <v>41666</v>
      </c>
      <c r="E775" s="522">
        <v>1.61</v>
      </c>
    </row>
    <row r="776" spans="4:5" x14ac:dyDescent="0.3">
      <c r="D776" s="521">
        <v>41667</v>
      </c>
      <c r="E776" s="522">
        <v>1.59</v>
      </c>
    </row>
    <row r="777" spans="4:5" x14ac:dyDescent="0.3">
      <c r="D777" s="521">
        <v>41668</v>
      </c>
      <c r="E777" s="522">
        <v>1.52</v>
      </c>
    </row>
    <row r="778" spans="4:5" x14ac:dyDescent="0.3">
      <c r="D778" s="521">
        <v>41669</v>
      </c>
      <c r="E778" s="522">
        <v>1.55</v>
      </c>
    </row>
    <row r="779" spans="4:5" x14ac:dyDescent="0.3">
      <c r="D779" s="521">
        <v>41670</v>
      </c>
      <c r="E779" s="522">
        <v>1.49</v>
      </c>
    </row>
    <row r="780" spans="4:5" x14ac:dyDescent="0.3">
      <c r="D780" s="521">
        <v>41673</v>
      </c>
      <c r="E780" s="522">
        <v>1.44</v>
      </c>
    </row>
    <row r="781" spans="4:5" x14ac:dyDescent="0.3">
      <c r="D781" s="521">
        <v>41674</v>
      </c>
      <c r="E781" s="522">
        <v>1.46</v>
      </c>
    </row>
    <row r="782" spans="4:5" x14ac:dyDescent="0.3">
      <c r="D782" s="521">
        <v>41675</v>
      </c>
      <c r="E782" s="522">
        <v>1.5</v>
      </c>
    </row>
    <row r="783" spans="4:5" x14ac:dyDescent="0.3">
      <c r="D783" s="521">
        <v>41676</v>
      </c>
      <c r="E783" s="522">
        <v>1.52</v>
      </c>
    </row>
    <row r="784" spans="4:5" x14ac:dyDescent="0.3">
      <c r="D784" s="521">
        <v>41677</v>
      </c>
      <c r="E784" s="522">
        <v>1.47</v>
      </c>
    </row>
    <row r="785" spans="4:5" x14ac:dyDescent="0.3">
      <c r="D785" s="521">
        <v>41680</v>
      </c>
      <c r="E785" s="522">
        <v>1.48</v>
      </c>
    </row>
    <row r="786" spans="4:5" x14ac:dyDescent="0.3">
      <c r="D786" s="521">
        <v>41681</v>
      </c>
      <c r="E786" s="522">
        <v>1.54</v>
      </c>
    </row>
    <row r="787" spans="4:5" x14ac:dyDescent="0.3">
      <c r="D787" s="521">
        <v>41682</v>
      </c>
      <c r="E787" s="522">
        <v>1.59</v>
      </c>
    </row>
    <row r="788" spans="4:5" x14ac:dyDescent="0.3">
      <c r="D788" s="521">
        <v>41683</v>
      </c>
      <c r="E788" s="522">
        <v>1.51</v>
      </c>
    </row>
    <row r="789" spans="4:5" x14ac:dyDescent="0.3">
      <c r="D789" s="521">
        <v>41684</v>
      </c>
      <c r="E789" s="522">
        <v>1.53</v>
      </c>
    </row>
    <row r="790" spans="4:5" x14ac:dyDescent="0.3">
      <c r="D790" s="521">
        <v>41688</v>
      </c>
      <c r="E790" s="522">
        <v>1.5</v>
      </c>
    </row>
    <row r="791" spans="4:5" x14ac:dyDescent="0.3">
      <c r="D791" s="521">
        <v>41689</v>
      </c>
      <c r="E791" s="522">
        <v>1.53</v>
      </c>
    </row>
    <row r="792" spans="4:5" x14ac:dyDescent="0.3">
      <c r="D792" s="521">
        <v>41690</v>
      </c>
      <c r="E792" s="522">
        <v>1.57</v>
      </c>
    </row>
    <row r="793" spans="4:5" x14ac:dyDescent="0.3">
      <c r="D793" s="521">
        <v>41691</v>
      </c>
      <c r="E793" s="522">
        <v>1.56</v>
      </c>
    </row>
    <row r="794" spans="4:5" x14ac:dyDescent="0.3">
      <c r="D794" s="521">
        <v>41694</v>
      </c>
      <c r="E794" s="522">
        <v>1.57</v>
      </c>
    </row>
    <row r="795" spans="4:5" x14ac:dyDescent="0.3">
      <c r="D795" s="521">
        <v>41695</v>
      </c>
      <c r="E795" s="522">
        <v>1.53</v>
      </c>
    </row>
    <row r="796" spans="4:5" x14ac:dyDescent="0.3">
      <c r="D796" s="521">
        <v>41696</v>
      </c>
      <c r="E796" s="522">
        <v>1.5</v>
      </c>
    </row>
    <row r="797" spans="4:5" x14ac:dyDescent="0.3">
      <c r="D797" s="521">
        <v>41697</v>
      </c>
      <c r="E797" s="522">
        <v>1.49</v>
      </c>
    </row>
    <row r="798" spans="4:5" x14ac:dyDescent="0.3">
      <c r="D798" s="521">
        <v>41698</v>
      </c>
      <c r="E798" s="522">
        <v>1.51</v>
      </c>
    </row>
    <row r="799" spans="4:5" x14ac:dyDescent="0.3">
      <c r="D799" s="521">
        <v>41701</v>
      </c>
      <c r="E799" s="522">
        <v>1.46</v>
      </c>
    </row>
    <row r="800" spans="4:5" x14ac:dyDescent="0.3">
      <c r="D800" s="521">
        <v>41702</v>
      </c>
      <c r="E800" s="522">
        <v>1.54</v>
      </c>
    </row>
    <row r="801" spans="4:5" x14ac:dyDescent="0.3">
      <c r="D801" s="521">
        <v>41703</v>
      </c>
      <c r="E801" s="522">
        <v>1.54</v>
      </c>
    </row>
    <row r="802" spans="4:5" x14ac:dyDescent="0.3">
      <c r="D802" s="521">
        <v>41704</v>
      </c>
      <c r="E802" s="522">
        <v>1.57</v>
      </c>
    </row>
    <row r="803" spans="4:5" x14ac:dyDescent="0.3">
      <c r="D803" s="521">
        <v>41705</v>
      </c>
      <c r="E803" s="522">
        <v>1.65</v>
      </c>
    </row>
    <row r="804" spans="4:5" x14ac:dyDescent="0.3">
      <c r="D804" s="521">
        <v>41708</v>
      </c>
      <c r="E804" s="522">
        <v>1.64</v>
      </c>
    </row>
    <row r="805" spans="4:5" x14ac:dyDescent="0.3">
      <c r="D805" s="521">
        <v>41709</v>
      </c>
      <c r="E805" s="522">
        <v>1.62</v>
      </c>
    </row>
    <row r="806" spans="4:5" x14ac:dyDescent="0.3">
      <c r="D806" s="521">
        <v>41710</v>
      </c>
      <c r="E806" s="522">
        <v>1.59</v>
      </c>
    </row>
    <row r="807" spans="4:5" x14ac:dyDescent="0.3">
      <c r="D807" s="521">
        <v>41711</v>
      </c>
      <c r="E807" s="522">
        <v>1.53</v>
      </c>
    </row>
    <row r="808" spans="4:5" x14ac:dyDescent="0.3">
      <c r="D808" s="521">
        <v>41712</v>
      </c>
      <c r="E808" s="522">
        <v>1.55</v>
      </c>
    </row>
    <row r="809" spans="4:5" x14ac:dyDescent="0.3">
      <c r="D809" s="521">
        <v>41715</v>
      </c>
      <c r="E809" s="522">
        <v>1.58</v>
      </c>
    </row>
    <row r="810" spans="4:5" x14ac:dyDescent="0.3">
      <c r="D810" s="521">
        <v>41716</v>
      </c>
      <c r="E810" s="522">
        <v>1.56</v>
      </c>
    </row>
    <row r="811" spans="4:5" x14ac:dyDescent="0.3">
      <c r="D811" s="521">
        <v>41717</v>
      </c>
      <c r="E811" s="522">
        <v>1.75</v>
      </c>
    </row>
    <row r="812" spans="4:5" x14ac:dyDescent="0.3">
      <c r="D812" s="521">
        <v>41718</v>
      </c>
      <c r="E812" s="522">
        <v>1.73</v>
      </c>
    </row>
    <row r="813" spans="4:5" x14ac:dyDescent="0.3">
      <c r="D813" s="521">
        <v>41719</v>
      </c>
      <c r="E813" s="522">
        <v>1.73</v>
      </c>
    </row>
    <row r="814" spans="4:5" x14ac:dyDescent="0.3">
      <c r="D814" s="521">
        <v>41722</v>
      </c>
      <c r="E814" s="522">
        <v>1.76</v>
      </c>
    </row>
    <row r="815" spans="4:5" x14ac:dyDescent="0.3">
      <c r="D815" s="521">
        <v>41723</v>
      </c>
      <c r="E815" s="522">
        <v>1.76</v>
      </c>
    </row>
    <row r="816" spans="4:5" x14ac:dyDescent="0.3">
      <c r="D816" s="521">
        <v>41724</v>
      </c>
      <c r="E816" s="522">
        <v>1.7</v>
      </c>
    </row>
    <row r="817" spans="4:5" x14ac:dyDescent="0.3">
      <c r="D817" s="521">
        <v>41725</v>
      </c>
      <c r="E817" s="522">
        <v>1.7</v>
      </c>
    </row>
    <row r="818" spans="4:5" x14ac:dyDescent="0.3">
      <c r="D818" s="521">
        <v>41726</v>
      </c>
      <c r="E818" s="522">
        <v>1.74</v>
      </c>
    </row>
    <row r="819" spans="4:5" x14ac:dyDescent="0.3">
      <c r="D819" s="521">
        <v>41729</v>
      </c>
      <c r="E819" s="522">
        <v>1.73</v>
      </c>
    </row>
    <row r="820" spans="4:5" x14ac:dyDescent="0.3">
      <c r="D820" s="521">
        <v>41730</v>
      </c>
      <c r="E820" s="522">
        <v>1.74</v>
      </c>
    </row>
    <row r="821" spans="4:5" x14ac:dyDescent="0.3">
      <c r="D821" s="521">
        <v>41731</v>
      </c>
      <c r="E821" s="522">
        <v>1.8</v>
      </c>
    </row>
    <row r="822" spans="4:5" x14ac:dyDescent="0.3">
      <c r="D822" s="521">
        <v>41732</v>
      </c>
      <c r="E822" s="522">
        <v>1.79</v>
      </c>
    </row>
    <row r="823" spans="4:5" x14ac:dyDescent="0.3">
      <c r="D823" s="521">
        <v>41733</v>
      </c>
      <c r="E823" s="522">
        <v>1.71</v>
      </c>
    </row>
    <row r="824" spans="4:5" x14ac:dyDescent="0.3">
      <c r="D824" s="521">
        <v>41736</v>
      </c>
      <c r="E824" s="522">
        <v>1.68</v>
      </c>
    </row>
    <row r="825" spans="4:5" x14ac:dyDescent="0.3">
      <c r="D825" s="523"/>
      <c r="E825" s="524"/>
    </row>
    <row r="826" spans="4:5" x14ac:dyDescent="0.3">
      <c r="D826" s="523"/>
      <c r="E826" s="524"/>
    </row>
    <row r="827" spans="4:5" x14ac:dyDescent="0.3">
      <c r="D827" s="523"/>
      <c r="E827" s="524"/>
    </row>
    <row r="828" spans="4:5" x14ac:dyDescent="0.3">
      <c r="D828" s="523"/>
      <c r="E828" s="524"/>
    </row>
    <row r="829" spans="4:5" x14ac:dyDescent="0.3">
      <c r="D829" s="523"/>
      <c r="E829" s="524"/>
    </row>
    <row r="830" spans="4:5" x14ac:dyDescent="0.3">
      <c r="D830" s="523"/>
      <c r="E830" s="524"/>
    </row>
    <row r="831" spans="4:5" x14ac:dyDescent="0.3">
      <c r="D831" s="523"/>
      <c r="E831" s="524"/>
    </row>
    <row r="832" spans="4:5" x14ac:dyDescent="0.3">
      <c r="D832" s="523"/>
      <c r="E832" s="524"/>
    </row>
    <row r="833" spans="4:5" x14ac:dyDescent="0.3">
      <c r="D833" s="523"/>
      <c r="E833" s="524"/>
    </row>
    <row r="834" spans="4:5" x14ac:dyDescent="0.3">
      <c r="D834" s="523"/>
      <c r="E834" s="524"/>
    </row>
    <row r="835" spans="4:5" x14ac:dyDescent="0.3">
      <c r="D835" s="523"/>
      <c r="E835" s="524"/>
    </row>
    <row r="836" spans="4:5" x14ac:dyDescent="0.3">
      <c r="D836" s="523"/>
      <c r="E836" s="524"/>
    </row>
    <row r="837" spans="4:5" x14ac:dyDescent="0.3">
      <c r="D837" s="523"/>
      <c r="E837" s="524"/>
    </row>
    <row r="838" spans="4:5" x14ac:dyDescent="0.3">
      <c r="D838" s="523"/>
      <c r="E838" s="524"/>
    </row>
    <row r="839" spans="4:5" x14ac:dyDescent="0.3">
      <c r="D839" s="523"/>
      <c r="E839" s="524"/>
    </row>
    <row r="840" spans="4:5" x14ac:dyDescent="0.3">
      <c r="D840" s="523"/>
      <c r="E840" s="524"/>
    </row>
    <row r="841" spans="4:5" x14ac:dyDescent="0.3">
      <c r="D841" s="523"/>
      <c r="E841" s="524"/>
    </row>
    <row r="842" spans="4:5" x14ac:dyDescent="0.3">
      <c r="D842" s="523"/>
      <c r="E842" s="524"/>
    </row>
    <row r="843" spans="4:5" x14ac:dyDescent="0.3">
      <c r="D843" s="523"/>
      <c r="E843" s="524"/>
    </row>
    <row r="844" spans="4:5" x14ac:dyDescent="0.3">
      <c r="D844" s="523"/>
      <c r="E844" s="524"/>
    </row>
    <row r="845" spans="4:5" x14ac:dyDescent="0.3">
      <c r="D845" s="523"/>
      <c r="E845" s="524"/>
    </row>
    <row r="846" spans="4:5" x14ac:dyDescent="0.3">
      <c r="D846" s="523"/>
      <c r="E846" s="524"/>
    </row>
    <row r="847" spans="4:5" x14ac:dyDescent="0.3">
      <c r="D847" s="523"/>
      <c r="E847" s="524"/>
    </row>
    <row r="848" spans="4:5" x14ac:dyDescent="0.3">
      <c r="D848" s="523"/>
      <c r="E848" s="524"/>
    </row>
    <row r="849" spans="4:5" x14ac:dyDescent="0.3">
      <c r="D849" s="523"/>
      <c r="E849" s="524"/>
    </row>
    <row r="850" spans="4:5" x14ac:dyDescent="0.3">
      <c r="D850" s="523"/>
      <c r="E850" s="524"/>
    </row>
    <row r="851" spans="4:5" x14ac:dyDescent="0.3">
      <c r="D851" s="523"/>
      <c r="E851" s="524"/>
    </row>
    <row r="852" spans="4:5" x14ac:dyDescent="0.3">
      <c r="D852" s="523"/>
      <c r="E852" s="524"/>
    </row>
    <row r="853" spans="4:5" x14ac:dyDescent="0.3">
      <c r="D853" s="523"/>
      <c r="E853" s="524"/>
    </row>
    <row r="854" spans="4:5" x14ac:dyDescent="0.3">
      <c r="D854" s="523"/>
      <c r="E854" s="524"/>
    </row>
    <row r="855" spans="4:5" x14ac:dyDescent="0.3">
      <c r="D855" s="523"/>
      <c r="E855" s="524"/>
    </row>
    <row r="856" spans="4:5" x14ac:dyDescent="0.3">
      <c r="D856" s="523"/>
      <c r="E856" s="524"/>
    </row>
    <row r="857" spans="4:5" x14ac:dyDescent="0.3">
      <c r="D857" s="523"/>
      <c r="E857" s="524"/>
    </row>
    <row r="858" spans="4:5" x14ac:dyDescent="0.3">
      <c r="D858" s="523"/>
      <c r="E858" s="524"/>
    </row>
    <row r="859" spans="4:5" x14ac:dyDescent="0.3">
      <c r="D859" s="523"/>
      <c r="E859" s="524"/>
    </row>
    <row r="860" spans="4:5" x14ac:dyDescent="0.3">
      <c r="D860" s="523"/>
      <c r="E860" s="524"/>
    </row>
    <row r="861" spans="4:5" x14ac:dyDescent="0.3">
      <c r="D861" s="523"/>
      <c r="E861" s="524"/>
    </row>
    <row r="862" spans="4:5" x14ac:dyDescent="0.3">
      <c r="D862" s="523"/>
      <c r="E862" s="524"/>
    </row>
    <row r="863" spans="4:5" x14ac:dyDescent="0.3">
      <c r="D863" s="523"/>
      <c r="E863" s="524"/>
    </row>
    <row r="864" spans="4:5" x14ac:dyDescent="0.3">
      <c r="D864" s="523"/>
      <c r="E864" s="524"/>
    </row>
    <row r="865" spans="4:5" x14ac:dyDescent="0.3">
      <c r="D865" s="523"/>
      <c r="E865" s="524"/>
    </row>
    <row r="866" spans="4:5" x14ac:dyDescent="0.3">
      <c r="D866" s="523"/>
      <c r="E866" s="524"/>
    </row>
    <row r="867" spans="4:5" x14ac:dyDescent="0.3">
      <c r="D867" s="523"/>
      <c r="E867" s="524"/>
    </row>
    <row r="868" spans="4:5" x14ac:dyDescent="0.3">
      <c r="D868" s="523"/>
      <c r="E868" s="524"/>
    </row>
    <row r="869" spans="4:5" x14ac:dyDescent="0.3">
      <c r="D869" s="523"/>
      <c r="E869" s="524"/>
    </row>
    <row r="870" spans="4:5" x14ac:dyDescent="0.3">
      <c r="D870" s="523"/>
      <c r="E870" s="524"/>
    </row>
    <row r="871" spans="4:5" x14ac:dyDescent="0.3">
      <c r="D871" s="523"/>
      <c r="E871" s="524"/>
    </row>
    <row r="872" spans="4:5" x14ac:dyDescent="0.3">
      <c r="D872" s="523"/>
      <c r="E872" s="524"/>
    </row>
    <row r="873" spans="4:5" x14ac:dyDescent="0.3">
      <c r="D873" s="523"/>
      <c r="E873" s="524"/>
    </row>
    <row r="874" spans="4:5" x14ac:dyDescent="0.3">
      <c r="D874" s="523"/>
      <c r="E874" s="524"/>
    </row>
    <row r="875" spans="4:5" x14ac:dyDescent="0.3">
      <c r="D875" s="523"/>
      <c r="E875" s="524"/>
    </row>
    <row r="876" spans="4:5" x14ac:dyDescent="0.3">
      <c r="D876" s="523"/>
      <c r="E876" s="524"/>
    </row>
    <row r="877" spans="4:5" x14ac:dyDescent="0.3">
      <c r="D877" s="523"/>
      <c r="E877" s="524"/>
    </row>
    <row r="878" spans="4:5" x14ac:dyDescent="0.3">
      <c r="D878" s="523"/>
      <c r="E878" s="524"/>
    </row>
    <row r="879" spans="4:5" x14ac:dyDescent="0.3">
      <c r="D879" s="523"/>
      <c r="E879" s="524"/>
    </row>
    <row r="880" spans="4:5" x14ac:dyDescent="0.3">
      <c r="D880" s="523"/>
      <c r="E880" s="524"/>
    </row>
    <row r="881" spans="4:5" x14ac:dyDescent="0.3">
      <c r="D881" s="523"/>
      <c r="E881" s="524"/>
    </row>
    <row r="882" spans="4:5" x14ac:dyDescent="0.3">
      <c r="D882" s="523"/>
      <c r="E882" s="524"/>
    </row>
    <row r="883" spans="4:5" x14ac:dyDescent="0.3">
      <c r="D883" s="523"/>
      <c r="E883" s="524"/>
    </row>
    <row r="884" spans="4:5" x14ac:dyDescent="0.3">
      <c r="D884" s="523"/>
      <c r="E884" s="524"/>
    </row>
    <row r="885" spans="4:5" x14ac:dyDescent="0.3">
      <c r="D885" s="523"/>
      <c r="E885" s="524"/>
    </row>
    <row r="886" spans="4:5" x14ac:dyDescent="0.3">
      <c r="D886" s="523"/>
      <c r="E886" s="524"/>
    </row>
    <row r="887" spans="4:5" x14ac:dyDescent="0.3">
      <c r="D887" s="523"/>
      <c r="E887" s="524"/>
    </row>
    <row r="888" spans="4:5" x14ac:dyDescent="0.3">
      <c r="D888" s="523"/>
      <c r="E888" s="524"/>
    </row>
    <row r="889" spans="4:5" x14ac:dyDescent="0.3">
      <c r="D889" s="523"/>
      <c r="E889" s="524"/>
    </row>
    <row r="890" spans="4:5" x14ac:dyDescent="0.3">
      <c r="D890" s="523"/>
      <c r="E890" s="524"/>
    </row>
    <row r="891" spans="4:5" x14ac:dyDescent="0.3">
      <c r="D891" s="523"/>
      <c r="E891" s="524"/>
    </row>
    <row r="892" spans="4:5" x14ac:dyDescent="0.3">
      <c r="D892" s="523"/>
      <c r="E892" s="524"/>
    </row>
    <row r="893" spans="4:5" x14ac:dyDescent="0.3">
      <c r="D893" s="523"/>
      <c r="E893" s="524"/>
    </row>
    <row r="894" spans="4:5" x14ac:dyDescent="0.3">
      <c r="D894" s="523"/>
      <c r="E894" s="524"/>
    </row>
    <row r="895" spans="4:5" x14ac:dyDescent="0.3">
      <c r="D895" s="523"/>
      <c r="E895" s="524"/>
    </row>
    <row r="896" spans="4:5" x14ac:dyDescent="0.3">
      <c r="D896" s="523"/>
      <c r="E896" s="524"/>
    </row>
    <row r="897" spans="4:5" x14ac:dyDescent="0.3">
      <c r="D897" s="523"/>
      <c r="E897" s="524"/>
    </row>
    <row r="898" spans="4:5" x14ac:dyDescent="0.3">
      <c r="D898" s="523"/>
      <c r="E898" s="524"/>
    </row>
    <row r="899" spans="4:5" x14ac:dyDescent="0.3">
      <c r="D899" s="523"/>
      <c r="E899" s="524"/>
    </row>
    <row r="900" spans="4:5" x14ac:dyDescent="0.3">
      <c r="D900" s="523"/>
      <c r="E900" s="524"/>
    </row>
    <row r="901" spans="4:5" x14ac:dyDescent="0.3">
      <c r="D901" s="523"/>
      <c r="E901" s="524"/>
    </row>
    <row r="902" spans="4:5" x14ac:dyDescent="0.3">
      <c r="D902" s="523"/>
      <c r="E902" s="524"/>
    </row>
    <row r="903" spans="4:5" x14ac:dyDescent="0.3">
      <c r="D903" s="523"/>
      <c r="E903" s="524"/>
    </row>
    <row r="904" spans="4:5" x14ac:dyDescent="0.3">
      <c r="D904" s="523"/>
      <c r="E904" s="524"/>
    </row>
    <row r="905" spans="4:5" x14ac:dyDescent="0.3">
      <c r="D905" s="523"/>
      <c r="E905" s="524"/>
    </row>
    <row r="906" spans="4:5" x14ac:dyDescent="0.3">
      <c r="D906" s="523"/>
      <c r="E906" s="524"/>
    </row>
    <row r="907" spans="4:5" x14ac:dyDescent="0.3">
      <c r="D907" s="523"/>
      <c r="E907" s="524"/>
    </row>
    <row r="908" spans="4:5" x14ac:dyDescent="0.3">
      <c r="D908" s="523"/>
      <c r="E908" s="524"/>
    </row>
    <row r="909" spans="4:5" x14ac:dyDescent="0.3">
      <c r="D909" s="523"/>
      <c r="E909" s="524"/>
    </row>
    <row r="910" spans="4:5" x14ac:dyDescent="0.3">
      <c r="D910" s="523"/>
      <c r="E910" s="524"/>
    </row>
    <row r="911" spans="4:5" x14ac:dyDescent="0.3">
      <c r="D911" s="523"/>
      <c r="E911" s="524"/>
    </row>
    <row r="912" spans="4:5" x14ac:dyDescent="0.3">
      <c r="D912" s="523"/>
      <c r="E912" s="524"/>
    </row>
    <row r="913" spans="4:5" x14ac:dyDescent="0.3">
      <c r="D913" s="523"/>
      <c r="E913" s="524"/>
    </row>
    <row r="914" spans="4:5" x14ac:dyDescent="0.3">
      <c r="D914" s="523"/>
      <c r="E914" s="524"/>
    </row>
    <row r="915" spans="4:5" x14ac:dyDescent="0.3">
      <c r="D915" s="523"/>
      <c r="E915" s="524"/>
    </row>
    <row r="916" spans="4:5" x14ac:dyDescent="0.3">
      <c r="D916" s="523"/>
      <c r="E916" s="524"/>
    </row>
    <row r="917" spans="4:5" x14ac:dyDescent="0.3">
      <c r="D917" s="523"/>
      <c r="E917" s="524"/>
    </row>
    <row r="918" spans="4:5" x14ac:dyDescent="0.3">
      <c r="D918" s="523"/>
      <c r="E918" s="524"/>
    </row>
    <row r="919" spans="4:5" x14ac:dyDescent="0.3">
      <c r="D919" s="523"/>
      <c r="E919" s="524"/>
    </row>
    <row r="920" spans="4:5" x14ac:dyDescent="0.3">
      <c r="D920" s="523"/>
      <c r="E920" s="524"/>
    </row>
    <row r="921" spans="4:5" x14ac:dyDescent="0.3">
      <c r="D921" s="523"/>
      <c r="E921" s="524"/>
    </row>
    <row r="922" spans="4:5" x14ac:dyDescent="0.3">
      <c r="D922" s="523"/>
      <c r="E922" s="524"/>
    </row>
    <row r="923" spans="4:5" x14ac:dyDescent="0.3">
      <c r="D923" s="523"/>
      <c r="E923" s="524"/>
    </row>
    <row r="924" spans="4:5" x14ac:dyDescent="0.3">
      <c r="D924" s="523"/>
      <c r="E924" s="524"/>
    </row>
    <row r="925" spans="4:5" x14ac:dyDescent="0.3">
      <c r="D925" s="523"/>
      <c r="E925" s="524"/>
    </row>
    <row r="926" spans="4:5" x14ac:dyDescent="0.3">
      <c r="D926" s="523"/>
      <c r="E926" s="524"/>
    </row>
    <row r="927" spans="4:5" x14ac:dyDescent="0.3">
      <c r="D927" s="523"/>
      <c r="E927" s="524"/>
    </row>
    <row r="928" spans="4:5" x14ac:dyDescent="0.3">
      <c r="D928" s="523"/>
      <c r="E928" s="524"/>
    </row>
    <row r="929" spans="4:5" x14ac:dyDescent="0.3">
      <c r="D929" s="523"/>
      <c r="E929" s="524"/>
    </row>
    <row r="930" spans="4:5" x14ac:dyDescent="0.3">
      <c r="D930" s="523"/>
      <c r="E930" s="524"/>
    </row>
    <row r="931" spans="4:5" x14ac:dyDescent="0.3">
      <c r="D931" s="523"/>
      <c r="E931" s="524"/>
    </row>
    <row r="932" spans="4:5" x14ac:dyDescent="0.3">
      <c r="D932" s="523"/>
      <c r="E932" s="524"/>
    </row>
    <row r="933" spans="4:5" x14ac:dyDescent="0.3">
      <c r="D933" s="523"/>
      <c r="E933" s="524"/>
    </row>
    <row r="934" spans="4:5" x14ac:dyDescent="0.3">
      <c r="D934" s="523"/>
      <c r="E934" s="524"/>
    </row>
    <row r="935" spans="4:5" x14ac:dyDescent="0.3">
      <c r="D935" s="523"/>
      <c r="E935" s="524"/>
    </row>
    <row r="936" spans="4:5" x14ac:dyDescent="0.3">
      <c r="D936" s="523"/>
      <c r="E936" s="524"/>
    </row>
    <row r="937" spans="4:5" x14ac:dyDescent="0.3">
      <c r="D937" s="523"/>
      <c r="E937" s="524"/>
    </row>
    <row r="938" spans="4:5" x14ac:dyDescent="0.3">
      <c r="D938" s="523"/>
      <c r="E938" s="524"/>
    </row>
    <row r="939" spans="4:5" x14ac:dyDescent="0.3">
      <c r="D939" s="523"/>
      <c r="E939" s="524"/>
    </row>
    <row r="940" spans="4:5" x14ac:dyDescent="0.3">
      <c r="D940" s="523"/>
      <c r="E940" s="524"/>
    </row>
    <row r="941" spans="4:5" x14ac:dyDescent="0.3">
      <c r="D941" s="523"/>
      <c r="E941" s="524"/>
    </row>
    <row r="942" spans="4:5" x14ac:dyDescent="0.3">
      <c r="D942" s="523"/>
      <c r="E942" s="524"/>
    </row>
    <row r="943" spans="4:5" x14ac:dyDescent="0.3">
      <c r="D943" s="523"/>
      <c r="E943" s="524"/>
    </row>
    <row r="944" spans="4:5" x14ac:dyDescent="0.3">
      <c r="D944" s="523"/>
      <c r="E944" s="524"/>
    </row>
    <row r="945" spans="4:5" x14ac:dyDescent="0.3">
      <c r="D945" s="523"/>
      <c r="E945" s="524"/>
    </row>
    <row r="946" spans="4:5" x14ac:dyDescent="0.3">
      <c r="D946" s="523"/>
      <c r="E946" s="524"/>
    </row>
    <row r="947" spans="4:5" x14ac:dyDescent="0.3">
      <c r="D947" s="523"/>
      <c r="E947" s="524"/>
    </row>
    <row r="948" spans="4:5" x14ac:dyDescent="0.3">
      <c r="D948" s="523"/>
      <c r="E948" s="524"/>
    </row>
    <row r="949" spans="4:5" x14ac:dyDescent="0.3">
      <c r="D949" s="523"/>
      <c r="E949" s="524"/>
    </row>
    <row r="950" spans="4:5" x14ac:dyDescent="0.3">
      <c r="D950" s="523"/>
      <c r="E950" s="524"/>
    </row>
    <row r="951" spans="4:5" x14ac:dyDescent="0.3">
      <c r="D951" s="523"/>
      <c r="E951" s="524"/>
    </row>
    <row r="952" spans="4:5" x14ac:dyDescent="0.3">
      <c r="D952" s="523"/>
      <c r="E952" s="524"/>
    </row>
    <row r="953" spans="4:5" x14ac:dyDescent="0.3">
      <c r="D953" s="523"/>
      <c r="E953" s="524"/>
    </row>
    <row r="954" spans="4:5" x14ac:dyDescent="0.3">
      <c r="D954" s="523"/>
      <c r="E954" s="524"/>
    </row>
    <row r="955" spans="4:5" x14ac:dyDescent="0.3">
      <c r="D955" s="523"/>
      <c r="E955" s="524"/>
    </row>
    <row r="956" spans="4:5" x14ac:dyDescent="0.3">
      <c r="D956" s="523"/>
      <c r="E956" s="524"/>
    </row>
    <row r="957" spans="4:5" x14ac:dyDescent="0.3">
      <c r="D957" s="523"/>
      <c r="E957" s="524"/>
    </row>
    <row r="958" spans="4:5" x14ac:dyDescent="0.3">
      <c r="D958" s="523"/>
      <c r="E958" s="524"/>
    </row>
    <row r="959" spans="4:5" x14ac:dyDescent="0.3">
      <c r="D959" s="523"/>
      <c r="E959" s="524"/>
    </row>
    <row r="960" spans="4:5" x14ac:dyDescent="0.3">
      <c r="D960" s="523"/>
      <c r="E960" s="524"/>
    </row>
    <row r="961" spans="4:5" x14ac:dyDescent="0.3">
      <c r="D961" s="523"/>
      <c r="E961" s="524"/>
    </row>
    <row r="962" spans="4:5" x14ac:dyDescent="0.3">
      <c r="D962" s="523"/>
      <c r="E962" s="524"/>
    </row>
    <row r="963" spans="4:5" x14ac:dyDescent="0.3">
      <c r="D963" s="523"/>
      <c r="E963" s="524"/>
    </row>
    <row r="964" spans="4:5" x14ac:dyDescent="0.3">
      <c r="D964" s="523"/>
      <c r="E964" s="524"/>
    </row>
    <row r="965" spans="4:5" x14ac:dyDescent="0.3">
      <c r="D965" s="523"/>
      <c r="E965" s="524"/>
    </row>
    <row r="966" spans="4:5" x14ac:dyDescent="0.3">
      <c r="D966" s="523"/>
      <c r="E966" s="524"/>
    </row>
    <row r="967" spans="4:5" x14ac:dyDescent="0.3">
      <c r="D967" s="523"/>
      <c r="E967" s="524"/>
    </row>
    <row r="968" spans="4:5" x14ac:dyDescent="0.3">
      <c r="D968" s="523"/>
      <c r="E968" s="524"/>
    </row>
    <row r="969" spans="4:5" x14ac:dyDescent="0.3">
      <c r="D969" s="523"/>
      <c r="E969" s="524"/>
    </row>
    <row r="970" spans="4:5" x14ac:dyDescent="0.3">
      <c r="D970" s="523"/>
      <c r="E970" s="524"/>
    </row>
    <row r="971" spans="4:5" x14ac:dyDescent="0.3">
      <c r="D971" s="523"/>
      <c r="E971" s="524"/>
    </row>
    <row r="972" spans="4:5" x14ac:dyDescent="0.3">
      <c r="D972" s="523"/>
      <c r="E972" s="524"/>
    </row>
    <row r="973" spans="4:5" x14ac:dyDescent="0.3">
      <c r="D973" s="523"/>
      <c r="E973" s="524"/>
    </row>
    <row r="974" spans="4:5" x14ac:dyDescent="0.3">
      <c r="D974" s="523"/>
      <c r="E974" s="524"/>
    </row>
    <row r="975" spans="4:5" x14ac:dyDescent="0.3">
      <c r="D975" s="523"/>
      <c r="E975" s="524"/>
    </row>
    <row r="976" spans="4:5" x14ac:dyDescent="0.3">
      <c r="D976" s="523"/>
      <c r="E976" s="524"/>
    </row>
    <row r="977" spans="4:5" x14ac:dyDescent="0.3">
      <c r="D977" s="523"/>
      <c r="E977" s="524"/>
    </row>
    <row r="978" spans="4:5" x14ac:dyDescent="0.3">
      <c r="D978" s="523"/>
      <c r="E978" s="524"/>
    </row>
    <row r="979" spans="4:5" x14ac:dyDescent="0.3">
      <c r="D979" s="523"/>
      <c r="E979" s="524"/>
    </row>
    <row r="980" spans="4:5" x14ac:dyDescent="0.3">
      <c r="D980" s="523"/>
      <c r="E980" s="524"/>
    </row>
    <row r="981" spans="4:5" x14ac:dyDescent="0.3">
      <c r="D981" s="523"/>
      <c r="E981" s="524"/>
    </row>
    <row r="982" spans="4:5" x14ac:dyDescent="0.3">
      <c r="D982" s="523"/>
      <c r="E982" s="524"/>
    </row>
    <row r="983" spans="4:5" x14ac:dyDescent="0.3">
      <c r="D983" s="523"/>
      <c r="E983" s="524"/>
    </row>
    <row r="984" spans="4:5" x14ac:dyDescent="0.3">
      <c r="D984" s="523"/>
      <c r="E984" s="524"/>
    </row>
    <row r="985" spans="4:5" x14ac:dyDescent="0.3">
      <c r="D985" s="523"/>
      <c r="E985" s="524"/>
    </row>
    <row r="986" spans="4:5" x14ac:dyDescent="0.3">
      <c r="D986" s="523"/>
      <c r="E986" s="524"/>
    </row>
    <row r="987" spans="4:5" x14ac:dyDescent="0.3">
      <c r="D987" s="523"/>
      <c r="E987" s="524"/>
    </row>
    <row r="988" spans="4:5" x14ac:dyDescent="0.3">
      <c r="D988" s="523"/>
      <c r="E988" s="524"/>
    </row>
    <row r="989" spans="4:5" x14ac:dyDescent="0.3">
      <c r="D989" s="523"/>
      <c r="E989" s="524"/>
    </row>
    <row r="990" spans="4:5" x14ac:dyDescent="0.3">
      <c r="D990" s="523"/>
      <c r="E990" s="524"/>
    </row>
    <row r="991" spans="4:5" x14ac:dyDescent="0.3">
      <c r="D991" s="523"/>
      <c r="E991" s="524"/>
    </row>
    <row r="992" spans="4:5" x14ac:dyDescent="0.3">
      <c r="D992" s="523"/>
      <c r="E992" s="524"/>
    </row>
    <row r="993" spans="4:5" x14ac:dyDescent="0.3">
      <c r="D993" s="523"/>
      <c r="E993" s="524"/>
    </row>
    <row r="994" spans="4:5" x14ac:dyDescent="0.3">
      <c r="D994" s="523"/>
      <c r="E994" s="524"/>
    </row>
    <row r="995" spans="4:5" x14ac:dyDescent="0.3">
      <c r="D995" s="523"/>
      <c r="E995" s="524"/>
    </row>
    <row r="996" spans="4:5" x14ac:dyDescent="0.3">
      <c r="D996" s="523"/>
      <c r="E996" s="524"/>
    </row>
    <row r="997" spans="4:5" x14ac:dyDescent="0.3">
      <c r="D997" s="523"/>
      <c r="E997" s="524"/>
    </row>
    <row r="998" spans="4:5" x14ac:dyDescent="0.3">
      <c r="D998" s="523"/>
      <c r="E998" s="524"/>
    </row>
    <row r="999" spans="4:5" x14ac:dyDescent="0.3">
      <c r="D999" s="523"/>
      <c r="E999" s="524"/>
    </row>
    <row r="1000" spans="4:5" x14ac:dyDescent="0.3">
      <c r="D1000" s="523"/>
      <c r="E1000" s="524"/>
    </row>
    <row r="1001" spans="4:5" x14ac:dyDescent="0.3">
      <c r="D1001" s="523"/>
      <c r="E1001" s="524"/>
    </row>
    <row r="1002" spans="4:5" x14ac:dyDescent="0.3">
      <c r="D1002" s="523"/>
      <c r="E1002" s="524"/>
    </row>
    <row r="1003" spans="4:5" x14ac:dyDescent="0.3">
      <c r="D1003" s="523"/>
      <c r="E1003" s="524"/>
    </row>
    <row r="1004" spans="4:5" x14ac:dyDescent="0.3">
      <c r="D1004" s="523"/>
      <c r="E1004" s="524"/>
    </row>
    <row r="1005" spans="4:5" x14ac:dyDescent="0.3">
      <c r="D1005" s="523"/>
      <c r="E1005" s="524"/>
    </row>
    <row r="1006" spans="4:5" x14ac:dyDescent="0.3">
      <c r="D1006" s="523"/>
      <c r="E1006" s="524"/>
    </row>
    <row r="1007" spans="4:5" x14ac:dyDescent="0.3">
      <c r="D1007" s="523"/>
      <c r="E1007" s="524"/>
    </row>
    <row r="1008" spans="4:5" x14ac:dyDescent="0.3">
      <c r="D1008" s="523"/>
      <c r="E1008" s="524"/>
    </row>
    <row r="1009" spans="4:5" x14ac:dyDescent="0.3">
      <c r="D1009" s="523"/>
      <c r="E1009" s="524"/>
    </row>
    <row r="1010" spans="4:5" x14ac:dyDescent="0.3">
      <c r="D1010" s="523"/>
      <c r="E1010" s="524"/>
    </row>
    <row r="1011" spans="4:5" x14ac:dyDescent="0.3">
      <c r="D1011" s="523"/>
      <c r="E1011" s="524"/>
    </row>
    <row r="1012" spans="4:5" x14ac:dyDescent="0.3">
      <c r="D1012" s="523"/>
      <c r="E1012" s="524"/>
    </row>
    <row r="1013" spans="4:5" x14ac:dyDescent="0.3">
      <c r="D1013" s="523"/>
      <c r="E1013" s="524"/>
    </row>
    <row r="1014" spans="4:5" x14ac:dyDescent="0.3">
      <c r="D1014" s="523"/>
      <c r="E1014" s="524"/>
    </row>
    <row r="1015" spans="4:5" x14ac:dyDescent="0.3">
      <c r="D1015" s="523"/>
      <c r="E1015" s="524"/>
    </row>
    <row r="1016" spans="4:5" x14ac:dyDescent="0.3">
      <c r="D1016" s="523"/>
      <c r="E1016" s="524"/>
    </row>
    <row r="1017" spans="4:5" x14ac:dyDescent="0.3">
      <c r="D1017" s="523"/>
      <c r="E1017" s="524"/>
    </row>
    <row r="1018" spans="4:5" x14ac:dyDescent="0.3">
      <c r="D1018" s="523"/>
      <c r="E1018" s="524"/>
    </row>
    <row r="1019" spans="4:5" x14ac:dyDescent="0.3">
      <c r="D1019" s="523"/>
      <c r="E1019" s="524"/>
    </row>
    <row r="1020" spans="4:5" x14ac:dyDescent="0.3">
      <c r="D1020" s="523"/>
      <c r="E1020" s="524"/>
    </row>
    <row r="1021" spans="4:5" x14ac:dyDescent="0.3">
      <c r="D1021" s="523"/>
      <c r="E1021" s="524"/>
    </row>
    <row r="1022" spans="4:5" x14ac:dyDescent="0.3">
      <c r="D1022" s="523"/>
      <c r="E1022" s="524"/>
    </row>
    <row r="1023" spans="4:5" x14ac:dyDescent="0.3">
      <c r="D1023" s="523"/>
      <c r="E1023" s="524"/>
    </row>
    <row r="1024" spans="4:5" x14ac:dyDescent="0.3">
      <c r="D1024" s="523"/>
      <c r="E1024" s="524"/>
    </row>
    <row r="1025" spans="4:5" x14ac:dyDescent="0.3">
      <c r="D1025" s="523"/>
      <c r="E1025" s="524"/>
    </row>
    <row r="1026" spans="4:5" x14ac:dyDescent="0.3">
      <c r="D1026" s="523"/>
      <c r="E1026" s="524"/>
    </row>
    <row r="1027" spans="4:5" x14ac:dyDescent="0.3">
      <c r="D1027" s="523"/>
      <c r="E1027" s="524"/>
    </row>
    <row r="1028" spans="4:5" x14ac:dyDescent="0.3">
      <c r="D1028" s="523"/>
      <c r="E1028" s="524"/>
    </row>
    <row r="1029" spans="4:5" x14ac:dyDescent="0.3">
      <c r="D1029" s="523"/>
      <c r="E1029" s="524"/>
    </row>
    <row r="1030" spans="4:5" x14ac:dyDescent="0.3">
      <c r="D1030" s="523"/>
      <c r="E1030" s="524"/>
    </row>
    <row r="1031" spans="4:5" x14ac:dyDescent="0.3">
      <c r="D1031" s="523"/>
      <c r="E1031" s="524"/>
    </row>
    <row r="1032" spans="4:5" x14ac:dyDescent="0.3">
      <c r="D1032" s="523"/>
      <c r="E1032" s="524"/>
    </row>
    <row r="1033" spans="4:5" x14ac:dyDescent="0.3">
      <c r="D1033" s="523"/>
      <c r="E1033" s="524"/>
    </row>
    <row r="1034" spans="4:5" x14ac:dyDescent="0.3">
      <c r="D1034" s="523"/>
      <c r="E1034" s="524"/>
    </row>
    <row r="1035" spans="4:5" x14ac:dyDescent="0.3">
      <c r="D1035" s="523"/>
      <c r="E1035" s="524"/>
    </row>
    <row r="1036" spans="4:5" x14ac:dyDescent="0.3">
      <c r="D1036" s="523"/>
      <c r="E1036" s="524"/>
    </row>
    <row r="1037" spans="4:5" x14ac:dyDescent="0.3">
      <c r="D1037" s="523"/>
      <c r="E1037" s="524"/>
    </row>
    <row r="1038" spans="4:5" x14ac:dyDescent="0.3">
      <c r="D1038" s="523"/>
      <c r="E1038" s="524"/>
    </row>
    <row r="1039" spans="4:5" x14ac:dyDescent="0.3">
      <c r="D1039" s="523"/>
      <c r="E1039" s="524"/>
    </row>
    <row r="1040" spans="4:5" x14ac:dyDescent="0.3">
      <c r="D1040" s="523"/>
      <c r="E1040" s="524"/>
    </row>
    <row r="1041" spans="4:5" x14ac:dyDescent="0.3">
      <c r="D1041" s="523"/>
      <c r="E1041" s="524"/>
    </row>
    <row r="1042" spans="4:5" x14ac:dyDescent="0.3">
      <c r="D1042" s="523"/>
      <c r="E1042" s="524"/>
    </row>
    <row r="1043" spans="4:5" x14ac:dyDescent="0.3">
      <c r="D1043" s="523"/>
      <c r="E1043" s="524"/>
    </row>
    <row r="1044" spans="4:5" x14ac:dyDescent="0.3">
      <c r="D1044" s="523"/>
      <c r="E1044" s="524"/>
    </row>
    <row r="1045" spans="4:5" x14ac:dyDescent="0.3">
      <c r="D1045" s="523"/>
      <c r="E1045" s="524"/>
    </row>
    <row r="1046" spans="4:5" x14ac:dyDescent="0.3">
      <c r="D1046" s="523"/>
      <c r="E1046" s="524"/>
    </row>
    <row r="1047" spans="4:5" x14ac:dyDescent="0.3">
      <c r="D1047" s="523"/>
      <c r="E1047" s="524"/>
    </row>
    <row r="1048" spans="4:5" x14ac:dyDescent="0.3">
      <c r="D1048" s="523"/>
      <c r="E1048" s="524"/>
    </row>
    <row r="1049" spans="4:5" x14ac:dyDescent="0.3">
      <c r="D1049" s="523"/>
      <c r="E1049" s="524"/>
    </row>
    <row r="1050" spans="4:5" x14ac:dyDescent="0.3">
      <c r="D1050" s="523"/>
      <c r="E1050" s="524"/>
    </row>
    <row r="1051" spans="4:5" x14ac:dyDescent="0.3">
      <c r="D1051" s="523"/>
      <c r="E1051" s="524"/>
    </row>
    <row r="1052" spans="4:5" x14ac:dyDescent="0.3">
      <c r="D1052" s="523"/>
      <c r="E1052" s="524"/>
    </row>
    <row r="1053" spans="4:5" x14ac:dyDescent="0.3">
      <c r="D1053" s="523"/>
      <c r="E1053" s="524"/>
    </row>
    <row r="1054" spans="4:5" x14ac:dyDescent="0.3">
      <c r="D1054" s="523"/>
      <c r="E1054" s="524"/>
    </row>
    <row r="1055" spans="4:5" x14ac:dyDescent="0.3">
      <c r="D1055" s="523"/>
      <c r="E1055" s="524"/>
    </row>
    <row r="1056" spans="4:5" x14ac:dyDescent="0.3">
      <c r="D1056" s="523"/>
      <c r="E1056" s="524"/>
    </row>
    <row r="1057" spans="4:5" x14ac:dyDescent="0.3">
      <c r="D1057" s="523"/>
      <c r="E1057" s="524"/>
    </row>
    <row r="1058" spans="4:5" x14ac:dyDescent="0.3">
      <c r="D1058" s="523"/>
      <c r="E1058" s="524"/>
    </row>
    <row r="1059" spans="4:5" x14ac:dyDescent="0.3">
      <c r="D1059" s="523"/>
      <c r="E1059" s="524"/>
    </row>
    <row r="1060" spans="4:5" x14ac:dyDescent="0.3">
      <c r="D1060" s="523"/>
      <c r="E1060" s="524"/>
    </row>
    <row r="1061" spans="4:5" x14ac:dyDescent="0.3">
      <c r="D1061" s="523"/>
      <c r="E1061" s="524"/>
    </row>
    <row r="1062" spans="4:5" x14ac:dyDescent="0.3">
      <c r="D1062" s="523"/>
      <c r="E1062" s="524"/>
    </row>
    <row r="1063" spans="4:5" x14ac:dyDescent="0.3">
      <c r="D1063" s="523"/>
      <c r="E1063" s="524"/>
    </row>
    <row r="1064" spans="4:5" x14ac:dyDescent="0.3">
      <c r="D1064" s="523"/>
      <c r="E1064" s="524"/>
    </row>
    <row r="1065" spans="4:5" x14ac:dyDescent="0.3">
      <c r="D1065" s="523"/>
      <c r="E1065" s="524"/>
    </row>
    <row r="1066" spans="4:5" x14ac:dyDescent="0.3">
      <c r="D1066" s="523"/>
      <c r="E1066" s="524"/>
    </row>
    <row r="1067" spans="4:5" x14ac:dyDescent="0.3">
      <c r="D1067" s="523"/>
      <c r="E1067" s="524"/>
    </row>
    <row r="1068" spans="4:5" x14ac:dyDescent="0.3">
      <c r="D1068" s="523"/>
      <c r="E1068" s="524"/>
    </row>
    <row r="1069" spans="4:5" x14ac:dyDescent="0.3">
      <c r="D1069" s="523"/>
      <c r="E1069" s="524"/>
    </row>
    <row r="1070" spans="4:5" x14ac:dyDescent="0.3">
      <c r="D1070" s="523"/>
      <c r="E1070" s="524"/>
    </row>
    <row r="1071" spans="4:5" x14ac:dyDescent="0.3">
      <c r="D1071" s="523"/>
      <c r="E1071" s="524"/>
    </row>
    <row r="1072" spans="4:5" x14ac:dyDescent="0.3">
      <c r="D1072" s="523"/>
      <c r="E1072" s="524"/>
    </row>
    <row r="1073" spans="4:5" x14ac:dyDescent="0.3">
      <c r="D1073" s="523"/>
      <c r="E1073" s="524"/>
    </row>
    <row r="1074" spans="4:5" x14ac:dyDescent="0.3">
      <c r="D1074" s="523"/>
      <c r="E1074" s="524"/>
    </row>
    <row r="1075" spans="4:5" x14ac:dyDescent="0.3">
      <c r="D1075" s="523"/>
      <c r="E1075" s="524"/>
    </row>
    <row r="1076" spans="4:5" x14ac:dyDescent="0.3">
      <c r="D1076" s="523"/>
      <c r="E1076" s="524"/>
    </row>
    <row r="1077" spans="4:5" x14ac:dyDescent="0.3">
      <c r="D1077" s="523"/>
      <c r="E1077" s="524"/>
    </row>
    <row r="1078" spans="4:5" x14ac:dyDescent="0.3">
      <c r="D1078" s="523"/>
      <c r="E1078" s="524"/>
    </row>
    <row r="1079" spans="4:5" x14ac:dyDescent="0.3">
      <c r="D1079" s="523"/>
      <c r="E1079" s="524"/>
    </row>
    <row r="1080" spans="4:5" x14ac:dyDescent="0.3">
      <c r="D1080" s="523"/>
      <c r="E1080" s="524"/>
    </row>
    <row r="1081" spans="4:5" x14ac:dyDescent="0.3">
      <c r="D1081" s="523"/>
      <c r="E1081" s="524"/>
    </row>
    <row r="1082" spans="4:5" x14ac:dyDescent="0.3">
      <c r="D1082" s="523"/>
      <c r="E1082" s="524"/>
    </row>
    <row r="1083" spans="4:5" x14ac:dyDescent="0.3">
      <c r="D1083" s="523"/>
      <c r="E1083" s="524"/>
    </row>
    <row r="1084" spans="4:5" x14ac:dyDescent="0.3">
      <c r="D1084" s="523"/>
      <c r="E1084" s="524"/>
    </row>
    <row r="1085" spans="4:5" x14ac:dyDescent="0.3">
      <c r="D1085" s="523"/>
      <c r="E1085" s="524"/>
    </row>
    <row r="1086" spans="4:5" x14ac:dyDescent="0.3">
      <c r="D1086" s="523"/>
      <c r="E1086" s="524"/>
    </row>
    <row r="1087" spans="4:5" x14ac:dyDescent="0.3">
      <c r="D1087" s="523"/>
      <c r="E1087" s="524"/>
    </row>
    <row r="1088" spans="4:5" x14ac:dyDescent="0.3">
      <c r="D1088" s="523"/>
      <c r="E1088" s="524"/>
    </row>
    <row r="1089" spans="4:5" x14ac:dyDescent="0.3">
      <c r="D1089" s="523"/>
      <c r="E1089" s="524"/>
    </row>
    <row r="1090" spans="4:5" x14ac:dyDescent="0.3">
      <c r="D1090" s="523"/>
      <c r="E1090" s="524"/>
    </row>
    <row r="1091" spans="4:5" x14ac:dyDescent="0.3">
      <c r="D1091" s="523"/>
      <c r="E1091" s="524"/>
    </row>
    <row r="1092" spans="4:5" x14ac:dyDescent="0.3">
      <c r="D1092" s="523"/>
      <c r="E1092" s="524"/>
    </row>
    <row r="1093" spans="4:5" x14ac:dyDescent="0.3">
      <c r="D1093" s="523"/>
      <c r="E1093" s="524"/>
    </row>
    <row r="1094" spans="4:5" x14ac:dyDescent="0.3">
      <c r="D1094" s="523"/>
      <c r="E1094" s="524"/>
    </row>
    <row r="1095" spans="4:5" x14ac:dyDescent="0.3">
      <c r="D1095" s="523"/>
      <c r="E1095" s="524"/>
    </row>
    <row r="1096" spans="4:5" x14ac:dyDescent="0.3">
      <c r="D1096" s="523"/>
      <c r="E1096" s="524"/>
    </row>
    <row r="1097" spans="4:5" x14ac:dyDescent="0.3">
      <c r="D1097" s="523"/>
      <c r="E1097" s="524"/>
    </row>
    <row r="1098" spans="4:5" x14ac:dyDescent="0.3">
      <c r="D1098" s="523"/>
      <c r="E1098" s="524"/>
    </row>
    <row r="1099" spans="4:5" x14ac:dyDescent="0.3">
      <c r="D1099" s="523"/>
      <c r="E1099" s="524"/>
    </row>
    <row r="1100" spans="4:5" x14ac:dyDescent="0.3">
      <c r="D1100" s="523"/>
      <c r="E1100" s="524"/>
    </row>
    <row r="1101" spans="4:5" x14ac:dyDescent="0.3">
      <c r="D1101" s="523"/>
      <c r="E1101" s="524"/>
    </row>
    <row r="1102" spans="4:5" x14ac:dyDescent="0.3">
      <c r="D1102" s="523"/>
      <c r="E1102" s="524"/>
    </row>
    <row r="1103" spans="4:5" x14ac:dyDescent="0.3">
      <c r="D1103" s="523"/>
      <c r="E1103" s="524"/>
    </row>
    <row r="1104" spans="4:5" x14ac:dyDescent="0.3">
      <c r="D1104" s="523"/>
      <c r="E1104" s="524"/>
    </row>
    <row r="1105" spans="4:5" x14ac:dyDescent="0.3">
      <c r="D1105" s="523"/>
      <c r="E1105" s="524"/>
    </row>
    <row r="1106" spans="4:5" x14ac:dyDescent="0.3">
      <c r="D1106" s="523"/>
      <c r="E1106" s="524"/>
    </row>
    <row r="1107" spans="4:5" x14ac:dyDescent="0.3">
      <c r="D1107" s="523"/>
      <c r="E1107" s="524"/>
    </row>
    <row r="1108" spans="4:5" x14ac:dyDescent="0.3">
      <c r="D1108" s="523"/>
      <c r="E1108" s="524"/>
    </row>
    <row r="1109" spans="4:5" x14ac:dyDescent="0.3">
      <c r="D1109" s="523"/>
      <c r="E1109" s="524"/>
    </row>
    <row r="1110" spans="4:5" x14ac:dyDescent="0.3">
      <c r="D1110" s="523"/>
      <c r="E1110" s="524"/>
    </row>
    <row r="1111" spans="4:5" x14ac:dyDescent="0.3">
      <c r="D1111" s="523"/>
      <c r="E1111" s="524"/>
    </row>
    <row r="1112" spans="4:5" x14ac:dyDescent="0.3">
      <c r="D1112" s="523"/>
      <c r="E1112" s="524"/>
    </row>
    <row r="1113" spans="4:5" x14ac:dyDescent="0.3">
      <c r="D1113" s="523"/>
      <c r="E1113" s="524"/>
    </row>
    <row r="1114" spans="4:5" x14ac:dyDescent="0.3">
      <c r="D1114" s="523"/>
      <c r="E1114" s="524"/>
    </row>
    <row r="1115" spans="4:5" x14ac:dyDescent="0.3">
      <c r="D1115" s="523"/>
      <c r="E1115" s="524"/>
    </row>
    <row r="1116" spans="4:5" x14ac:dyDescent="0.3">
      <c r="D1116" s="523"/>
      <c r="E1116" s="524"/>
    </row>
    <row r="1117" spans="4:5" x14ac:dyDescent="0.3">
      <c r="D1117" s="523"/>
      <c r="E1117" s="524"/>
    </row>
    <row r="1118" spans="4:5" x14ac:dyDescent="0.3">
      <c r="D1118" s="523"/>
      <c r="E1118" s="524"/>
    </row>
    <row r="1119" spans="4:5" x14ac:dyDescent="0.3">
      <c r="D1119" s="523"/>
      <c r="E1119" s="524"/>
    </row>
    <row r="1120" spans="4:5" x14ac:dyDescent="0.3">
      <c r="D1120" s="523"/>
      <c r="E1120" s="524"/>
    </row>
    <row r="1121" spans="4:5" x14ac:dyDescent="0.3">
      <c r="D1121" s="523"/>
      <c r="E1121" s="524"/>
    </row>
    <row r="1122" spans="4:5" x14ac:dyDescent="0.3">
      <c r="D1122" s="523"/>
      <c r="E1122" s="524"/>
    </row>
    <row r="1123" spans="4:5" x14ac:dyDescent="0.3">
      <c r="D1123" s="523"/>
      <c r="E1123" s="524"/>
    </row>
    <row r="1124" spans="4:5" x14ac:dyDescent="0.3">
      <c r="D1124" s="523"/>
      <c r="E1124" s="524"/>
    </row>
    <row r="1125" spans="4:5" x14ac:dyDescent="0.3">
      <c r="D1125" s="523"/>
      <c r="E1125" s="524"/>
    </row>
    <row r="1126" spans="4:5" x14ac:dyDescent="0.3">
      <c r="D1126" s="523"/>
      <c r="E1126" s="524"/>
    </row>
    <row r="1127" spans="4:5" x14ac:dyDescent="0.3">
      <c r="D1127" s="523"/>
      <c r="E1127" s="524"/>
    </row>
    <row r="1128" spans="4:5" x14ac:dyDescent="0.3">
      <c r="D1128" s="523"/>
      <c r="E1128" s="524"/>
    </row>
    <row r="1129" spans="4:5" x14ac:dyDescent="0.3">
      <c r="D1129" s="523"/>
      <c r="E1129" s="524"/>
    </row>
    <row r="1130" spans="4:5" x14ac:dyDescent="0.3">
      <c r="D1130" s="523"/>
      <c r="E1130" s="524"/>
    </row>
    <row r="1131" spans="4:5" x14ac:dyDescent="0.3">
      <c r="D1131" s="523"/>
      <c r="E1131" s="524"/>
    </row>
    <row r="1132" spans="4:5" x14ac:dyDescent="0.3">
      <c r="D1132" s="523"/>
      <c r="E1132" s="524"/>
    </row>
    <row r="1133" spans="4:5" x14ac:dyDescent="0.3">
      <c r="D1133" s="523"/>
      <c r="E1133" s="524"/>
    </row>
    <row r="1134" spans="4:5" x14ac:dyDescent="0.3">
      <c r="D1134" s="523"/>
      <c r="E1134" s="524"/>
    </row>
    <row r="1135" spans="4:5" x14ac:dyDescent="0.3">
      <c r="D1135" s="523"/>
      <c r="E1135" s="524"/>
    </row>
    <row r="1136" spans="4:5" x14ac:dyDescent="0.3">
      <c r="D1136" s="523"/>
      <c r="E1136" s="524"/>
    </row>
    <row r="1137" spans="4:5" x14ac:dyDescent="0.3">
      <c r="D1137" s="523"/>
      <c r="E1137" s="524"/>
    </row>
    <row r="1138" spans="4:5" x14ac:dyDescent="0.3">
      <c r="D1138" s="523"/>
      <c r="E1138" s="524"/>
    </row>
    <row r="1139" spans="4:5" x14ac:dyDescent="0.3">
      <c r="D1139" s="523"/>
      <c r="E1139" s="524"/>
    </row>
    <row r="1140" spans="4:5" x14ac:dyDescent="0.3">
      <c r="D1140" s="523"/>
      <c r="E1140" s="524"/>
    </row>
    <row r="1141" spans="4:5" x14ac:dyDescent="0.3">
      <c r="D1141" s="523"/>
      <c r="E1141" s="524"/>
    </row>
    <row r="1142" spans="4:5" x14ac:dyDescent="0.3">
      <c r="D1142" s="523"/>
      <c r="E1142" s="524"/>
    </row>
    <row r="1143" spans="4:5" x14ac:dyDescent="0.3">
      <c r="D1143" s="523"/>
      <c r="E1143" s="524"/>
    </row>
    <row r="1144" spans="4:5" x14ac:dyDescent="0.3">
      <c r="D1144" s="523"/>
      <c r="E1144" s="524"/>
    </row>
    <row r="1145" spans="4:5" x14ac:dyDescent="0.3">
      <c r="D1145" s="523"/>
      <c r="E1145" s="524"/>
    </row>
    <row r="1146" spans="4:5" x14ac:dyDescent="0.3">
      <c r="D1146" s="523"/>
      <c r="E1146" s="524"/>
    </row>
    <row r="1147" spans="4:5" x14ac:dyDescent="0.3">
      <c r="D1147" s="523"/>
      <c r="E1147" s="524"/>
    </row>
    <row r="1148" spans="4:5" x14ac:dyDescent="0.3">
      <c r="D1148" s="523"/>
      <c r="E1148" s="524"/>
    </row>
    <row r="1149" spans="4:5" x14ac:dyDescent="0.3">
      <c r="D1149" s="523"/>
      <c r="E1149" s="524"/>
    </row>
    <row r="1150" spans="4:5" x14ac:dyDescent="0.3">
      <c r="D1150" s="523"/>
      <c r="E1150" s="524"/>
    </row>
    <row r="1151" spans="4:5" x14ac:dyDescent="0.3">
      <c r="D1151" s="523"/>
      <c r="E1151" s="524"/>
    </row>
    <row r="1152" spans="4:5" x14ac:dyDescent="0.3">
      <c r="D1152" s="523"/>
      <c r="E1152" s="524"/>
    </row>
    <row r="1153" spans="4:5" x14ac:dyDescent="0.3">
      <c r="D1153" s="523"/>
      <c r="E1153" s="524"/>
    </row>
    <row r="1154" spans="4:5" x14ac:dyDescent="0.3">
      <c r="D1154" s="523"/>
      <c r="E1154" s="524"/>
    </row>
    <row r="1155" spans="4:5" x14ac:dyDescent="0.3">
      <c r="D1155" s="523"/>
      <c r="E1155" s="524"/>
    </row>
    <row r="1156" spans="4:5" x14ac:dyDescent="0.3">
      <c r="D1156" s="523"/>
      <c r="E1156" s="524"/>
    </row>
    <row r="1157" spans="4:5" x14ac:dyDescent="0.3">
      <c r="D1157" s="523"/>
      <c r="E1157" s="524"/>
    </row>
    <row r="1158" spans="4:5" x14ac:dyDescent="0.3">
      <c r="D1158" s="523"/>
      <c r="E1158" s="524"/>
    </row>
    <row r="1159" spans="4:5" x14ac:dyDescent="0.3">
      <c r="D1159" s="523"/>
      <c r="E1159" s="524"/>
    </row>
    <row r="1160" spans="4:5" x14ac:dyDescent="0.3">
      <c r="D1160" s="523"/>
      <c r="E1160" s="524"/>
    </row>
    <row r="1161" spans="4:5" x14ac:dyDescent="0.3">
      <c r="D1161" s="523"/>
      <c r="E1161" s="524"/>
    </row>
    <row r="1162" spans="4:5" x14ac:dyDescent="0.3">
      <c r="D1162" s="523"/>
      <c r="E1162" s="524"/>
    </row>
    <row r="1163" spans="4:5" x14ac:dyDescent="0.3">
      <c r="D1163" s="523"/>
      <c r="E1163" s="524"/>
    </row>
    <row r="1164" spans="4:5" x14ac:dyDescent="0.3">
      <c r="D1164" s="523"/>
      <c r="E1164" s="524"/>
    </row>
    <row r="1165" spans="4:5" x14ac:dyDescent="0.3">
      <c r="D1165" s="523"/>
      <c r="E1165" s="524"/>
    </row>
    <row r="1166" spans="4:5" x14ac:dyDescent="0.3">
      <c r="D1166" s="523"/>
      <c r="E1166" s="524"/>
    </row>
    <row r="1167" spans="4:5" x14ac:dyDescent="0.3">
      <c r="D1167" s="523"/>
      <c r="E1167" s="524"/>
    </row>
    <row r="1168" spans="4:5" x14ac:dyDescent="0.3">
      <c r="D1168" s="523"/>
      <c r="E1168" s="524"/>
    </row>
    <row r="1169" spans="4:5" x14ac:dyDescent="0.3">
      <c r="D1169" s="523"/>
      <c r="E1169" s="524"/>
    </row>
    <row r="1170" spans="4:5" x14ac:dyDescent="0.3">
      <c r="D1170" s="523"/>
      <c r="E1170" s="524"/>
    </row>
    <row r="1171" spans="4:5" x14ac:dyDescent="0.3">
      <c r="D1171" s="523"/>
      <c r="E1171" s="524"/>
    </row>
    <row r="1172" spans="4:5" x14ac:dyDescent="0.3">
      <c r="D1172" s="523"/>
      <c r="E1172" s="524"/>
    </row>
    <row r="1173" spans="4:5" x14ac:dyDescent="0.3">
      <c r="D1173" s="523"/>
      <c r="E1173" s="524"/>
    </row>
    <row r="1174" spans="4:5" x14ac:dyDescent="0.3">
      <c r="D1174" s="523"/>
      <c r="E1174" s="524"/>
    </row>
    <row r="1175" spans="4:5" x14ac:dyDescent="0.3">
      <c r="D1175" s="523"/>
      <c r="E1175" s="524"/>
    </row>
    <row r="1176" spans="4:5" x14ac:dyDescent="0.3">
      <c r="D1176" s="523"/>
      <c r="E1176" s="524"/>
    </row>
    <row r="1177" spans="4:5" x14ac:dyDescent="0.3">
      <c r="D1177" s="523"/>
      <c r="E1177" s="524"/>
    </row>
    <row r="1178" spans="4:5" x14ac:dyDescent="0.3">
      <c r="D1178" s="523"/>
      <c r="E1178" s="524"/>
    </row>
    <row r="1179" spans="4:5" x14ac:dyDescent="0.3">
      <c r="D1179" s="523"/>
      <c r="E1179" s="524"/>
    </row>
    <row r="1180" spans="4:5" x14ac:dyDescent="0.3">
      <c r="D1180" s="523"/>
      <c r="E1180" s="524"/>
    </row>
    <row r="1181" spans="4:5" x14ac:dyDescent="0.3">
      <c r="D1181" s="523"/>
      <c r="E1181" s="524"/>
    </row>
    <row r="1182" spans="4:5" x14ac:dyDescent="0.3">
      <c r="D1182" s="523"/>
      <c r="E1182" s="524"/>
    </row>
    <row r="1183" spans="4:5" x14ac:dyDescent="0.3">
      <c r="D1183" s="523"/>
      <c r="E1183" s="524"/>
    </row>
    <row r="1184" spans="4:5" x14ac:dyDescent="0.3">
      <c r="D1184" s="523"/>
      <c r="E1184" s="524"/>
    </row>
    <row r="1185" spans="4:5" x14ac:dyDescent="0.3">
      <c r="D1185" s="523"/>
      <c r="E1185" s="524"/>
    </row>
    <row r="1186" spans="4:5" x14ac:dyDescent="0.3">
      <c r="D1186" s="523"/>
      <c r="E1186" s="524"/>
    </row>
    <row r="1187" spans="4:5" x14ac:dyDescent="0.3">
      <c r="D1187" s="523"/>
      <c r="E1187" s="524"/>
    </row>
    <row r="1188" spans="4:5" x14ac:dyDescent="0.3">
      <c r="D1188" s="523"/>
      <c r="E1188" s="524"/>
    </row>
    <row r="1189" spans="4:5" x14ac:dyDescent="0.3">
      <c r="D1189" s="523"/>
      <c r="E1189" s="524"/>
    </row>
    <row r="1190" spans="4:5" x14ac:dyDescent="0.3">
      <c r="D1190" s="523"/>
      <c r="E1190" s="524"/>
    </row>
    <row r="1191" spans="4:5" x14ac:dyDescent="0.3">
      <c r="D1191" s="523"/>
      <c r="E1191" s="524"/>
    </row>
    <row r="1192" spans="4:5" x14ac:dyDescent="0.3">
      <c r="D1192" s="523"/>
      <c r="E1192" s="524"/>
    </row>
    <row r="1193" spans="4:5" x14ac:dyDescent="0.3">
      <c r="D1193" s="523"/>
      <c r="E1193" s="524"/>
    </row>
    <row r="1194" spans="4:5" x14ac:dyDescent="0.3">
      <c r="D1194" s="523"/>
      <c r="E1194" s="524"/>
    </row>
    <row r="1195" spans="4:5" x14ac:dyDescent="0.3">
      <c r="D1195" s="523"/>
      <c r="E1195" s="524"/>
    </row>
    <row r="1196" spans="4:5" x14ac:dyDescent="0.3">
      <c r="D1196" s="523"/>
      <c r="E1196" s="524"/>
    </row>
    <row r="1197" spans="4:5" x14ac:dyDescent="0.3">
      <c r="D1197" s="523"/>
      <c r="E1197" s="524"/>
    </row>
    <row r="1198" spans="4:5" x14ac:dyDescent="0.3">
      <c r="D1198" s="523"/>
      <c r="E1198" s="524"/>
    </row>
    <row r="1199" spans="4:5" x14ac:dyDescent="0.3">
      <c r="D1199" s="523"/>
      <c r="E1199" s="524"/>
    </row>
    <row r="1200" spans="4:5" x14ac:dyDescent="0.3">
      <c r="D1200" s="523"/>
      <c r="E1200" s="524"/>
    </row>
    <row r="1201" spans="4:5" x14ac:dyDescent="0.3">
      <c r="D1201" s="523"/>
      <c r="E1201" s="524"/>
    </row>
    <row r="1202" spans="4:5" x14ac:dyDescent="0.3">
      <c r="D1202" s="523"/>
      <c r="E1202" s="524"/>
    </row>
    <row r="1203" spans="4:5" x14ac:dyDescent="0.3">
      <c r="D1203" s="523"/>
      <c r="E1203" s="524"/>
    </row>
    <row r="1204" spans="4:5" x14ac:dyDescent="0.3">
      <c r="D1204" s="523"/>
      <c r="E1204" s="524"/>
    </row>
    <row r="1205" spans="4:5" x14ac:dyDescent="0.3">
      <c r="D1205" s="523"/>
      <c r="E1205" s="524"/>
    </row>
    <row r="1206" spans="4:5" x14ac:dyDescent="0.3">
      <c r="D1206" s="523"/>
      <c r="E1206" s="524"/>
    </row>
    <row r="1207" spans="4:5" x14ac:dyDescent="0.3">
      <c r="D1207" s="523"/>
      <c r="E1207" s="524"/>
    </row>
    <row r="1208" spans="4:5" x14ac:dyDescent="0.3">
      <c r="D1208" s="523"/>
      <c r="E1208" s="524"/>
    </row>
    <row r="1209" spans="4:5" x14ac:dyDescent="0.3">
      <c r="D1209" s="523"/>
      <c r="E1209" s="524"/>
    </row>
    <row r="1210" spans="4:5" x14ac:dyDescent="0.3">
      <c r="D1210" s="523"/>
      <c r="E1210" s="524"/>
    </row>
    <row r="1211" spans="4:5" x14ac:dyDescent="0.3">
      <c r="D1211" s="523"/>
      <c r="E1211" s="524"/>
    </row>
    <row r="1212" spans="4:5" x14ac:dyDescent="0.3">
      <c r="D1212" s="523"/>
      <c r="E1212" s="524"/>
    </row>
    <row r="1213" spans="4:5" x14ac:dyDescent="0.3">
      <c r="D1213" s="523"/>
      <c r="E1213" s="524"/>
    </row>
    <row r="1214" spans="4:5" x14ac:dyDescent="0.3">
      <c r="D1214" s="523"/>
      <c r="E1214" s="524"/>
    </row>
    <row r="1215" spans="4:5" x14ac:dyDescent="0.3">
      <c r="D1215" s="523"/>
      <c r="E1215" s="524"/>
    </row>
    <row r="1216" spans="4:5" x14ac:dyDescent="0.3">
      <c r="D1216" s="523"/>
      <c r="E1216" s="524"/>
    </row>
    <row r="1217" spans="4:5" x14ac:dyDescent="0.3">
      <c r="D1217" s="523"/>
      <c r="E1217" s="524"/>
    </row>
    <row r="1218" spans="4:5" x14ac:dyDescent="0.3">
      <c r="D1218" s="523"/>
      <c r="E1218" s="524"/>
    </row>
    <row r="1219" spans="4:5" x14ac:dyDescent="0.3">
      <c r="D1219" s="523"/>
      <c r="E1219" s="524"/>
    </row>
    <row r="1220" spans="4:5" x14ac:dyDescent="0.3">
      <c r="D1220" s="523"/>
      <c r="E1220" s="524"/>
    </row>
    <row r="1221" spans="4:5" x14ac:dyDescent="0.3">
      <c r="D1221" s="523"/>
      <c r="E1221" s="524"/>
    </row>
    <row r="1222" spans="4:5" x14ac:dyDescent="0.3">
      <c r="D1222" s="523"/>
      <c r="E1222" s="524"/>
    </row>
    <row r="1223" spans="4:5" x14ac:dyDescent="0.3">
      <c r="D1223" s="523"/>
      <c r="E1223" s="524"/>
    </row>
    <row r="1224" spans="4:5" x14ac:dyDescent="0.3">
      <c r="D1224" s="523"/>
      <c r="E1224" s="524"/>
    </row>
    <row r="1225" spans="4:5" x14ac:dyDescent="0.3">
      <c r="D1225" s="523"/>
      <c r="E1225" s="524"/>
    </row>
    <row r="1226" spans="4:5" x14ac:dyDescent="0.3">
      <c r="D1226" s="523"/>
      <c r="E1226" s="524"/>
    </row>
    <row r="1227" spans="4:5" x14ac:dyDescent="0.3">
      <c r="D1227" s="523"/>
      <c r="E1227" s="524"/>
    </row>
    <row r="1228" spans="4:5" x14ac:dyDescent="0.3">
      <c r="D1228" s="523"/>
      <c r="E1228" s="524"/>
    </row>
    <row r="1229" spans="4:5" x14ac:dyDescent="0.3">
      <c r="D1229" s="523"/>
      <c r="E1229" s="524"/>
    </row>
    <row r="1230" spans="4:5" x14ac:dyDescent="0.3">
      <c r="D1230" s="523"/>
      <c r="E1230" s="524"/>
    </row>
    <row r="1231" spans="4:5" x14ac:dyDescent="0.3">
      <c r="D1231" s="523"/>
      <c r="E1231" s="524"/>
    </row>
    <row r="1232" spans="4:5" x14ac:dyDescent="0.3">
      <c r="D1232" s="523"/>
      <c r="E1232" s="524"/>
    </row>
    <row r="1233" spans="4:5" x14ac:dyDescent="0.3">
      <c r="D1233" s="523"/>
      <c r="E1233" s="524"/>
    </row>
    <row r="1234" spans="4:5" x14ac:dyDescent="0.3">
      <c r="D1234" s="523"/>
      <c r="E1234" s="524"/>
    </row>
    <row r="1235" spans="4:5" x14ac:dyDescent="0.3">
      <c r="D1235" s="523"/>
      <c r="E1235" s="524"/>
    </row>
    <row r="1236" spans="4:5" x14ac:dyDescent="0.3">
      <c r="D1236" s="523"/>
      <c r="E1236" s="524"/>
    </row>
    <row r="1237" spans="4:5" x14ac:dyDescent="0.3">
      <c r="D1237" s="523"/>
      <c r="E1237" s="524"/>
    </row>
    <row r="1238" spans="4:5" x14ac:dyDescent="0.3">
      <c r="D1238" s="523"/>
      <c r="E1238" s="524"/>
    </row>
    <row r="1239" spans="4:5" x14ac:dyDescent="0.3">
      <c r="D1239" s="523"/>
      <c r="E1239" s="524"/>
    </row>
    <row r="1240" spans="4:5" x14ac:dyDescent="0.3">
      <c r="D1240" s="523"/>
      <c r="E1240" s="524"/>
    </row>
    <row r="1241" spans="4:5" x14ac:dyDescent="0.3">
      <c r="D1241" s="523"/>
      <c r="E1241" s="524"/>
    </row>
    <row r="1242" spans="4:5" x14ac:dyDescent="0.3">
      <c r="D1242" s="523"/>
      <c r="E1242" s="524"/>
    </row>
    <row r="1243" spans="4:5" x14ac:dyDescent="0.3">
      <c r="D1243" s="523"/>
      <c r="E1243" s="524"/>
    </row>
    <row r="1244" spans="4:5" x14ac:dyDescent="0.3">
      <c r="D1244" s="523"/>
      <c r="E1244" s="524"/>
    </row>
    <row r="1245" spans="4:5" x14ac:dyDescent="0.3">
      <c r="D1245" s="523"/>
      <c r="E1245" s="524"/>
    </row>
    <row r="1246" spans="4:5" x14ac:dyDescent="0.3">
      <c r="D1246" s="523"/>
      <c r="E1246" s="524"/>
    </row>
    <row r="1247" spans="4:5" x14ac:dyDescent="0.3">
      <c r="D1247" s="523"/>
      <c r="E1247" s="524"/>
    </row>
    <row r="1248" spans="4:5" x14ac:dyDescent="0.3">
      <c r="D1248" s="523"/>
      <c r="E1248" s="524"/>
    </row>
    <row r="1249" spans="4:5" x14ac:dyDescent="0.3">
      <c r="D1249" s="523"/>
      <c r="E1249" s="524"/>
    </row>
    <row r="1250" spans="4:5" x14ac:dyDescent="0.3">
      <c r="D1250" s="523"/>
      <c r="E1250" s="524"/>
    </row>
    <row r="1251" spans="4:5" x14ac:dyDescent="0.3">
      <c r="D1251" s="523"/>
      <c r="E1251" s="524"/>
    </row>
    <row r="1252" spans="4:5" x14ac:dyDescent="0.3">
      <c r="D1252" s="523"/>
      <c r="E1252" s="524"/>
    </row>
    <row r="1253" spans="4:5" x14ac:dyDescent="0.3">
      <c r="D1253" s="523"/>
      <c r="E1253" s="524"/>
    </row>
    <row r="1254" spans="4:5" x14ac:dyDescent="0.3">
      <c r="D1254" s="523"/>
      <c r="E1254" s="524"/>
    </row>
    <row r="1255" spans="4:5" x14ac:dyDescent="0.3">
      <c r="D1255" s="523"/>
      <c r="E1255" s="524"/>
    </row>
    <row r="1256" spans="4:5" x14ac:dyDescent="0.3">
      <c r="D1256" s="523"/>
      <c r="E1256" s="524"/>
    </row>
    <row r="1257" spans="4:5" x14ac:dyDescent="0.3">
      <c r="D1257" s="523"/>
      <c r="E1257" s="524"/>
    </row>
    <row r="1258" spans="4:5" x14ac:dyDescent="0.3">
      <c r="D1258" s="523"/>
      <c r="E1258" s="524"/>
    </row>
    <row r="1259" spans="4:5" x14ac:dyDescent="0.3">
      <c r="D1259" s="523"/>
      <c r="E1259" s="524"/>
    </row>
    <row r="1260" spans="4:5" x14ac:dyDescent="0.3">
      <c r="D1260" s="523"/>
      <c r="E1260" s="524"/>
    </row>
    <row r="1261" spans="4:5" x14ac:dyDescent="0.3">
      <c r="D1261" s="523"/>
      <c r="E1261" s="524"/>
    </row>
    <row r="1262" spans="4:5" x14ac:dyDescent="0.3">
      <c r="D1262" s="523"/>
      <c r="E1262" s="524"/>
    </row>
    <row r="1263" spans="4:5" x14ac:dyDescent="0.3">
      <c r="D1263" s="523"/>
      <c r="E1263" s="524"/>
    </row>
    <row r="1264" spans="4:5" x14ac:dyDescent="0.3">
      <c r="D1264" s="523"/>
      <c r="E1264" s="524"/>
    </row>
    <row r="1265" spans="4:5" x14ac:dyDescent="0.3">
      <c r="D1265" s="523"/>
      <c r="E1265" s="524"/>
    </row>
    <row r="1266" spans="4:5" x14ac:dyDescent="0.3">
      <c r="D1266" s="523"/>
      <c r="E1266" s="524"/>
    </row>
    <row r="1267" spans="4:5" x14ac:dyDescent="0.3">
      <c r="D1267" s="523"/>
      <c r="E1267" s="524"/>
    </row>
    <row r="1268" spans="4:5" x14ac:dyDescent="0.3">
      <c r="D1268" s="523"/>
      <c r="E1268" s="524"/>
    </row>
    <row r="1269" spans="4:5" x14ac:dyDescent="0.3">
      <c r="D1269" s="523"/>
      <c r="E1269" s="524"/>
    </row>
    <row r="1270" spans="4:5" x14ac:dyDescent="0.3">
      <c r="D1270" s="523"/>
      <c r="E1270" s="524"/>
    </row>
    <row r="1271" spans="4:5" x14ac:dyDescent="0.3">
      <c r="D1271" s="523"/>
      <c r="E1271" s="524"/>
    </row>
    <row r="1272" spans="4:5" x14ac:dyDescent="0.3">
      <c r="D1272" s="523"/>
      <c r="E1272" s="524"/>
    </row>
    <row r="1273" spans="4:5" x14ac:dyDescent="0.3">
      <c r="D1273" s="523"/>
      <c r="E1273" s="524"/>
    </row>
    <row r="1274" spans="4:5" x14ac:dyDescent="0.3">
      <c r="D1274" s="523"/>
      <c r="E1274" s="524"/>
    </row>
    <row r="1275" spans="4:5" x14ac:dyDescent="0.3">
      <c r="D1275" s="523"/>
      <c r="E1275" s="524"/>
    </row>
    <row r="1276" spans="4:5" x14ac:dyDescent="0.3">
      <c r="D1276" s="523"/>
      <c r="E1276" s="524"/>
    </row>
    <row r="1277" spans="4:5" x14ac:dyDescent="0.3">
      <c r="D1277" s="523"/>
      <c r="E1277" s="524"/>
    </row>
    <row r="1278" spans="4:5" x14ac:dyDescent="0.3">
      <c r="D1278" s="523"/>
      <c r="E1278" s="524"/>
    </row>
    <row r="1279" spans="4:5" x14ac:dyDescent="0.3">
      <c r="D1279" s="523"/>
      <c r="E1279" s="524"/>
    </row>
    <row r="1280" spans="4:5" x14ac:dyDescent="0.3">
      <c r="D1280" s="523"/>
      <c r="E1280" s="524"/>
    </row>
    <row r="1281" spans="4:5" x14ac:dyDescent="0.3">
      <c r="D1281" s="523"/>
      <c r="E1281" s="524"/>
    </row>
    <row r="1282" spans="4:5" x14ac:dyDescent="0.3">
      <c r="D1282" s="523"/>
      <c r="E1282" s="524"/>
    </row>
    <row r="1283" spans="4:5" x14ac:dyDescent="0.3">
      <c r="D1283" s="523"/>
      <c r="E1283" s="524"/>
    </row>
    <row r="1284" spans="4:5" x14ac:dyDescent="0.3">
      <c r="D1284" s="523"/>
      <c r="E1284" s="524"/>
    </row>
    <row r="1285" spans="4:5" x14ac:dyDescent="0.3">
      <c r="D1285" s="523"/>
      <c r="E1285" s="524"/>
    </row>
    <row r="1286" spans="4:5" x14ac:dyDescent="0.3">
      <c r="D1286" s="523"/>
      <c r="E1286" s="524"/>
    </row>
    <row r="1287" spans="4:5" x14ac:dyDescent="0.3">
      <c r="D1287" s="523"/>
      <c r="E1287" s="524"/>
    </row>
    <row r="1288" spans="4:5" x14ac:dyDescent="0.3">
      <c r="D1288" s="523"/>
      <c r="E1288" s="524"/>
    </row>
    <row r="1289" spans="4:5" x14ac:dyDescent="0.3">
      <c r="D1289" s="523"/>
      <c r="E1289" s="524"/>
    </row>
    <row r="1290" spans="4:5" x14ac:dyDescent="0.3">
      <c r="D1290" s="523"/>
      <c r="E1290" s="524"/>
    </row>
    <row r="1291" spans="4:5" x14ac:dyDescent="0.3">
      <c r="D1291" s="523"/>
      <c r="E1291" s="524"/>
    </row>
    <row r="1292" spans="4:5" x14ac:dyDescent="0.3">
      <c r="D1292" s="523"/>
      <c r="E1292" s="524"/>
    </row>
    <row r="1293" spans="4:5" x14ac:dyDescent="0.3">
      <c r="D1293" s="523"/>
      <c r="E1293" s="524"/>
    </row>
    <row r="1294" spans="4:5" x14ac:dyDescent="0.3">
      <c r="D1294" s="523"/>
      <c r="E1294" s="524"/>
    </row>
    <row r="1295" spans="4:5" x14ac:dyDescent="0.3">
      <c r="D1295" s="523"/>
      <c r="E1295" s="524"/>
    </row>
    <row r="1296" spans="4:5" x14ac:dyDescent="0.3">
      <c r="D1296" s="523"/>
      <c r="E1296" s="524"/>
    </row>
    <row r="1297" spans="4:5" x14ac:dyDescent="0.3">
      <c r="D1297" s="523"/>
      <c r="E1297" s="524"/>
    </row>
    <row r="1298" spans="4:5" x14ac:dyDescent="0.3">
      <c r="D1298" s="523"/>
      <c r="E1298" s="524"/>
    </row>
    <row r="1299" spans="4:5" x14ac:dyDescent="0.3">
      <c r="D1299" s="523"/>
      <c r="E1299" s="524"/>
    </row>
    <row r="1300" spans="4:5" x14ac:dyDescent="0.3">
      <c r="D1300" s="523"/>
      <c r="E1300" s="524"/>
    </row>
    <row r="1301" spans="4:5" x14ac:dyDescent="0.3">
      <c r="D1301" s="523"/>
      <c r="E1301" s="524"/>
    </row>
    <row r="1302" spans="4:5" x14ac:dyDescent="0.3">
      <c r="D1302" s="523"/>
      <c r="E1302" s="524"/>
    </row>
    <row r="1303" spans="4:5" x14ac:dyDescent="0.3">
      <c r="D1303" s="523"/>
      <c r="E1303" s="524"/>
    </row>
    <row r="1304" spans="4:5" x14ac:dyDescent="0.3">
      <c r="D1304" s="523"/>
      <c r="E1304" s="524"/>
    </row>
    <row r="1305" spans="4:5" x14ac:dyDescent="0.3">
      <c r="D1305" s="523"/>
      <c r="E1305" s="524"/>
    </row>
    <row r="1306" spans="4:5" x14ac:dyDescent="0.3">
      <c r="D1306" s="523"/>
      <c r="E1306" s="524"/>
    </row>
    <row r="1307" spans="4:5" x14ac:dyDescent="0.3">
      <c r="D1307" s="523"/>
      <c r="E1307" s="524"/>
    </row>
    <row r="1308" spans="4:5" x14ac:dyDescent="0.3">
      <c r="D1308" s="523"/>
      <c r="E1308" s="524"/>
    </row>
    <row r="1309" spans="4:5" x14ac:dyDescent="0.3">
      <c r="D1309" s="523"/>
      <c r="E1309" s="524"/>
    </row>
    <row r="1310" spans="4:5" x14ac:dyDescent="0.3">
      <c r="D1310" s="523"/>
      <c r="E1310" s="524"/>
    </row>
    <row r="1311" spans="4:5" x14ac:dyDescent="0.3">
      <c r="D1311" s="523"/>
      <c r="E1311" s="524"/>
    </row>
    <row r="1312" spans="4:5" x14ac:dyDescent="0.3">
      <c r="D1312" s="523"/>
      <c r="E1312" s="524"/>
    </row>
    <row r="1313" spans="4:5" x14ac:dyDescent="0.3">
      <c r="D1313" s="523"/>
      <c r="E1313" s="524"/>
    </row>
    <row r="1314" spans="4:5" x14ac:dyDescent="0.3">
      <c r="D1314" s="523"/>
      <c r="E1314" s="524"/>
    </row>
    <row r="1315" spans="4:5" x14ac:dyDescent="0.3">
      <c r="D1315" s="523"/>
      <c r="E1315" s="524"/>
    </row>
    <row r="1316" spans="4:5" x14ac:dyDescent="0.3">
      <c r="D1316" s="523"/>
      <c r="E1316" s="524"/>
    </row>
    <row r="1317" spans="4:5" x14ac:dyDescent="0.3">
      <c r="D1317" s="523"/>
      <c r="E1317" s="524"/>
    </row>
    <row r="1318" spans="4:5" x14ac:dyDescent="0.3">
      <c r="D1318" s="523"/>
      <c r="E1318" s="524"/>
    </row>
    <row r="1319" spans="4:5" x14ac:dyDescent="0.3">
      <c r="D1319" s="523"/>
      <c r="E1319" s="524"/>
    </row>
    <row r="1320" spans="4:5" x14ac:dyDescent="0.3">
      <c r="D1320" s="523"/>
      <c r="E1320" s="524"/>
    </row>
    <row r="1321" spans="4:5" x14ac:dyDescent="0.3">
      <c r="D1321" s="523"/>
      <c r="E1321" s="524"/>
    </row>
    <row r="1322" spans="4:5" x14ac:dyDescent="0.3">
      <c r="D1322" s="523"/>
      <c r="E1322" s="524"/>
    </row>
    <row r="1323" spans="4:5" x14ac:dyDescent="0.3">
      <c r="D1323" s="523"/>
      <c r="E1323" s="524"/>
    </row>
    <row r="1324" spans="4:5" x14ac:dyDescent="0.3">
      <c r="D1324" s="523"/>
      <c r="E1324" s="524"/>
    </row>
    <row r="1325" spans="4:5" x14ac:dyDescent="0.3">
      <c r="D1325" s="523"/>
      <c r="E1325" s="524"/>
    </row>
    <row r="1326" spans="4:5" x14ac:dyDescent="0.3">
      <c r="D1326" s="523"/>
      <c r="E1326" s="524"/>
    </row>
    <row r="1327" spans="4:5" x14ac:dyDescent="0.3">
      <c r="D1327" s="523"/>
      <c r="E1327" s="524"/>
    </row>
    <row r="1328" spans="4:5" x14ac:dyDescent="0.3">
      <c r="D1328" s="523"/>
      <c r="E1328" s="524"/>
    </row>
    <row r="1329" spans="4:5" x14ac:dyDescent="0.3">
      <c r="D1329" s="523"/>
      <c r="E1329" s="524"/>
    </row>
    <row r="1330" spans="4:5" x14ac:dyDescent="0.3">
      <c r="D1330" s="523"/>
      <c r="E1330" s="524"/>
    </row>
    <row r="1331" spans="4:5" x14ac:dyDescent="0.3">
      <c r="D1331" s="523"/>
      <c r="E1331" s="524"/>
    </row>
    <row r="1332" spans="4:5" x14ac:dyDescent="0.3">
      <c r="D1332" s="523"/>
      <c r="E1332" s="524"/>
    </row>
    <row r="1333" spans="4:5" x14ac:dyDescent="0.3">
      <c r="D1333" s="523"/>
      <c r="E1333" s="524"/>
    </row>
    <row r="1334" spans="4:5" x14ac:dyDescent="0.3">
      <c r="D1334" s="523"/>
      <c r="E1334" s="524"/>
    </row>
    <row r="1335" spans="4:5" x14ac:dyDescent="0.3">
      <c r="D1335" s="523"/>
      <c r="E1335" s="524"/>
    </row>
    <row r="1336" spans="4:5" x14ac:dyDescent="0.3">
      <c r="D1336" s="523"/>
      <c r="E1336" s="524"/>
    </row>
    <row r="1337" spans="4:5" x14ac:dyDescent="0.3">
      <c r="D1337" s="523"/>
      <c r="E1337" s="524"/>
    </row>
    <row r="1338" spans="4:5" x14ac:dyDescent="0.3">
      <c r="D1338" s="523"/>
      <c r="E1338" s="524"/>
    </row>
    <row r="1339" spans="4:5" x14ac:dyDescent="0.3">
      <c r="D1339" s="523"/>
      <c r="E1339" s="524"/>
    </row>
    <row r="1340" spans="4:5" x14ac:dyDescent="0.3">
      <c r="D1340" s="523"/>
      <c r="E1340" s="524"/>
    </row>
    <row r="1341" spans="4:5" x14ac:dyDescent="0.3">
      <c r="D1341" s="523"/>
      <c r="E1341" s="524"/>
    </row>
    <row r="1342" spans="4:5" x14ac:dyDescent="0.3">
      <c r="D1342" s="523"/>
      <c r="E1342" s="524"/>
    </row>
    <row r="1343" spans="4:5" x14ac:dyDescent="0.3">
      <c r="D1343" s="523"/>
      <c r="E1343" s="524"/>
    </row>
    <row r="1344" spans="4:5" x14ac:dyDescent="0.3">
      <c r="D1344" s="523"/>
      <c r="E1344" s="524"/>
    </row>
    <row r="1345" spans="4:5" x14ac:dyDescent="0.3">
      <c r="D1345" s="523"/>
      <c r="E1345" s="524"/>
    </row>
    <row r="1346" spans="4:5" x14ac:dyDescent="0.3">
      <c r="D1346" s="523"/>
      <c r="E1346" s="524"/>
    </row>
    <row r="1347" spans="4:5" x14ac:dyDescent="0.3">
      <c r="D1347" s="523"/>
      <c r="E1347" s="524"/>
    </row>
    <row r="1348" spans="4:5" x14ac:dyDescent="0.3">
      <c r="D1348" s="523"/>
      <c r="E1348" s="524"/>
    </row>
    <row r="1349" spans="4:5" x14ac:dyDescent="0.3">
      <c r="D1349" s="523"/>
      <c r="E1349" s="524"/>
    </row>
    <row r="1350" spans="4:5" x14ac:dyDescent="0.3">
      <c r="D1350" s="523"/>
      <c r="E1350" s="524"/>
    </row>
    <row r="1351" spans="4:5" x14ac:dyDescent="0.3">
      <c r="D1351" s="523"/>
      <c r="E1351" s="524"/>
    </row>
    <row r="1352" spans="4:5" x14ac:dyDescent="0.3">
      <c r="D1352" s="523"/>
      <c r="E1352" s="524"/>
    </row>
    <row r="1353" spans="4:5" x14ac:dyDescent="0.3">
      <c r="D1353" s="523"/>
      <c r="E1353" s="524"/>
    </row>
    <row r="1354" spans="4:5" x14ac:dyDescent="0.3">
      <c r="D1354" s="523"/>
      <c r="E1354" s="524"/>
    </row>
    <row r="1355" spans="4:5" x14ac:dyDescent="0.3">
      <c r="D1355" s="523"/>
      <c r="E1355" s="524"/>
    </row>
    <row r="1356" spans="4:5" x14ac:dyDescent="0.3">
      <c r="D1356" s="523"/>
      <c r="E1356" s="524"/>
    </row>
    <row r="1357" spans="4:5" x14ac:dyDescent="0.3">
      <c r="D1357" s="523"/>
      <c r="E1357" s="524"/>
    </row>
    <row r="1358" spans="4:5" x14ac:dyDescent="0.3">
      <c r="D1358" s="523"/>
      <c r="E1358" s="524"/>
    </row>
    <row r="1359" spans="4:5" x14ac:dyDescent="0.3">
      <c r="D1359" s="523"/>
      <c r="E1359" s="524"/>
    </row>
    <row r="1360" spans="4:5" x14ac:dyDescent="0.3">
      <c r="D1360" s="523"/>
      <c r="E1360" s="524"/>
    </row>
    <row r="1361" spans="4:5" x14ac:dyDescent="0.3">
      <c r="D1361" s="523"/>
      <c r="E1361" s="524"/>
    </row>
    <row r="1362" spans="4:5" x14ac:dyDescent="0.3">
      <c r="D1362" s="523"/>
      <c r="E1362" s="524"/>
    </row>
    <row r="1363" spans="4:5" x14ac:dyDescent="0.3">
      <c r="D1363" s="523"/>
      <c r="E1363" s="524"/>
    </row>
    <row r="1364" spans="4:5" x14ac:dyDescent="0.3">
      <c r="D1364" s="523"/>
      <c r="E1364" s="524"/>
    </row>
    <row r="1365" spans="4:5" x14ac:dyDescent="0.3">
      <c r="D1365" s="523"/>
      <c r="E1365" s="524"/>
    </row>
    <row r="1366" spans="4:5" x14ac:dyDescent="0.3">
      <c r="D1366" s="523"/>
      <c r="E1366" s="524"/>
    </row>
    <row r="1367" spans="4:5" x14ac:dyDescent="0.3">
      <c r="D1367" s="523"/>
      <c r="E1367" s="524"/>
    </row>
    <row r="1368" spans="4:5" x14ac:dyDescent="0.3">
      <c r="D1368" s="523"/>
      <c r="E1368" s="524"/>
    </row>
    <row r="1369" spans="4:5" x14ac:dyDescent="0.3">
      <c r="D1369" s="523"/>
      <c r="E1369" s="524"/>
    </row>
    <row r="1370" spans="4:5" x14ac:dyDescent="0.3">
      <c r="D1370" s="523"/>
      <c r="E1370" s="524"/>
    </row>
    <row r="1371" spans="4:5" x14ac:dyDescent="0.3">
      <c r="D1371" s="523"/>
      <c r="E1371" s="524"/>
    </row>
    <row r="1372" spans="4:5" x14ac:dyDescent="0.3">
      <c r="D1372" s="523"/>
      <c r="E1372" s="524"/>
    </row>
    <row r="1373" spans="4:5" x14ac:dyDescent="0.3">
      <c r="D1373" s="523"/>
      <c r="E1373" s="524"/>
    </row>
    <row r="1374" spans="4:5" x14ac:dyDescent="0.3">
      <c r="D1374" s="523"/>
      <c r="E1374" s="524"/>
    </row>
    <row r="1375" spans="4:5" x14ac:dyDescent="0.3">
      <c r="D1375" s="523"/>
      <c r="E1375" s="524"/>
    </row>
    <row r="1376" spans="4:5" x14ac:dyDescent="0.3">
      <c r="D1376" s="523"/>
      <c r="E1376" s="524"/>
    </row>
    <row r="1377" spans="4:5" x14ac:dyDescent="0.3">
      <c r="D1377" s="523"/>
      <c r="E1377" s="524"/>
    </row>
    <row r="1378" spans="4:5" x14ac:dyDescent="0.3">
      <c r="D1378" s="523"/>
      <c r="E1378" s="524"/>
    </row>
    <row r="1379" spans="4:5" x14ac:dyDescent="0.3">
      <c r="D1379" s="523"/>
      <c r="E1379" s="524"/>
    </row>
    <row r="1380" spans="4:5" x14ac:dyDescent="0.3">
      <c r="D1380" s="523"/>
      <c r="E1380" s="524"/>
    </row>
    <row r="1381" spans="4:5" x14ac:dyDescent="0.3">
      <c r="D1381" s="523"/>
      <c r="E1381" s="524"/>
    </row>
    <row r="1382" spans="4:5" x14ac:dyDescent="0.3">
      <c r="D1382" s="523"/>
      <c r="E1382" s="524"/>
    </row>
    <row r="1383" spans="4:5" x14ac:dyDescent="0.3">
      <c r="D1383" s="523"/>
      <c r="E1383" s="524"/>
    </row>
    <row r="1384" spans="4:5" x14ac:dyDescent="0.3">
      <c r="D1384" s="523"/>
      <c r="E1384" s="524"/>
    </row>
    <row r="1385" spans="4:5" x14ac:dyDescent="0.3">
      <c r="D1385" s="523"/>
      <c r="E1385" s="524"/>
    </row>
    <row r="1386" spans="4:5" x14ac:dyDescent="0.3">
      <c r="D1386" s="523"/>
      <c r="E1386" s="524"/>
    </row>
    <row r="1387" spans="4:5" x14ac:dyDescent="0.3">
      <c r="D1387" s="523"/>
      <c r="E1387" s="524"/>
    </row>
    <row r="1388" spans="4:5" x14ac:dyDescent="0.3">
      <c r="D1388" s="523"/>
      <c r="E1388" s="524"/>
    </row>
    <row r="1389" spans="4:5" x14ac:dyDescent="0.3">
      <c r="D1389" s="523"/>
      <c r="E1389" s="524"/>
    </row>
    <row r="1390" spans="4:5" x14ac:dyDescent="0.3">
      <c r="D1390" s="523"/>
      <c r="E1390" s="524"/>
    </row>
    <row r="1391" spans="4:5" x14ac:dyDescent="0.3">
      <c r="D1391" s="523"/>
      <c r="E1391" s="524"/>
    </row>
    <row r="1392" spans="4:5" x14ac:dyDescent="0.3">
      <c r="D1392" s="523"/>
      <c r="E1392" s="524"/>
    </row>
    <row r="1393" spans="4:5" x14ac:dyDescent="0.3">
      <c r="D1393" s="523"/>
      <c r="E1393" s="524"/>
    </row>
    <row r="1394" spans="4:5" x14ac:dyDescent="0.3">
      <c r="D1394" s="523"/>
      <c r="E1394" s="524"/>
    </row>
    <row r="1395" spans="4:5" x14ac:dyDescent="0.3">
      <c r="D1395" s="523"/>
      <c r="E1395" s="524"/>
    </row>
    <row r="1396" spans="4:5" x14ac:dyDescent="0.3">
      <c r="D1396" s="523"/>
      <c r="E1396" s="524"/>
    </row>
    <row r="1397" spans="4:5" x14ac:dyDescent="0.3">
      <c r="D1397" s="523"/>
      <c r="E1397" s="524"/>
    </row>
    <row r="1398" spans="4:5" x14ac:dyDescent="0.3">
      <c r="D1398" s="523"/>
      <c r="E1398" s="524"/>
    </row>
    <row r="1399" spans="4:5" x14ac:dyDescent="0.3">
      <c r="D1399" s="523"/>
      <c r="E1399" s="524"/>
    </row>
    <row r="1400" spans="4:5" x14ac:dyDescent="0.3">
      <c r="D1400" s="523"/>
      <c r="E1400" s="524"/>
    </row>
    <row r="1401" spans="4:5" x14ac:dyDescent="0.3">
      <c r="D1401" s="523"/>
      <c r="E1401" s="524"/>
    </row>
    <row r="1402" spans="4:5" x14ac:dyDescent="0.3">
      <c r="D1402" s="523"/>
      <c r="E1402" s="524"/>
    </row>
    <row r="1403" spans="4:5" x14ac:dyDescent="0.3">
      <c r="D1403" s="523"/>
      <c r="E1403" s="524"/>
    </row>
    <row r="1404" spans="4:5" x14ac:dyDescent="0.3">
      <c r="D1404" s="523"/>
      <c r="E1404" s="524"/>
    </row>
    <row r="1405" spans="4:5" x14ac:dyDescent="0.3">
      <c r="D1405" s="523"/>
      <c r="E1405" s="524"/>
    </row>
    <row r="1406" spans="4:5" x14ac:dyDescent="0.3">
      <c r="D1406" s="523"/>
      <c r="E1406" s="524"/>
    </row>
    <row r="1407" spans="4:5" x14ac:dyDescent="0.3">
      <c r="D1407" s="523"/>
      <c r="E1407" s="524"/>
    </row>
    <row r="1408" spans="4:5" x14ac:dyDescent="0.3">
      <c r="D1408" s="523"/>
      <c r="E1408" s="524"/>
    </row>
    <row r="1409" spans="4:5" x14ac:dyDescent="0.3">
      <c r="D1409" s="523"/>
      <c r="E1409" s="524"/>
    </row>
    <row r="1410" spans="4:5" x14ac:dyDescent="0.3">
      <c r="D1410" s="523"/>
      <c r="E1410" s="524"/>
    </row>
    <row r="1411" spans="4:5" x14ac:dyDescent="0.3">
      <c r="D1411" s="523"/>
      <c r="E1411" s="524"/>
    </row>
    <row r="1412" spans="4:5" x14ac:dyDescent="0.3">
      <c r="D1412" s="523"/>
      <c r="E1412" s="524"/>
    </row>
    <row r="1413" spans="4:5" x14ac:dyDescent="0.3">
      <c r="D1413" s="523"/>
      <c r="E1413" s="524"/>
    </row>
    <row r="1414" spans="4:5" x14ac:dyDescent="0.3">
      <c r="D1414" s="523"/>
      <c r="E1414" s="524"/>
    </row>
    <row r="1415" spans="4:5" x14ac:dyDescent="0.3">
      <c r="D1415" s="523"/>
      <c r="E1415" s="524"/>
    </row>
    <row r="1416" spans="4:5" x14ac:dyDescent="0.3">
      <c r="D1416" s="523"/>
      <c r="E1416" s="524"/>
    </row>
    <row r="1417" spans="4:5" x14ac:dyDescent="0.3">
      <c r="D1417" s="523"/>
      <c r="E1417" s="524"/>
    </row>
    <row r="1418" spans="4:5" x14ac:dyDescent="0.3">
      <c r="D1418" s="523"/>
      <c r="E1418" s="524"/>
    </row>
    <row r="1419" spans="4:5" x14ac:dyDescent="0.3">
      <c r="D1419" s="523"/>
      <c r="E1419" s="524"/>
    </row>
    <row r="1420" spans="4:5" x14ac:dyDescent="0.3">
      <c r="D1420" s="523"/>
      <c r="E1420" s="524"/>
    </row>
    <row r="1421" spans="4:5" x14ac:dyDescent="0.3">
      <c r="D1421" s="523"/>
      <c r="E1421" s="524"/>
    </row>
    <row r="1422" spans="4:5" x14ac:dyDescent="0.3">
      <c r="D1422" s="523"/>
      <c r="E1422" s="524"/>
    </row>
    <row r="1423" spans="4:5" x14ac:dyDescent="0.3">
      <c r="D1423" s="523"/>
      <c r="E1423" s="524"/>
    </row>
    <row r="1424" spans="4:5" x14ac:dyDescent="0.3">
      <c r="D1424" s="523"/>
      <c r="E1424" s="524"/>
    </row>
    <row r="1425" spans="4:5" x14ac:dyDescent="0.3">
      <c r="D1425" s="523"/>
      <c r="E1425" s="524"/>
    </row>
    <row r="1426" spans="4:5" x14ac:dyDescent="0.3">
      <c r="D1426" s="523"/>
      <c r="E1426" s="524"/>
    </row>
    <row r="1427" spans="4:5" x14ac:dyDescent="0.3">
      <c r="D1427" s="523"/>
      <c r="E1427" s="524"/>
    </row>
    <row r="1428" spans="4:5" x14ac:dyDescent="0.3">
      <c r="D1428" s="523"/>
      <c r="E1428" s="524"/>
    </row>
    <row r="1429" spans="4:5" x14ac:dyDescent="0.3">
      <c r="D1429" s="523"/>
      <c r="E1429" s="524"/>
    </row>
    <row r="1430" spans="4:5" x14ac:dyDescent="0.3">
      <c r="D1430" s="523"/>
      <c r="E1430" s="524"/>
    </row>
    <row r="1431" spans="4:5" x14ac:dyDescent="0.3">
      <c r="D1431" s="523"/>
      <c r="E1431" s="524"/>
    </row>
    <row r="1432" spans="4:5" x14ac:dyDescent="0.3">
      <c r="D1432" s="523"/>
      <c r="E1432" s="524"/>
    </row>
    <row r="1433" spans="4:5" x14ac:dyDescent="0.3">
      <c r="D1433" s="523"/>
      <c r="E1433" s="524"/>
    </row>
    <row r="1434" spans="4:5" x14ac:dyDescent="0.3">
      <c r="D1434" s="523"/>
      <c r="E1434" s="524"/>
    </row>
    <row r="1435" spans="4:5" x14ac:dyDescent="0.3">
      <c r="D1435" s="523"/>
      <c r="E1435" s="524"/>
    </row>
    <row r="1436" spans="4:5" x14ac:dyDescent="0.3">
      <c r="D1436" s="523"/>
      <c r="E1436" s="524"/>
    </row>
    <row r="1437" spans="4:5" x14ac:dyDescent="0.3">
      <c r="D1437" s="523"/>
      <c r="E1437" s="524"/>
    </row>
    <row r="1438" spans="4:5" x14ac:dyDescent="0.3">
      <c r="D1438" s="523"/>
      <c r="E1438" s="524"/>
    </row>
    <row r="1439" spans="4:5" x14ac:dyDescent="0.3">
      <c r="D1439" s="523"/>
      <c r="E1439" s="524"/>
    </row>
    <row r="1440" spans="4:5" x14ac:dyDescent="0.3">
      <c r="D1440" s="523"/>
      <c r="E1440" s="524"/>
    </row>
    <row r="1441" spans="4:5" x14ac:dyDescent="0.3">
      <c r="D1441" s="523"/>
      <c r="E1441" s="524"/>
    </row>
    <row r="1442" spans="4:5" ht="15.75" thickBot="1" x14ac:dyDescent="0.35">
      <c r="D1442" s="525"/>
      <c r="E1442" s="526"/>
    </row>
    <row r="1443" spans="4:5" x14ac:dyDescent="0.3">
      <c r="D1443" s="288"/>
      <c r="E1443" s="288"/>
    </row>
    <row r="1444" spans="4:5" x14ac:dyDescent="0.3">
      <c r="D1444" s="288"/>
      <c r="E1444" s="288"/>
    </row>
    <row r="1445" spans="4:5" hidden="1" x14ac:dyDescent="0.3">
      <c r="D1445" s="284"/>
      <c r="E1445" s="285"/>
    </row>
    <row r="1446" spans="4:5" hidden="1" x14ac:dyDescent="0.3">
      <c r="D1446" s="284"/>
      <c r="E1446" s="285"/>
    </row>
    <row r="1447" spans="4:5" hidden="1" x14ac:dyDescent="0.3">
      <c r="D1447" s="284"/>
      <c r="E1447" s="285"/>
    </row>
    <row r="1448" spans="4:5" hidden="1" x14ac:dyDescent="0.3">
      <c r="D1448" s="284"/>
      <c r="E1448" s="285"/>
    </row>
    <row r="1449" spans="4:5" hidden="1" x14ac:dyDescent="0.3">
      <c r="D1449" s="284"/>
      <c r="E1449" s="285"/>
    </row>
    <row r="1450" spans="4:5" hidden="1" x14ac:dyDescent="0.3">
      <c r="D1450" s="284"/>
      <c r="E1450" s="285"/>
    </row>
    <row r="1451" spans="4:5" hidden="1" x14ac:dyDescent="0.3">
      <c r="D1451" s="284"/>
      <c r="E1451" s="285"/>
    </row>
    <row r="1452" spans="4:5" hidden="1" x14ac:dyDescent="0.3">
      <c r="D1452" s="284"/>
      <c r="E1452" s="285"/>
    </row>
    <row r="1453" spans="4:5" hidden="1" x14ac:dyDescent="0.3">
      <c r="D1453" s="284"/>
      <c r="E1453" s="285"/>
    </row>
    <row r="1454" spans="4:5" hidden="1" x14ac:dyDescent="0.3">
      <c r="D1454" s="284"/>
      <c r="E1454" s="285"/>
    </row>
    <row r="1455" spans="4:5" hidden="1" x14ac:dyDescent="0.3">
      <c r="D1455" s="284"/>
      <c r="E1455" s="285"/>
    </row>
    <row r="1456" spans="4:5" hidden="1" x14ac:dyDescent="0.3">
      <c r="D1456" s="284"/>
      <c r="E1456" s="285"/>
    </row>
    <row r="1457" spans="4:5" hidden="1" x14ac:dyDescent="0.3">
      <c r="D1457" s="284"/>
      <c r="E1457" s="285"/>
    </row>
    <row r="1458" spans="4:5" hidden="1" x14ac:dyDescent="0.3">
      <c r="D1458" s="284"/>
      <c r="E1458" s="285"/>
    </row>
    <row r="1459" spans="4:5" hidden="1" x14ac:dyDescent="0.3">
      <c r="D1459" s="284"/>
      <c r="E1459" s="285"/>
    </row>
    <row r="1460" spans="4:5" hidden="1" x14ac:dyDescent="0.3">
      <c r="D1460" s="284"/>
      <c r="E1460" s="285"/>
    </row>
    <row r="1461" spans="4:5" hidden="1" x14ac:dyDescent="0.3">
      <c r="D1461" s="284"/>
      <c r="E1461" s="285"/>
    </row>
    <row r="1462" spans="4:5" hidden="1" x14ac:dyDescent="0.3">
      <c r="D1462" s="284"/>
      <c r="E1462" s="285"/>
    </row>
    <row r="1463" spans="4:5" hidden="1" x14ac:dyDescent="0.3">
      <c r="D1463" s="284"/>
      <c r="E1463" s="285"/>
    </row>
    <row r="1464" spans="4:5" hidden="1" x14ac:dyDescent="0.3">
      <c r="D1464" s="284"/>
      <c r="E1464" s="285"/>
    </row>
    <row r="1465" spans="4:5" hidden="1" x14ac:dyDescent="0.3">
      <c r="D1465" s="284"/>
      <c r="E1465" s="285"/>
    </row>
    <row r="1466" spans="4:5" hidden="1" x14ac:dyDescent="0.3">
      <c r="D1466" s="284"/>
      <c r="E1466" s="285"/>
    </row>
    <row r="1467" spans="4:5" hidden="1" x14ac:dyDescent="0.3">
      <c r="D1467" s="284"/>
      <c r="E1467" s="285"/>
    </row>
    <row r="1468" spans="4:5" hidden="1" x14ac:dyDescent="0.3">
      <c r="D1468" s="284"/>
      <c r="E1468" s="285"/>
    </row>
    <row r="1469" spans="4:5" hidden="1" x14ac:dyDescent="0.3">
      <c r="D1469" s="284"/>
      <c r="E1469" s="285"/>
    </row>
    <row r="1470" spans="4:5" hidden="1" x14ac:dyDescent="0.3">
      <c r="D1470" s="284"/>
      <c r="E1470" s="285"/>
    </row>
    <row r="1471" spans="4:5" hidden="1" x14ac:dyDescent="0.3">
      <c r="D1471" s="284"/>
      <c r="E1471" s="285"/>
    </row>
    <row r="1472" spans="4:5" hidden="1" x14ac:dyDescent="0.3">
      <c r="D1472" s="284"/>
      <c r="E1472" s="285"/>
    </row>
    <row r="1473" spans="4:5" hidden="1" x14ac:dyDescent="0.3">
      <c r="D1473" s="284"/>
      <c r="E1473" s="285"/>
    </row>
    <row r="1474" spans="4:5" hidden="1" x14ac:dyDescent="0.3">
      <c r="D1474" s="284"/>
      <c r="E1474" s="285"/>
    </row>
    <row r="1475" spans="4:5" hidden="1" x14ac:dyDescent="0.3">
      <c r="D1475" s="284"/>
      <c r="E1475" s="285"/>
    </row>
    <row r="1476" spans="4:5" hidden="1" x14ac:dyDescent="0.3">
      <c r="D1476" s="284"/>
      <c r="E1476" s="285"/>
    </row>
    <row r="1477" spans="4:5" hidden="1" x14ac:dyDescent="0.3">
      <c r="D1477" s="284"/>
      <c r="E1477" s="285"/>
    </row>
    <row r="1478" spans="4:5" hidden="1" x14ac:dyDescent="0.3">
      <c r="D1478" s="284"/>
      <c r="E1478" s="285"/>
    </row>
    <row r="1479" spans="4:5" hidden="1" x14ac:dyDescent="0.3">
      <c r="D1479" s="284"/>
      <c r="E1479" s="285"/>
    </row>
    <row r="1480" spans="4:5" hidden="1" x14ac:dyDescent="0.3">
      <c r="D1480" s="284"/>
      <c r="E1480" s="285"/>
    </row>
    <row r="1481" spans="4:5" hidden="1" x14ac:dyDescent="0.3">
      <c r="D1481" s="284"/>
      <c r="E1481" s="285"/>
    </row>
    <row r="1482" spans="4:5" hidden="1" x14ac:dyDescent="0.3">
      <c r="D1482" s="284"/>
      <c r="E1482" s="285"/>
    </row>
    <row r="1483" spans="4:5" hidden="1" x14ac:dyDescent="0.3">
      <c r="D1483" s="284"/>
      <c r="E1483" s="285"/>
    </row>
    <row r="1484" spans="4:5" hidden="1" x14ac:dyDescent="0.3">
      <c r="D1484" s="284"/>
      <c r="E1484" s="285"/>
    </row>
    <row r="1485" spans="4:5" hidden="1" x14ac:dyDescent="0.3">
      <c r="D1485" s="284"/>
      <c r="E1485" s="285"/>
    </row>
    <row r="1486" spans="4:5" hidden="1" x14ac:dyDescent="0.3">
      <c r="D1486" s="284"/>
      <c r="E1486" s="285"/>
    </row>
    <row r="1487" spans="4:5" hidden="1" x14ac:dyDescent="0.3">
      <c r="D1487" s="284"/>
      <c r="E1487" s="285"/>
    </row>
    <row r="1488" spans="4:5" hidden="1" x14ac:dyDescent="0.3">
      <c r="D1488" s="284"/>
      <c r="E1488" s="285"/>
    </row>
    <row r="1489" spans="4:5" hidden="1" x14ac:dyDescent="0.3">
      <c r="D1489" s="284"/>
      <c r="E1489" s="285"/>
    </row>
    <row r="1490" spans="4:5" hidden="1" x14ac:dyDescent="0.3">
      <c r="D1490" s="284"/>
      <c r="E1490" s="285"/>
    </row>
    <row r="1491" spans="4:5" hidden="1" x14ac:dyDescent="0.3">
      <c r="D1491" s="284"/>
      <c r="E1491" s="285"/>
    </row>
    <row r="1492" spans="4:5" hidden="1" x14ac:dyDescent="0.3">
      <c r="D1492" s="284"/>
      <c r="E1492" s="285"/>
    </row>
    <row r="1493" spans="4:5" hidden="1" x14ac:dyDescent="0.3">
      <c r="D1493" s="284"/>
      <c r="E1493" s="285"/>
    </row>
    <row r="1494" spans="4:5" hidden="1" x14ac:dyDescent="0.3">
      <c r="D1494" s="284"/>
      <c r="E1494" s="285"/>
    </row>
    <row r="1495" spans="4:5" hidden="1" x14ac:dyDescent="0.3">
      <c r="D1495" s="284"/>
      <c r="E1495" s="285"/>
    </row>
    <row r="1496" spans="4:5" hidden="1" x14ac:dyDescent="0.3">
      <c r="D1496" s="284"/>
      <c r="E1496" s="285"/>
    </row>
    <row r="1497" spans="4:5" hidden="1" x14ac:dyDescent="0.3">
      <c r="D1497" s="284"/>
      <c r="E1497" s="285"/>
    </row>
    <row r="1498" spans="4:5" hidden="1" x14ac:dyDescent="0.3">
      <c r="D1498" s="284"/>
      <c r="E1498" s="285"/>
    </row>
    <row r="1499" spans="4:5" hidden="1" x14ac:dyDescent="0.3">
      <c r="D1499" s="284"/>
      <c r="E1499" s="285"/>
    </row>
    <row r="1500" spans="4:5" hidden="1" x14ac:dyDescent="0.3">
      <c r="D1500" s="284"/>
      <c r="E1500" s="285"/>
    </row>
    <row r="1501" spans="4:5" hidden="1" x14ac:dyDescent="0.3">
      <c r="D1501" s="284"/>
      <c r="E1501" s="285"/>
    </row>
    <row r="1502" spans="4:5" hidden="1" x14ac:dyDescent="0.3">
      <c r="D1502" s="284"/>
      <c r="E1502" s="285"/>
    </row>
    <row r="1503" spans="4:5" hidden="1" x14ac:dyDescent="0.3">
      <c r="D1503" s="284"/>
      <c r="E1503" s="285"/>
    </row>
    <row r="1504" spans="4:5" hidden="1" x14ac:dyDescent="0.3">
      <c r="D1504" s="284"/>
      <c r="E1504" s="285"/>
    </row>
    <row r="1505" spans="4:5" hidden="1" x14ac:dyDescent="0.3">
      <c r="D1505" s="284"/>
      <c r="E1505" s="285"/>
    </row>
    <row r="1506" spans="4:5" hidden="1" x14ac:dyDescent="0.3">
      <c r="D1506" s="284"/>
      <c r="E1506" s="285"/>
    </row>
    <row r="1507" spans="4:5" hidden="1" x14ac:dyDescent="0.3">
      <c r="D1507" s="284"/>
      <c r="E1507" s="285"/>
    </row>
    <row r="1508" spans="4:5" hidden="1" x14ac:dyDescent="0.3">
      <c r="D1508" s="284"/>
      <c r="E1508" s="285"/>
    </row>
    <row r="1509" spans="4:5" hidden="1" x14ac:dyDescent="0.3">
      <c r="D1509" s="284"/>
      <c r="E1509" s="285"/>
    </row>
    <row r="1510" spans="4:5" hidden="1" x14ac:dyDescent="0.3">
      <c r="D1510" s="284"/>
      <c r="E1510" s="285"/>
    </row>
    <row r="1511" spans="4:5" hidden="1" x14ac:dyDescent="0.3">
      <c r="D1511" s="284"/>
      <c r="E1511" s="285"/>
    </row>
    <row r="1512" spans="4:5" hidden="1" x14ac:dyDescent="0.3">
      <c r="D1512" s="284"/>
      <c r="E1512" s="285"/>
    </row>
    <row r="1513" spans="4:5" hidden="1" x14ac:dyDescent="0.3">
      <c r="D1513" s="284"/>
      <c r="E1513" s="285"/>
    </row>
    <row r="1514" spans="4:5" hidden="1" x14ac:dyDescent="0.3">
      <c r="D1514" s="284"/>
      <c r="E1514" s="285"/>
    </row>
    <row r="1515" spans="4:5" hidden="1" x14ac:dyDescent="0.3">
      <c r="D1515" s="284"/>
      <c r="E1515" s="285"/>
    </row>
    <row r="1516" spans="4:5" hidden="1" x14ac:dyDescent="0.3">
      <c r="D1516" s="284"/>
      <c r="E1516" s="285"/>
    </row>
    <row r="1517" spans="4:5" hidden="1" x14ac:dyDescent="0.3">
      <c r="D1517" s="284"/>
      <c r="E1517" s="285"/>
    </row>
    <row r="1518" spans="4:5" hidden="1" x14ac:dyDescent="0.3">
      <c r="D1518" s="284"/>
      <c r="E1518" s="285"/>
    </row>
    <row r="1519" spans="4:5" hidden="1" x14ac:dyDescent="0.3">
      <c r="D1519" s="284"/>
      <c r="E1519" s="285"/>
    </row>
    <row r="1520" spans="4:5" hidden="1" x14ac:dyDescent="0.3">
      <c r="D1520" s="284"/>
      <c r="E1520" s="285"/>
    </row>
    <row r="1521" spans="4:5" hidden="1" x14ac:dyDescent="0.3">
      <c r="D1521" s="284"/>
      <c r="E1521" s="285"/>
    </row>
    <row r="1522" spans="4:5" hidden="1" x14ac:dyDescent="0.3">
      <c r="D1522" s="284"/>
      <c r="E1522" s="285"/>
    </row>
    <row r="1523" spans="4:5" hidden="1" x14ac:dyDescent="0.3">
      <c r="D1523" s="284"/>
      <c r="E1523" s="285"/>
    </row>
    <row r="1524" spans="4:5" hidden="1" x14ac:dyDescent="0.3">
      <c r="D1524" s="284"/>
      <c r="E1524" s="285"/>
    </row>
    <row r="1525" spans="4:5" hidden="1" x14ac:dyDescent="0.3">
      <c r="D1525" s="284"/>
      <c r="E1525" s="285"/>
    </row>
    <row r="1526" spans="4:5" hidden="1" x14ac:dyDescent="0.3">
      <c r="D1526" s="284"/>
      <c r="E1526" s="285"/>
    </row>
    <row r="1527" spans="4:5" hidden="1" x14ac:dyDescent="0.3">
      <c r="D1527" s="284"/>
      <c r="E1527" s="285"/>
    </row>
    <row r="1528" spans="4:5" hidden="1" x14ac:dyDescent="0.3">
      <c r="D1528" s="284"/>
      <c r="E1528" s="285"/>
    </row>
    <row r="1529" spans="4:5" hidden="1" x14ac:dyDescent="0.3">
      <c r="D1529" s="284"/>
      <c r="E1529" s="285"/>
    </row>
    <row r="1530" spans="4:5" hidden="1" x14ac:dyDescent="0.3">
      <c r="D1530" s="284"/>
      <c r="E1530" s="285"/>
    </row>
    <row r="1531" spans="4:5" hidden="1" x14ac:dyDescent="0.3">
      <c r="D1531" s="284"/>
      <c r="E1531" s="285"/>
    </row>
    <row r="1532" spans="4:5" hidden="1" x14ac:dyDescent="0.3">
      <c r="D1532" s="284"/>
      <c r="E1532" s="285"/>
    </row>
    <row r="1533" spans="4:5" hidden="1" x14ac:dyDescent="0.3">
      <c r="D1533" s="284"/>
      <c r="E1533" s="285"/>
    </row>
    <row r="1534" spans="4:5" hidden="1" x14ac:dyDescent="0.3">
      <c r="D1534" s="284"/>
      <c r="E1534" s="285"/>
    </row>
    <row r="1535" spans="4:5" hidden="1" x14ac:dyDescent="0.3">
      <c r="D1535" s="284"/>
      <c r="E1535" s="285"/>
    </row>
    <row r="1536" spans="4:5" hidden="1" x14ac:dyDescent="0.3">
      <c r="D1536" s="284"/>
      <c r="E1536" s="285"/>
    </row>
    <row r="1537" spans="4:5" hidden="1" x14ac:dyDescent="0.3">
      <c r="D1537" s="284"/>
      <c r="E1537" s="285"/>
    </row>
    <row r="1538" spans="4:5" hidden="1" x14ac:dyDescent="0.3">
      <c r="D1538" s="284"/>
      <c r="E1538" s="285"/>
    </row>
    <row r="1539" spans="4:5" hidden="1" x14ac:dyDescent="0.3">
      <c r="D1539" s="284"/>
      <c r="E1539" s="285"/>
    </row>
    <row r="1540" spans="4:5" hidden="1" x14ac:dyDescent="0.3">
      <c r="D1540" s="284"/>
      <c r="E1540" s="285"/>
    </row>
    <row r="1541" spans="4:5" hidden="1" x14ac:dyDescent="0.3">
      <c r="D1541" s="284"/>
      <c r="E1541" s="285"/>
    </row>
    <row r="1542" spans="4:5" hidden="1" x14ac:dyDescent="0.3">
      <c r="D1542" s="284"/>
      <c r="E1542" s="285"/>
    </row>
    <row r="1543" spans="4:5" hidden="1" x14ac:dyDescent="0.3">
      <c r="D1543" s="284"/>
      <c r="E1543" s="285"/>
    </row>
    <row r="1544" spans="4:5" hidden="1" x14ac:dyDescent="0.3">
      <c r="D1544" s="284"/>
      <c r="E1544" s="285"/>
    </row>
    <row r="1545" spans="4:5" hidden="1" x14ac:dyDescent="0.3">
      <c r="D1545" s="284"/>
      <c r="E1545" s="285"/>
    </row>
    <row r="1546" spans="4:5" hidden="1" x14ac:dyDescent="0.3">
      <c r="D1546" s="284"/>
      <c r="E1546" s="285"/>
    </row>
    <row r="1547" spans="4:5" hidden="1" x14ac:dyDescent="0.3">
      <c r="D1547" s="284"/>
      <c r="E1547" s="285"/>
    </row>
    <row r="1548" spans="4:5" hidden="1" x14ac:dyDescent="0.3">
      <c r="D1548" s="284"/>
      <c r="E1548" s="285"/>
    </row>
    <row r="1549" spans="4:5" hidden="1" x14ac:dyDescent="0.3">
      <c r="D1549" s="284"/>
      <c r="E1549" s="285"/>
    </row>
    <row r="1550" spans="4:5" hidden="1" x14ac:dyDescent="0.3">
      <c r="D1550" s="284"/>
      <c r="E1550" s="285"/>
    </row>
    <row r="1551" spans="4:5" hidden="1" x14ac:dyDescent="0.3">
      <c r="D1551" s="284"/>
      <c r="E1551" s="285"/>
    </row>
    <row r="1552" spans="4:5" hidden="1" x14ac:dyDescent="0.3">
      <c r="D1552" s="284"/>
      <c r="E1552" s="285"/>
    </row>
    <row r="1553" spans="4:5" hidden="1" x14ac:dyDescent="0.3">
      <c r="D1553" s="284"/>
      <c r="E1553" s="285"/>
    </row>
    <row r="1554" spans="4:5" hidden="1" x14ac:dyDescent="0.3">
      <c r="D1554" s="284"/>
      <c r="E1554" s="285"/>
    </row>
    <row r="1555" spans="4:5" hidden="1" x14ac:dyDescent="0.3">
      <c r="D1555" s="284"/>
      <c r="E1555" s="285"/>
    </row>
    <row r="1556" spans="4:5" hidden="1" x14ac:dyDescent="0.3">
      <c r="D1556" s="284"/>
      <c r="E1556" s="285"/>
    </row>
    <row r="1557" spans="4:5" hidden="1" x14ac:dyDescent="0.3">
      <c r="D1557" s="284"/>
      <c r="E1557" s="285"/>
    </row>
    <row r="1558" spans="4:5" hidden="1" x14ac:dyDescent="0.3">
      <c r="D1558" s="284"/>
      <c r="E1558" s="285"/>
    </row>
    <row r="1559" spans="4:5" hidden="1" x14ac:dyDescent="0.3">
      <c r="D1559" s="284"/>
      <c r="E1559" s="285"/>
    </row>
    <row r="1560" spans="4:5" hidden="1" x14ac:dyDescent="0.3">
      <c r="D1560" s="284"/>
      <c r="E1560" s="285"/>
    </row>
    <row r="1561" spans="4:5" hidden="1" x14ac:dyDescent="0.3">
      <c r="D1561" s="284"/>
      <c r="E1561" s="285"/>
    </row>
    <row r="1562" spans="4:5" hidden="1" x14ac:dyDescent="0.3">
      <c r="D1562" s="284"/>
      <c r="E1562" s="285"/>
    </row>
    <row r="1563" spans="4:5" hidden="1" x14ac:dyDescent="0.3">
      <c r="D1563" s="284"/>
      <c r="E1563" s="285"/>
    </row>
    <row r="1564" spans="4:5" hidden="1" x14ac:dyDescent="0.3">
      <c r="D1564" s="284"/>
      <c r="E1564" s="285"/>
    </row>
    <row r="1565" spans="4:5" hidden="1" x14ac:dyDescent="0.3">
      <c r="D1565" s="284"/>
      <c r="E1565" s="285"/>
    </row>
    <row r="1566" spans="4:5" hidden="1" x14ac:dyDescent="0.3">
      <c r="D1566" s="284"/>
      <c r="E1566" s="285"/>
    </row>
    <row r="1567" spans="4:5" hidden="1" x14ac:dyDescent="0.3">
      <c r="D1567" s="284"/>
      <c r="E1567" s="285"/>
    </row>
    <row r="1568" spans="4:5" hidden="1" x14ac:dyDescent="0.3">
      <c r="D1568" s="284"/>
      <c r="E1568" s="285"/>
    </row>
    <row r="1569" spans="4:5" hidden="1" x14ac:dyDescent="0.3">
      <c r="D1569" s="284"/>
      <c r="E1569" s="285"/>
    </row>
    <row r="1570" spans="4:5" hidden="1" x14ac:dyDescent="0.3">
      <c r="D1570" s="284"/>
      <c r="E1570" s="285"/>
    </row>
    <row r="1571" spans="4:5" hidden="1" x14ac:dyDescent="0.3">
      <c r="D1571" s="284"/>
      <c r="E1571" s="285"/>
    </row>
    <row r="1572" spans="4:5" hidden="1" x14ac:dyDescent="0.3">
      <c r="D1572" s="284"/>
      <c r="E1572" s="285"/>
    </row>
    <row r="1573" spans="4:5" hidden="1" x14ac:dyDescent="0.3">
      <c r="D1573" s="284"/>
      <c r="E1573" s="285"/>
    </row>
    <row r="1574" spans="4:5" hidden="1" x14ac:dyDescent="0.3">
      <c r="D1574" s="284"/>
      <c r="E1574" s="285"/>
    </row>
    <row r="1575" spans="4:5" hidden="1" x14ac:dyDescent="0.3">
      <c r="D1575" s="284"/>
      <c r="E1575" s="285"/>
    </row>
    <row r="1576" spans="4:5" hidden="1" x14ac:dyDescent="0.3">
      <c r="D1576" s="284"/>
      <c r="E1576" s="285"/>
    </row>
    <row r="1577" spans="4:5" hidden="1" x14ac:dyDescent="0.3">
      <c r="D1577" s="284"/>
      <c r="E1577" s="285"/>
    </row>
    <row r="1578" spans="4:5" hidden="1" x14ac:dyDescent="0.3">
      <c r="D1578" s="284"/>
      <c r="E1578" s="285"/>
    </row>
    <row r="1579" spans="4:5" hidden="1" x14ac:dyDescent="0.3">
      <c r="D1579" s="284"/>
      <c r="E1579" s="285"/>
    </row>
    <row r="1580" spans="4:5" hidden="1" x14ac:dyDescent="0.3">
      <c r="D1580" s="284"/>
      <c r="E1580" s="285"/>
    </row>
    <row r="1581" spans="4:5" hidden="1" x14ac:dyDescent="0.3">
      <c r="D1581" s="284"/>
      <c r="E1581" s="285"/>
    </row>
    <row r="1582" spans="4:5" hidden="1" x14ac:dyDescent="0.3">
      <c r="D1582" s="284"/>
      <c r="E1582" s="285"/>
    </row>
    <row r="1583" spans="4:5" hidden="1" x14ac:dyDescent="0.3">
      <c r="D1583" s="284"/>
      <c r="E1583" s="285"/>
    </row>
    <row r="1584" spans="4:5" hidden="1" x14ac:dyDescent="0.3">
      <c r="D1584" s="284"/>
      <c r="E1584" s="285"/>
    </row>
    <row r="1585" spans="4:5" hidden="1" x14ac:dyDescent="0.3">
      <c r="D1585" s="284"/>
      <c r="E1585" s="285"/>
    </row>
    <row r="1586" spans="4:5" hidden="1" x14ac:dyDescent="0.3">
      <c r="D1586" s="284"/>
      <c r="E1586" s="285"/>
    </row>
    <row r="1587" spans="4:5" hidden="1" x14ac:dyDescent="0.3">
      <c r="D1587" s="284"/>
      <c r="E1587" s="285"/>
    </row>
    <row r="1588" spans="4:5" hidden="1" x14ac:dyDescent="0.3">
      <c r="D1588" s="284"/>
      <c r="E1588" s="285"/>
    </row>
    <row r="1589" spans="4:5" hidden="1" x14ac:dyDescent="0.3">
      <c r="D1589" s="284"/>
      <c r="E1589" s="285"/>
    </row>
    <row r="1590" spans="4:5" hidden="1" x14ac:dyDescent="0.3">
      <c r="D1590" s="284"/>
      <c r="E1590" s="285"/>
    </row>
    <row r="1591" spans="4:5" hidden="1" x14ac:dyDescent="0.3">
      <c r="D1591" s="284"/>
      <c r="E1591" s="285"/>
    </row>
    <row r="1592" spans="4:5" hidden="1" x14ac:dyDescent="0.3">
      <c r="D1592" s="284"/>
      <c r="E1592" s="285"/>
    </row>
    <row r="1593" spans="4:5" hidden="1" x14ac:dyDescent="0.3">
      <c r="D1593" s="284"/>
      <c r="E1593" s="285"/>
    </row>
    <row r="1594" spans="4:5" hidden="1" x14ac:dyDescent="0.3">
      <c r="D1594" s="284"/>
      <c r="E1594" s="285"/>
    </row>
    <row r="1595" spans="4:5" hidden="1" x14ac:dyDescent="0.3">
      <c r="D1595" s="284"/>
      <c r="E1595" s="285"/>
    </row>
    <row r="1596" spans="4:5" hidden="1" x14ac:dyDescent="0.3">
      <c r="D1596" s="284"/>
      <c r="E1596" s="285"/>
    </row>
    <row r="1597" spans="4:5" hidden="1" x14ac:dyDescent="0.3">
      <c r="D1597" s="284"/>
      <c r="E1597" s="285"/>
    </row>
    <row r="1598" spans="4:5" hidden="1" x14ac:dyDescent="0.3">
      <c r="D1598" s="284"/>
      <c r="E1598" s="285"/>
    </row>
    <row r="1599" spans="4:5" hidden="1" x14ac:dyDescent="0.3">
      <c r="D1599" s="284"/>
      <c r="E1599" s="285"/>
    </row>
    <row r="1600" spans="4:5" hidden="1" x14ac:dyDescent="0.3">
      <c r="D1600" s="284"/>
      <c r="E1600" s="285"/>
    </row>
    <row r="1601" spans="4:5" hidden="1" x14ac:dyDescent="0.3">
      <c r="D1601" s="284"/>
      <c r="E1601" s="285"/>
    </row>
    <row r="1602" spans="4:5" hidden="1" x14ac:dyDescent="0.3">
      <c r="D1602" s="284"/>
      <c r="E1602" s="285"/>
    </row>
    <row r="1603" spans="4:5" hidden="1" x14ac:dyDescent="0.3">
      <c r="D1603" s="284"/>
      <c r="E1603" s="285"/>
    </row>
    <row r="1604" spans="4:5" hidden="1" x14ac:dyDescent="0.3">
      <c r="D1604" s="284"/>
      <c r="E1604" s="285"/>
    </row>
    <row r="1605" spans="4:5" hidden="1" x14ac:dyDescent="0.3">
      <c r="D1605" s="284"/>
      <c r="E1605" s="285"/>
    </row>
    <row r="1606" spans="4:5" hidden="1" x14ac:dyDescent="0.3">
      <c r="D1606" s="284"/>
      <c r="E1606" s="285"/>
    </row>
    <row r="1607" spans="4:5" hidden="1" x14ac:dyDescent="0.3">
      <c r="D1607" s="284"/>
      <c r="E1607" s="285"/>
    </row>
    <row r="1608" spans="4:5" hidden="1" x14ac:dyDescent="0.3">
      <c r="D1608" s="284"/>
      <c r="E1608" s="285"/>
    </row>
    <row r="1609" spans="4:5" hidden="1" x14ac:dyDescent="0.3">
      <c r="D1609" s="284"/>
      <c r="E1609" s="285"/>
    </row>
    <row r="1610" spans="4:5" hidden="1" x14ac:dyDescent="0.3">
      <c r="D1610" s="284"/>
      <c r="E1610" s="285"/>
    </row>
    <row r="1611" spans="4:5" hidden="1" x14ac:dyDescent="0.3">
      <c r="D1611" s="284"/>
      <c r="E1611" s="285"/>
    </row>
    <row r="1612" spans="4:5" hidden="1" x14ac:dyDescent="0.3">
      <c r="D1612" s="284"/>
      <c r="E1612" s="285"/>
    </row>
    <row r="1613" spans="4:5" hidden="1" x14ac:dyDescent="0.3">
      <c r="D1613" s="284"/>
      <c r="E1613" s="285"/>
    </row>
    <row r="1614" spans="4:5" hidden="1" x14ac:dyDescent="0.3">
      <c r="D1614" s="284"/>
      <c r="E1614" s="285"/>
    </row>
    <row r="1615" spans="4:5" hidden="1" x14ac:dyDescent="0.3">
      <c r="D1615" s="284"/>
      <c r="E1615" s="285"/>
    </row>
    <row r="1616" spans="4:5" hidden="1" x14ac:dyDescent="0.3">
      <c r="D1616" s="284"/>
      <c r="E1616" s="285"/>
    </row>
    <row r="1617" spans="4:5" hidden="1" x14ac:dyDescent="0.3">
      <c r="D1617" s="284"/>
      <c r="E1617" s="285"/>
    </row>
    <row r="1618" spans="4:5" hidden="1" x14ac:dyDescent="0.3">
      <c r="D1618" s="284"/>
      <c r="E1618" s="285"/>
    </row>
    <row r="1619" spans="4:5" hidden="1" x14ac:dyDescent="0.3">
      <c r="D1619" s="284"/>
      <c r="E1619" s="285"/>
    </row>
    <row r="1620" spans="4:5" hidden="1" x14ac:dyDescent="0.3">
      <c r="D1620" s="284"/>
      <c r="E1620" s="285"/>
    </row>
    <row r="1621" spans="4:5" hidden="1" x14ac:dyDescent="0.3">
      <c r="D1621" s="284"/>
      <c r="E1621" s="285"/>
    </row>
    <row r="1622" spans="4:5" hidden="1" x14ac:dyDescent="0.3">
      <c r="D1622" s="284"/>
      <c r="E1622" s="285"/>
    </row>
    <row r="1623" spans="4:5" hidden="1" x14ac:dyDescent="0.3">
      <c r="D1623" s="284"/>
      <c r="E1623" s="285"/>
    </row>
    <row r="1624" spans="4:5" hidden="1" x14ac:dyDescent="0.3">
      <c r="D1624" s="284"/>
      <c r="E1624" s="285"/>
    </row>
    <row r="1625" spans="4:5" hidden="1" x14ac:dyDescent="0.3">
      <c r="D1625" s="284"/>
      <c r="E1625" s="285"/>
    </row>
    <row r="1626" spans="4:5" hidden="1" x14ac:dyDescent="0.3">
      <c r="D1626" s="284"/>
      <c r="E1626" s="285"/>
    </row>
    <row r="1627" spans="4:5" hidden="1" x14ac:dyDescent="0.3">
      <c r="D1627" s="284"/>
      <c r="E1627" s="285"/>
    </row>
    <row r="1628" spans="4:5" hidden="1" x14ac:dyDescent="0.3">
      <c r="D1628" s="284"/>
      <c r="E1628" s="285"/>
    </row>
    <row r="1629" spans="4:5" hidden="1" x14ac:dyDescent="0.3">
      <c r="D1629" s="284"/>
      <c r="E1629" s="285"/>
    </row>
    <row r="1630" spans="4:5" hidden="1" x14ac:dyDescent="0.3">
      <c r="D1630" s="284"/>
      <c r="E1630" s="285"/>
    </row>
    <row r="1631" spans="4:5" hidden="1" x14ac:dyDescent="0.3">
      <c r="D1631" s="284"/>
      <c r="E1631" s="285"/>
    </row>
    <row r="1632" spans="4:5" hidden="1" x14ac:dyDescent="0.3">
      <c r="D1632" s="284"/>
      <c r="E1632" s="285"/>
    </row>
    <row r="1633" spans="4:5" hidden="1" x14ac:dyDescent="0.3">
      <c r="D1633" s="284"/>
      <c r="E1633" s="285"/>
    </row>
    <row r="1634" spans="4:5" hidden="1" x14ac:dyDescent="0.3">
      <c r="D1634" s="284"/>
      <c r="E1634" s="285"/>
    </row>
    <row r="1635" spans="4:5" hidden="1" x14ac:dyDescent="0.3">
      <c r="D1635" s="284"/>
      <c r="E1635" s="285"/>
    </row>
    <row r="1636" spans="4:5" hidden="1" x14ac:dyDescent="0.3">
      <c r="D1636" s="284"/>
      <c r="E1636" s="285"/>
    </row>
    <row r="1637" spans="4:5" hidden="1" x14ac:dyDescent="0.3">
      <c r="D1637" s="284"/>
      <c r="E1637" s="285"/>
    </row>
    <row r="1638" spans="4:5" hidden="1" x14ac:dyDescent="0.3">
      <c r="D1638" s="284"/>
      <c r="E1638" s="285"/>
    </row>
    <row r="1639" spans="4:5" hidden="1" x14ac:dyDescent="0.3">
      <c r="D1639" s="284"/>
      <c r="E1639" s="285"/>
    </row>
    <row r="1640" spans="4:5" hidden="1" x14ac:dyDescent="0.3">
      <c r="D1640" s="284"/>
      <c r="E1640" s="285"/>
    </row>
    <row r="1641" spans="4:5" hidden="1" x14ac:dyDescent="0.3">
      <c r="D1641" s="284"/>
      <c r="E1641" s="285"/>
    </row>
    <row r="1642" spans="4:5" hidden="1" x14ac:dyDescent="0.3">
      <c r="D1642" s="284"/>
      <c r="E1642" s="285"/>
    </row>
    <row r="1643" spans="4:5" hidden="1" x14ac:dyDescent="0.3">
      <c r="D1643" s="284"/>
      <c r="E1643" s="285"/>
    </row>
    <row r="1644" spans="4:5" hidden="1" x14ac:dyDescent="0.3">
      <c r="D1644" s="284"/>
      <c r="E1644" s="285"/>
    </row>
    <row r="1645" spans="4:5" hidden="1" x14ac:dyDescent="0.3">
      <c r="D1645" s="284"/>
      <c r="E1645" s="285"/>
    </row>
    <row r="1646" spans="4:5" hidden="1" x14ac:dyDescent="0.3">
      <c r="D1646" s="284"/>
      <c r="E1646" s="285"/>
    </row>
    <row r="1647" spans="4:5" hidden="1" x14ac:dyDescent="0.3">
      <c r="D1647" s="284"/>
      <c r="E1647" s="285"/>
    </row>
    <row r="1648" spans="4:5" hidden="1" x14ac:dyDescent="0.3">
      <c r="D1648" s="284"/>
      <c r="E1648" s="285"/>
    </row>
    <row r="1649" spans="4:5" hidden="1" x14ac:dyDescent="0.3">
      <c r="D1649" s="284"/>
      <c r="E1649" s="285"/>
    </row>
    <row r="1650" spans="4:5" hidden="1" x14ac:dyDescent="0.3">
      <c r="D1650" s="284"/>
      <c r="E1650" s="285"/>
    </row>
    <row r="1651" spans="4:5" hidden="1" x14ac:dyDescent="0.3">
      <c r="D1651" s="284"/>
      <c r="E1651" s="285"/>
    </row>
    <row r="1652" spans="4:5" hidden="1" x14ac:dyDescent="0.3">
      <c r="D1652" s="284"/>
      <c r="E1652" s="285"/>
    </row>
    <row r="1653" spans="4:5" hidden="1" x14ac:dyDescent="0.3">
      <c r="D1653" s="284"/>
      <c r="E1653" s="285"/>
    </row>
    <row r="1654" spans="4:5" hidden="1" x14ac:dyDescent="0.3">
      <c r="D1654" s="284"/>
      <c r="E1654" s="285"/>
    </row>
    <row r="1655" spans="4:5" hidden="1" x14ac:dyDescent="0.3">
      <c r="D1655" s="284"/>
      <c r="E1655" s="285"/>
    </row>
    <row r="1656" spans="4:5" hidden="1" x14ac:dyDescent="0.3">
      <c r="D1656" s="284"/>
      <c r="E1656" s="285"/>
    </row>
    <row r="1657" spans="4:5" hidden="1" x14ac:dyDescent="0.3">
      <c r="D1657" s="284"/>
      <c r="E1657" s="285"/>
    </row>
    <row r="1658" spans="4:5" hidden="1" x14ac:dyDescent="0.3">
      <c r="D1658" s="284"/>
      <c r="E1658" s="285"/>
    </row>
    <row r="1659" spans="4:5" hidden="1" x14ac:dyDescent="0.3">
      <c r="D1659" s="284"/>
      <c r="E1659" s="285"/>
    </row>
    <row r="1660" spans="4:5" hidden="1" x14ac:dyDescent="0.3">
      <c r="D1660" s="284"/>
      <c r="E1660" s="285"/>
    </row>
    <row r="1661" spans="4:5" hidden="1" x14ac:dyDescent="0.3">
      <c r="D1661" s="284"/>
      <c r="E1661" s="285"/>
    </row>
    <row r="1662" spans="4:5" hidden="1" x14ac:dyDescent="0.3">
      <c r="D1662" s="284"/>
      <c r="E1662" s="285"/>
    </row>
    <row r="1663" spans="4:5" hidden="1" x14ac:dyDescent="0.3">
      <c r="D1663" s="284"/>
      <c r="E1663" s="285"/>
    </row>
    <row r="1664" spans="4:5" hidden="1" x14ac:dyDescent="0.3">
      <c r="D1664" s="284"/>
      <c r="E1664" s="285"/>
    </row>
    <row r="1665" spans="4:5" hidden="1" x14ac:dyDescent="0.3">
      <c r="D1665" s="284"/>
      <c r="E1665" s="285"/>
    </row>
    <row r="1666" spans="4:5" hidden="1" x14ac:dyDescent="0.3">
      <c r="D1666" s="284"/>
      <c r="E1666" s="285"/>
    </row>
    <row r="1667" spans="4:5" hidden="1" x14ac:dyDescent="0.3">
      <c r="D1667" s="284"/>
      <c r="E1667" s="285"/>
    </row>
    <row r="1668" spans="4:5" hidden="1" x14ac:dyDescent="0.3">
      <c r="D1668" s="284"/>
      <c r="E1668" s="285"/>
    </row>
    <row r="1669" spans="4:5" hidden="1" x14ac:dyDescent="0.3">
      <c r="D1669" s="284"/>
      <c r="E1669" s="285"/>
    </row>
    <row r="1670" spans="4:5" hidden="1" x14ac:dyDescent="0.3">
      <c r="D1670" s="284"/>
      <c r="E1670" s="285"/>
    </row>
    <row r="1671" spans="4:5" hidden="1" x14ac:dyDescent="0.3">
      <c r="D1671" s="284"/>
      <c r="E1671" s="285"/>
    </row>
    <row r="1672" spans="4:5" hidden="1" x14ac:dyDescent="0.3">
      <c r="D1672" s="284"/>
      <c r="E1672" s="285"/>
    </row>
    <row r="1673" spans="4:5" hidden="1" x14ac:dyDescent="0.3">
      <c r="D1673" s="284"/>
      <c r="E1673" s="285"/>
    </row>
    <row r="1674" spans="4:5" hidden="1" x14ac:dyDescent="0.3">
      <c r="D1674" s="284"/>
      <c r="E1674" s="285"/>
    </row>
    <row r="1675" spans="4:5" hidden="1" x14ac:dyDescent="0.3">
      <c r="D1675" s="284"/>
      <c r="E1675" s="285"/>
    </row>
    <row r="1676" spans="4:5" hidden="1" x14ac:dyDescent="0.3">
      <c r="D1676" s="284"/>
      <c r="E1676" s="285"/>
    </row>
    <row r="1677" spans="4:5" hidden="1" x14ac:dyDescent="0.3">
      <c r="D1677" s="284"/>
      <c r="E1677" s="285"/>
    </row>
    <row r="1678" spans="4:5" hidden="1" x14ac:dyDescent="0.3">
      <c r="D1678" s="284"/>
      <c r="E1678" s="285"/>
    </row>
    <row r="1679" spans="4:5" hidden="1" x14ac:dyDescent="0.3">
      <c r="D1679" s="284"/>
      <c r="E1679" s="285"/>
    </row>
    <row r="1680" spans="4:5" hidden="1" x14ac:dyDescent="0.3">
      <c r="D1680" s="284"/>
      <c r="E1680" s="285"/>
    </row>
    <row r="1681" spans="4:5" hidden="1" x14ac:dyDescent="0.3">
      <c r="D1681" s="284"/>
      <c r="E1681" s="285"/>
    </row>
    <row r="1682" spans="4:5" hidden="1" x14ac:dyDescent="0.3">
      <c r="D1682" s="284"/>
      <c r="E1682" s="285"/>
    </row>
    <row r="1683" spans="4:5" hidden="1" x14ac:dyDescent="0.3">
      <c r="D1683" s="284"/>
      <c r="E1683" s="285"/>
    </row>
    <row r="1684" spans="4:5" hidden="1" x14ac:dyDescent="0.3">
      <c r="D1684" s="284"/>
      <c r="E1684" s="285"/>
    </row>
    <row r="1685" spans="4:5" hidden="1" x14ac:dyDescent="0.3">
      <c r="D1685" s="284"/>
      <c r="E1685" s="285"/>
    </row>
    <row r="1686" spans="4:5" hidden="1" x14ac:dyDescent="0.3">
      <c r="D1686" s="284"/>
      <c r="E1686" s="285"/>
    </row>
    <row r="1687" spans="4:5" hidden="1" x14ac:dyDescent="0.3">
      <c r="D1687" s="284"/>
      <c r="E1687" s="285"/>
    </row>
    <row r="1688" spans="4:5" hidden="1" x14ac:dyDescent="0.3">
      <c r="D1688" s="284"/>
      <c r="E1688" s="285"/>
    </row>
    <row r="1689" spans="4:5" hidden="1" x14ac:dyDescent="0.3">
      <c r="D1689" s="284"/>
      <c r="E1689" s="285"/>
    </row>
    <row r="1690" spans="4:5" hidden="1" x14ac:dyDescent="0.3">
      <c r="D1690" s="284"/>
      <c r="E1690" s="285"/>
    </row>
    <row r="1691" spans="4:5" hidden="1" x14ac:dyDescent="0.3">
      <c r="D1691" s="284"/>
      <c r="E1691" s="285"/>
    </row>
    <row r="1692" spans="4:5" hidden="1" x14ac:dyDescent="0.3">
      <c r="D1692" s="284"/>
      <c r="E1692" s="285"/>
    </row>
    <row r="1693" spans="4:5" hidden="1" x14ac:dyDescent="0.3">
      <c r="D1693" s="284"/>
      <c r="E1693" s="285"/>
    </row>
    <row r="1694" spans="4:5" hidden="1" x14ac:dyDescent="0.3">
      <c r="D1694" s="284"/>
      <c r="E1694" s="285"/>
    </row>
    <row r="1695" spans="4:5" hidden="1" x14ac:dyDescent="0.3">
      <c r="D1695" s="284"/>
      <c r="E1695" s="285"/>
    </row>
    <row r="1696" spans="4:5" hidden="1" x14ac:dyDescent="0.3">
      <c r="D1696" s="284"/>
      <c r="E1696" s="285"/>
    </row>
    <row r="1697" spans="4:5" hidden="1" x14ac:dyDescent="0.3">
      <c r="D1697" s="284"/>
      <c r="E1697" s="285"/>
    </row>
    <row r="1698" spans="4:5" hidden="1" x14ac:dyDescent="0.3">
      <c r="D1698" s="284"/>
      <c r="E1698" s="285"/>
    </row>
    <row r="1699" spans="4:5" hidden="1" x14ac:dyDescent="0.3">
      <c r="D1699" s="284"/>
      <c r="E1699" s="285"/>
    </row>
    <row r="1700" spans="4:5" hidden="1" x14ac:dyDescent="0.3">
      <c r="D1700" s="284"/>
      <c r="E1700" s="285"/>
    </row>
    <row r="1701" spans="4:5" hidden="1" x14ac:dyDescent="0.3">
      <c r="D1701" s="284"/>
      <c r="E1701" s="285"/>
    </row>
    <row r="1702" spans="4:5" hidden="1" x14ac:dyDescent="0.3">
      <c r="D1702" s="284"/>
      <c r="E1702" s="285"/>
    </row>
    <row r="1703" spans="4:5" hidden="1" x14ac:dyDescent="0.3">
      <c r="D1703" s="284"/>
      <c r="E1703" s="285"/>
    </row>
    <row r="1704" spans="4:5" hidden="1" x14ac:dyDescent="0.3">
      <c r="D1704" s="284"/>
      <c r="E1704" s="285"/>
    </row>
    <row r="1705" spans="4:5" hidden="1" x14ac:dyDescent="0.3">
      <c r="D1705" s="284"/>
      <c r="E1705" s="285"/>
    </row>
    <row r="1706" spans="4:5" hidden="1" x14ac:dyDescent="0.3">
      <c r="D1706" s="284"/>
      <c r="E1706" s="285"/>
    </row>
    <row r="1707" spans="4:5" hidden="1" x14ac:dyDescent="0.3">
      <c r="D1707" s="284"/>
      <c r="E1707" s="285"/>
    </row>
    <row r="1708" spans="4:5" hidden="1" x14ac:dyDescent="0.3">
      <c r="D1708" s="284"/>
      <c r="E1708" s="285"/>
    </row>
    <row r="1709" spans="4:5" hidden="1" x14ac:dyDescent="0.3">
      <c r="D1709" s="284"/>
      <c r="E1709" s="285"/>
    </row>
    <row r="1710" spans="4:5" hidden="1" x14ac:dyDescent="0.3">
      <c r="D1710" s="284"/>
      <c r="E1710" s="285"/>
    </row>
    <row r="1711" spans="4:5" hidden="1" x14ac:dyDescent="0.3">
      <c r="D1711" s="284"/>
      <c r="E1711" s="285"/>
    </row>
    <row r="1712" spans="4:5" hidden="1" x14ac:dyDescent="0.3">
      <c r="D1712" s="284"/>
      <c r="E1712" s="285"/>
    </row>
    <row r="1713" spans="4:5" hidden="1" x14ac:dyDescent="0.3">
      <c r="D1713" s="284"/>
      <c r="E1713" s="285"/>
    </row>
    <row r="1714" spans="4:5" hidden="1" x14ac:dyDescent="0.3">
      <c r="D1714" s="284"/>
      <c r="E1714" s="285"/>
    </row>
    <row r="1715" spans="4:5" hidden="1" x14ac:dyDescent="0.3">
      <c r="D1715" s="284"/>
      <c r="E1715" s="285"/>
    </row>
    <row r="1716" spans="4:5" hidden="1" x14ac:dyDescent="0.3">
      <c r="D1716" s="284"/>
      <c r="E1716" s="285"/>
    </row>
    <row r="1717" spans="4:5" hidden="1" x14ac:dyDescent="0.3">
      <c r="D1717" s="284"/>
      <c r="E1717" s="285"/>
    </row>
    <row r="1718" spans="4:5" hidden="1" x14ac:dyDescent="0.3">
      <c r="D1718" s="284"/>
      <c r="E1718" s="285"/>
    </row>
    <row r="1719" spans="4:5" hidden="1" x14ac:dyDescent="0.3">
      <c r="D1719" s="284"/>
      <c r="E1719" s="285"/>
    </row>
    <row r="1720" spans="4:5" hidden="1" x14ac:dyDescent="0.3">
      <c r="D1720" s="284"/>
      <c r="E1720" s="285"/>
    </row>
    <row r="1721" spans="4:5" hidden="1" x14ac:dyDescent="0.3">
      <c r="D1721" s="284"/>
      <c r="E1721" s="285"/>
    </row>
    <row r="1722" spans="4:5" hidden="1" x14ac:dyDescent="0.3">
      <c r="D1722" s="284"/>
      <c r="E1722" s="285"/>
    </row>
    <row r="1723" spans="4:5" hidden="1" x14ac:dyDescent="0.3">
      <c r="D1723" s="284"/>
      <c r="E1723" s="285"/>
    </row>
    <row r="1724" spans="4:5" hidden="1" x14ac:dyDescent="0.3">
      <c r="D1724" s="284"/>
      <c r="E1724" s="285"/>
    </row>
    <row r="1725" spans="4:5" hidden="1" x14ac:dyDescent="0.3">
      <c r="D1725" s="284"/>
      <c r="E1725" s="285"/>
    </row>
    <row r="1726" spans="4:5" hidden="1" x14ac:dyDescent="0.3">
      <c r="D1726" s="284"/>
      <c r="E1726" s="285"/>
    </row>
    <row r="1727" spans="4:5" hidden="1" x14ac:dyDescent="0.3">
      <c r="D1727" s="284"/>
      <c r="E1727" s="285"/>
    </row>
    <row r="1728" spans="4:5" hidden="1" x14ac:dyDescent="0.3">
      <c r="D1728" s="284"/>
      <c r="E1728" s="285"/>
    </row>
    <row r="1729" spans="4:5" hidden="1" x14ac:dyDescent="0.3">
      <c r="D1729" s="284"/>
      <c r="E1729" s="285"/>
    </row>
    <row r="1730" spans="4:5" hidden="1" x14ac:dyDescent="0.3">
      <c r="D1730" s="284"/>
      <c r="E1730" s="285"/>
    </row>
    <row r="1731" spans="4:5" hidden="1" x14ac:dyDescent="0.3">
      <c r="D1731" s="284"/>
      <c r="E1731" s="285"/>
    </row>
    <row r="1732" spans="4:5" hidden="1" x14ac:dyDescent="0.3">
      <c r="D1732" s="284"/>
      <c r="E1732" s="285"/>
    </row>
    <row r="1733" spans="4:5" hidden="1" x14ac:dyDescent="0.3">
      <c r="D1733" s="284"/>
      <c r="E1733" s="285"/>
    </row>
    <row r="1734" spans="4:5" hidden="1" x14ac:dyDescent="0.3">
      <c r="D1734" s="284"/>
      <c r="E1734" s="285"/>
    </row>
    <row r="1735" spans="4:5" hidden="1" x14ac:dyDescent="0.3">
      <c r="D1735" s="284"/>
      <c r="E1735" s="285"/>
    </row>
    <row r="1736" spans="4:5" hidden="1" x14ac:dyDescent="0.3">
      <c r="D1736" s="284"/>
      <c r="E1736" s="285"/>
    </row>
    <row r="1737" spans="4:5" hidden="1" x14ac:dyDescent="0.3">
      <c r="D1737" s="284"/>
      <c r="E1737" s="285"/>
    </row>
    <row r="1738" spans="4:5" hidden="1" x14ac:dyDescent="0.3">
      <c r="D1738" s="284"/>
      <c r="E1738" s="285"/>
    </row>
    <row r="1739" spans="4:5" hidden="1" x14ac:dyDescent="0.3">
      <c r="D1739" s="284"/>
      <c r="E1739" s="285"/>
    </row>
    <row r="1740" spans="4:5" hidden="1" x14ac:dyDescent="0.3">
      <c r="D1740" s="284"/>
      <c r="E1740" s="285"/>
    </row>
    <row r="1741" spans="4:5" hidden="1" x14ac:dyDescent="0.3">
      <c r="D1741" s="284"/>
      <c r="E1741" s="285"/>
    </row>
    <row r="1742" spans="4:5" hidden="1" x14ac:dyDescent="0.3">
      <c r="D1742" s="284"/>
      <c r="E1742" s="285"/>
    </row>
    <row r="1743" spans="4:5" hidden="1" x14ac:dyDescent="0.3">
      <c r="D1743" s="284"/>
      <c r="E1743" s="285"/>
    </row>
    <row r="1744" spans="4:5" hidden="1" x14ac:dyDescent="0.3">
      <c r="D1744" s="284"/>
      <c r="E1744" s="285"/>
    </row>
    <row r="1745" spans="4:5" hidden="1" x14ac:dyDescent="0.3">
      <c r="D1745" s="284"/>
      <c r="E1745" s="285"/>
    </row>
    <row r="1746" spans="4:5" hidden="1" x14ac:dyDescent="0.3">
      <c r="D1746" s="284"/>
      <c r="E1746" s="285"/>
    </row>
    <row r="1747" spans="4:5" hidden="1" x14ac:dyDescent="0.3">
      <c r="D1747" s="284"/>
      <c r="E1747" s="285"/>
    </row>
    <row r="1748" spans="4:5" hidden="1" x14ac:dyDescent="0.3">
      <c r="D1748" s="284"/>
      <c r="E1748" s="285"/>
    </row>
    <row r="1749" spans="4:5" hidden="1" x14ac:dyDescent="0.3">
      <c r="D1749" s="284"/>
      <c r="E1749" s="285"/>
    </row>
    <row r="1750" spans="4:5" hidden="1" x14ac:dyDescent="0.3">
      <c r="D1750" s="284"/>
      <c r="E1750" s="285"/>
    </row>
    <row r="1751" spans="4:5" hidden="1" x14ac:dyDescent="0.3">
      <c r="D1751" s="284"/>
      <c r="E1751" s="285"/>
    </row>
    <row r="1752" spans="4:5" hidden="1" x14ac:dyDescent="0.3">
      <c r="D1752" s="284"/>
      <c r="E1752" s="285"/>
    </row>
    <row r="1753" spans="4:5" hidden="1" x14ac:dyDescent="0.3">
      <c r="D1753" s="284"/>
      <c r="E1753" s="285"/>
    </row>
    <row r="1754" spans="4:5" hidden="1" x14ac:dyDescent="0.3">
      <c r="D1754" s="284"/>
      <c r="E1754" s="285"/>
    </row>
    <row r="1755" spans="4:5" hidden="1" x14ac:dyDescent="0.3">
      <c r="D1755" s="284"/>
      <c r="E1755" s="285"/>
    </row>
    <row r="1756" spans="4:5" hidden="1" x14ac:dyDescent="0.3">
      <c r="D1756" s="284"/>
      <c r="E1756" s="285"/>
    </row>
    <row r="1757" spans="4:5" hidden="1" x14ac:dyDescent="0.3">
      <c r="D1757" s="284"/>
      <c r="E1757" s="285"/>
    </row>
    <row r="1758" spans="4:5" hidden="1" x14ac:dyDescent="0.3">
      <c r="D1758" s="284"/>
      <c r="E1758" s="285"/>
    </row>
    <row r="1759" spans="4:5" hidden="1" x14ac:dyDescent="0.3">
      <c r="D1759" s="284"/>
      <c r="E1759" s="285"/>
    </row>
    <row r="1760" spans="4:5" hidden="1" x14ac:dyDescent="0.3">
      <c r="D1760" s="284"/>
      <c r="E1760" s="285"/>
    </row>
    <row r="1761" spans="4:5" hidden="1" x14ac:dyDescent="0.3">
      <c r="D1761" s="284"/>
      <c r="E1761" s="285"/>
    </row>
    <row r="1762" spans="4:5" hidden="1" x14ac:dyDescent="0.3">
      <c r="D1762" s="284"/>
      <c r="E1762" s="285"/>
    </row>
    <row r="1763" spans="4:5" hidden="1" x14ac:dyDescent="0.3">
      <c r="D1763" s="284"/>
      <c r="E1763" s="285"/>
    </row>
    <row r="1764" spans="4:5" hidden="1" x14ac:dyDescent="0.3">
      <c r="D1764" s="284"/>
      <c r="E1764" s="285"/>
    </row>
    <row r="1765" spans="4:5" hidden="1" x14ac:dyDescent="0.3">
      <c r="D1765" s="284"/>
      <c r="E1765" s="285"/>
    </row>
    <row r="1766" spans="4:5" hidden="1" x14ac:dyDescent="0.3">
      <c r="D1766" s="284"/>
      <c r="E1766" s="285"/>
    </row>
    <row r="1767" spans="4:5" hidden="1" x14ac:dyDescent="0.3">
      <c r="D1767" s="284"/>
      <c r="E1767" s="285"/>
    </row>
    <row r="1768" spans="4:5" hidden="1" x14ac:dyDescent="0.3">
      <c r="D1768" s="284"/>
      <c r="E1768" s="285"/>
    </row>
    <row r="1769" spans="4:5" hidden="1" x14ac:dyDescent="0.3">
      <c r="D1769" s="284"/>
      <c r="E1769" s="285"/>
    </row>
    <row r="1770" spans="4:5" hidden="1" x14ac:dyDescent="0.3">
      <c r="D1770" s="284"/>
      <c r="E1770" s="285"/>
    </row>
    <row r="1771" spans="4:5" hidden="1" x14ac:dyDescent="0.3">
      <c r="D1771" s="284"/>
      <c r="E1771" s="285"/>
    </row>
    <row r="1772" spans="4:5" hidden="1" x14ac:dyDescent="0.3">
      <c r="D1772" s="284"/>
      <c r="E1772" s="285"/>
    </row>
    <row r="1773" spans="4:5" hidden="1" x14ac:dyDescent="0.3">
      <c r="D1773" s="284"/>
      <c r="E1773" s="285"/>
    </row>
    <row r="1774" spans="4:5" hidden="1" x14ac:dyDescent="0.3">
      <c r="D1774" s="284"/>
      <c r="E1774" s="285"/>
    </row>
    <row r="1775" spans="4:5" hidden="1" x14ac:dyDescent="0.3">
      <c r="D1775" s="284"/>
      <c r="E1775" s="285"/>
    </row>
    <row r="1776" spans="4:5" hidden="1" x14ac:dyDescent="0.3">
      <c r="D1776" s="284"/>
      <c r="E1776" s="285"/>
    </row>
    <row r="1777" spans="4:5" hidden="1" x14ac:dyDescent="0.3">
      <c r="D1777" s="284"/>
      <c r="E1777" s="285"/>
    </row>
    <row r="1778" spans="4:5" hidden="1" x14ac:dyDescent="0.3">
      <c r="D1778" s="284"/>
      <c r="E1778" s="285"/>
    </row>
    <row r="1779" spans="4:5" hidden="1" x14ac:dyDescent="0.3">
      <c r="D1779" s="284"/>
      <c r="E1779" s="285"/>
    </row>
    <row r="1780" spans="4:5" hidden="1" x14ac:dyDescent="0.3">
      <c r="D1780" s="284"/>
      <c r="E1780" s="285"/>
    </row>
    <row r="1781" spans="4:5" hidden="1" x14ac:dyDescent="0.3">
      <c r="D1781" s="284"/>
      <c r="E1781" s="285"/>
    </row>
    <row r="1782" spans="4:5" hidden="1" x14ac:dyDescent="0.3">
      <c r="D1782" s="284"/>
      <c r="E1782" s="285"/>
    </row>
    <row r="1783" spans="4:5" hidden="1" x14ac:dyDescent="0.3">
      <c r="D1783" s="284"/>
      <c r="E1783" s="285"/>
    </row>
    <row r="1784" spans="4:5" hidden="1" x14ac:dyDescent="0.3">
      <c r="D1784" s="284"/>
      <c r="E1784" s="285"/>
    </row>
    <row r="1785" spans="4:5" hidden="1" x14ac:dyDescent="0.3">
      <c r="D1785" s="284"/>
      <c r="E1785" s="285"/>
    </row>
    <row r="1786" spans="4:5" hidden="1" x14ac:dyDescent="0.3">
      <c r="D1786" s="284"/>
      <c r="E1786" s="285"/>
    </row>
    <row r="1787" spans="4:5" hidden="1" x14ac:dyDescent="0.3">
      <c r="D1787" s="284"/>
      <c r="E1787" s="285"/>
    </row>
    <row r="1788" spans="4:5" hidden="1" x14ac:dyDescent="0.3">
      <c r="D1788" s="284"/>
      <c r="E1788" s="285"/>
    </row>
    <row r="1789" spans="4:5" hidden="1" x14ac:dyDescent="0.3">
      <c r="D1789" s="284"/>
      <c r="E1789" s="285"/>
    </row>
    <row r="1790" spans="4:5" hidden="1" x14ac:dyDescent="0.3">
      <c r="D1790" s="284"/>
      <c r="E1790" s="285"/>
    </row>
    <row r="1791" spans="4:5" hidden="1" x14ac:dyDescent="0.3">
      <c r="D1791" s="284"/>
      <c r="E1791" s="285"/>
    </row>
    <row r="1792" spans="4:5" hidden="1" x14ac:dyDescent="0.3">
      <c r="D1792" s="284"/>
      <c r="E1792" s="285"/>
    </row>
    <row r="1793" spans="4:5" hidden="1" x14ac:dyDescent="0.3">
      <c r="D1793" s="284"/>
      <c r="E1793" s="285"/>
    </row>
    <row r="1794" spans="4:5" hidden="1" x14ac:dyDescent="0.3">
      <c r="D1794" s="284"/>
      <c r="E1794" s="285"/>
    </row>
    <row r="1795" spans="4:5" hidden="1" x14ac:dyDescent="0.3">
      <c r="D1795" s="284"/>
      <c r="E1795" s="285"/>
    </row>
    <row r="1796" spans="4:5" hidden="1" x14ac:dyDescent="0.3">
      <c r="D1796" s="284"/>
      <c r="E1796" s="285"/>
    </row>
    <row r="1797" spans="4:5" hidden="1" x14ac:dyDescent="0.3">
      <c r="D1797" s="284"/>
      <c r="E1797" s="285"/>
    </row>
    <row r="1798" spans="4:5" hidden="1" x14ac:dyDescent="0.3">
      <c r="D1798" s="284"/>
      <c r="E1798" s="285"/>
    </row>
    <row r="1799" spans="4:5" hidden="1" x14ac:dyDescent="0.3">
      <c r="D1799" s="284"/>
      <c r="E1799" s="285"/>
    </row>
    <row r="1800" spans="4:5" hidden="1" x14ac:dyDescent="0.3">
      <c r="D1800" s="284"/>
      <c r="E1800" s="285"/>
    </row>
    <row r="1801" spans="4:5" hidden="1" x14ac:dyDescent="0.3">
      <c r="D1801" s="284"/>
      <c r="E1801" s="285"/>
    </row>
    <row r="1802" spans="4:5" hidden="1" x14ac:dyDescent="0.3">
      <c r="D1802" s="284"/>
      <c r="E1802" s="285"/>
    </row>
    <row r="1803" spans="4:5" hidden="1" x14ac:dyDescent="0.3">
      <c r="D1803" s="284"/>
      <c r="E1803" s="285"/>
    </row>
    <row r="1804" spans="4:5" hidden="1" x14ac:dyDescent="0.3">
      <c r="D1804" s="284"/>
      <c r="E1804" s="285"/>
    </row>
    <row r="1805" spans="4:5" hidden="1" x14ac:dyDescent="0.3">
      <c r="D1805" s="284"/>
      <c r="E1805" s="285"/>
    </row>
    <row r="1806" spans="4:5" hidden="1" x14ac:dyDescent="0.3">
      <c r="D1806" s="284"/>
      <c r="E1806" s="285"/>
    </row>
    <row r="1807" spans="4:5" hidden="1" x14ac:dyDescent="0.3">
      <c r="D1807" s="284"/>
      <c r="E1807" s="285"/>
    </row>
    <row r="1808" spans="4:5" hidden="1" x14ac:dyDescent="0.3">
      <c r="D1808" s="284"/>
      <c r="E1808" s="285"/>
    </row>
    <row r="1809" spans="4:5" hidden="1" x14ac:dyDescent="0.3">
      <c r="D1809" s="284"/>
      <c r="E1809" s="285"/>
    </row>
    <row r="1810" spans="4:5" hidden="1" x14ac:dyDescent="0.3">
      <c r="D1810" s="284"/>
      <c r="E1810" s="285"/>
    </row>
    <row r="1811" spans="4:5" hidden="1" x14ac:dyDescent="0.3">
      <c r="D1811" s="284"/>
      <c r="E1811" s="285"/>
    </row>
    <row r="1812" spans="4:5" hidden="1" x14ac:dyDescent="0.3">
      <c r="D1812" s="284"/>
      <c r="E1812" s="285"/>
    </row>
    <row r="1813" spans="4:5" hidden="1" x14ac:dyDescent="0.3">
      <c r="D1813" s="284"/>
      <c r="E1813" s="285"/>
    </row>
    <row r="1814" spans="4:5" hidden="1" x14ac:dyDescent="0.3">
      <c r="D1814" s="284"/>
      <c r="E1814" s="285"/>
    </row>
    <row r="1815" spans="4:5" hidden="1" x14ac:dyDescent="0.3">
      <c r="D1815" s="284"/>
      <c r="E1815" s="285"/>
    </row>
    <row r="1816" spans="4:5" hidden="1" x14ac:dyDescent="0.3">
      <c r="D1816" s="284"/>
      <c r="E1816" s="285"/>
    </row>
    <row r="1817" spans="4:5" hidden="1" x14ac:dyDescent="0.3">
      <c r="D1817" s="284"/>
      <c r="E1817" s="285"/>
    </row>
    <row r="1818" spans="4:5" hidden="1" x14ac:dyDescent="0.3">
      <c r="D1818" s="284"/>
      <c r="E1818" s="285"/>
    </row>
    <row r="1819" spans="4:5" hidden="1" x14ac:dyDescent="0.3">
      <c r="D1819" s="284"/>
      <c r="E1819" s="285"/>
    </row>
    <row r="1820" spans="4:5" hidden="1" x14ac:dyDescent="0.3">
      <c r="D1820" s="284"/>
      <c r="E1820" s="285"/>
    </row>
    <row r="1821" spans="4:5" hidden="1" x14ac:dyDescent="0.3">
      <c r="D1821" s="284"/>
      <c r="E1821" s="285"/>
    </row>
    <row r="1822" spans="4:5" hidden="1" x14ac:dyDescent="0.3">
      <c r="D1822" s="284"/>
      <c r="E1822" s="285"/>
    </row>
    <row r="1823" spans="4:5" hidden="1" x14ac:dyDescent="0.3">
      <c r="D1823" s="284"/>
      <c r="E1823" s="285"/>
    </row>
    <row r="1824" spans="4:5" hidden="1" x14ac:dyDescent="0.3">
      <c r="D1824" s="284"/>
      <c r="E1824" s="285"/>
    </row>
    <row r="1825" spans="4:5" hidden="1" x14ac:dyDescent="0.3">
      <c r="D1825" s="284"/>
      <c r="E1825" s="285"/>
    </row>
    <row r="1826" spans="4:5" hidden="1" x14ac:dyDescent="0.3">
      <c r="D1826" s="284"/>
      <c r="E1826" s="285"/>
    </row>
    <row r="1827" spans="4:5" hidden="1" x14ac:dyDescent="0.3">
      <c r="D1827" s="284"/>
      <c r="E1827" s="285"/>
    </row>
    <row r="1828" spans="4:5" hidden="1" x14ac:dyDescent="0.3">
      <c r="D1828" s="284"/>
      <c r="E1828" s="285"/>
    </row>
    <row r="1829" spans="4:5" hidden="1" x14ac:dyDescent="0.3">
      <c r="D1829" s="284"/>
      <c r="E1829" s="285"/>
    </row>
    <row r="1830" spans="4:5" hidden="1" x14ac:dyDescent="0.3">
      <c r="D1830" s="284"/>
      <c r="E1830" s="285"/>
    </row>
    <row r="1831" spans="4:5" hidden="1" x14ac:dyDescent="0.3">
      <c r="D1831" s="284"/>
      <c r="E1831" s="285"/>
    </row>
    <row r="1832" spans="4:5" hidden="1" x14ac:dyDescent="0.3">
      <c r="D1832" s="284"/>
      <c r="E1832" s="285"/>
    </row>
    <row r="1833" spans="4:5" hidden="1" x14ac:dyDescent="0.3">
      <c r="D1833" s="284"/>
      <c r="E1833" s="285"/>
    </row>
    <row r="1834" spans="4:5" hidden="1" x14ac:dyDescent="0.3">
      <c r="D1834" s="284"/>
      <c r="E1834" s="285"/>
    </row>
    <row r="1835" spans="4:5" hidden="1" x14ac:dyDescent="0.3">
      <c r="D1835" s="284"/>
      <c r="E1835" s="285"/>
    </row>
    <row r="1836" spans="4:5" hidden="1" x14ac:dyDescent="0.3">
      <c r="D1836" s="284"/>
      <c r="E1836" s="285"/>
    </row>
    <row r="1837" spans="4:5" hidden="1" x14ac:dyDescent="0.3">
      <c r="D1837" s="284"/>
      <c r="E1837" s="285"/>
    </row>
    <row r="1838" spans="4:5" hidden="1" x14ac:dyDescent="0.3">
      <c r="D1838" s="284"/>
      <c r="E1838" s="285"/>
    </row>
    <row r="1839" spans="4:5" hidden="1" x14ac:dyDescent="0.3">
      <c r="D1839" s="284"/>
      <c r="E1839" s="285"/>
    </row>
    <row r="1840" spans="4:5" hidden="1" x14ac:dyDescent="0.3">
      <c r="D1840" s="284"/>
      <c r="E1840" s="285"/>
    </row>
    <row r="1841" spans="4:5" hidden="1" x14ac:dyDescent="0.3">
      <c r="D1841" s="284"/>
      <c r="E1841" s="285"/>
    </row>
    <row r="1842" spans="4:5" hidden="1" x14ac:dyDescent="0.3">
      <c r="D1842" s="284"/>
      <c r="E1842" s="285"/>
    </row>
    <row r="1843" spans="4:5" hidden="1" x14ac:dyDescent="0.3">
      <c r="D1843" s="284"/>
      <c r="E1843" s="285"/>
    </row>
    <row r="1844" spans="4:5" hidden="1" x14ac:dyDescent="0.3">
      <c r="D1844" s="284"/>
      <c r="E1844" s="285"/>
    </row>
    <row r="1845" spans="4:5" hidden="1" x14ac:dyDescent="0.3">
      <c r="D1845" s="284"/>
      <c r="E1845" s="285"/>
    </row>
    <row r="1846" spans="4:5" hidden="1" x14ac:dyDescent="0.3">
      <c r="D1846" s="284"/>
      <c r="E1846" s="285"/>
    </row>
    <row r="1847" spans="4:5" hidden="1" x14ac:dyDescent="0.3">
      <c r="D1847" s="284"/>
      <c r="E1847" s="285"/>
    </row>
    <row r="1848" spans="4:5" hidden="1" x14ac:dyDescent="0.3">
      <c r="D1848" s="284"/>
      <c r="E1848" s="285"/>
    </row>
    <row r="1849" spans="4:5" hidden="1" x14ac:dyDescent="0.3">
      <c r="D1849" s="284"/>
      <c r="E1849" s="285"/>
    </row>
    <row r="1850" spans="4:5" hidden="1" x14ac:dyDescent="0.3">
      <c r="D1850" s="284"/>
      <c r="E1850" s="285"/>
    </row>
    <row r="1851" spans="4:5" hidden="1" x14ac:dyDescent="0.3">
      <c r="D1851" s="284"/>
      <c r="E1851" s="285"/>
    </row>
    <row r="1852" spans="4:5" hidden="1" x14ac:dyDescent="0.3">
      <c r="D1852" s="284"/>
      <c r="E1852" s="285"/>
    </row>
    <row r="1853" spans="4:5" hidden="1" x14ac:dyDescent="0.3">
      <c r="D1853" s="284"/>
      <c r="E1853" s="285"/>
    </row>
    <row r="1854" spans="4:5" hidden="1" x14ac:dyDescent="0.3">
      <c r="D1854" s="284"/>
      <c r="E1854" s="285"/>
    </row>
    <row r="1855" spans="4:5" hidden="1" x14ac:dyDescent="0.3">
      <c r="D1855" s="284"/>
      <c r="E1855" s="285"/>
    </row>
    <row r="1856" spans="4:5" hidden="1" x14ac:dyDescent="0.3">
      <c r="D1856" s="284"/>
      <c r="E1856" s="285"/>
    </row>
    <row r="1857" spans="4:5" hidden="1" x14ac:dyDescent="0.3">
      <c r="D1857" s="284"/>
      <c r="E1857" s="285"/>
    </row>
    <row r="1858" spans="4:5" hidden="1" x14ac:dyDescent="0.3">
      <c r="D1858" s="284"/>
      <c r="E1858" s="285"/>
    </row>
    <row r="1859" spans="4:5" hidden="1" x14ac:dyDescent="0.3">
      <c r="D1859" s="284"/>
      <c r="E1859" s="285"/>
    </row>
    <row r="1860" spans="4:5" hidden="1" x14ac:dyDescent="0.3">
      <c r="D1860" s="284"/>
      <c r="E1860" s="285"/>
    </row>
    <row r="1861" spans="4:5" hidden="1" x14ac:dyDescent="0.3">
      <c r="D1861" s="284"/>
      <c r="E1861" s="285"/>
    </row>
    <row r="1862" spans="4:5" hidden="1" x14ac:dyDescent="0.3">
      <c r="D1862" s="284"/>
      <c r="E1862" s="285"/>
    </row>
    <row r="1863" spans="4:5" hidden="1" x14ac:dyDescent="0.3">
      <c r="D1863" s="284"/>
      <c r="E1863" s="285"/>
    </row>
    <row r="1864" spans="4:5" hidden="1" x14ac:dyDescent="0.3">
      <c r="D1864" s="284"/>
      <c r="E1864" s="285"/>
    </row>
    <row r="1865" spans="4:5" hidden="1" x14ac:dyDescent="0.3">
      <c r="D1865" s="284"/>
      <c r="E1865" s="285"/>
    </row>
    <row r="1866" spans="4:5" hidden="1" x14ac:dyDescent="0.3">
      <c r="D1866" s="284"/>
      <c r="E1866" s="285"/>
    </row>
    <row r="1867" spans="4:5" hidden="1" x14ac:dyDescent="0.3">
      <c r="D1867" s="284"/>
      <c r="E1867" s="285"/>
    </row>
    <row r="1868" spans="4:5" hidden="1" x14ac:dyDescent="0.3">
      <c r="D1868" s="284"/>
      <c r="E1868" s="285"/>
    </row>
    <row r="1869" spans="4:5" hidden="1" x14ac:dyDescent="0.3">
      <c r="D1869" s="284"/>
      <c r="E1869" s="285"/>
    </row>
    <row r="1870" spans="4:5" hidden="1" x14ac:dyDescent="0.3">
      <c r="D1870" s="284"/>
      <c r="E1870" s="285"/>
    </row>
    <row r="1871" spans="4:5" hidden="1" x14ac:dyDescent="0.3">
      <c r="D1871" s="284"/>
      <c r="E1871" s="285"/>
    </row>
    <row r="1872" spans="4:5" hidden="1" x14ac:dyDescent="0.3">
      <c r="D1872" s="284"/>
      <c r="E1872" s="285"/>
    </row>
    <row r="1873" spans="4:5" hidden="1" x14ac:dyDescent="0.3">
      <c r="D1873" s="284"/>
      <c r="E1873" s="285"/>
    </row>
    <row r="1874" spans="4:5" hidden="1" x14ac:dyDescent="0.3">
      <c r="D1874" s="284"/>
      <c r="E1874" s="285"/>
    </row>
    <row r="1875" spans="4:5" hidden="1" x14ac:dyDescent="0.3">
      <c r="D1875" s="284"/>
      <c r="E1875" s="285"/>
    </row>
    <row r="1876" spans="4:5" hidden="1" x14ac:dyDescent="0.3">
      <c r="D1876" s="284"/>
      <c r="E1876" s="285"/>
    </row>
    <row r="1877" spans="4:5" hidden="1" x14ac:dyDescent="0.3">
      <c r="D1877" s="284"/>
      <c r="E1877" s="285"/>
    </row>
    <row r="1878" spans="4:5" hidden="1" x14ac:dyDescent="0.3">
      <c r="D1878" s="284"/>
      <c r="E1878" s="285"/>
    </row>
    <row r="1879" spans="4:5" hidden="1" x14ac:dyDescent="0.3">
      <c r="D1879" s="284"/>
      <c r="E1879" s="285"/>
    </row>
    <row r="1880" spans="4:5" hidden="1" x14ac:dyDescent="0.3">
      <c r="D1880" s="284"/>
      <c r="E1880" s="285"/>
    </row>
    <row r="1881" spans="4:5" hidden="1" x14ac:dyDescent="0.3">
      <c r="D1881" s="284"/>
      <c r="E1881" s="285"/>
    </row>
    <row r="1882" spans="4:5" hidden="1" x14ac:dyDescent="0.3">
      <c r="D1882" s="284"/>
      <c r="E1882" s="285"/>
    </row>
    <row r="1883" spans="4:5" hidden="1" x14ac:dyDescent="0.3">
      <c r="D1883" s="284"/>
      <c r="E1883" s="285"/>
    </row>
    <row r="1884" spans="4:5" hidden="1" x14ac:dyDescent="0.3">
      <c r="D1884" s="284"/>
      <c r="E1884" s="285"/>
    </row>
    <row r="1885" spans="4:5" hidden="1" x14ac:dyDescent="0.3">
      <c r="D1885" s="284"/>
      <c r="E1885" s="285"/>
    </row>
    <row r="1886" spans="4:5" hidden="1" x14ac:dyDescent="0.3">
      <c r="D1886" s="284"/>
      <c r="E1886" s="285"/>
    </row>
    <row r="1887" spans="4:5" hidden="1" x14ac:dyDescent="0.3">
      <c r="D1887" s="284"/>
      <c r="E1887" s="285"/>
    </row>
    <row r="1888" spans="4:5" hidden="1" x14ac:dyDescent="0.3">
      <c r="D1888" s="284"/>
      <c r="E1888" s="285"/>
    </row>
    <row r="1889" spans="4:5" hidden="1" x14ac:dyDescent="0.3">
      <c r="D1889" s="284"/>
      <c r="E1889" s="285"/>
    </row>
    <row r="1890" spans="4:5" hidden="1" x14ac:dyDescent="0.3">
      <c r="D1890" s="284"/>
      <c r="E1890" s="285"/>
    </row>
    <row r="1891" spans="4:5" hidden="1" x14ac:dyDescent="0.3">
      <c r="D1891" s="284"/>
      <c r="E1891" s="285"/>
    </row>
    <row r="1892" spans="4:5" hidden="1" x14ac:dyDescent="0.3">
      <c r="D1892" s="284"/>
      <c r="E1892" s="285"/>
    </row>
    <row r="1893" spans="4:5" hidden="1" x14ac:dyDescent="0.3">
      <c r="D1893" s="284"/>
      <c r="E1893" s="285"/>
    </row>
    <row r="1894" spans="4:5" hidden="1" x14ac:dyDescent="0.3">
      <c r="D1894" s="284"/>
      <c r="E1894" s="285"/>
    </row>
    <row r="1895" spans="4:5" hidden="1" x14ac:dyDescent="0.3">
      <c r="D1895" s="284"/>
      <c r="E1895" s="285"/>
    </row>
    <row r="1896" spans="4:5" hidden="1" x14ac:dyDescent="0.3">
      <c r="D1896" s="284"/>
      <c r="E1896" s="285"/>
    </row>
    <row r="1897" spans="4:5" hidden="1" x14ac:dyDescent="0.3">
      <c r="D1897" s="284"/>
      <c r="E1897" s="285"/>
    </row>
    <row r="1898" spans="4:5" hidden="1" x14ac:dyDescent="0.3">
      <c r="D1898" s="284"/>
      <c r="E1898" s="285"/>
    </row>
    <row r="1899" spans="4:5" hidden="1" x14ac:dyDescent="0.3">
      <c r="D1899" s="284"/>
      <c r="E1899" s="285"/>
    </row>
    <row r="1900" spans="4:5" hidden="1" x14ac:dyDescent="0.3">
      <c r="D1900" s="284"/>
      <c r="E1900" s="285"/>
    </row>
    <row r="1901" spans="4:5" hidden="1" x14ac:dyDescent="0.3">
      <c r="D1901" s="284"/>
      <c r="E1901" s="285"/>
    </row>
    <row r="1902" spans="4:5" hidden="1" x14ac:dyDescent="0.3">
      <c r="D1902" s="284"/>
      <c r="E1902" s="285"/>
    </row>
    <row r="1903" spans="4:5" hidden="1" x14ac:dyDescent="0.3">
      <c r="D1903" s="284"/>
      <c r="E1903" s="285"/>
    </row>
    <row r="1904" spans="4:5" hidden="1" x14ac:dyDescent="0.3">
      <c r="D1904" s="284"/>
      <c r="E1904" s="285"/>
    </row>
    <row r="1905" spans="4:5" hidden="1" x14ac:dyDescent="0.3">
      <c r="D1905" s="284"/>
      <c r="E1905" s="285"/>
    </row>
    <row r="1906" spans="4:5" hidden="1" x14ac:dyDescent="0.3">
      <c r="D1906" s="284"/>
      <c r="E1906" s="285"/>
    </row>
    <row r="1907" spans="4:5" hidden="1" x14ac:dyDescent="0.3">
      <c r="D1907" s="284"/>
      <c r="E1907" s="285"/>
    </row>
    <row r="1908" spans="4:5" hidden="1" x14ac:dyDescent="0.3">
      <c r="D1908" s="284"/>
      <c r="E1908" s="285"/>
    </row>
    <row r="1909" spans="4:5" hidden="1" x14ac:dyDescent="0.3">
      <c r="D1909" s="284"/>
      <c r="E1909" s="285"/>
    </row>
    <row r="1910" spans="4:5" hidden="1" x14ac:dyDescent="0.3">
      <c r="D1910" s="284"/>
      <c r="E1910" s="285"/>
    </row>
    <row r="1911" spans="4:5" hidden="1" x14ac:dyDescent="0.3">
      <c r="D1911" s="284"/>
      <c r="E1911" s="285"/>
    </row>
    <row r="1912" spans="4:5" hidden="1" x14ac:dyDescent="0.3">
      <c r="D1912" s="284"/>
      <c r="E1912" s="285"/>
    </row>
    <row r="1913" spans="4:5" hidden="1" x14ac:dyDescent="0.3">
      <c r="D1913" s="284"/>
      <c r="E1913" s="285"/>
    </row>
    <row r="1914" spans="4:5" hidden="1" x14ac:dyDescent="0.3">
      <c r="D1914" s="284"/>
      <c r="E1914" s="285"/>
    </row>
    <row r="1915" spans="4:5" hidden="1" x14ac:dyDescent="0.3">
      <c r="D1915" s="284"/>
      <c r="E1915" s="285"/>
    </row>
    <row r="1916" spans="4:5" hidden="1" x14ac:dyDescent="0.3">
      <c r="D1916" s="284"/>
      <c r="E1916" s="285"/>
    </row>
    <row r="1917" spans="4:5" hidden="1" x14ac:dyDescent="0.3">
      <c r="D1917" s="284"/>
      <c r="E1917" s="285"/>
    </row>
    <row r="1918" spans="4:5" hidden="1" x14ac:dyDescent="0.3">
      <c r="D1918" s="284"/>
      <c r="E1918" s="285"/>
    </row>
    <row r="1919" spans="4:5" hidden="1" x14ac:dyDescent="0.3">
      <c r="D1919" s="284"/>
      <c r="E1919" s="285"/>
    </row>
    <row r="1920" spans="4:5" hidden="1" x14ac:dyDescent="0.3">
      <c r="D1920" s="284"/>
      <c r="E1920" s="285"/>
    </row>
    <row r="1921" spans="4:5" hidden="1" x14ac:dyDescent="0.3">
      <c r="D1921" s="284"/>
      <c r="E1921" s="285"/>
    </row>
    <row r="1922" spans="4:5" hidden="1" x14ac:dyDescent="0.3">
      <c r="D1922" s="284"/>
      <c r="E1922" s="285"/>
    </row>
    <row r="1923" spans="4:5" hidden="1" x14ac:dyDescent="0.3">
      <c r="D1923" s="284"/>
      <c r="E1923" s="285"/>
    </row>
    <row r="1924" spans="4:5" hidden="1" x14ac:dyDescent="0.3">
      <c r="D1924" s="284"/>
      <c r="E1924" s="285"/>
    </row>
    <row r="1925" spans="4:5" hidden="1" x14ac:dyDescent="0.3">
      <c r="D1925" s="284"/>
      <c r="E1925" s="285"/>
    </row>
    <row r="1926" spans="4:5" hidden="1" x14ac:dyDescent="0.3">
      <c r="D1926" s="284"/>
      <c r="E1926" s="285"/>
    </row>
    <row r="1927" spans="4:5" hidden="1" x14ac:dyDescent="0.3">
      <c r="D1927" s="284"/>
      <c r="E1927" s="285"/>
    </row>
    <row r="1928" spans="4:5" hidden="1" x14ac:dyDescent="0.3">
      <c r="D1928" s="284"/>
      <c r="E1928" s="285"/>
    </row>
    <row r="1929" spans="4:5" hidden="1" x14ac:dyDescent="0.3">
      <c r="D1929" s="284"/>
      <c r="E1929" s="285"/>
    </row>
    <row r="1930" spans="4:5" hidden="1" x14ac:dyDescent="0.3">
      <c r="D1930" s="284"/>
      <c r="E1930" s="285"/>
    </row>
    <row r="1931" spans="4:5" hidden="1" x14ac:dyDescent="0.3">
      <c r="D1931" s="284"/>
      <c r="E1931" s="285"/>
    </row>
    <row r="1932" spans="4:5" hidden="1" x14ac:dyDescent="0.3">
      <c r="D1932" s="284"/>
      <c r="E1932" s="285"/>
    </row>
    <row r="1933" spans="4:5" hidden="1" x14ac:dyDescent="0.3">
      <c r="D1933" s="284"/>
      <c r="E1933" s="285"/>
    </row>
    <row r="1934" spans="4:5" hidden="1" x14ac:dyDescent="0.3">
      <c r="D1934" s="284"/>
      <c r="E1934" s="285"/>
    </row>
    <row r="1935" spans="4:5" hidden="1" x14ac:dyDescent="0.3">
      <c r="D1935" s="284"/>
      <c r="E1935" s="285"/>
    </row>
    <row r="1936" spans="4:5" hidden="1" x14ac:dyDescent="0.3">
      <c r="D1936" s="284"/>
      <c r="E1936" s="285"/>
    </row>
    <row r="1937" spans="4:5" hidden="1" x14ac:dyDescent="0.3">
      <c r="D1937" s="284"/>
      <c r="E1937" s="285"/>
    </row>
    <row r="1938" spans="4:5" hidden="1" x14ac:dyDescent="0.3">
      <c r="D1938" s="284"/>
      <c r="E1938" s="285"/>
    </row>
    <row r="1939" spans="4:5" hidden="1" x14ac:dyDescent="0.3">
      <c r="D1939" s="284"/>
      <c r="E1939" s="285"/>
    </row>
    <row r="1940" spans="4:5" hidden="1" x14ac:dyDescent="0.3">
      <c r="D1940" s="284"/>
      <c r="E1940" s="285"/>
    </row>
    <row r="1941" spans="4:5" hidden="1" x14ac:dyDescent="0.3">
      <c r="D1941" s="284"/>
      <c r="E1941" s="285"/>
    </row>
    <row r="1942" spans="4:5" hidden="1" x14ac:dyDescent="0.3">
      <c r="D1942" s="284"/>
      <c r="E1942" s="285"/>
    </row>
    <row r="1943" spans="4:5" hidden="1" x14ac:dyDescent="0.3">
      <c r="D1943" s="284"/>
      <c r="E1943" s="285"/>
    </row>
    <row r="1944" spans="4:5" hidden="1" x14ac:dyDescent="0.3">
      <c r="D1944" s="284"/>
      <c r="E1944" s="285"/>
    </row>
    <row r="1945" spans="4:5" hidden="1" x14ac:dyDescent="0.3">
      <c r="D1945" s="284"/>
      <c r="E1945" s="285"/>
    </row>
    <row r="1946" spans="4:5" hidden="1" x14ac:dyDescent="0.3">
      <c r="D1946" s="284"/>
      <c r="E1946" s="285"/>
    </row>
    <row r="1947" spans="4:5" hidden="1" x14ac:dyDescent="0.3">
      <c r="D1947" s="284"/>
      <c r="E1947" s="285"/>
    </row>
    <row r="1948" spans="4:5" hidden="1" x14ac:dyDescent="0.3">
      <c r="D1948" s="284"/>
      <c r="E1948" s="285"/>
    </row>
    <row r="1949" spans="4:5" hidden="1" x14ac:dyDescent="0.3">
      <c r="D1949" s="284"/>
      <c r="E1949" s="285"/>
    </row>
    <row r="1950" spans="4:5" hidden="1" x14ac:dyDescent="0.3">
      <c r="D1950" s="284"/>
      <c r="E1950" s="285"/>
    </row>
    <row r="1951" spans="4:5" hidden="1" x14ac:dyDescent="0.3">
      <c r="D1951" s="284"/>
      <c r="E1951" s="285"/>
    </row>
    <row r="1952" spans="4:5" hidden="1" x14ac:dyDescent="0.3">
      <c r="D1952" s="284"/>
      <c r="E1952" s="285"/>
    </row>
    <row r="1953" spans="4:5" hidden="1" x14ac:dyDescent="0.3">
      <c r="D1953" s="284"/>
      <c r="E1953" s="285"/>
    </row>
    <row r="1954" spans="4:5" hidden="1" x14ac:dyDescent="0.3">
      <c r="D1954" s="284"/>
      <c r="E1954" s="285"/>
    </row>
    <row r="1955" spans="4:5" hidden="1" x14ac:dyDescent="0.3">
      <c r="D1955" s="284"/>
      <c r="E1955" s="285"/>
    </row>
    <row r="1956" spans="4:5" hidden="1" x14ac:dyDescent="0.3">
      <c r="D1956" s="284"/>
      <c r="E1956" s="285"/>
    </row>
    <row r="1957" spans="4:5" hidden="1" x14ac:dyDescent="0.3">
      <c r="D1957" s="284"/>
      <c r="E1957" s="285"/>
    </row>
    <row r="1958" spans="4:5" hidden="1" x14ac:dyDescent="0.3">
      <c r="D1958" s="284"/>
      <c r="E1958" s="285"/>
    </row>
    <row r="1959" spans="4:5" hidden="1" x14ac:dyDescent="0.3">
      <c r="D1959" s="284"/>
      <c r="E1959" s="285"/>
    </row>
    <row r="1960" spans="4:5" hidden="1" x14ac:dyDescent="0.3">
      <c r="D1960" s="284"/>
      <c r="E1960" s="285"/>
    </row>
    <row r="1961" spans="4:5" hidden="1" x14ac:dyDescent="0.3">
      <c r="D1961" s="284"/>
      <c r="E1961" s="285"/>
    </row>
    <row r="1962" spans="4:5" hidden="1" x14ac:dyDescent="0.3">
      <c r="D1962" s="284"/>
      <c r="E1962" s="285"/>
    </row>
    <row r="1963" spans="4:5" hidden="1" x14ac:dyDescent="0.3">
      <c r="D1963" s="284"/>
      <c r="E1963" s="285"/>
    </row>
    <row r="1964" spans="4:5" hidden="1" x14ac:dyDescent="0.3">
      <c r="D1964" s="284"/>
      <c r="E1964" s="285"/>
    </row>
    <row r="1965" spans="4:5" hidden="1" x14ac:dyDescent="0.3">
      <c r="D1965" s="284"/>
      <c r="E1965" s="285"/>
    </row>
    <row r="1966" spans="4:5" hidden="1" x14ac:dyDescent="0.3">
      <c r="D1966" s="284"/>
      <c r="E1966" s="285"/>
    </row>
    <row r="1967" spans="4:5" hidden="1" x14ac:dyDescent="0.3">
      <c r="D1967" s="284"/>
      <c r="E1967" s="285"/>
    </row>
    <row r="1968" spans="4:5" hidden="1" x14ac:dyDescent="0.3">
      <c r="D1968" s="284"/>
      <c r="E1968" s="285"/>
    </row>
    <row r="1969" spans="4:5" hidden="1" x14ac:dyDescent="0.3">
      <c r="D1969" s="284"/>
      <c r="E1969" s="285"/>
    </row>
    <row r="1970" spans="4:5" hidden="1" x14ac:dyDescent="0.3">
      <c r="D1970" s="284"/>
      <c r="E1970" s="285"/>
    </row>
    <row r="1971" spans="4:5" hidden="1" x14ac:dyDescent="0.3">
      <c r="D1971" s="284"/>
      <c r="E1971" s="285"/>
    </row>
    <row r="1972" spans="4:5" hidden="1" x14ac:dyDescent="0.3">
      <c r="D1972" s="284"/>
      <c r="E1972" s="285"/>
    </row>
    <row r="1973" spans="4:5" hidden="1" x14ac:dyDescent="0.3">
      <c r="D1973" s="284"/>
      <c r="E1973" s="285"/>
    </row>
    <row r="1974" spans="4:5" hidden="1" x14ac:dyDescent="0.3">
      <c r="D1974" s="284"/>
      <c r="E1974" s="285"/>
    </row>
    <row r="1975" spans="4:5" hidden="1" x14ac:dyDescent="0.3">
      <c r="D1975" s="284"/>
      <c r="E1975" s="285"/>
    </row>
    <row r="1976" spans="4:5" hidden="1" x14ac:dyDescent="0.3">
      <c r="D1976" s="284"/>
      <c r="E1976" s="285"/>
    </row>
    <row r="1977" spans="4:5" hidden="1" x14ac:dyDescent="0.3">
      <c r="D1977" s="284"/>
      <c r="E1977" s="285"/>
    </row>
    <row r="1978" spans="4:5" hidden="1" x14ac:dyDescent="0.3">
      <c r="D1978" s="284"/>
      <c r="E1978" s="285"/>
    </row>
    <row r="1979" spans="4:5" hidden="1" x14ac:dyDescent="0.3">
      <c r="D1979" s="284"/>
      <c r="E1979" s="285"/>
    </row>
    <row r="1980" spans="4:5" hidden="1" x14ac:dyDescent="0.3">
      <c r="D1980" s="284"/>
      <c r="E1980" s="285"/>
    </row>
    <row r="1981" spans="4:5" hidden="1" x14ac:dyDescent="0.3">
      <c r="D1981" s="284"/>
      <c r="E1981" s="285"/>
    </row>
    <row r="1982" spans="4:5" hidden="1" x14ac:dyDescent="0.3">
      <c r="D1982" s="284"/>
      <c r="E1982" s="285"/>
    </row>
    <row r="1983" spans="4:5" hidden="1" x14ac:dyDescent="0.3">
      <c r="D1983" s="284"/>
      <c r="E1983" s="285"/>
    </row>
    <row r="1984" spans="4:5" hidden="1" x14ac:dyDescent="0.3">
      <c r="D1984" s="284"/>
      <c r="E1984" s="285"/>
    </row>
    <row r="1985" spans="4:5" hidden="1" x14ac:dyDescent="0.3">
      <c r="D1985" s="284"/>
      <c r="E1985" s="285"/>
    </row>
    <row r="1986" spans="4:5" hidden="1" x14ac:dyDescent="0.3">
      <c r="D1986" s="284"/>
      <c r="E1986" s="285"/>
    </row>
    <row r="1987" spans="4:5" hidden="1" x14ac:dyDescent="0.3">
      <c r="D1987" s="284"/>
      <c r="E1987" s="285"/>
    </row>
    <row r="1988" spans="4:5" hidden="1" x14ac:dyDescent="0.3">
      <c r="D1988" s="284"/>
      <c r="E1988" s="285"/>
    </row>
    <row r="1989" spans="4:5" hidden="1" x14ac:dyDescent="0.3">
      <c r="D1989" s="284"/>
      <c r="E1989" s="285"/>
    </row>
    <row r="1990" spans="4:5" hidden="1" x14ac:dyDescent="0.3">
      <c r="D1990" s="284"/>
      <c r="E1990" s="285"/>
    </row>
    <row r="1991" spans="4:5" hidden="1" x14ac:dyDescent="0.3">
      <c r="D1991" s="284"/>
      <c r="E1991" s="285"/>
    </row>
    <row r="1992" spans="4:5" hidden="1" x14ac:dyDescent="0.3">
      <c r="D1992" s="284"/>
      <c r="E1992" s="285"/>
    </row>
    <row r="1993" spans="4:5" hidden="1" x14ac:dyDescent="0.3">
      <c r="D1993" s="284"/>
      <c r="E1993" s="285"/>
    </row>
    <row r="1994" spans="4:5" hidden="1" x14ac:dyDescent="0.3">
      <c r="D1994" s="284"/>
      <c r="E1994" s="285"/>
    </row>
    <row r="1995" spans="4:5" hidden="1" x14ac:dyDescent="0.3">
      <c r="D1995" s="284"/>
      <c r="E1995" s="285"/>
    </row>
    <row r="1996" spans="4:5" hidden="1" x14ac:dyDescent="0.3">
      <c r="D1996" s="284"/>
      <c r="E1996" s="285"/>
    </row>
    <row r="1997" spans="4:5" hidden="1" x14ac:dyDescent="0.3">
      <c r="D1997" s="284"/>
      <c r="E1997" s="285"/>
    </row>
    <row r="1998" spans="4:5" hidden="1" x14ac:dyDescent="0.3">
      <c r="D1998" s="284"/>
      <c r="E1998" s="285"/>
    </row>
    <row r="1999" spans="4:5" hidden="1" x14ac:dyDescent="0.3">
      <c r="D1999" s="284"/>
      <c r="E1999" s="285"/>
    </row>
    <row r="2000" spans="4:5" hidden="1" x14ac:dyDescent="0.3">
      <c r="D2000" s="284"/>
      <c r="E2000" s="285"/>
    </row>
    <row r="2001" spans="4:5" hidden="1" x14ac:dyDescent="0.3">
      <c r="D2001" s="284"/>
      <c r="E2001" s="285"/>
    </row>
    <row r="2002" spans="4:5" hidden="1" x14ac:dyDescent="0.3">
      <c r="D2002" s="284"/>
      <c r="E2002" s="285"/>
    </row>
    <row r="2003" spans="4:5" hidden="1" x14ac:dyDescent="0.3">
      <c r="D2003" s="284"/>
      <c r="E2003" s="285"/>
    </row>
    <row r="2004" spans="4:5" hidden="1" x14ac:dyDescent="0.3">
      <c r="D2004" s="284"/>
      <c r="E2004" s="285"/>
    </row>
    <row r="2005" spans="4:5" hidden="1" x14ac:dyDescent="0.3">
      <c r="D2005" s="284"/>
      <c r="E2005" s="285"/>
    </row>
    <row r="2006" spans="4:5" hidden="1" x14ac:dyDescent="0.3">
      <c r="D2006" s="284"/>
      <c r="E2006" s="285"/>
    </row>
    <row r="2007" spans="4:5" hidden="1" x14ac:dyDescent="0.3">
      <c r="D2007" s="284"/>
      <c r="E2007" s="285"/>
    </row>
    <row r="2008" spans="4:5" hidden="1" x14ac:dyDescent="0.3">
      <c r="D2008" s="284"/>
      <c r="E2008" s="285"/>
    </row>
    <row r="2009" spans="4:5" hidden="1" x14ac:dyDescent="0.3">
      <c r="D2009" s="284"/>
      <c r="E2009" s="285"/>
    </row>
    <row r="2010" spans="4:5" hidden="1" x14ac:dyDescent="0.3">
      <c r="D2010" s="284"/>
      <c r="E2010" s="285"/>
    </row>
    <row r="2011" spans="4:5" hidden="1" x14ac:dyDescent="0.3">
      <c r="D2011" s="284"/>
      <c r="E2011" s="285"/>
    </row>
    <row r="2012" spans="4:5" hidden="1" x14ac:dyDescent="0.3">
      <c r="D2012" s="284"/>
      <c r="E2012" s="285"/>
    </row>
    <row r="2013" spans="4:5" hidden="1" x14ac:dyDescent="0.3">
      <c r="D2013" s="284"/>
      <c r="E2013" s="285"/>
    </row>
    <row r="2014" spans="4:5" hidden="1" x14ac:dyDescent="0.3">
      <c r="D2014" s="284"/>
      <c r="E2014" s="285"/>
    </row>
    <row r="2015" spans="4:5" hidden="1" x14ac:dyDescent="0.3">
      <c r="D2015" s="284"/>
      <c r="E2015" s="285"/>
    </row>
    <row r="2016" spans="4:5" hidden="1" x14ac:dyDescent="0.3">
      <c r="D2016" s="284"/>
      <c r="E2016" s="285"/>
    </row>
    <row r="2017" spans="4:5" hidden="1" x14ac:dyDescent="0.3">
      <c r="D2017" s="284"/>
      <c r="E2017" s="285"/>
    </row>
    <row r="2018" spans="4:5" hidden="1" x14ac:dyDescent="0.3">
      <c r="D2018" s="284"/>
      <c r="E2018" s="285"/>
    </row>
    <row r="2019" spans="4:5" hidden="1" x14ac:dyDescent="0.3">
      <c r="D2019" s="284"/>
      <c r="E2019" s="285"/>
    </row>
    <row r="2020" spans="4:5" hidden="1" x14ac:dyDescent="0.3">
      <c r="D2020" s="284"/>
      <c r="E2020" s="285"/>
    </row>
    <row r="2021" spans="4:5" hidden="1" x14ac:dyDescent="0.3">
      <c r="D2021" s="284"/>
      <c r="E2021" s="285"/>
    </row>
    <row r="2022" spans="4:5" hidden="1" x14ac:dyDescent="0.3">
      <c r="D2022" s="284"/>
      <c r="E2022" s="285"/>
    </row>
    <row r="2023" spans="4:5" hidden="1" x14ac:dyDescent="0.3">
      <c r="D2023" s="284"/>
      <c r="E2023" s="285"/>
    </row>
    <row r="2024" spans="4:5" hidden="1" x14ac:dyDescent="0.3">
      <c r="D2024" s="284"/>
      <c r="E2024" s="285"/>
    </row>
    <row r="2025" spans="4:5" hidden="1" x14ac:dyDescent="0.3">
      <c r="D2025" s="284"/>
      <c r="E2025" s="285"/>
    </row>
    <row r="2026" spans="4:5" hidden="1" x14ac:dyDescent="0.3">
      <c r="D2026" s="284"/>
      <c r="E2026" s="285"/>
    </row>
    <row r="2027" spans="4:5" hidden="1" x14ac:dyDescent="0.3">
      <c r="D2027" s="284"/>
      <c r="E2027" s="285"/>
    </row>
    <row r="2028" spans="4:5" hidden="1" x14ac:dyDescent="0.3">
      <c r="D2028" s="284"/>
      <c r="E2028" s="285"/>
    </row>
    <row r="2029" spans="4:5" hidden="1" x14ac:dyDescent="0.3">
      <c r="D2029" s="284"/>
      <c r="E2029" s="285"/>
    </row>
    <row r="2030" spans="4:5" hidden="1" x14ac:dyDescent="0.3">
      <c r="D2030" s="284"/>
      <c r="E2030" s="285"/>
    </row>
    <row r="2031" spans="4:5" hidden="1" x14ac:dyDescent="0.3">
      <c r="D2031" s="284"/>
      <c r="E2031" s="285"/>
    </row>
    <row r="2032" spans="4:5" hidden="1" x14ac:dyDescent="0.3">
      <c r="D2032" s="284"/>
      <c r="E2032" s="285"/>
    </row>
    <row r="2033" spans="4:5" hidden="1" x14ac:dyDescent="0.3">
      <c r="D2033" s="284"/>
      <c r="E2033" s="285"/>
    </row>
    <row r="2034" spans="4:5" hidden="1" x14ac:dyDescent="0.3">
      <c r="D2034" s="284"/>
      <c r="E2034" s="285"/>
    </row>
    <row r="2035" spans="4:5" hidden="1" x14ac:dyDescent="0.3">
      <c r="D2035" s="284"/>
      <c r="E2035" s="285"/>
    </row>
    <row r="2036" spans="4:5" hidden="1" x14ac:dyDescent="0.3">
      <c r="D2036" s="284"/>
      <c r="E2036" s="285"/>
    </row>
    <row r="2037" spans="4:5" hidden="1" x14ac:dyDescent="0.3">
      <c r="D2037" s="284"/>
      <c r="E2037" s="285"/>
    </row>
    <row r="2038" spans="4:5" hidden="1" x14ac:dyDescent="0.3">
      <c r="D2038" s="284"/>
      <c r="E2038" s="285"/>
    </row>
    <row r="2039" spans="4:5" hidden="1" x14ac:dyDescent="0.3">
      <c r="D2039" s="284"/>
      <c r="E2039" s="285"/>
    </row>
    <row r="2040" spans="4:5" hidden="1" x14ac:dyDescent="0.3">
      <c r="D2040" s="284"/>
      <c r="E2040" s="285"/>
    </row>
    <row r="2041" spans="4:5" hidden="1" x14ac:dyDescent="0.3">
      <c r="D2041" s="284"/>
      <c r="E2041" s="285"/>
    </row>
    <row r="2042" spans="4:5" hidden="1" x14ac:dyDescent="0.3">
      <c r="D2042" s="284"/>
      <c r="E2042" s="285"/>
    </row>
    <row r="2043" spans="4:5" hidden="1" x14ac:dyDescent="0.3">
      <c r="D2043" s="284"/>
      <c r="E2043" s="285"/>
    </row>
    <row r="2044" spans="4:5" hidden="1" x14ac:dyDescent="0.3">
      <c r="D2044" s="284"/>
      <c r="E2044" s="285"/>
    </row>
    <row r="2045" spans="4:5" hidden="1" x14ac:dyDescent="0.3">
      <c r="D2045" s="284"/>
      <c r="E2045" s="285"/>
    </row>
    <row r="2046" spans="4:5" hidden="1" x14ac:dyDescent="0.3">
      <c r="D2046" s="284"/>
      <c r="E2046" s="285"/>
    </row>
    <row r="2047" spans="4:5" hidden="1" x14ac:dyDescent="0.3">
      <c r="D2047" s="284"/>
      <c r="E2047" s="285"/>
    </row>
    <row r="2048" spans="4:5" hidden="1" x14ac:dyDescent="0.3">
      <c r="D2048" s="284"/>
      <c r="E2048" s="285"/>
    </row>
    <row r="2049" spans="4:5" hidden="1" x14ac:dyDescent="0.3">
      <c r="D2049" s="284"/>
      <c r="E2049" s="285"/>
    </row>
    <row r="2050" spans="4:5" hidden="1" x14ac:dyDescent="0.3">
      <c r="D2050" s="284"/>
      <c r="E2050" s="285"/>
    </row>
    <row r="2051" spans="4:5" hidden="1" x14ac:dyDescent="0.3">
      <c r="D2051" s="284"/>
      <c r="E2051" s="285"/>
    </row>
    <row r="2052" spans="4:5" hidden="1" x14ac:dyDescent="0.3">
      <c r="D2052" s="284"/>
      <c r="E2052" s="285"/>
    </row>
    <row r="2053" spans="4:5" hidden="1" x14ac:dyDescent="0.3">
      <c r="D2053" s="284"/>
      <c r="E2053" s="285"/>
    </row>
    <row r="2054" spans="4:5" hidden="1" x14ac:dyDescent="0.3">
      <c r="D2054" s="284"/>
      <c r="E2054" s="285"/>
    </row>
    <row r="2055" spans="4:5" hidden="1" x14ac:dyDescent="0.3">
      <c r="D2055" s="284"/>
      <c r="E2055" s="285"/>
    </row>
    <row r="2056" spans="4:5" hidden="1" x14ac:dyDescent="0.3">
      <c r="D2056" s="284"/>
      <c r="E2056" s="285"/>
    </row>
    <row r="2057" spans="4:5" hidden="1" x14ac:dyDescent="0.3">
      <c r="D2057" s="284"/>
      <c r="E2057" s="285"/>
    </row>
    <row r="2058" spans="4:5" hidden="1" x14ac:dyDescent="0.3">
      <c r="D2058" s="284"/>
      <c r="E2058" s="285"/>
    </row>
    <row r="2059" spans="4:5" hidden="1" x14ac:dyDescent="0.3">
      <c r="D2059" s="284"/>
      <c r="E2059" s="285"/>
    </row>
    <row r="2060" spans="4:5" hidden="1" x14ac:dyDescent="0.3">
      <c r="D2060" s="284"/>
      <c r="E2060" s="285"/>
    </row>
    <row r="2061" spans="4:5" hidden="1" x14ac:dyDescent="0.3">
      <c r="D2061" s="284"/>
      <c r="E2061" s="285"/>
    </row>
    <row r="2062" spans="4:5" hidden="1" x14ac:dyDescent="0.3">
      <c r="D2062" s="284"/>
      <c r="E2062" s="285"/>
    </row>
    <row r="2063" spans="4:5" hidden="1" x14ac:dyDescent="0.3">
      <c r="D2063" s="284"/>
      <c r="E2063" s="285"/>
    </row>
    <row r="2064" spans="4:5" hidden="1" x14ac:dyDescent="0.3">
      <c r="D2064" s="284"/>
      <c r="E2064" s="285"/>
    </row>
    <row r="2065" spans="4:5" hidden="1" x14ac:dyDescent="0.3">
      <c r="D2065" s="284"/>
      <c r="E2065" s="285"/>
    </row>
    <row r="2066" spans="4:5" hidden="1" x14ac:dyDescent="0.3">
      <c r="D2066" s="284"/>
      <c r="E2066" s="285"/>
    </row>
    <row r="2067" spans="4:5" hidden="1" x14ac:dyDescent="0.3">
      <c r="D2067" s="284"/>
      <c r="E2067" s="285"/>
    </row>
    <row r="2068" spans="4:5" hidden="1" x14ac:dyDescent="0.3">
      <c r="D2068" s="284"/>
      <c r="E2068" s="285"/>
    </row>
    <row r="2069" spans="4:5" hidden="1" x14ac:dyDescent="0.3">
      <c r="D2069" s="284"/>
      <c r="E2069" s="285"/>
    </row>
    <row r="2070" spans="4:5" hidden="1" x14ac:dyDescent="0.3">
      <c r="D2070" s="284"/>
      <c r="E2070" s="285"/>
    </row>
    <row r="2071" spans="4:5" hidden="1" x14ac:dyDescent="0.3">
      <c r="D2071" s="284"/>
      <c r="E2071" s="285"/>
    </row>
    <row r="2072" spans="4:5" hidden="1" x14ac:dyDescent="0.3">
      <c r="D2072" s="284"/>
      <c r="E2072" s="285"/>
    </row>
    <row r="2073" spans="4:5" hidden="1" x14ac:dyDescent="0.3">
      <c r="D2073" s="284"/>
      <c r="E2073" s="285"/>
    </row>
    <row r="2074" spans="4:5" hidden="1" x14ac:dyDescent="0.3">
      <c r="D2074" s="284"/>
      <c r="E2074" s="285"/>
    </row>
    <row r="2075" spans="4:5" hidden="1" x14ac:dyDescent="0.3">
      <c r="D2075" s="284"/>
      <c r="E2075" s="285"/>
    </row>
    <row r="2076" spans="4:5" hidden="1" x14ac:dyDescent="0.3">
      <c r="D2076" s="284"/>
      <c r="E2076" s="285"/>
    </row>
    <row r="2077" spans="4:5" hidden="1" x14ac:dyDescent="0.3">
      <c r="D2077" s="284"/>
      <c r="E2077" s="285"/>
    </row>
    <row r="2078" spans="4:5" hidden="1" x14ac:dyDescent="0.3">
      <c r="D2078" s="284"/>
      <c r="E2078" s="285"/>
    </row>
    <row r="2079" spans="4:5" hidden="1" x14ac:dyDescent="0.3">
      <c r="D2079" s="284"/>
      <c r="E2079" s="285"/>
    </row>
    <row r="2080" spans="4:5" hidden="1" x14ac:dyDescent="0.3">
      <c r="D2080" s="284"/>
      <c r="E2080" s="285"/>
    </row>
    <row r="2081" spans="4:5" hidden="1" x14ac:dyDescent="0.3">
      <c r="D2081" s="284"/>
      <c r="E2081" s="285"/>
    </row>
    <row r="2082" spans="4:5" hidden="1" x14ac:dyDescent="0.3">
      <c r="D2082" s="284"/>
      <c r="E2082" s="285"/>
    </row>
    <row r="2083" spans="4:5" hidden="1" x14ac:dyDescent="0.3">
      <c r="D2083" s="284"/>
      <c r="E2083" s="285"/>
    </row>
    <row r="2084" spans="4:5" hidden="1" x14ac:dyDescent="0.3">
      <c r="D2084" s="284"/>
      <c r="E2084" s="285"/>
    </row>
    <row r="2085" spans="4:5" hidden="1" x14ac:dyDescent="0.3">
      <c r="D2085" s="284"/>
      <c r="E2085" s="285"/>
    </row>
    <row r="2086" spans="4:5" hidden="1" x14ac:dyDescent="0.3">
      <c r="D2086" s="284"/>
      <c r="E2086" s="285"/>
    </row>
    <row r="2087" spans="4:5" hidden="1" x14ac:dyDescent="0.3">
      <c r="D2087" s="284"/>
      <c r="E2087" s="285"/>
    </row>
    <row r="2088" spans="4:5" hidden="1" x14ac:dyDescent="0.3">
      <c r="D2088" s="284"/>
      <c r="E2088" s="285"/>
    </row>
    <row r="2089" spans="4:5" hidden="1" x14ac:dyDescent="0.3">
      <c r="D2089" s="284"/>
      <c r="E2089" s="285"/>
    </row>
    <row r="2090" spans="4:5" hidden="1" x14ac:dyDescent="0.3">
      <c r="D2090" s="284"/>
      <c r="E2090" s="285"/>
    </row>
    <row r="2091" spans="4:5" hidden="1" x14ac:dyDescent="0.3">
      <c r="D2091" s="284"/>
      <c r="E2091" s="285"/>
    </row>
    <row r="2092" spans="4:5" hidden="1" x14ac:dyDescent="0.3">
      <c r="D2092" s="284"/>
      <c r="E2092" s="285"/>
    </row>
    <row r="2093" spans="4:5" hidden="1" x14ac:dyDescent="0.3">
      <c r="D2093" s="284"/>
      <c r="E2093" s="285"/>
    </row>
    <row r="2094" spans="4:5" hidden="1" x14ac:dyDescent="0.3">
      <c r="D2094" s="284"/>
      <c r="E2094" s="285"/>
    </row>
    <row r="2095" spans="4:5" hidden="1" x14ac:dyDescent="0.3">
      <c r="D2095" s="284"/>
      <c r="E2095" s="285"/>
    </row>
    <row r="2096" spans="4:5" hidden="1" x14ac:dyDescent="0.3">
      <c r="D2096" s="284"/>
      <c r="E2096" s="285"/>
    </row>
    <row r="2097" spans="4:5" hidden="1" x14ac:dyDescent="0.3">
      <c r="D2097" s="284"/>
      <c r="E2097" s="285"/>
    </row>
    <row r="2098" spans="4:5" hidden="1" x14ac:dyDescent="0.3">
      <c r="D2098" s="284"/>
      <c r="E2098" s="285"/>
    </row>
    <row r="2099" spans="4:5" hidden="1" x14ac:dyDescent="0.3">
      <c r="D2099" s="284"/>
      <c r="E2099" s="285"/>
    </row>
    <row r="2100" spans="4:5" hidden="1" x14ac:dyDescent="0.3">
      <c r="D2100" s="284"/>
      <c r="E2100" s="285"/>
    </row>
    <row r="2101" spans="4:5" hidden="1" x14ac:dyDescent="0.3">
      <c r="D2101" s="284"/>
      <c r="E2101" s="285"/>
    </row>
    <row r="2102" spans="4:5" hidden="1" x14ac:dyDescent="0.3">
      <c r="D2102" s="284"/>
      <c r="E2102" s="285"/>
    </row>
    <row r="2103" spans="4:5" hidden="1" x14ac:dyDescent="0.3">
      <c r="D2103" s="284"/>
      <c r="E2103" s="285"/>
    </row>
    <row r="2104" spans="4:5" hidden="1" x14ac:dyDescent="0.3">
      <c r="D2104" s="284"/>
      <c r="E2104" s="285"/>
    </row>
    <row r="2105" spans="4:5" hidden="1" x14ac:dyDescent="0.3">
      <c r="D2105" s="284"/>
      <c r="E2105" s="285"/>
    </row>
    <row r="2106" spans="4:5" hidden="1" x14ac:dyDescent="0.3">
      <c r="D2106" s="284"/>
      <c r="E2106" s="285"/>
    </row>
    <row r="2107" spans="4:5" hidden="1" x14ac:dyDescent="0.3">
      <c r="D2107" s="284"/>
      <c r="E2107" s="285"/>
    </row>
    <row r="2108" spans="4:5" hidden="1" x14ac:dyDescent="0.3">
      <c r="D2108" s="284"/>
      <c r="E2108" s="285"/>
    </row>
    <row r="2109" spans="4:5" hidden="1" x14ac:dyDescent="0.3">
      <c r="D2109" s="284"/>
      <c r="E2109" s="285"/>
    </row>
    <row r="2110" spans="4:5" hidden="1" x14ac:dyDescent="0.3">
      <c r="D2110" s="284"/>
      <c r="E2110" s="285"/>
    </row>
    <row r="2111" spans="4:5" hidden="1" x14ac:dyDescent="0.3">
      <c r="D2111" s="284"/>
      <c r="E2111" s="285"/>
    </row>
    <row r="2112" spans="4:5" hidden="1" x14ac:dyDescent="0.3">
      <c r="D2112" s="284"/>
      <c r="E2112" s="285"/>
    </row>
    <row r="2113" spans="4:5" hidden="1" x14ac:dyDescent="0.3">
      <c r="D2113" s="284"/>
      <c r="E2113" s="285"/>
    </row>
    <row r="2114" spans="4:5" hidden="1" x14ac:dyDescent="0.3">
      <c r="D2114" s="284"/>
      <c r="E2114" s="285"/>
    </row>
    <row r="2115" spans="4:5" hidden="1" x14ac:dyDescent="0.3">
      <c r="D2115" s="284"/>
      <c r="E2115" s="285"/>
    </row>
    <row r="2116" spans="4:5" hidden="1" x14ac:dyDescent="0.3">
      <c r="D2116" s="284"/>
      <c r="E2116" s="285"/>
    </row>
    <row r="2117" spans="4:5" hidden="1" x14ac:dyDescent="0.3">
      <c r="D2117" s="284"/>
      <c r="E2117" s="285"/>
    </row>
    <row r="2118" spans="4:5" hidden="1" x14ac:dyDescent="0.3">
      <c r="D2118" s="284"/>
      <c r="E2118" s="285"/>
    </row>
    <row r="2119" spans="4:5" hidden="1" x14ac:dyDescent="0.3">
      <c r="D2119" s="284"/>
      <c r="E2119" s="285"/>
    </row>
    <row r="2120" spans="4:5" hidden="1" x14ac:dyDescent="0.3">
      <c r="D2120" s="284"/>
      <c r="E2120" s="285"/>
    </row>
    <row r="2121" spans="4:5" hidden="1" x14ac:dyDescent="0.3">
      <c r="D2121" s="284"/>
      <c r="E2121" s="285"/>
    </row>
    <row r="2122" spans="4:5" hidden="1" x14ac:dyDescent="0.3">
      <c r="D2122" s="284"/>
      <c r="E2122" s="285"/>
    </row>
    <row r="2123" spans="4:5" hidden="1" x14ac:dyDescent="0.3">
      <c r="D2123" s="284"/>
      <c r="E2123" s="285"/>
    </row>
    <row r="2124" spans="4:5" hidden="1" x14ac:dyDescent="0.3">
      <c r="D2124" s="284"/>
      <c r="E2124" s="285"/>
    </row>
    <row r="2125" spans="4:5" hidden="1" x14ac:dyDescent="0.3">
      <c r="D2125" s="284"/>
      <c r="E2125" s="285"/>
    </row>
    <row r="2126" spans="4:5" hidden="1" x14ac:dyDescent="0.3">
      <c r="D2126" s="284"/>
      <c r="E2126" s="285"/>
    </row>
    <row r="2127" spans="4:5" hidden="1" x14ac:dyDescent="0.3">
      <c r="D2127" s="284"/>
      <c r="E2127" s="285"/>
    </row>
    <row r="2128" spans="4:5" hidden="1" x14ac:dyDescent="0.3">
      <c r="D2128" s="284"/>
      <c r="E2128" s="285"/>
    </row>
    <row r="2129" spans="4:5" hidden="1" x14ac:dyDescent="0.3">
      <c r="D2129" s="284"/>
      <c r="E2129" s="285"/>
    </row>
    <row r="2130" spans="4:5" hidden="1" x14ac:dyDescent="0.3">
      <c r="D2130" s="284"/>
      <c r="E2130" s="285"/>
    </row>
    <row r="2131" spans="4:5" hidden="1" x14ac:dyDescent="0.3">
      <c r="D2131" s="284"/>
      <c r="E2131" s="285"/>
    </row>
    <row r="2132" spans="4:5" hidden="1" x14ac:dyDescent="0.3">
      <c r="D2132" s="284"/>
      <c r="E2132" s="285"/>
    </row>
    <row r="2133" spans="4:5" hidden="1" x14ac:dyDescent="0.3">
      <c r="D2133" s="284"/>
      <c r="E2133" s="285"/>
    </row>
    <row r="2134" spans="4:5" hidden="1" x14ac:dyDescent="0.3">
      <c r="D2134" s="284"/>
      <c r="E2134" s="285"/>
    </row>
    <row r="2135" spans="4:5" hidden="1" x14ac:dyDescent="0.3">
      <c r="D2135" s="284"/>
      <c r="E2135" s="285"/>
    </row>
    <row r="2136" spans="4:5" hidden="1" x14ac:dyDescent="0.3">
      <c r="D2136" s="284"/>
      <c r="E2136" s="285"/>
    </row>
    <row r="2137" spans="4:5" hidden="1" x14ac:dyDescent="0.3">
      <c r="D2137" s="284"/>
      <c r="E2137" s="285"/>
    </row>
    <row r="2138" spans="4:5" hidden="1" x14ac:dyDescent="0.3">
      <c r="D2138" s="284"/>
      <c r="E2138" s="285"/>
    </row>
    <row r="2139" spans="4:5" hidden="1" x14ac:dyDescent="0.3">
      <c r="D2139" s="284"/>
      <c r="E2139" s="285"/>
    </row>
    <row r="2140" spans="4:5" hidden="1" x14ac:dyDescent="0.3">
      <c r="D2140" s="284"/>
      <c r="E2140" s="285"/>
    </row>
    <row r="2141" spans="4:5" hidden="1" x14ac:dyDescent="0.3">
      <c r="D2141" s="284"/>
      <c r="E2141" s="285"/>
    </row>
    <row r="2142" spans="4:5" hidden="1" x14ac:dyDescent="0.3">
      <c r="D2142" s="284"/>
      <c r="E2142" s="285"/>
    </row>
    <row r="2143" spans="4:5" hidden="1" x14ac:dyDescent="0.3">
      <c r="D2143" s="284"/>
      <c r="E2143" s="285"/>
    </row>
    <row r="2144" spans="4:5" hidden="1" x14ac:dyDescent="0.3">
      <c r="D2144" s="284"/>
      <c r="E2144" s="285"/>
    </row>
    <row r="2145" spans="4:5" hidden="1" x14ac:dyDescent="0.3">
      <c r="D2145" s="284"/>
      <c r="E2145" s="285"/>
    </row>
    <row r="2146" spans="4:5" hidden="1" x14ac:dyDescent="0.3">
      <c r="D2146" s="284"/>
      <c r="E2146" s="285"/>
    </row>
    <row r="2147" spans="4:5" hidden="1" x14ac:dyDescent="0.3">
      <c r="D2147" s="284"/>
      <c r="E2147" s="285"/>
    </row>
    <row r="2148" spans="4:5" hidden="1" x14ac:dyDescent="0.3">
      <c r="D2148" s="284"/>
      <c r="E2148" s="285"/>
    </row>
    <row r="2149" spans="4:5" hidden="1" x14ac:dyDescent="0.3">
      <c r="D2149" s="284"/>
      <c r="E2149" s="285"/>
    </row>
    <row r="2150" spans="4:5" hidden="1" x14ac:dyDescent="0.3">
      <c r="D2150" s="284"/>
      <c r="E2150" s="285"/>
    </row>
    <row r="2151" spans="4:5" hidden="1" x14ac:dyDescent="0.3">
      <c r="D2151" s="284"/>
      <c r="E2151" s="285"/>
    </row>
    <row r="2152" spans="4:5" hidden="1" x14ac:dyDescent="0.3">
      <c r="D2152" s="284"/>
      <c r="E2152" s="285"/>
    </row>
    <row r="2153" spans="4:5" hidden="1" x14ac:dyDescent="0.3">
      <c r="D2153" s="284"/>
      <c r="E2153" s="285"/>
    </row>
    <row r="2154" spans="4:5" hidden="1" x14ac:dyDescent="0.3">
      <c r="D2154" s="284"/>
      <c r="E2154" s="285"/>
    </row>
    <row r="2155" spans="4:5" hidden="1" x14ac:dyDescent="0.3">
      <c r="D2155" s="284"/>
      <c r="E2155" s="285"/>
    </row>
    <row r="2156" spans="4:5" hidden="1" x14ac:dyDescent="0.3">
      <c r="D2156" s="284"/>
      <c r="E2156" s="285"/>
    </row>
    <row r="2157" spans="4:5" hidden="1" x14ac:dyDescent="0.3">
      <c r="D2157" s="284"/>
      <c r="E2157" s="285"/>
    </row>
    <row r="2158" spans="4:5" hidden="1" x14ac:dyDescent="0.3">
      <c r="D2158" s="284"/>
      <c r="E2158" s="285"/>
    </row>
    <row r="2159" spans="4:5" hidden="1" x14ac:dyDescent="0.3">
      <c r="D2159" s="284"/>
      <c r="E2159" s="285"/>
    </row>
    <row r="2160" spans="4:5" hidden="1" x14ac:dyDescent="0.3">
      <c r="D2160" s="284"/>
      <c r="E2160" s="285"/>
    </row>
    <row r="2161" spans="4:5" hidden="1" x14ac:dyDescent="0.3">
      <c r="D2161" s="284"/>
      <c r="E2161" s="285"/>
    </row>
    <row r="2162" spans="4:5" hidden="1" x14ac:dyDescent="0.3">
      <c r="D2162" s="284"/>
      <c r="E2162" s="285"/>
    </row>
    <row r="2163" spans="4:5" hidden="1" x14ac:dyDescent="0.3">
      <c r="D2163" s="284"/>
      <c r="E2163" s="285"/>
    </row>
    <row r="2164" spans="4:5" hidden="1" x14ac:dyDescent="0.3">
      <c r="D2164" s="284"/>
      <c r="E2164" s="285"/>
    </row>
    <row r="2165" spans="4:5" hidden="1" x14ac:dyDescent="0.3">
      <c r="D2165" s="284"/>
      <c r="E2165" s="285"/>
    </row>
    <row r="2166" spans="4:5" hidden="1" x14ac:dyDescent="0.3">
      <c r="D2166" s="284"/>
      <c r="E2166" s="285"/>
    </row>
    <row r="2167" spans="4:5" hidden="1" x14ac:dyDescent="0.3">
      <c r="D2167" s="284"/>
      <c r="E2167" s="285"/>
    </row>
    <row r="2168" spans="4:5" hidden="1" x14ac:dyDescent="0.3">
      <c r="D2168" s="284"/>
      <c r="E2168" s="285"/>
    </row>
    <row r="2169" spans="4:5" hidden="1" x14ac:dyDescent="0.3">
      <c r="D2169" s="284"/>
      <c r="E2169" s="285"/>
    </row>
    <row r="2170" spans="4:5" hidden="1" x14ac:dyDescent="0.3">
      <c r="D2170" s="284"/>
      <c r="E2170" s="285"/>
    </row>
    <row r="2171" spans="4:5" hidden="1" x14ac:dyDescent="0.3">
      <c r="D2171" s="284"/>
      <c r="E2171" s="285"/>
    </row>
    <row r="2172" spans="4:5" hidden="1" x14ac:dyDescent="0.3">
      <c r="D2172" s="284"/>
      <c r="E2172" s="285"/>
    </row>
    <row r="2173" spans="4:5" hidden="1" x14ac:dyDescent="0.3">
      <c r="D2173" s="284"/>
      <c r="E2173" s="285"/>
    </row>
    <row r="2174" spans="4:5" hidden="1" x14ac:dyDescent="0.3">
      <c r="D2174" s="284"/>
      <c r="E2174" s="285"/>
    </row>
    <row r="2175" spans="4:5" hidden="1" x14ac:dyDescent="0.3">
      <c r="D2175" s="284"/>
      <c r="E2175" s="285"/>
    </row>
    <row r="2176" spans="4:5" hidden="1" x14ac:dyDescent="0.3">
      <c r="D2176" s="284"/>
      <c r="E2176" s="285"/>
    </row>
    <row r="2177" spans="4:5" hidden="1" x14ac:dyDescent="0.3">
      <c r="D2177" s="284"/>
      <c r="E2177" s="285"/>
    </row>
    <row r="2178" spans="4:5" hidden="1" x14ac:dyDescent="0.3">
      <c r="D2178" s="284"/>
      <c r="E2178" s="285"/>
    </row>
    <row r="2179" spans="4:5" hidden="1" x14ac:dyDescent="0.3">
      <c r="D2179" s="284"/>
      <c r="E2179" s="285"/>
    </row>
    <row r="2180" spans="4:5" hidden="1" x14ac:dyDescent="0.3">
      <c r="D2180" s="284"/>
      <c r="E2180" s="285"/>
    </row>
    <row r="2181" spans="4:5" hidden="1" x14ac:dyDescent="0.3">
      <c r="D2181" s="284"/>
      <c r="E2181" s="285"/>
    </row>
    <row r="2182" spans="4:5" hidden="1" x14ac:dyDescent="0.3">
      <c r="D2182" s="284"/>
      <c r="E2182" s="285"/>
    </row>
    <row r="2183" spans="4:5" hidden="1" x14ac:dyDescent="0.3">
      <c r="D2183" s="284"/>
      <c r="E2183" s="285"/>
    </row>
    <row r="2184" spans="4:5" hidden="1" x14ac:dyDescent="0.3">
      <c r="D2184" s="284"/>
      <c r="E2184" s="285"/>
    </row>
    <row r="2185" spans="4:5" hidden="1" x14ac:dyDescent="0.3">
      <c r="D2185" s="284"/>
      <c r="E2185" s="285"/>
    </row>
    <row r="2186" spans="4:5" hidden="1" x14ac:dyDescent="0.3">
      <c r="D2186" s="284"/>
      <c r="E2186" s="285"/>
    </row>
    <row r="2187" spans="4:5" hidden="1" x14ac:dyDescent="0.3">
      <c r="D2187" s="284"/>
      <c r="E2187" s="285"/>
    </row>
    <row r="2188" spans="4:5" hidden="1" x14ac:dyDescent="0.3">
      <c r="D2188" s="284"/>
      <c r="E2188" s="285"/>
    </row>
    <row r="2189" spans="4:5" hidden="1" x14ac:dyDescent="0.3">
      <c r="D2189" s="284"/>
      <c r="E2189" s="285"/>
    </row>
    <row r="2190" spans="4:5" hidden="1" x14ac:dyDescent="0.3">
      <c r="D2190" s="284"/>
      <c r="E2190" s="285"/>
    </row>
    <row r="2191" spans="4:5" hidden="1" x14ac:dyDescent="0.3">
      <c r="D2191" s="284"/>
      <c r="E2191" s="285"/>
    </row>
    <row r="2192" spans="4:5" hidden="1" x14ac:dyDescent="0.3">
      <c r="D2192" s="284"/>
      <c r="E2192" s="285"/>
    </row>
    <row r="2193" spans="4:5" hidden="1" x14ac:dyDescent="0.3">
      <c r="D2193" s="284"/>
      <c r="E2193" s="285"/>
    </row>
    <row r="2194" spans="4:5" hidden="1" x14ac:dyDescent="0.3">
      <c r="D2194" s="284"/>
      <c r="E2194" s="285"/>
    </row>
    <row r="2195" spans="4:5" hidden="1" x14ac:dyDescent="0.3">
      <c r="D2195" s="284"/>
      <c r="E2195" s="285"/>
    </row>
    <row r="2196" spans="4:5" hidden="1" x14ac:dyDescent="0.3">
      <c r="D2196" s="284"/>
      <c r="E2196" s="285"/>
    </row>
    <row r="2197" spans="4:5" hidden="1" x14ac:dyDescent="0.3">
      <c r="D2197" s="284"/>
      <c r="E2197" s="285"/>
    </row>
    <row r="2198" spans="4:5" hidden="1" x14ac:dyDescent="0.3">
      <c r="D2198" s="284"/>
      <c r="E2198" s="285"/>
    </row>
    <row r="2199" spans="4:5" hidden="1" x14ac:dyDescent="0.3">
      <c r="D2199" s="284"/>
      <c r="E2199" s="285"/>
    </row>
    <row r="2200" spans="4:5" hidden="1" x14ac:dyDescent="0.3">
      <c r="D2200" s="284"/>
      <c r="E2200" s="285"/>
    </row>
    <row r="2201" spans="4:5" hidden="1" x14ac:dyDescent="0.3">
      <c r="D2201" s="284"/>
      <c r="E2201" s="285"/>
    </row>
    <row r="2202" spans="4:5" hidden="1" x14ac:dyDescent="0.3">
      <c r="D2202" s="284"/>
      <c r="E2202" s="285"/>
    </row>
    <row r="2203" spans="4:5" hidden="1" x14ac:dyDescent="0.3">
      <c r="D2203" s="284"/>
      <c r="E2203" s="285"/>
    </row>
    <row r="2204" spans="4:5" hidden="1" x14ac:dyDescent="0.3">
      <c r="D2204" s="284"/>
      <c r="E2204" s="285"/>
    </row>
    <row r="2205" spans="4:5" hidden="1" x14ac:dyDescent="0.3">
      <c r="D2205" s="284"/>
      <c r="E2205" s="285"/>
    </row>
    <row r="2206" spans="4:5" hidden="1" x14ac:dyDescent="0.3">
      <c r="D2206" s="284"/>
      <c r="E2206" s="285"/>
    </row>
    <row r="2207" spans="4:5" hidden="1" x14ac:dyDescent="0.3">
      <c r="D2207" s="284"/>
      <c r="E2207" s="285"/>
    </row>
    <row r="2208" spans="4:5" hidden="1" x14ac:dyDescent="0.3">
      <c r="D2208" s="284"/>
      <c r="E2208" s="285"/>
    </row>
    <row r="2209" spans="4:5" hidden="1" x14ac:dyDescent="0.3">
      <c r="D2209" s="284"/>
      <c r="E2209" s="285"/>
    </row>
    <row r="2210" spans="4:5" hidden="1" x14ac:dyDescent="0.3">
      <c r="D2210" s="284"/>
      <c r="E2210" s="285"/>
    </row>
    <row r="2211" spans="4:5" hidden="1" x14ac:dyDescent="0.3">
      <c r="D2211" s="284"/>
      <c r="E2211" s="285"/>
    </row>
    <row r="2212" spans="4:5" hidden="1" x14ac:dyDescent="0.3">
      <c r="D2212" s="284"/>
      <c r="E2212" s="285"/>
    </row>
    <row r="2213" spans="4:5" hidden="1" x14ac:dyDescent="0.3">
      <c r="D2213" s="284"/>
      <c r="E2213" s="285"/>
    </row>
    <row r="2214" spans="4:5" hidden="1" x14ac:dyDescent="0.3">
      <c r="D2214" s="284"/>
      <c r="E2214" s="285"/>
    </row>
    <row r="2215" spans="4:5" hidden="1" x14ac:dyDescent="0.3">
      <c r="D2215" s="284"/>
      <c r="E2215" s="285"/>
    </row>
    <row r="2216" spans="4:5" hidden="1" x14ac:dyDescent="0.3">
      <c r="D2216" s="284"/>
      <c r="E2216" s="285"/>
    </row>
    <row r="2217" spans="4:5" hidden="1" x14ac:dyDescent="0.3">
      <c r="D2217" s="284"/>
      <c r="E2217" s="285"/>
    </row>
    <row r="2218" spans="4:5" hidden="1" x14ac:dyDescent="0.3">
      <c r="D2218" s="284"/>
      <c r="E2218" s="285"/>
    </row>
    <row r="2219" spans="4:5" hidden="1" x14ac:dyDescent="0.3">
      <c r="D2219" s="284"/>
      <c r="E2219" s="285"/>
    </row>
    <row r="2220" spans="4:5" hidden="1" x14ac:dyDescent="0.3">
      <c r="D2220" s="284"/>
      <c r="E2220" s="285"/>
    </row>
    <row r="2221" spans="4:5" hidden="1" x14ac:dyDescent="0.3">
      <c r="D2221" s="284"/>
      <c r="E2221" s="285"/>
    </row>
    <row r="2222" spans="4:5" hidden="1" x14ac:dyDescent="0.3">
      <c r="D2222" s="284"/>
      <c r="E2222" s="285"/>
    </row>
    <row r="2223" spans="4:5" hidden="1" x14ac:dyDescent="0.3">
      <c r="D2223" s="284"/>
      <c r="E2223" s="285"/>
    </row>
    <row r="2224" spans="4:5" hidden="1" x14ac:dyDescent="0.3">
      <c r="D2224" s="284"/>
      <c r="E2224" s="285"/>
    </row>
    <row r="2225" spans="4:5" hidden="1" x14ac:dyDescent="0.3">
      <c r="D2225" s="284"/>
      <c r="E2225" s="285"/>
    </row>
    <row r="2226" spans="4:5" hidden="1" x14ac:dyDescent="0.3">
      <c r="D2226" s="284"/>
      <c r="E2226" s="285"/>
    </row>
    <row r="2227" spans="4:5" hidden="1" x14ac:dyDescent="0.3">
      <c r="D2227" s="284"/>
      <c r="E2227" s="285"/>
    </row>
    <row r="2228" spans="4:5" hidden="1" x14ac:dyDescent="0.3">
      <c r="D2228" s="284"/>
      <c r="E2228" s="285"/>
    </row>
    <row r="2229" spans="4:5" hidden="1" x14ac:dyDescent="0.3">
      <c r="D2229" s="284"/>
      <c r="E2229" s="285"/>
    </row>
    <row r="2230" spans="4:5" hidden="1" x14ac:dyDescent="0.3">
      <c r="D2230" s="284"/>
      <c r="E2230" s="285"/>
    </row>
    <row r="2231" spans="4:5" hidden="1" x14ac:dyDescent="0.3">
      <c r="D2231" s="284"/>
      <c r="E2231" s="285"/>
    </row>
    <row r="2232" spans="4:5" hidden="1" x14ac:dyDescent="0.3">
      <c r="D2232" s="284"/>
      <c r="E2232" s="285"/>
    </row>
    <row r="2233" spans="4:5" hidden="1" x14ac:dyDescent="0.3">
      <c r="D2233" s="284"/>
      <c r="E2233" s="285"/>
    </row>
    <row r="2234" spans="4:5" hidden="1" x14ac:dyDescent="0.3">
      <c r="D2234" s="284"/>
      <c r="E2234" s="285"/>
    </row>
    <row r="2235" spans="4:5" hidden="1" x14ac:dyDescent="0.3">
      <c r="D2235" s="284"/>
      <c r="E2235" s="285"/>
    </row>
    <row r="2236" spans="4:5" hidden="1" x14ac:dyDescent="0.3">
      <c r="D2236" s="284"/>
      <c r="E2236" s="285"/>
    </row>
    <row r="2237" spans="4:5" hidden="1" x14ac:dyDescent="0.3">
      <c r="D2237" s="284"/>
      <c r="E2237" s="285"/>
    </row>
    <row r="2238" spans="4:5" hidden="1" x14ac:dyDescent="0.3">
      <c r="D2238" s="284"/>
      <c r="E2238" s="285"/>
    </row>
    <row r="2239" spans="4:5" hidden="1" x14ac:dyDescent="0.3">
      <c r="D2239" s="284"/>
      <c r="E2239" s="285"/>
    </row>
    <row r="2240" spans="4:5" hidden="1" x14ac:dyDescent="0.3">
      <c r="D2240" s="284"/>
      <c r="E2240" s="285"/>
    </row>
    <row r="2241" spans="4:5" hidden="1" x14ac:dyDescent="0.3">
      <c r="D2241" s="284"/>
      <c r="E2241" s="285"/>
    </row>
    <row r="2242" spans="4:5" hidden="1" x14ac:dyDescent="0.3">
      <c r="D2242" s="284"/>
      <c r="E2242" s="285"/>
    </row>
    <row r="2243" spans="4:5" hidden="1" x14ac:dyDescent="0.3">
      <c r="D2243" s="284"/>
      <c r="E2243" s="285"/>
    </row>
    <row r="2244" spans="4:5" hidden="1" x14ac:dyDescent="0.3">
      <c r="D2244" s="284"/>
      <c r="E2244" s="285"/>
    </row>
    <row r="2245" spans="4:5" ht="15.75" hidden="1" thickBot="1" x14ac:dyDescent="0.35">
      <c r="D2245" s="286"/>
      <c r="E2245" s="287"/>
    </row>
  </sheetData>
  <sheetProtection sheet="1" objects="1" scenarios="1"/>
  <mergeCells count="3">
    <mergeCell ref="D3:G4"/>
    <mergeCell ref="G9:K14"/>
    <mergeCell ref="G17:K20"/>
  </mergeCells>
  <hyperlinks>
    <hyperlink ref="G17" r:id="rId1"/>
  </hyperlinks>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pageSetUpPr fitToPage="1"/>
  </sheetPr>
  <dimension ref="A1:BE109"/>
  <sheetViews>
    <sheetView showGridLines="0" zoomScale="70" zoomScaleNormal="70" zoomScalePageLayoutView="70" workbookViewId="0">
      <pane xSplit="4" ySplit="10" topLeftCell="E11" activePane="bottomRight" state="frozen"/>
      <selection activeCell="D102" sqref="D102"/>
      <selection pane="topRight" activeCell="D102" sqref="D102"/>
      <selection pane="bottomLeft" activeCell="D102" sqref="D102"/>
      <selection pane="bottomRight" activeCell="D13" sqref="D13"/>
    </sheetView>
  </sheetViews>
  <sheetFormatPr defaultColWidth="0" defaultRowHeight="14.25" zeroHeight="1" outlineLevelRow="1" outlineLevelCol="1" x14ac:dyDescent="0.3"/>
  <cols>
    <col min="1" max="1" width="7.5703125" style="289" customWidth="1"/>
    <col min="2" max="2" width="7.5703125" style="527" customWidth="1"/>
    <col min="3" max="3" width="12" style="289" customWidth="1"/>
    <col min="4" max="4" width="47.140625" style="289" customWidth="1"/>
    <col min="5" max="5" width="22.7109375" style="289" customWidth="1"/>
    <col min="6" max="6" width="14.7109375" style="289" customWidth="1"/>
    <col min="7" max="8" width="17.85546875" style="291" customWidth="1"/>
    <col min="9" max="9" width="9.85546875" style="291" hidden="1" customWidth="1"/>
    <col min="10" max="10" width="12" style="292" bestFit="1" customWidth="1"/>
    <col min="11" max="11" width="12.140625" style="289" customWidth="1"/>
    <col min="12" max="12" width="14.140625" style="289" customWidth="1"/>
    <col min="13" max="13" width="14.140625" style="293" hidden="1" customWidth="1"/>
    <col min="14" max="14" width="15.42578125" style="305" customWidth="1"/>
    <col min="15" max="15" width="15.28515625" style="306" bestFit="1" customWidth="1"/>
    <col min="16" max="16" width="16.7109375" style="306" bestFit="1" customWidth="1"/>
    <col min="17" max="17" width="15.42578125" style="306" hidden="1" customWidth="1"/>
    <col min="18" max="18" width="19.7109375" style="306" hidden="1" customWidth="1"/>
    <col min="19" max="19" width="3.7109375" style="306" hidden="1" customWidth="1"/>
    <col min="20" max="20" width="19.28515625" style="306" bestFit="1" customWidth="1"/>
    <col min="21" max="21" width="19.28515625" style="291" customWidth="1"/>
    <col min="22" max="22" width="25.85546875" style="289" customWidth="1"/>
    <col min="23" max="23" width="16.7109375" style="289" customWidth="1"/>
    <col min="24" max="24" width="14.7109375" style="289" customWidth="1"/>
    <col min="25" max="25" width="14.42578125" style="289" bestFit="1" customWidth="1"/>
    <col min="26" max="26" width="15.7109375" style="289" bestFit="1" customWidth="1"/>
    <col min="27" max="27" width="17.140625" style="289" bestFit="1" customWidth="1"/>
    <col min="28" max="30" width="17.140625" style="289" customWidth="1"/>
    <col min="31" max="31" width="12.42578125" style="289" customWidth="1"/>
    <col min="32" max="32" width="18.140625" style="289" customWidth="1"/>
    <col min="33" max="34" width="15.28515625" style="289" customWidth="1"/>
    <col min="35" max="35" width="12.42578125" style="289" bestFit="1" customWidth="1"/>
    <col min="36" max="36" width="17.7109375" style="289" bestFit="1" customWidth="1"/>
    <col min="37" max="37" width="7.28515625" style="289" customWidth="1"/>
    <col min="38" max="39" width="13.85546875" style="289" customWidth="1"/>
    <col min="40" max="40" width="17.28515625" style="289" bestFit="1" customWidth="1"/>
    <col min="41" max="42" width="15" style="289" customWidth="1"/>
    <col min="43" max="43" width="17.7109375" style="289" customWidth="1"/>
    <col min="44" max="44" width="7.28515625" style="289" customWidth="1"/>
    <col min="45" max="49" width="16.85546875" style="289" customWidth="1"/>
    <col min="50" max="50" width="17.7109375" style="289" bestFit="1" customWidth="1"/>
    <col min="51" max="51" width="26.7109375" style="289" customWidth="1"/>
    <col min="52" max="52" width="7.28515625" style="289" customWidth="1"/>
    <col min="53" max="53" width="17" style="289" bestFit="1" customWidth="1" outlineLevel="1"/>
    <col min="54" max="54" width="7.28515625" style="289" customWidth="1"/>
    <col min="55" max="55" width="8.85546875" style="289" hidden="1" customWidth="1"/>
    <col min="56" max="57" width="0" style="289" hidden="1" customWidth="1"/>
    <col min="58" max="16384" width="8.85546875" style="289" hidden="1"/>
  </cols>
  <sheetData>
    <row r="1" spans="2:54" ht="15" hidden="1" x14ac:dyDescent="0.3">
      <c r="D1" s="290"/>
      <c r="E1" s="290"/>
      <c r="N1" s="293"/>
      <c r="O1" s="291"/>
      <c r="P1" s="291"/>
      <c r="Q1" s="291"/>
      <c r="R1" s="294">
        <v>39813</v>
      </c>
      <c r="S1" s="291"/>
      <c r="T1" s="291"/>
      <c r="X1" s="289">
        <v>2014</v>
      </c>
      <c r="Y1" s="289">
        <f>X1+1</f>
        <v>2015</v>
      </c>
      <c r="Z1" s="289">
        <f t="shared" ref="Z1:AD1" si="0">Y1+1</f>
        <v>2016</v>
      </c>
      <c r="AA1" s="289">
        <f t="shared" si="0"/>
        <v>2017</v>
      </c>
      <c r="AB1" s="289">
        <f t="shared" si="0"/>
        <v>2018</v>
      </c>
      <c r="AC1" s="289">
        <f t="shared" si="0"/>
        <v>2019</v>
      </c>
      <c r="AD1" s="289">
        <f t="shared" si="0"/>
        <v>2020</v>
      </c>
    </row>
    <row r="2" spans="2:54" ht="15" x14ac:dyDescent="0.3">
      <c r="D2" s="290"/>
      <c r="E2" s="290"/>
      <c r="J2" s="295"/>
      <c r="N2" s="293"/>
      <c r="O2" s="291"/>
      <c r="P2" s="291"/>
      <c r="Q2" s="291"/>
      <c r="R2" s="291"/>
      <c r="S2" s="291"/>
      <c r="T2" s="291"/>
    </row>
    <row r="3" spans="2:54" ht="15.75" thickBot="1" x14ac:dyDescent="0.35">
      <c r="D3" s="290"/>
      <c r="E3" s="290"/>
      <c r="J3" s="295"/>
      <c r="N3" s="293"/>
      <c r="O3" s="291"/>
      <c r="P3" s="291"/>
      <c r="Q3" s="291"/>
      <c r="R3" s="291"/>
      <c r="S3" s="291"/>
      <c r="T3" s="291"/>
    </row>
    <row r="4" spans="2:54" ht="15" customHeight="1" x14ac:dyDescent="0.3">
      <c r="D4" s="290"/>
      <c r="E4" s="420" t="s">
        <v>104</v>
      </c>
      <c r="F4" s="421"/>
      <c r="G4" s="421"/>
      <c r="H4" s="422"/>
      <c r="J4" s="295"/>
      <c r="K4" s="429" t="s">
        <v>106</v>
      </c>
      <c r="L4" s="430"/>
      <c r="M4" s="430"/>
      <c r="N4" s="430"/>
      <c r="O4" s="430"/>
      <c r="P4" s="430"/>
      <c r="Q4" s="430"/>
      <c r="R4" s="430"/>
      <c r="S4" s="430"/>
      <c r="T4" s="430"/>
      <c r="U4" s="431"/>
      <c r="V4" s="377"/>
    </row>
    <row r="5" spans="2:54" ht="15" x14ac:dyDescent="0.3">
      <c r="D5" s="290"/>
      <c r="E5" s="423"/>
      <c r="F5" s="424"/>
      <c r="G5" s="424"/>
      <c r="H5" s="425"/>
      <c r="J5" s="295"/>
      <c r="K5" s="432"/>
      <c r="L5" s="433"/>
      <c r="M5" s="433"/>
      <c r="N5" s="433"/>
      <c r="O5" s="433"/>
      <c r="P5" s="433"/>
      <c r="Q5" s="433"/>
      <c r="R5" s="433"/>
      <c r="S5" s="433"/>
      <c r="T5" s="433"/>
      <c r="U5" s="434"/>
      <c r="V5" s="377"/>
    </row>
    <row r="6" spans="2:54" ht="15.75" thickBot="1" x14ac:dyDescent="0.35">
      <c r="D6" s="290"/>
      <c r="E6" s="426"/>
      <c r="F6" s="427"/>
      <c r="G6" s="427"/>
      <c r="H6" s="428"/>
      <c r="J6" s="295"/>
      <c r="K6" s="435"/>
      <c r="L6" s="436"/>
      <c r="M6" s="436"/>
      <c r="N6" s="436"/>
      <c r="O6" s="436"/>
      <c r="P6" s="436"/>
      <c r="Q6" s="436"/>
      <c r="R6" s="436"/>
      <c r="S6" s="436"/>
      <c r="T6" s="436"/>
      <c r="U6" s="437"/>
      <c r="V6" s="377"/>
    </row>
    <row r="7" spans="2:54" s="296" customFormat="1" ht="15.75" customHeight="1" x14ac:dyDescent="0.3">
      <c r="B7" s="528"/>
      <c r="D7" s="297"/>
      <c r="E7" s="297"/>
      <c r="G7" s="298"/>
      <c r="H7" s="298"/>
      <c r="I7" s="298"/>
      <c r="J7" s="299"/>
      <c r="M7" s="300"/>
      <c r="N7" s="300"/>
      <c r="O7" s="298"/>
      <c r="P7" s="298"/>
      <c r="Q7" s="298"/>
      <c r="R7" s="298"/>
      <c r="S7" s="298"/>
      <c r="T7" s="298"/>
      <c r="U7" s="298"/>
      <c r="AL7" s="281"/>
      <c r="AM7" s="281"/>
      <c r="AN7" s="281"/>
      <c r="AO7" s="281"/>
    </row>
    <row r="8" spans="2:54" ht="15.75" thickBot="1" x14ac:dyDescent="0.35">
      <c r="D8" s="290"/>
      <c r="E8" s="290"/>
      <c r="N8" s="293"/>
      <c r="O8" s="291"/>
      <c r="P8" s="291"/>
      <c r="Q8" s="291"/>
      <c r="R8" s="291"/>
      <c r="S8" s="291"/>
      <c r="T8" s="291"/>
      <c r="AH8" s="363">
        <f>'(1) Inputs'!E8</f>
        <v>42004</v>
      </c>
      <c r="AI8" s="364">
        <f>'(1) Inputs'!E9</f>
        <v>0.36</v>
      </c>
      <c r="AL8" s="301"/>
      <c r="AM8" s="301"/>
      <c r="AN8" s="301"/>
      <c r="AO8" s="301"/>
      <c r="AP8" s="301"/>
      <c r="AQ8" s="301"/>
    </row>
    <row r="9" spans="2:54" ht="15.75" thickBot="1" x14ac:dyDescent="0.35">
      <c r="C9" s="302"/>
      <c r="N9" s="293"/>
      <c r="O9" s="415" t="s">
        <v>35</v>
      </c>
      <c r="P9" s="416"/>
      <c r="Q9" s="416"/>
      <c r="R9" s="416"/>
      <c r="S9" s="416"/>
      <c r="T9" s="416"/>
      <c r="U9" s="416"/>
      <c r="V9" s="416"/>
      <c r="W9" s="416"/>
      <c r="X9" s="416"/>
      <c r="Y9" s="416"/>
      <c r="Z9" s="416"/>
      <c r="AA9" s="416"/>
      <c r="AB9" s="231"/>
      <c r="AC9" s="231"/>
      <c r="AD9" s="91"/>
      <c r="AF9" s="412" t="str">
        <f>"Options Outstanding on "&amp;MONTH('(1) Inputs'!$E$8)&amp;"/"&amp;DAY('(1) Inputs'!$E$8)&amp;"/"&amp;YEAR('(1) Inputs'!$E$8)</f>
        <v>Options Outstanding on 12/31/2014</v>
      </c>
      <c r="AG9" s="413"/>
      <c r="AH9" s="413"/>
      <c r="AI9" s="413"/>
      <c r="AJ9" s="414"/>
      <c r="AK9" s="303"/>
      <c r="AL9" s="417" t="str">
        <f>"Shares Exercisable on  "&amp;MONTH('(1) Inputs'!$E$8)&amp;"/"&amp;DAY('(1) Inputs'!$E$8)&amp;"/"&amp;YEAR('(1) Inputs'!$E$8)</f>
        <v>Shares Exercisable on  12/31/2014</v>
      </c>
      <c r="AM9" s="418"/>
      <c r="AN9" s="418"/>
      <c r="AO9" s="418"/>
      <c r="AP9" s="418"/>
      <c r="AQ9" s="419"/>
      <c r="AR9" s="303"/>
      <c r="AS9" s="412" t="str">
        <f xml:space="preserve"> "Vested &amp; Expected to Vest on  "&amp;MONTH('(1) Inputs'!$E$8)&amp;"/"&amp;DAY('(1) Inputs'!$E$8)&amp;"/"&amp;YEAR('(1) Inputs'!$E$8)</f>
        <v>Vested &amp; Expected to Vest on  12/31/2014</v>
      </c>
      <c r="AT9" s="413"/>
      <c r="AU9" s="413"/>
      <c r="AV9" s="413"/>
      <c r="AW9" s="413"/>
      <c r="AX9" s="414"/>
      <c r="AY9" s="88"/>
      <c r="AZ9" s="303"/>
      <c r="BA9" s="88"/>
      <c r="BB9" s="303"/>
    </row>
    <row r="10" spans="2:54" s="304" customFormat="1" ht="57.75" customHeight="1" x14ac:dyDescent="0.3">
      <c r="B10" s="532" t="s">
        <v>105</v>
      </c>
      <c r="C10" s="533" t="s">
        <v>0</v>
      </c>
      <c r="D10" s="533" t="s">
        <v>1</v>
      </c>
      <c r="E10" s="533" t="s">
        <v>71</v>
      </c>
      <c r="F10" s="534" t="s">
        <v>2</v>
      </c>
      <c r="G10" s="534" t="s">
        <v>57</v>
      </c>
      <c r="H10" s="534" t="s">
        <v>3</v>
      </c>
      <c r="I10" s="534" t="s">
        <v>68</v>
      </c>
      <c r="J10" s="535" t="s">
        <v>5</v>
      </c>
      <c r="K10" s="536" t="s">
        <v>94</v>
      </c>
      <c r="L10" s="371" t="s">
        <v>69</v>
      </c>
      <c r="M10" s="235"/>
      <c r="N10" s="236" t="s">
        <v>70</v>
      </c>
      <c r="O10" s="407" t="s">
        <v>51</v>
      </c>
      <c r="P10" s="57" t="s">
        <v>7</v>
      </c>
      <c r="Q10" s="57" t="s">
        <v>8</v>
      </c>
      <c r="R10" s="57" t="s">
        <v>9</v>
      </c>
      <c r="S10" s="57"/>
      <c r="T10" s="57" t="s">
        <v>10</v>
      </c>
      <c r="U10" s="57" t="s">
        <v>55</v>
      </c>
      <c r="V10" s="57" t="s">
        <v>11</v>
      </c>
      <c r="W10" s="57" t="s">
        <v>12</v>
      </c>
      <c r="X10" s="83" t="str">
        <f>X1&amp;" options expense"</f>
        <v>2014 options expense</v>
      </c>
      <c r="Y10" s="83" t="str">
        <f t="shared" ref="Y10:AD10" si="1">Y1&amp;" options expense"</f>
        <v>2015 options expense</v>
      </c>
      <c r="Z10" s="83" t="str">
        <f t="shared" si="1"/>
        <v>2016 options expense</v>
      </c>
      <c r="AA10" s="83" t="str">
        <f t="shared" si="1"/>
        <v>2017 options expense</v>
      </c>
      <c r="AB10" s="83" t="str">
        <f t="shared" si="1"/>
        <v>2018 options expense</v>
      </c>
      <c r="AC10" s="83" t="str">
        <f t="shared" si="1"/>
        <v>2019 options expense</v>
      </c>
      <c r="AD10" s="92" t="str">
        <f t="shared" si="1"/>
        <v>2020 options expense</v>
      </c>
      <c r="AF10" s="9" t="s">
        <v>17</v>
      </c>
      <c r="AG10" s="10" t="s">
        <v>18</v>
      </c>
      <c r="AH10" s="10" t="s">
        <v>19</v>
      </c>
      <c r="AI10" s="10" t="s">
        <v>20</v>
      </c>
      <c r="AJ10" s="11" t="s">
        <v>21</v>
      </c>
      <c r="AL10" s="9" t="s">
        <v>52</v>
      </c>
      <c r="AM10" s="10" t="s">
        <v>53</v>
      </c>
      <c r="AN10" s="10" t="s">
        <v>22</v>
      </c>
      <c r="AO10" s="10" t="s">
        <v>18</v>
      </c>
      <c r="AP10" s="10" t="s">
        <v>20</v>
      </c>
      <c r="AQ10" s="11" t="s">
        <v>21</v>
      </c>
      <c r="AS10" s="9" t="s">
        <v>23</v>
      </c>
      <c r="AT10" s="10" t="s">
        <v>24</v>
      </c>
      <c r="AU10" s="10" t="s">
        <v>25</v>
      </c>
      <c r="AV10" s="10" t="s">
        <v>18</v>
      </c>
      <c r="AW10" s="10" t="s">
        <v>20</v>
      </c>
      <c r="AX10" s="11" t="s">
        <v>21</v>
      </c>
      <c r="AY10" s="90" t="s">
        <v>37</v>
      </c>
      <c r="BA10" s="243" t="s">
        <v>54</v>
      </c>
    </row>
    <row r="11" spans="2:54" ht="6.75" customHeight="1" x14ac:dyDescent="0.3">
      <c r="B11" s="529"/>
      <c r="C11" s="378"/>
      <c r="D11" s="378"/>
      <c r="E11" s="378"/>
      <c r="F11" s="378"/>
      <c r="G11" s="379"/>
      <c r="H11" s="379"/>
      <c r="I11" s="379"/>
      <c r="J11" s="380"/>
      <c r="K11" s="381"/>
      <c r="L11" s="61"/>
      <c r="M11" s="237"/>
      <c r="N11" s="238"/>
      <c r="O11" s="35"/>
      <c r="P11" s="36"/>
      <c r="Q11" s="36"/>
      <c r="R11" s="36"/>
      <c r="S11" s="36"/>
      <c r="T11" s="36"/>
      <c r="U11" s="36"/>
      <c r="V11" s="61"/>
      <c r="W11" s="61"/>
      <c r="X11" s="61"/>
      <c r="Y11" s="61"/>
      <c r="Z11" s="61"/>
      <c r="AA11" s="61"/>
      <c r="AB11" s="61"/>
      <c r="AC11" s="61"/>
      <c r="AD11" s="37"/>
      <c r="AF11" s="62"/>
      <c r="AG11" s="61"/>
      <c r="AH11" s="61"/>
      <c r="AI11" s="12"/>
      <c r="AJ11" s="13"/>
      <c r="AL11" s="62"/>
      <c r="AM11" s="61"/>
      <c r="AN11" s="61"/>
      <c r="AO11" s="61"/>
      <c r="AP11" s="61"/>
      <c r="AQ11" s="37"/>
      <c r="AS11" s="62"/>
      <c r="AT11" s="61"/>
      <c r="AU11" s="61"/>
      <c r="AV11" s="61"/>
      <c r="AW11" s="61"/>
      <c r="AX11" s="37"/>
      <c r="AY11" s="89"/>
      <c r="BA11" s="240"/>
    </row>
    <row r="12" spans="2:54" ht="15" x14ac:dyDescent="0.2">
      <c r="B12" s="529">
        <v>1</v>
      </c>
      <c r="C12" s="378">
        <v>2013</v>
      </c>
      <c r="D12" s="382" t="s">
        <v>90</v>
      </c>
      <c r="E12" s="382" t="s">
        <v>32</v>
      </c>
      <c r="F12" s="383">
        <v>100000</v>
      </c>
      <c r="G12" s="384">
        <v>41518</v>
      </c>
      <c r="H12" s="384">
        <v>41565</v>
      </c>
      <c r="I12" s="385">
        <f>YEAR(G12)</f>
        <v>2013</v>
      </c>
      <c r="J12" s="386">
        <v>0.15</v>
      </c>
      <c r="K12" s="381">
        <v>4</v>
      </c>
      <c r="L12" s="372">
        <f>IF(D12&lt;&gt;"",G12+K12*365.25,"")</f>
        <v>42979</v>
      </c>
      <c r="M12" s="237">
        <f>(YEAR(L12)-1)-YEAR(H12)</f>
        <v>3</v>
      </c>
      <c r="N12" s="238">
        <f>(13-MONTH(H12))+MONTH(G12)+M12*12-1</f>
        <v>47</v>
      </c>
      <c r="O12" s="39">
        <f t="shared" ref="O12:O52" si="2">IF(H12&lt;&gt;"",H12,"")</f>
        <v>41565</v>
      </c>
      <c r="P12" s="63">
        <f>IF(O12&lt;&gt;"",MONTH(O12)*30-30+DAY(O12),"")</f>
        <v>288</v>
      </c>
      <c r="Q12" s="40" t="e">
        <f>#REF!</f>
        <v>#REF!</v>
      </c>
      <c r="R12" s="64" t="e">
        <f t="shared" ref="R12:R18" si="3">(Q12-DATE(2008,12,31))/365</f>
        <v>#REF!</v>
      </c>
      <c r="S12" s="41"/>
      <c r="T12" s="365">
        <f>'(4) Black_Scholes_table'!N8</f>
        <v>0.16288813983435418</v>
      </c>
      <c r="U12" s="42">
        <f>IF(O12&lt;&gt;"",SUMPRODUCT($F$12:$F$52,$T$12:$T$52,--($I$12:$I$52=I12))/SUMIF($I$12:$I$52,I12:$I$52,$F$12:$F$52),"")</f>
        <v>0.16288813983435418</v>
      </c>
      <c r="V12" s="65">
        <f>IF(O12&lt;&gt;"",T12*F12*(1-'(1) Inputs'!$E$10),"")</f>
        <v>15474.373284263647</v>
      </c>
      <c r="W12" s="66">
        <f t="shared" ref="W12:W52" si="4">IF(V12&lt;&gt;"",T12*F12,"")</f>
        <v>16288.813983435419</v>
      </c>
      <c r="X12" s="43">
        <f t="shared" ref="X12:AD21" si="5">IF($O12&lt;&gt;"",IF(OR(YEAR($H12)&gt;X$1,(X$1-YEAR($G12))&gt;$K12),0,
IF(YEAR($H12)=X$1,(13-MONTH($H12))*(1/$N12)*$V12,
IF((X$1-YEAR($G12))=$K12,(MONTH($G12)-1)*(1/$N12)*$V12,(1/$N12)*$V12*12)
)),"")</f>
        <v>3950.9038172588034</v>
      </c>
      <c r="Y12" s="43">
        <f t="shared" si="5"/>
        <v>3950.9038172588034</v>
      </c>
      <c r="Z12" s="43">
        <f t="shared" si="5"/>
        <v>3950.9038172588034</v>
      </c>
      <c r="AA12" s="43">
        <f t="shared" si="5"/>
        <v>2633.9358781725355</v>
      </c>
      <c r="AB12" s="43">
        <f t="shared" si="5"/>
        <v>0</v>
      </c>
      <c r="AC12" s="43">
        <f t="shared" si="5"/>
        <v>0</v>
      </c>
      <c r="AD12" s="131">
        <f t="shared" si="5"/>
        <v>0</v>
      </c>
      <c r="AE12" s="315"/>
      <c r="AF12" s="67">
        <f t="shared" ref="AF12:AF52" si="6">IF(AD12&lt;&gt;"",F12,"")</f>
        <v>100000</v>
      </c>
      <c r="AG12" s="44">
        <f>IF(AF12&lt;&gt;"",(AF12/$AF$56)*J12,"")</f>
        <v>2.4793388429752067E-2</v>
      </c>
      <c r="AH12" s="40">
        <f t="shared" ref="AH12:AH52" si="7">IF(AG12&lt;&gt;"",G12+10*365.25,"")</f>
        <v>45170.5</v>
      </c>
      <c r="AI12" s="78">
        <f t="shared" ref="AI12:AI52" si="8">IF(AF12&lt;&gt;"",((AH12-$AH$8)/365)*(AF12/$AF$56),"")</f>
        <v>1.4339409034303181</v>
      </c>
      <c r="AJ12" s="101">
        <f>IF(AF12&lt;&gt;"",AF12*($AI$8-J12),"")</f>
        <v>21000</v>
      </c>
      <c r="AL12" s="127">
        <f>IF(AJ12&lt;&gt;"",($AH$8-O12),"")</f>
        <v>439</v>
      </c>
      <c r="AM12" s="68">
        <f>IF(AL12&lt;&gt;"",IF(AL12&gt;(365*K12),0,((365*K12)-AL12)),"")</f>
        <v>1021</v>
      </c>
      <c r="AN12" s="68">
        <f>IF(AL12&lt;&gt;"",IF(AL12&gt;365,(AF12*(AL12/365/4)),0),"")</f>
        <v>30068.493150684932</v>
      </c>
      <c r="AO12" s="116">
        <f>IF(AL12&lt;&gt;"",(AN12/$AN$56)*J12,"")</f>
        <v>0.15</v>
      </c>
      <c r="AP12" s="69">
        <f t="shared" ref="AP12:AP52" si="9">IF(AL12&lt;&gt;"",((AH12-$AH$8)/365)*(AN12/$AN$56),"")</f>
        <v>8.6753424657534239</v>
      </c>
      <c r="AQ12" s="101">
        <f>IF(AL12&lt;&gt;"",AN12*($AI$8-J12),"")</f>
        <v>6314.3835616438355</v>
      </c>
      <c r="AS12" s="67">
        <f t="shared" ref="AS12:AS52" si="10">IF(AQ12&lt;&gt;"",F12-AN12,"")</f>
        <v>69931.506849315076</v>
      </c>
      <c r="AT12" s="70">
        <f t="shared" ref="AT12:AT52" si="11">IF(AS12&lt;&gt;"",AS12*(1-$X$63),"")</f>
        <v>69931.506849315076</v>
      </c>
      <c r="AU12" s="70">
        <f>IF(AS12&lt;&gt;"",AT12+AN12,"")</f>
        <v>100000</v>
      </c>
      <c r="AV12" s="23">
        <f>IF(AS12&lt;&gt;"",(AU12/$AU$56)*J12,"")</f>
        <v>2.4793388429752067E-2</v>
      </c>
      <c r="AW12" s="78">
        <f t="shared" ref="AW12:AW52" si="12">IF(AS12&lt;&gt;"",((AH12-$AH$8)/365)*(AU12/$AU$56),"")</f>
        <v>1.4339409034303181</v>
      </c>
      <c r="AX12" s="101">
        <f>IF(AS12&lt;&gt;"",AU12*($AI$8-J12),"")</f>
        <v>21000</v>
      </c>
      <c r="AY12" s="89">
        <f>IF(AS12&lt;&gt;"",AS12*T12*(1-'(1) Inputs'!$E$10),"")</f>
        <v>10821.462413173414</v>
      </c>
      <c r="BA12" s="241">
        <f>IF(AY12&lt;&gt;"",(AY12/$AY$56)*AM12/365,"")</f>
        <v>0.41873229515612309</v>
      </c>
    </row>
    <row r="13" spans="2:54" ht="15" x14ac:dyDescent="0.2">
      <c r="B13" s="529">
        <v>2</v>
      </c>
      <c r="C13" s="378">
        <v>2014</v>
      </c>
      <c r="D13" s="382" t="s">
        <v>91</v>
      </c>
      <c r="E13" s="382" t="s">
        <v>31</v>
      </c>
      <c r="F13" s="383">
        <v>30000</v>
      </c>
      <c r="G13" s="384">
        <v>41699</v>
      </c>
      <c r="H13" s="384">
        <v>41737</v>
      </c>
      <c r="I13" s="385">
        <f>YEAR(G13)</f>
        <v>2014</v>
      </c>
      <c r="J13" s="386">
        <v>0.15</v>
      </c>
      <c r="K13" s="381">
        <v>4</v>
      </c>
      <c r="L13" s="372">
        <f>IF(D13&lt;&gt;"",G13+K13*365.25,"")</f>
        <v>43160</v>
      </c>
      <c r="M13" s="237">
        <f>(YEAR(L13)-1)-YEAR(H13)</f>
        <v>3</v>
      </c>
      <c r="N13" s="238">
        <f>(13-MONTH(H13))+MONTH(G13)+M13*12-1</f>
        <v>47</v>
      </c>
      <c r="O13" s="39">
        <f t="shared" si="2"/>
        <v>41737</v>
      </c>
      <c r="P13" s="63">
        <f t="shared" ref="P13:P52" si="13">IF(O13&lt;&gt;"",MONTH(O13)*30-30+DAY(O13),"")</f>
        <v>98</v>
      </c>
      <c r="Q13" s="40" t="e">
        <f>#REF!</f>
        <v>#REF!</v>
      </c>
      <c r="R13" s="64" t="e">
        <f t="shared" si="3"/>
        <v>#REF!</v>
      </c>
      <c r="S13" s="41"/>
      <c r="T13" s="365">
        <f>'(4) Black_Scholes_table'!N9</f>
        <v>0.16429220749218093</v>
      </c>
      <c r="U13" s="42">
        <f>IF(O13&lt;&gt;"",SUMPRODUCT($F$12:$F$52,$T$12:$T$52,--($I$12:$I$52=I13))/SUMIF($I$12:$I$52,I13:$I$52,$F$12:$F$52),"")</f>
        <v>0.12812762579782583</v>
      </c>
      <c r="V13" s="65">
        <f>IF(O13&lt;&gt;"",T13*F13*(1-'(1) Inputs'!$E$10),"")</f>
        <v>4682.3279135271559</v>
      </c>
      <c r="W13" s="66">
        <f t="shared" si="4"/>
        <v>4928.766224765428</v>
      </c>
      <c r="X13" s="43">
        <f t="shared" si="5"/>
        <v>896.6159834413703</v>
      </c>
      <c r="Y13" s="43">
        <f t="shared" si="5"/>
        <v>1195.487977921827</v>
      </c>
      <c r="Z13" s="43">
        <f t="shared" si="5"/>
        <v>1195.487977921827</v>
      </c>
      <c r="AA13" s="43">
        <f t="shared" si="5"/>
        <v>1195.487977921827</v>
      </c>
      <c r="AB13" s="43">
        <f t="shared" si="5"/>
        <v>199.24799632030451</v>
      </c>
      <c r="AC13" s="43">
        <f t="shared" si="5"/>
        <v>0</v>
      </c>
      <c r="AD13" s="131">
        <f t="shared" si="5"/>
        <v>0</v>
      </c>
      <c r="AE13" s="315"/>
      <c r="AF13" s="67">
        <f t="shared" si="6"/>
        <v>30000</v>
      </c>
      <c r="AG13" s="44">
        <f t="shared" ref="AG13:AG52" si="14">IF(AF13&lt;&gt;"",(AF13/$AF$56)*J13,"")</f>
        <v>7.4380165289256199E-3</v>
      </c>
      <c r="AH13" s="40">
        <f t="shared" si="7"/>
        <v>45351.5</v>
      </c>
      <c r="AI13" s="78">
        <f t="shared" si="8"/>
        <v>0.45477187818408243</v>
      </c>
      <c r="AJ13" s="101">
        <f t="shared" ref="AJ13:AJ52" si="15">IF(AF13&lt;&gt;"",AF13*($AI$8-J13),"")</f>
        <v>6300</v>
      </c>
      <c r="AL13" s="127">
        <f t="shared" ref="AL13:AL52" si="16">IF(AJ13&lt;&gt;"",($AH$8-O13),"")</f>
        <v>267</v>
      </c>
      <c r="AM13" s="68">
        <f t="shared" ref="AM13:AM52" si="17">IF(AL13&lt;&gt;"",IF(AL13&gt;(365*K13),0,((365*K13)-AL13)),"")</f>
        <v>1193</v>
      </c>
      <c r="AN13" s="68">
        <f t="shared" ref="AN13:AN52" si="18">IF(AL13&lt;&gt;"",IF(AL13&gt;365,(AF13*(AL13/365/4)),0),"")</f>
        <v>0</v>
      </c>
      <c r="AO13" s="116">
        <f t="shared" ref="AO13:AO52" si="19">IF(AL13&lt;&gt;"",(AN13/$AN$56)*J13,"")</f>
        <v>0</v>
      </c>
      <c r="AP13" s="69">
        <f t="shared" si="9"/>
        <v>0</v>
      </c>
      <c r="AQ13" s="101">
        <f t="shared" ref="AQ13:AQ52" si="20">IF(AL13&lt;&gt;"",AN13*($AI$8-J13),"")</f>
        <v>0</v>
      </c>
      <c r="AS13" s="67">
        <f t="shared" si="10"/>
        <v>30000</v>
      </c>
      <c r="AT13" s="70">
        <f t="shared" si="11"/>
        <v>30000</v>
      </c>
      <c r="AU13" s="70">
        <f t="shared" ref="AU13:AU52" si="21">IF(AS13&lt;&gt;"",AT13+AN13,"")</f>
        <v>30000</v>
      </c>
      <c r="AV13" s="23">
        <f t="shared" ref="AV13:AV52" si="22">IF(AS13&lt;&gt;"",(AU13/$AU$56)*J13,"")</f>
        <v>7.4380165289256199E-3</v>
      </c>
      <c r="AW13" s="78">
        <f t="shared" si="12"/>
        <v>0.45477187818408243</v>
      </c>
      <c r="AX13" s="101">
        <f t="shared" ref="AX13:AX52" si="23">IF(AS13&lt;&gt;"",AU13*($AI$8-J13),"")</f>
        <v>6300</v>
      </c>
      <c r="AY13" s="89">
        <f>IF(AS13&lt;&gt;"",AS13*T13*(1-'(1) Inputs'!$E$10),"")</f>
        <v>4682.3279135271559</v>
      </c>
      <c r="BA13" s="241">
        <f t="shared" ref="BA13:BA52" si="24">IF(AY13&lt;&gt;"",(AY13/$AY$56)*AM13/365,"")</f>
        <v>0.2117030080398509</v>
      </c>
    </row>
    <row r="14" spans="2:54" ht="15" x14ac:dyDescent="0.2">
      <c r="B14" s="529">
        <v>3</v>
      </c>
      <c r="C14" s="378">
        <v>2014</v>
      </c>
      <c r="D14" s="382" t="s">
        <v>92</v>
      </c>
      <c r="E14" s="382" t="s">
        <v>32</v>
      </c>
      <c r="F14" s="383">
        <v>150000</v>
      </c>
      <c r="G14" s="384">
        <v>41699</v>
      </c>
      <c r="H14" s="384">
        <v>41737</v>
      </c>
      <c r="I14" s="385">
        <f>YEAR(G14)</f>
        <v>2014</v>
      </c>
      <c r="J14" s="386">
        <v>0.15</v>
      </c>
      <c r="K14" s="381">
        <v>4</v>
      </c>
      <c r="L14" s="372">
        <f>IF(D14&lt;&gt;"",G14+K14*365.25,"")</f>
        <v>43160</v>
      </c>
      <c r="M14" s="237">
        <f>(YEAR(L14)-1)-YEAR(H14)</f>
        <v>3</v>
      </c>
      <c r="N14" s="238">
        <f>(13-MONTH(H14))+MONTH(G14)+M14*12-1</f>
        <v>47</v>
      </c>
      <c r="O14" s="39">
        <f t="shared" si="2"/>
        <v>41737</v>
      </c>
      <c r="P14" s="63">
        <f t="shared" si="13"/>
        <v>98</v>
      </c>
      <c r="Q14" s="40" t="e">
        <f>#REF!</f>
        <v>#REF!</v>
      </c>
      <c r="R14" s="64" t="e">
        <f t="shared" si="3"/>
        <v>#REF!</v>
      </c>
      <c r="S14" s="41"/>
      <c r="T14" s="365">
        <f>'(4) Black_Scholes_table'!N10</f>
        <v>0.16429220749218093</v>
      </c>
      <c r="U14" s="42">
        <f>IF(O14&lt;&gt;"",SUMPRODUCT($F$12:$F$52,$T$12:$T$52,--($I$12:$I$52=I14))/SUMIF($I$12:$I$52,I14:$I$52,$F$12:$F$52),"")</f>
        <v>0.12812762579782583</v>
      </c>
      <c r="V14" s="65">
        <f>IF(O14&lt;&gt;"",T14*F14*(1-'(1) Inputs'!$E$10),"")</f>
        <v>23411.639567635779</v>
      </c>
      <c r="W14" s="66">
        <f t="shared" si="4"/>
        <v>24643.831123827138</v>
      </c>
      <c r="X14" s="43">
        <f t="shared" si="5"/>
        <v>4483.079917206851</v>
      </c>
      <c r="Y14" s="43">
        <f t="shared" si="5"/>
        <v>5977.4398896091352</v>
      </c>
      <c r="Z14" s="43">
        <f t="shared" si="5"/>
        <v>5977.4398896091352</v>
      </c>
      <c r="AA14" s="43">
        <f t="shared" si="5"/>
        <v>5977.4398896091352</v>
      </c>
      <c r="AB14" s="43">
        <f t="shared" si="5"/>
        <v>996.23998160152246</v>
      </c>
      <c r="AC14" s="43">
        <f t="shared" si="5"/>
        <v>0</v>
      </c>
      <c r="AD14" s="131">
        <f t="shared" si="5"/>
        <v>0</v>
      </c>
      <c r="AE14" s="315"/>
      <c r="AF14" s="67">
        <f t="shared" si="6"/>
        <v>150000</v>
      </c>
      <c r="AG14" s="44">
        <f t="shared" si="14"/>
        <v>3.71900826446281E-2</v>
      </c>
      <c r="AH14" s="40">
        <f t="shared" si="7"/>
        <v>45351.5</v>
      </c>
      <c r="AI14" s="78">
        <f t="shared" si="8"/>
        <v>2.2738593909204123</v>
      </c>
      <c r="AJ14" s="101">
        <f t="shared" si="15"/>
        <v>31500</v>
      </c>
      <c r="AL14" s="127">
        <f t="shared" si="16"/>
        <v>267</v>
      </c>
      <c r="AM14" s="68">
        <f t="shared" si="17"/>
        <v>1193</v>
      </c>
      <c r="AN14" s="68">
        <f t="shared" si="18"/>
        <v>0</v>
      </c>
      <c r="AO14" s="116">
        <f t="shared" si="19"/>
        <v>0</v>
      </c>
      <c r="AP14" s="69">
        <f t="shared" si="9"/>
        <v>0</v>
      </c>
      <c r="AQ14" s="101">
        <f t="shared" si="20"/>
        <v>0</v>
      </c>
      <c r="AS14" s="67">
        <f t="shared" si="10"/>
        <v>150000</v>
      </c>
      <c r="AT14" s="70">
        <f t="shared" si="11"/>
        <v>150000</v>
      </c>
      <c r="AU14" s="70">
        <f t="shared" si="21"/>
        <v>150000</v>
      </c>
      <c r="AV14" s="23">
        <f t="shared" si="22"/>
        <v>3.71900826446281E-2</v>
      </c>
      <c r="AW14" s="78">
        <f t="shared" si="12"/>
        <v>2.2738593909204123</v>
      </c>
      <c r="AX14" s="101">
        <f t="shared" si="23"/>
        <v>31500</v>
      </c>
      <c r="AY14" s="89">
        <f>IF(AS14&lt;&gt;"",AS14*T14*(1-'(1) Inputs'!$E$10),"")</f>
        <v>23411.639567635779</v>
      </c>
      <c r="BA14" s="241">
        <f t="shared" si="24"/>
        <v>1.0585150401992545</v>
      </c>
    </row>
    <row r="15" spans="2:54" ht="15" x14ac:dyDescent="0.2">
      <c r="B15" s="529">
        <v>4</v>
      </c>
      <c r="C15" s="378">
        <v>2014</v>
      </c>
      <c r="D15" s="382" t="s">
        <v>93</v>
      </c>
      <c r="E15" s="382" t="s">
        <v>85</v>
      </c>
      <c r="F15" s="383">
        <v>225000</v>
      </c>
      <c r="G15" s="384">
        <v>41760</v>
      </c>
      <c r="H15" s="384">
        <v>41783</v>
      </c>
      <c r="I15" s="385">
        <f>YEAR(G15)</f>
        <v>2014</v>
      </c>
      <c r="J15" s="386">
        <v>0.28000000000000003</v>
      </c>
      <c r="K15" s="381">
        <v>4</v>
      </c>
      <c r="L15" s="372">
        <f>IF(D15&lt;&gt;"",G15+K15*365.25,"")</f>
        <v>43221</v>
      </c>
      <c r="M15" s="237">
        <f>(YEAR(L15)-1)-YEAR(H15)</f>
        <v>3</v>
      </c>
      <c r="N15" s="238">
        <f>(13-MONTH(H15))+MONTH(G15)+M15*12-1</f>
        <v>48</v>
      </c>
      <c r="O15" s="39">
        <f t="shared" si="2"/>
        <v>41783</v>
      </c>
      <c r="P15" s="63">
        <f t="shared" si="13"/>
        <v>144</v>
      </c>
      <c r="Q15" s="40" t="e">
        <f>#REF!</f>
        <v>#REF!</v>
      </c>
      <c r="R15" s="64" t="e">
        <f t="shared" si="3"/>
        <v>#REF!</v>
      </c>
      <c r="S15" s="41"/>
      <c r="T15" s="365">
        <f>'(4) Black_Scholes_table'!N11</f>
        <v>0.10809801132095224</v>
      </c>
      <c r="U15" s="42">
        <f>IF(O15&lt;&gt;"",SUMPRODUCT($F$12:$F$52,$T$12:$T$52,--($I$12:$I$52=I15))/SUMIF($I$12:$I$52,I15:$I$52,$F$12:$F$52),"")</f>
        <v>0.12812762579782583</v>
      </c>
      <c r="V15" s="65">
        <f>IF(O15&lt;&gt;"",T15*F15*(1-'(1) Inputs'!$E$10),"")</f>
        <v>23105.949919853541</v>
      </c>
      <c r="W15" s="66">
        <f t="shared" si="4"/>
        <v>24322.052547214254</v>
      </c>
      <c r="X15" s="43">
        <f t="shared" si="5"/>
        <v>3850.9916533089236</v>
      </c>
      <c r="Y15" s="43">
        <f t="shared" si="5"/>
        <v>5776.4874799633853</v>
      </c>
      <c r="Z15" s="43">
        <f t="shared" si="5"/>
        <v>5776.4874799633853</v>
      </c>
      <c r="AA15" s="43">
        <f t="shared" si="5"/>
        <v>5776.4874799633853</v>
      </c>
      <c r="AB15" s="43">
        <f t="shared" si="5"/>
        <v>1925.4958266544618</v>
      </c>
      <c r="AC15" s="43">
        <f t="shared" si="5"/>
        <v>0</v>
      </c>
      <c r="AD15" s="131">
        <f t="shared" si="5"/>
        <v>0</v>
      </c>
      <c r="AE15" s="315"/>
      <c r="AF15" s="67">
        <f t="shared" si="6"/>
        <v>225000</v>
      </c>
      <c r="AG15" s="44">
        <f t="shared" si="14"/>
        <v>0.10413223140495868</v>
      </c>
      <c r="AH15" s="40">
        <f t="shared" si="7"/>
        <v>45412.5</v>
      </c>
      <c r="AI15" s="78">
        <f t="shared" si="8"/>
        <v>3.472942375183969</v>
      </c>
      <c r="AJ15" s="101">
        <f t="shared" si="15"/>
        <v>17999.999999999993</v>
      </c>
      <c r="AL15" s="127">
        <f t="shared" si="16"/>
        <v>221</v>
      </c>
      <c r="AM15" s="68">
        <f t="shared" si="17"/>
        <v>1239</v>
      </c>
      <c r="AN15" s="68">
        <f t="shared" si="18"/>
        <v>0</v>
      </c>
      <c r="AO15" s="116">
        <f t="shared" si="19"/>
        <v>0</v>
      </c>
      <c r="AP15" s="69">
        <f t="shared" si="9"/>
        <v>0</v>
      </c>
      <c r="AQ15" s="101">
        <f t="shared" si="20"/>
        <v>0</v>
      </c>
      <c r="AS15" s="67">
        <f t="shared" si="10"/>
        <v>225000</v>
      </c>
      <c r="AT15" s="70">
        <f t="shared" si="11"/>
        <v>225000</v>
      </c>
      <c r="AU15" s="70">
        <f t="shared" si="21"/>
        <v>225000</v>
      </c>
      <c r="AV15" s="23">
        <f t="shared" si="22"/>
        <v>0.10413223140495868</v>
      </c>
      <c r="AW15" s="78">
        <f t="shared" si="12"/>
        <v>3.472942375183969</v>
      </c>
      <c r="AX15" s="101">
        <f t="shared" si="23"/>
        <v>17999.999999999993</v>
      </c>
      <c r="AY15" s="89">
        <f>IF(AS15&lt;&gt;"",AS15*T15*(1-'(1) Inputs'!$E$10),"")</f>
        <v>23105.949919853541</v>
      </c>
      <c r="BA15" s="241">
        <f t="shared" si="24"/>
        <v>1.084975407171441</v>
      </c>
    </row>
    <row r="16" spans="2:54" ht="15" customHeight="1" x14ac:dyDescent="0.2">
      <c r="B16" s="529">
        <v>5</v>
      </c>
      <c r="C16" s="378">
        <v>2014</v>
      </c>
      <c r="D16" s="382" t="s">
        <v>97</v>
      </c>
      <c r="E16" s="382" t="s">
        <v>31</v>
      </c>
      <c r="F16" s="383">
        <v>100000</v>
      </c>
      <c r="G16" s="387">
        <v>41791</v>
      </c>
      <c r="H16" s="384">
        <v>41821</v>
      </c>
      <c r="I16" s="385">
        <f>YEAR(G16)</f>
        <v>2014</v>
      </c>
      <c r="J16" s="386">
        <v>0.28000000000000003</v>
      </c>
      <c r="K16" s="381">
        <v>4</v>
      </c>
      <c r="L16" s="372">
        <f>IF(D16&lt;&gt;"",G16+K16*365.25,"")</f>
        <v>43252</v>
      </c>
      <c r="M16" s="237">
        <f>(YEAR(L16)-1)-YEAR(H16)</f>
        <v>3</v>
      </c>
      <c r="N16" s="238">
        <f>(13-MONTH(H16))+MONTH(G16)+M16*12-1</f>
        <v>47</v>
      </c>
      <c r="O16" s="39">
        <f t="shared" si="2"/>
        <v>41821</v>
      </c>
      <c r="P16" s="63">
        <f t="shared" si="13"/>
        <v>181</v>
      </c>
      <c r="Q16" s="40" t="e">
        <f>#REF!</f>
        <v>#REF!</v>
      </c>
      <c r="R16" s="64" t="e">
        <f t="shared" si="3"/>
        <v>#REF!</v>
      </c>
      <c r="S16" s="41"/>
      <c r="T16" s="365">
        <f>'(4) Black_Scholes_table'!N12</f>
        <v>0.10809801132095224</v>
      </c>
      <c r="U16" s="42">
        <f>IF(O16&lt;&gt;"",SUMPRODUCT($F$12:$F$52,$T$12:$T$52,--($I$12:$I$52=I16))/SUMIF($I$12:$I$52,I16:$I$52,$F$12:$F$52),"")</f>
        <v>0.12812762579782583</v>
      </c>
      <c r="V16" s="65">
        <f>IF(O16&lt;&gt;"",T16*F16*(1-'(1) Inputs'!$E$10),"")</f>
        <v>10269.311075490463</v>
      </c>
      <c r="W16" s="66">
        <f t="shared" si="4"/>
        <v>10809.801132095225</v>
      </c>
      <c r="X16" s="43">
        <f t="shared" si="5"/>
        <v>1310.9758819775059</v>
      </c>
      <c r="Y16" s="43">
        <f t="shared" si="5"/>
        <v>2621.9517639550118</v>
      </c>
      <c r="Z16" s="43">
        <f t="shared" si="5"/>
        <v>2621.9517639550118</v>
      </c>
      <c r="AA16" s="43">
        <f t="shared" si="5"/>
        <v>2621.9517639550118</v>
      </c>
      <c r="AB16" s="43">
        <f t="shared" si="5"/>
        <v>1092.4799016479217</v>
      </c>
      <c r="AC16" s="43">
        <f t="shared" si="5"/>
        <v>0</v>
      </c>
      <c r="AD16" s="131">
        <f t="shared" si="5"/>
        <v>0</v>
      </c>
      <c r="AE16" s="315"/>
      <c r="AF16" s="67">
        <f t="shared" si="6"/>
        <v>100000</v>
      </c>
      <c r="AG16" s="44">
        <f t="shared" si="14"/>
        <v>4.6280991735537194E-2</v>
      </c>
      <c r="AH16" s="40">
        <f t="shared" si="7"/>
        <v>45443.5</v>
      </c>
      <c r="AI16" s="78">
        <f t="shared" si="8"/>
        <v>1.5575682101211368</v>
      </c>
      <c r="AJ16" s="101">
        <f t="shared" si="15"/>
        <v>7999.9999999999964</v>
      </c>
      <c r="AL16" s="127">
        <f t="shared" si="16"/>
        <v>183</v>
      </c>
      <c r="AM16" s="68">
        <f t="shared" si="17"/>
        <v>1277</v>
      </c>
      <c r="AN16" s="68">
        <f t="shared" si="18"/>
        <v>0</v>
      </c>
      <c r="AO16" s="116">
        <f t="shared" si="19"/>
        <v>0</v>
      </c>
      <c r="AP16" s="69">
        <f t="shared" si="9"/>
        <v>0</v>
      </c>
      <c r="AQ16" s="101">
        <f t="shared" si="20"/>
        <v>0</v>
      </c>
      <c r="AS16" s="67">
        <f t="shared" si="10"/>
        <v>100000</v>
      </c>
      <c r="AT16" s="70">
        <f t="shared" si="11"/>
        <v>100000</v>
      </c>
      <c r="AU16" s="70">
        <f t="shared" si="21"/>
        <v>100000</v>
      </c>
      <c r="AV16" s="23">
        <f t="shared" si="22"/>
        <v>4.6280991735537194E-2</v>
      </c>
      <c r="AW16" s="78">
        <f t="shared" si="12"/>
        <v>1.5575682101211368</v>
      </c>
      <c r="AX16" s="101">
        <f t="shared" si="23"/>
        <v>7999.9999999999964</v>
      </c>
      <c r="AY16" s="89">
        <f>IF(AS16&lt;&gt;"",AS16*T16*(1-'(1) Inputs'!$E$10),"")</f>
        <v>10269.311075490463</v>
      </c>
      <c r="BA16" s="241">
        <f t="shared" si="24"/>
        <v>0.49700066180896074</v>
      </c>
    </row>
    <row r="17" spans="2:53" ht="15" x14ac:dyDescent="0.2">
      <c r="B17" s="529">
        <v>6</v>
      </c>
      <c r="C17" s="378"/>
      <c r="D17" s="382"/>
      <c r="E17" s="382"/>
      <c r="F17" s="383"/>
      <c r="G17" s="387"/>
      <c r="H17" s="384"/>
      <c r="I17" s="385"/>
      <c r="J17" s="386"/>
      <c r="K17" s="381"/>
      <c r="L17" s="372"/>
      <c r="M17" s="237"/>
      <c r="N17" s="238"/>
      <c r="O17" s="39" t="str">
        <f t="shared" si="2"/>
        <v/>
      </c>
      <c r="P17" s="63" t="str">
        <f t="shared" si="13"/>
        <v/>
      </c>
      <c r="Q17" s="40" t="e">
        <f>#REF!</f>
        <v>#REF!</v>
      </c>
      <c r="R17" s="64" t="e">
        <f t="shared" si="3"/>
        <v>#REF!</v>
      </c>
      <c r="S17" s="41"/>
      <c r="T17" s="365" t="str">
        <f>'(4) Black_Scholes_table'!N13</f>
        <v/>
      </c>
      <c r="U17" s="42" t="str">
        <f>IF(O17&lt;&gt;"",SUMPRODUCT($F$12:$F$52,$T$12:$T$52,--($I$12:$I$52=I17))/SUMIF($I$12:$I$52,I17:$I$52,$F$12:$F$52),"")</f>
        <v/>
      </c>
      <c r="V17" s="65" t="str">
        <f>IF(O17&lt;&gt;"",T17*F17*(1-'(1) Inputs'!$E$10),"")</f>
        <v/>
      </c>
      <c r="W17" s="66" t="str">
        <f t="shared" si="4"/>
        <v/>
      </c>
      <c r="X17" s="43" t="str">
        <f t="shared" si="5"/>
        <v/>
      </c>
      <c r="Y17" s="43" t="str">
        <f t="shared" si="5"/>
        <v/>
      </c>
      <c r="Z17" s="43" t="str">
        <f t="shared" si="5"/>
        <v/>
      </c>
      <c r="AA17" s="43" t="str">
        <f t="shared" si="5"/>
        <v/>
      </c>
      <c r="AB17" s="43" t="str">
        <f t="shared" si="5"/>
        <v/>
      </c>
      <c r="AC17" s="43" t="str">
        <f t="shared" si="5"/>
        <v/>
      </c>
      <c r="AD17" s="131" t="str">
        <f t="shared" si="5"/>
        <v/>
      </c>
      <c r="AE17" s="315"/>
      <c r="AF17" s="67" t="str">
        <f t="shared" si="6"/>
        <v/>
      </c>
      <c r="AG17" s="44" t="str">
        <f t="shared" si="14"/>
        <v/>
      </c>
      <c r="AH17" s="40" t="str">
        <f t="shared" si="7"/>
        <v/>
      </c>
      <c r="AI17" s="78" t="str">
        <f t="shared" si="8"/>
        <v/>
      </c>
      <c r="AJ17" s="101" t="str">
        <f t="shared" si="15"/>
        <v/>
      </c>
      <c r="AL17" s="127" t="str">
        <f t="shared" si="16"/>
        <v/>
      </c>
      <c r="AM17" s="68" t="str">
        <f t="shared" si="17"/>
        <v/>
      </c>
      <c r="AN17" s="68" t="str">
        <f t="shared" si="18"/>
        <v/>
      </c>
      <c r="AO17" s="116" t="str">
        <f t="shared" si="19"/>
        <v/>
      </c>
      <c r="AP17" s="69" t="str">
        <f t="shared" si="9"/>
        <v/>
      </c>
      <c r="AQ17" s="101" t="str">
        <f t="shared" si="20"/>
        <v/>
      </c>
      <c r="AS17" s="67" t="str">
        <f t="shared" si="10"/>
        <v/>
      </c>
      <c r="AT17" s="70" t="str">
        <f t="shared" si="11"/>
        <v/>
      </c>
      <c r="AU17" s="70" t="str">
        <f t="shared" si="21"/>
        <v/>
      </c>
      <c r="AV17" s="23" t="str">
        <f t="shared" si="22"/>
        <v/>
      </c>
      <c r="AW17" s="78" t="str">
        <f t="shared" si="12"/>
        <v/>
      </c>
      <c r="AX17" s="101" t="str">
        <f t="shared" si="23"/>
        <v/>
      </c>
      <c r="AY17" s="89" t="str">
        <f>IF(AS17&lt;&gt;"",AS17*T17*(1-'(1) Inputs'!$E$10),"")</f>
        <v/>
      </c>
      <c r="BA17" s="241" t="str">
        <f t="shared" si="24"/>
        <v/>
      </c>
    </row>
    <row r="18" spans="2:53" ht="15" x14ac:dyDescent="0.2">
      <c r="B18" s="529">
        <v>7</v>
      </c>
      <c r="C18" s="378"/>
      <c r="D18" s="388"/>
      <c r="E18" s="382"/>
      <c r="F18" s="383"/>
      <c r="G18" s="387"/>
      <c r="H18" s="387"/>
      <c r="I18" s="385"/>
      <c r="J18" s="386"/>
      <c r="K18" s="381"/>
      <c r="L18" s="372"/>
      <c r="M18" s="237"/>
      <c r="N18" s="238"/>
      <c r="O18" s="39" t="str">
        <f t="shared" si="2"/>
        <v/>
      </c>
      <c r="P18" s="63" t="str">
        <f t="shared" si="13"/>
        <v/>
      </c>
      <c r="Q18" s="40" t="e">
        <f>#REF!</f>
        <v>#REF!</v>
      </c>
      <c r="R18" s="64" t="e">
        <f t="shared" si="3"/>
        <v>#REF!</v>
      </c>
      <c r="S18" s="41"/>
      <c r="T18" s="365" t="str">
        <f>'(4) Black_Scholes_table'!N14</f>
        <v/>
      </c>
      <c r="U18" s="42" t="str">
        <f>IF(O18&lt;&gt;"",SUMPRODUCT($F$12:$F$52,$T$12:$T$52,--($I$12:$I$52=I18))/SUMIF($I$12:$I$52,I18:$I$52,$F$12:$F$52),"")</f>
        <v/>
      </c>
      <c r="V18" s="65" t="str">
        <f>IF(O18&lt;&gt;"",T18*F18*(1-'(1) Inputs'!$E$10),"")</f>
        <v/>
      </c>
      <c r="W18" s="66" t="str">
        <f t="shared" si="4"/>
        <v/>
      </c>
      <c r="X18" s="43" t="str">
        <f t="shared" si="5"/>
        <v/>
      </c>
      <c r="Y18" s="43" t="str">
        <f t="shared" si="5"/>
        <v/>
      </c>
      <c r="Z18" s="43" t="str">
        <f t="shared" si="5"/>
        <v/>
      </c>
      <c r="AA18" s="43" t="str">
        <f t="shared" si="5"/>
        <v/>
      </c>
      <c r="AB18" s="43" t="str">
        <f t="shared" si="5"/>
        <v/>
      </c>
      <c r="AC18" s="43" t="str">
        <f t="shared" si="5"/>
        <v/>
      </c>
      <c r="AD18" s="131" t="str">
        <f t="shared" si="5"/>
        <v/>
      </c>
      <c r="AE18" s="315"/>
      <c r="AF18" s="67" t="str">
        <f t="shared" si="6"/>
        <v/>
      </c>
      <c r="AG18" s="44" t="str">
        <f t="shared" si="14"/>
        <v/>
      </c>
      <c r="AH18" s="40" t="str">
        <f t="shared" si="7"/>
        <v/>
      </c>
      <c r="AI18" s="78" t="str">
        <f t="shared" si="8"/>
        <v/>
      </c>
      <c r="AJ18" s="101" t="str">
        <f t="shared" si="15"/>
        <v/>
      </c>
      <c r="AL18" s="127" t="str">
        <f t="shared" si="16"/>
        <v/>
      </c>
      <c r="AM18" s="68" t="str">
        <f t="shared" si="17"/>
        <v/>
      </c>
      <c r="AN18" s="68" t="str">
        <f t="shared" si="18"/>
        <v/>
      </c>
      <c r="AO18" s="116" t="str">
        <f t="shared" si="19"/>
        <v/>
      </c>
      <c r="AP18" s="69" t="str">
        <f t="shared" si="9"/>
        <v/>
      </c>
      <c r="AQ18" s="101" t="str">
        <f t="shared" si="20"/>
        <v/>
      </c>
      <c r="AS18" s="67" t="str">
        <f t="shared" si="10"/>
        <v/>
      </c>
      <c r="AT18" s="70" t="str">
        <f t="shared" si="11"/>
        <v/>
      </c>
      <c r="AU18" s="70" t="str">
        <f t="shared" si="21"/>
        <v/>
      </c>
      <c r="AV18" s="23" t="str">
        <f t="shared" si="22"/>
        <v/>
      </c>
      <c r="AW18" s="78" t="str">
        <f t="shared" si="12"/>
        <v/>
      </c>
      <c r="AX18" s="101" t="str">
        <f t="shared" si="23"/>
        <v/>
      </c>
      <c r="AY18" s="89" t="str">
        <f>IF(AS18&lt;&gt;"",AS18*T18*(1-'(1) Inputs'!$E$10),"")</f>
        <v/>
      </c>
      <c r="BA18" s="241" t="str">
        <f t="shared" si="24"/>
        <v/>
      </c>
    </row>
    <row r="19" spans="2:53" s="318" customFormat="1" ht="18" customHeight="1" x14ac:dyDescent="0.2">
      <c r="B19" s="529">
        <v>8</v>
      </c>
      <c r="C19" s="389"/>
      <c r="D19" s="388"/>
      <c r="E19" s="382"/>
      <c r="F19" s="390"/>
      <c r="G19" s="391"/>
      <c r="H19" s="391"/>
      <c r="I19" s="385"/>
      <c r="J19" s="386"/>
      <c r="K19" s="381"/>
      <c r="L19" s="372"/>
      <c r="M19" s="237"/>
      <c r="N19" s="238"/>
      <c r="O19" s="39" t="str">
        <f t="shared" si="2"/>
        <v/>
      </c>
      <c r="P19" s="63" t="str">
        <f t="shared" si="13"/>
        <v/>
      </c>
      <c r="Q19" s="40" t="e">
        <f>#REF!</f>
        <v>#REF!</v>
      </c>
      <c r="R19" s="64"/>
      <c r="S19" s="77"/>
      <c r="T19" s="365" t="str">
        <f>'(4) Black_Scholes_table'!N15</f>
        <v/>
      </c>
      <c r="U19" s="42" t="str">
        <f>IF(O19&lt;&gt;"",SUMPRODUCT($F$12:$F$52,$T$12:$T$52,--($I$12:$I$52=I19))/SUMIF($I$12:$I$52,I19:$I$52,$F$12:$F$52),"")</f>
        <v/>
      </c>
      <c r="V19" s="65" t="str">
        <f>IF(O19&lt;&gt;"",T19*F19*(1-'(1) Inputs'!$E$10),"")</f>
        <v/>
      </c>
      <c r="W19" s="66" t="str">
        <f t="shared" si="4"/>
        <v/>
      </c>
      <c r="X19" s="43" t="str">
        <f t="shared" si="5"/>
        <v/>
      </c>
      <c r="Y19" s="43" t="str">
        <f t="shared" si="5"/>
        <v/>
      </c>
      <c r="Z19" s="43" t="str">
        <f t="shared" si="5"/>
        <v/>
      </c>
      <c r="AA19" s="43" t="str">
        <f t="shared" si="5"/>
        <v/>
      </c>
      <c r="AB19" s="43" t="str">
        <f t="shared" si="5"/>
        <v/>
      </c>
      <c r="AC19" s="43" t="str">
        <f t="shared" si="5"/>
        <v/>
      </c>
      <c r="AD19" s="131" t="str">
        <f t="shared" si="5"/>
        <v/>
      </c>
      <c r="AF19" s="67" t="str">
        <f t="shared" si="6"/>
        <v/>
      </c>
      <c r="AG19" s="44" t="str">
        <f t="shared" si="14"/>
        <v/>
      </c>
      <c r="AH19" s="40" t="str">
        <f t="shared" si="7"/>
        <v/>
      </c>
      <c r="AI19" s="78" t="str">
        <f t="shared" si="8"/>
        <v/>
      </c>
      <c r="AJ19" s="101" t="str">
        <f t="shared" si="15"/>
        <v/>
      </c>
      <c r="AL19" s="127" t="str">
        <f t="shared" si="16"/>
        <v/>
      </c>
      <c r="AM19" s="68" t="str">
        <f t="shared" si="17"/>
        <v/>
      </c>
      <c r="AN19" s="68" t="str">
        <f t="shared" si="18"/>
        <v/>
      </c>
      <c r="AO19" s="116" t="str">
        <f t="shared" si="19"/>
        <v/>
      </c>
      <c r="AP19" s="69" t="str">
        <f t="shared" si="9"/>
        <v/>
      </c>
      <c r="AQ19" s="101" t="str">
        <f t="shared" si="20"/>
        <v/>
      </c>
      <c r="AS19" s="67" t="str">
        <f t="shared" si="10"/>
        <v/>
      </c>
      <c r="AT19" s="70" t="str">
        <f t="shared" si="11"/>
        <v/>
      </c>
      <c r="AU19" s="70" t="str">
        <f t="shared" si="21"/>
        <v/>
      </c>
      <c r="AV19" s="23" t="str">
        <f t="shared" si="22"/>
        <v/>
      </c>
      <c r="AW19" s="78" t="str">
        <f t="shared" si="12"/>
        <v/>
      </c>
      <c r="AX19" s="101" t="str">
        <f t="shared" si="23"/>
        <v/>
      </c>
      <c r="AY19" s="89" t="str">
        <f>IF(AS19&lt;&gt;"",AS19*T19*(1-'(1) Inputs'!$E$10),"")</f>
        <v/>
      </c>
      <c r="BA19" s="241" t="str">
        <f t="shared" si="24"/>
        <v/>
      </c>
    </row>
    <row r="20" spans="2:53" s="318" customFormat="1" ht="15" x14ac:dyDescent="0.2">
      <c r="B20" s="529">
        <v>9</v>
      </c>
      <c r="C20" s="389"/>
      <c r="D20" s="388"/>
      <c r="E20" s="382"/>
      <c r="F20" s="390"/>
      <c r="G20" s="391"/>
      <c r="H20" s="391"/>
      <c r="I20" s="385"/>
      <c r="J20" s="386"/>
      <c r="K20" s="381"/>
      <c r="L20" s="372"/>
      <c r="M20" s="237"/>
      <c r="N20" s="238"/>
      <c r="O20" s="39" t="str">
        <f t="shared" si="2"/>
        <v/>
      </c>
      <c r="P20" s="63" t="str">
        <f t="shared" si="13"/>
        <v/>
      </c>
      <c r="Q20" s="40" t="e">
        <f>#REF!</f>
        <v>#REF!</v>
      </c>
      <c r="R20" s="64"/>
      <c r="S20" s="77"/>
      <c r="T20" s="365" t="str">
        <f>'(4) Black_Scholes_table'!N16</f>
        <v/>
      </c>
      <c r="U20" s="42" t="str">
        <f>IF(O20&lt;&gt;"",SUMPRODUCT($F$12:$F$52,$T$12:$T$52,--($I$12:$I$52=I20))/SUMIF($I$12:$I$52,I20:$I$52,$F$12:$F$52),"")</f>
        <v/>
      </c>
      <c r="V20" s="65" t="str">
        <f>IF(O20&lt;&gt;"",T20*F20*(1-'(1) Inputs'!$E$10),"")</f>
        <v/>
      </c>
      <c r="W20" s="66" t="str">
        <f t="shared" si="4"/>
        <v/>
      </c>
      <c r="X20" s="43" t="str">
        <f t="shared" si="5"/>
        <v/>
      </c>
      <c r="Y20" s="43" t="str">
        <f t="shared" si="5"/>
        <v/>
      </c>
      <c r="Z20" s="43" t="str">
        <f t="shared" si="5"/>
        <v/>
      </c>
      <c r="AA20" s="43" t="str">
        <f t="shared" si="5"/>
        <v/>
      </c>
      <c r="AB20" s="43" t="str">
        <f t="shared" si="5"/>
        <v/>
      </c>
      <c r="AC20" s="43" t="str">
        <f t="shared" si="5"/>
        <v/>
      </c>
      <c r="AD20" s="131" t="str">
        <f t="shared" si="5"/>
        <v/>
      </c>
      <c r="AF20" s="67" t="str">
        <f t="shared" si="6"/>
        <v/>
      </c>
      <c r="AG20" s="44" t="str">
        <f t="shared" si="14"/>
        <v/>
      </c>
      <c r="AH20" s="40" t="str">
        <f t="shared" si="7"/>
        <v/>
      </c>
      <c r="AI20" s="78" t="str">
        <f t="shared" si="8"/>
        <v/>
      </c>
      <c r="AJ20" s="101" t="str">
        <f t="shared" si="15"/>
        <v/>
      </c>
      <c r="AL20" s="127" t="str">
        <f t="shared" si="16"/>
        <v/>
      </c>
      <c r="AM20" s="68" t="str">
        <f t="shared" si="17"/>
        <v/>
      </c>
      <c r="AN20" s="68" t="str">
        <f t="shared" si="18"/>
        <v/>
      </c>
      <c r="AO20" s="116" t="str">
        <f t="shared" si="19"/>
        <v/>
      </c>
      <c r="AP20" s="69" t="str">
        <f t="shared" si="9"/>
        <v/>
      </c>
      <c r="AQ20" s="101" t="str">
        <f t="shared" si="20"/>
        <v/>
      </c>
      <c r="AS20" s="67" t="str">
        <f t="shared" si="10"/>
        <v/>
      </c>
      <c r="AT20" s="70" t="str">
        <f t="shared" si="11"/>
        <v/>
      </c>
      <c r="AU20" s="70" t="str">
        <f t="shared" si="21"/>
        <v/>
      </c>
      <c r="AV20" s="23" t="str">
        <f t="shared" si="22"/>
        <v/>
      </c>
      <c r="AW20" s="78" t="str">
        <f t="shared" si="12"/>
        <v/>
      </c>
      <c r="AX20" s="101" t="str">
        <f t="shared" si="23"/>
        <v/>
      </c>
      <c r="AY20" s="89" t="str">
        <f>IF(AS20&lt;&gt;"",AS20*T20*(1-'(1) Inputs'!$E$10),"")</f>
        <v/>
      </c>
      <c r="BA20" s="241" t="str">
        <f t="shared" si="24"/>
        <v/>
      </c>
    </row>
    <row r="21" spans="2:53" ht="15" x14ac:dyDescent="0.2">
      <c r="B21" s="529">
        <v>10</v>
      </c>
      <c r="C21" s="392"/>
      <c r="D21" s="388"/>
      <c r="E21" s="382"/>
      <c r="F21" s="390"/>
      <c r="G21" s="391"/>
      <c r="H21" s="391"/>
      <c r="I21" s="385"/>
      <c r="J21" s="386"/>
      <c r="K21" s="381"/>
      <c r="L21" s="372"/>
      <c r="M21" s="237"/>
      <c r="N21" s="238"/>
      <c r="O21" s="39" t="str">
        <f t="shared" si="2"/>
        <v/>
      </c>
      <c r="P21" s="63" t="str">
        <f t="shared" si="13"/>
        <v/>
      </c>
      <c r="Q21" s="40" t="e">
        <f>#REF!</f>
        <v>#REF!</v>
      </c>
      <c r="R21" s="64"/>
      <c r="S21" s="41"/>
      <c r="T21" s="365" t="str">
        <f>'(4) Black_Scholes_table'!N17</f>
        <v/>
      </c>
      <c r="U21" s="42" t="str">
        <f>IF(O21&lt;&gt;"",SUMPRODUCT($F$12:$F$52,$T$12:$T$52,--($I$12:$I$52=I21))/SUMIF($I$12:$I$52,I21:$I$52,$F$12:$F$52),"")</f>
        <v/>
      </c>
      <c r="V21" s="65" t="str">
        <f>IF(O21&lt;&gt;"",T21*F21*(1-'(1) Inputs'!$E$10),"")</f>
        <v/>
      </c>
      <c r="W21" s="66" t="str">
        <f t="shared" si="4"/>
        <v/>
      </c>
      <c r="X21" s="43" t="str">
        <f t="shared" si="5"/>
        <v/>
      </c>
      <c r="Y21" s="43" t="str">
        <f t="shared" si="5"/>
        <v/>
      </c>
      <c r="Z21" s="43" t="str">
        <f t="shared" si="5"/>
        <v/>
      </c>
      <c r="AA21" s="43" t="str">
        <f t="shared" si="5"/>
        <v/>
      </c>
      <c r="AB21" s="43" t="str">
        <f t="shared" si="5"/>
        <v/>
      </c>
      <c r="AC21" s="43" t="str">
        <f t="shared" si="5"/>
        <v/>
      </c>
      <c r="AD21" s="131" t="str">
        <f t="shared" si="5"/>
        <v/>
      </c>
      <c r="AF21" s="67" t="str">
        <f t="shared" si="6"/>
        <v/>
      </c>
      <c r="AG21" s="44" t="str">
        <f t="shared" si="14"/>
        <v/>
      </c>
      <c r="AH21" s="40" t="str">
        <f t="shared" si="7"/>
        <v/>
      </c>
      <c r="AI21" s="78" t="str">
        <f t="shared" si="8"/>
        <v/>
      </c>
      <c r="AJ21" s="101" t="str">
        <f t="shared" si="15"/>
        <v/>
      </c>
      <c r="AL21" s="127" t="str">
        <f t="shared" si="16"/>
        <v/>
      </c>
      <c r="AM21" s="68" t="str">
        <f t="shared" si="17"/>
        <v/>
      </c>
      <c r="AN21" s="68" t="str">
        <f t="shared" si="18"/>
        <v/>
      </c>
      <c r="AO21" s="116" t="str">
        <f t="shared" si="19"/>
        <v/>
      </c>
      <c r="AP21" s="69" t="str">
        <f t="shared" si="9"/>
        <v/>
      </c>
      <c r="AQ21" s="101" t="str">
        <f t="shared" si="20"/>
        <v/>
      </c>
      <c r="AS21" s="67" t="str">
        <f t="shared" si="10"/>
        <v/>
      </c>
      <c r="AT21" s="70" t="str">
        <f t="shared" si="11"/>
        <v/>
      </c>
      <c r="AU21" s="70" t="str">
        <f t="shared" si="21"/>
        <v/>
      </c>
      <c r="AV21" s="23" t="str">
        <f t="shared" si="22"/>
        <v/>
      </c>
      <c r="AW21" s="78" t="str">
        <f t="shared" si="12"/>
        <v/>
      </c>
      <c r="AX21" s="101" t="str">
        <f t="shared" si="23"/>
        <v/>
      </c>
      <c r="AY21" s="89" t="str">
        <f>IF(AS21&lt;&gt;"",AS21*T21*(1-'(1) Inputs'!$E$10),"")</f>
        <v/>
      </c>
      <c r="BA21" s="241" t="str">
        <f t="shared" si="24"/>
        <v/>
      </c>
    </row>
    <row r="22" spans="2:53" s="244" customFormat="1" ht="16.5" x14ac:dyDescent="0.3">
      <c r="B22" s="529">
        <v>11</v>
      </c>
      <c r="C22" s="392"/>
      <c r="D22" s="388"/>
      <c r="E22" s="382"/>
      <c r="F22" s="390"/>
      <c r="G22" s="391"/>
      <c r="H22" s="391"/>
      <c r="I22" s="385"/>
      <c r="J22" s="386"/>
      <c r="K22" s="381"/>
      <c r="L22" s="372"/>
      <c r="M22" s="237"/>
      <c r="N22" s="238"/>
      <c r="O22" s="39" t="str">
        <f t="shared" si="2"/>
        <v/>
      </c>
      <c r="P22" s="63" t="str">
        <f t="shared" si="13"/>
        <v/>
      </c>
      <c r="Q22" s="40" t="e">
        <f>#REF!</f>
        <v>#REF!</v>
      </c>
      <c r="R22" s="79"/>
      <c r="S22" s="79"/>
      <c r="T22" s="365" t="str">
        <f>'(4) Black_Scholes_table'!N18</f>
        <v/>
      </c>
      <c r="U22" s="42" t="str">
        <f>IF(O22&lt;&gt;"",SUMPRODUCT($F$12:$F$52,$T$12:$T$52,--($I$12:$I$52=I22))/SUMIF($I$12:$I$52,I22:$I$52,$F$12:$F$52),"")</f>
        <v/>
      </c>
      <c r="V22" s="65" t="str">
        <f>IF(O22&lt;&gt;"",T22*F22*(1-'(1) Inputs'!$E$10),"")</f>
        <v/>
      </c>
      <c r="W22" s="66" t="str">
        <f t="shared" si="4"/>
        <v/>
      </c>
      <c r="X22" s="43" t="str">
        <f t="shared" ref="X22:AD31" si="25">IF($O22&lt;&gt;"",IF(OR(YEAR($H22)&gt;X$1,(X$1-YEAR($G22))&gt;$K22),0,
IF(YEAR($H22)=X$1,(13-MONTH($H22))*(1/$N22)*$V22,
IF((X$1-YEAR($G22))=$K22,(MONTH($G22)-1)*(1/$N22)*$V22,(1/$N22)*$V22*12)
)),"")</f>
        <v/>
      </c>
      <c r="Y22" s="43" t="str">
        <f t="shared" si="25"/>
        <v/>
      </c>
      <c r="Z22" s="43" t="str">
        <f t="shared" si="25"/>
        <v/>
      </c>
      <c r="AA22" s="43" t="str">
        <f t="shared" si="25"/>
        <v/>
      </c>
      <c r="AB22" s="43" t="str">
        <f t="shared" si="25"/>
        <v/>
      </c>
      <c r="AC22" s="43" t="str">
        <f t="shared" si="25"/>
        <v/>
      </c>
      <c r="AD22" s="131" t="str">
        <f t="shared" si="25"/>
        <v/>
      </c>
      <c r="AF22" s="67" t="str">
        <f t="shared" si="6"/>
        <v/>
      </c>
      <c r="AG22" s="44" t="str">
        <f t="shared" si="14"/>
        <v/>
      </c>
      <c r="AH22" s="40" t="str">
        <f t="shared" si="7"/>
        <v/>
      </c>
      <c r="AI22" s="78" t="str">
        <f t="shared" si="8"/>
        <v/>
      </c>
      <c r="AJ22" s="101" t="str">
        <f t="shared" si="15"/>
        <v/>
      </c>
      <c r="AL22" s="127" t="str">
        <f t="shared" si="16"/>
        <v/>
      </c>
      <c r="AM22" s="68" t="str">
        <f t="shared" si="17"/>
        <v/>
      </c>
      <c r="AN22" s="68" t="str">
        <f t="shared" si="18"/>
        <v/>
      </c>
      <c r="AO22" s="116" t="str">
        <f t="shared" si="19"/>
        <v/>
      </c>
      <c r="AP22" s="69" t="str">
        <f t="shared" si="9"/>
        <v/>
      </c>
      <c r="AQ22" s="101" t="str">
        <f t="shared" si="20"/>
        <v/>
      </c>
      <c r="AS22" s="67" t="str">
        <f t="shared" si="10"/>
        <v/>
      </c>
      <c r="AT22" s="70" t="str">
        <f t="shared" si="11"/>
        <v/>
      </c>
      <c r="AU22" s="70" t="str">
        <f t="shared" si="21"/>
        <v/>
      </c>
      <c r="AV22" s="23" t="str">
        <f t="shared" si="22"/>
        <v/>
      </c>
      <c r="AW22" s="78" t="str">
        <f t="shared" si="12"/>
        <v/>
      </c>
      <c r="AX22" s="101" t="str">
        <f t="shared" si="23"/>
        <v/>
      </c>
      <c r="AY22" s="89"/>
      <c r="BA22" s="241" t="str">
        <f t="shared" si="24"/>
        <v/>
      </c>
    </row>
    <row r="23" spans="2:53" s="244" customFormat="1" ht="16.5" x14ac:dyDescent="0.3">
      <c r="B23" s="529">
        <v>12</v>
      </c>
      <c r="C23" s="393"/>
      <c r="D23" s="388"/>
      <c r="E23" s="382"/>
      <c r="F23" s="390"/>
      <c r="G23" s="391"/>
      <c r="H23" s="391"/>
      <c r="I23" s="385"/>
      <c r="J23" s="386"/>
      <c r="K23" s="381"/>
      <c r="L23" s="372"/>
      <c r="M23" s="237"/>
      <c r="N23" s="238"/>
      <c r="O23" s="39" t="str">
        <f t="shared" si="2"/>
        <v/>
      </c>
      <c r="P23" s="63" t="str">
        <f t="shared" si="13"/>
        <v/>
      </c>
      <c r="Q23" s="40" t="e">
        <f>#REF!</f>
        <v>#REF!</v>
      </c>
      <c r="R23" s="79"/>
      <c r="S23" s="79"/>
      <c r="T23" s="365" t="str">
        <f>'(4) Black_Scholes_table'!N19</f>
        <v/>
      </c>
      <c r="U23" s="42" t="str">
        <f>IF(O23&lt;&gt;"",SUMPRODUCT($F$12:$F$52,$T$12:$T$52,--($I$12:$I$52=I23))/SUMIF($I$12:$I$52,I23:$I$52,$F$12:$F$52),"")</f>
        <v/>
      </c>
      <c r="V23" s="65" t="str">
        <f>IF(O23&lt;&gt;"",T23*F23*(1-'(1) Inputs'!$E$10),"")</f>
        <v/>
      </c>
      <c r="W23" s="66" t="str">
        <f t="shared" si="4"/>
        <v/>
      </c>
      <c r="X23" s="43" t="str">
        <f t="shared" si="25"/>
        <v/>
      </c>
      <c r="Y23" s="43" t="str">
        <f t="shared" si="25"/>
        <v/>
      </c>
      <c r="Z23" s="43" t="str">
        <f t="shared" si="25"/>
        <v/>
      </c>
      <c r="AA23" s="43" t="str">
        <f t="shared" si="25"/>
        <v/>
      </c>
      <c r="AB23" s="43" t="str">
        <f t="shared" si="25"/>
        <v/>
      </c>
      <c r="AC23" s="43" t="str">
        <f t="shared" si="25"/>
        <v/>
      </c>
      <c r="AD23" s="131" t="str">
        <f t="shared" si="25"/>
        <v/>
      </c>
      <c r="AF23" s="67" t="str">
        <f t="shared" si="6"/>
        <v/>
      </c>
      <c r="AG23" s="44" t="str">
        <f t="shared" si="14"/>
        <v/>
      </c>
      <c r="AH23" s="40" t="str">
        <f t="shared" si="7"/>
        <v/>
      </c>
      <c r="AI23" s="78" t="str">
        <f t="shared" si="8"/>
        <v/>
      </c>
      <c r="AJ23" s="101" t="str">
        <f t="shared" si="15"/>
        <v/>
      </c>
      <c r="AL23" s="127" t="str">
        <f t="shared" si="16"/>
        <v/>
      </c>
      <c r="AM23" s="68" t="str">
        <f t="shared" si="17"/>
        <v/>
      </c>
      <c r="AN23" s="68" t="str">
        <f t="shared" si="18"/>
        <v/>
      </c>
      <c r="AO23" s="116" t="str">
        <f t="shared" si="19"/>
        <v/>
      </c>
      <c r="AP23" s="69" t="str">
        <f t="shared" si="9"/>
        <v/>
      </c>
      <c r="AQ23" s="101" t="str">
        <f t="shared" si="20"/>
        <v/>
      </c>
      <c r="AS23" s="67" t="str">
        <f t="shared" si="10"/>
        <v/>
      </c>
      <c r="AT23" s="70" t="str">
        <f t="shared" si="11"/>
        <v/>
      </c>
      <c r="AU23" s="70" t="str">
        <f t="shared" si="21"/>
        <v/>
      </c>
      <c r="AV23" s="23" t="str">
        <f t="shared" si="22"/>
        <v/>
      </c>
      <c r="AW23" s="78" t="str">
        <f t="shared" si="12"/>
        <v/>
      </c>
      <c r="AX23" s="101" t="str">
        <f t="shared" si="23"/>
        <v/>
      </c>
      <c r="AY23" s="89" t="str">
        <f>IF(AS23&lt;&gt;"",AS23*T23*(1-'(1) Inputs'!$E$10),"")</f>
        <v/>
      </c>
      <c r="BA23" s="241" t="str">
        <f t="shared" si="24"/>
        <v/>
      </c>
    </row>
    <row r="24" spans="2:53" s="244" customFormat="1" ht="15" x14ac:dyDescent="0.3">
      <c r="B24" s="529">
        <v>13</v>
      </c>
      <c r="C24" s="393"/>
      <c r="D24" s="378"/>
      <c r="E24" s="378"/>
      <c r="F24" s="394"/>
      <c r="G24" s="395"/>
      <c r="H24" s="395"/>
      <c r="I24" s="395"/>
      <c r="J24" s="396"/>
      <c r="K24" s="397"/>
      <c r="L24" s="372" t="str">
        <f t="shared" ref="L24:L52" si="26">IF(D24&lt;&gt;"",G24+K24*365.25,"")</f>
        <v/>
      </c>
      <c r="M24" s="164"/>
      <c r="N24" s="239"/>
      <c r="O24" s="39" t="str">
        <f t="shared" si="2"/>
        <v/>
      </c>
      <c r="P24" s="63" t="str">
        <f t="shared" si="13"/>
        <v/>
      </c>
      <c r="Q24" s="40" t="e">
        <f>#REF!</f>
        <v>#REF!</v>
      </c>
      <c r="R24" s="79"/>
      <c r="S24" s="79"/>
      <c r="T24" s="232"/>
      <c r="U24" s="42" t="str">
        <f>IF(O24&lt;&gt;"",SUMPRODUCT($F$12:$F$52,$T$12:$T$52,--($I$12:$I$52=I24))/SUMIF($I$12:$I$52,I24:$I$52,$F$12:$F$52),"")</f>
        <v/>
      </c>
      <c r="V24" s="65" t="str">
        <f>IF(O24&lt;&gt;"",T24*F24*(1-'(1) Inputs'!$E$10),"")</f>
        <v/>
      </c>
      <c r="W24" s="66" t="str">
        <f t="shared" si="4"/>
        <v/>
      </c>
      <c r="X24" s="43" t="str">
        <f t="shared" si="25"/>
        <v/>
      </c>
      <c r="Y24" s="43" t="str">
        <f t="shared" si="25"/>
        <v/>
      </c>
      <c r="Z24" s="43" t="str">
        <f t="shared" si="25"/>
        <v/>
      </c>
      <c r="AA24" s="43" t="str">
        <f t="shared" si="25"/>
        <v/>
      </c>
      <c r="AB24" s="43" t="str">
        <f t="shared" si="25"/>
        <v/>
      </c>
      <c r="AC24" s="43" t="str">
        <f t="shared" si="25"/>
        <v/>
      </c>
      <c r="AD24" s="131" t="str">
        <f t="shared" si="25"/>
        <v/>
      </c>
      <c r="AF24" s="67" t="str">
        <f t="shared" si="6"/>
        <v/>
      </c>
      <c r="AG24" s="44" t="str">
        <f t="shared" si="14"/>
        <v/>
      </c>
      <c r="AH24" s="40" t="str">
        <f t="shared" si="7"/>
        <v/>
      </c>
      <c r="AI24" s="78" t="str">
        <f t="shared" si="8"/>
        <v/>
      </c>
      <c r="AJ24" s="101" t="str">
        <f t="shared" si="15"/>
        <v/>
      </c>
      <c r="AL24" s="127" t="str">
        <f t="shared" si="16"/>
        <v/>
      </c>
      <c r="AM24" s="68" t="str">
        <f t="shared" si="17"/>
        <v/>
      </c>
      <c r="AN24" s="68" t="str">
        <f t="shared" si="18"/>
        <v/>
      </c>
      <c r="AO24" s="116" t="str">
        <f t="shared" si="19"/>
        <v/>
      </c>
      <c r="AP24" s="69" t="str">
        <f t="shared" si="9"/>
        <v/>
      </c>
      <c r="AQ24" s="101" t="str">
        <f t="shared" si="20"/>
        <v/>
      </c>
      <c r="AS24" s="67" t="str">
        <f t="shared" si="10"/>
        <v/>
      </c>
      <c r="AT24" s="70" t="str">
        <f t="shared" si="11"/>
        <v/>
      </c>
      <c r="AU24" s="70" t="str">
        <f t="shared" si="21"/>
        <v/>
      </c>
      <c r="AV24" s="23" t="str">
        <f t="shared" si="22"/>
        <v/>
      </c>
      <c r="AW24" s="78" t="str">
        <f t="shared" si="12"/>
        <v/>
      </c>
      <c r="AX24" s="101" t="str">
        <f t="shared" si="23"/>
        <v/>
      </c>
      <c r="AY24" s="89" t="str">
        <f>IF(AS24&lt;&gt;"",AS24*T24*(1-'(1) Inputs'!$E$10),"")</f>
        <v/>
      </c>
      <c r="BA24" s="241" t="str">
        <f t="shared" si="24"/>
        <v/>
      </c>
    </row>
    <row r="25" spans="2:53" s="244" customFormat="1" ht="15" x14ac:dyDescent="0.3">
      <c r="B25" s="529">
        <v>14</v>
      </c>
      <c r="C25" s="393"/>
      <c r="D25" s="378"/>
      <c r="E25" s="378"/>
      <c r="F25" s="394"/>
      <c r="G25" s="395"/>
      <c r="H25" s="395"/>
      <c r="I25" s="395"/>
      <c r="J25" s="396"/>
      <c r="K25" s="397"/>
      <c r="L25" s="372" t="str">
        <f t="shared" si="26"/>
        <v/>
      </c>
      <c r="M25" s="164"/>
      <c r="N25" s="239"/>
      <c r="O25" s="39" t="str">
        <f t="shared" si="2"/>
        <v/>
      </c>
      <c r="P25" s="63" t="str">
        <f t="shared" si="13"/>
        <v/>
      </c>
      <c r="Q25" s="40" t="e">
        <f>#REF!</f>
        <v>#REF!</v>
      </c>
      <c r="R25" s="79"/>
      <c r="S25" s="79"/>
      <c r="T25" s="232"/>
      <c r="U25" s="42" t="str">
        <f>IF(O25&lt;&gt;"",SUMPRODUCT($F$12:$F$52,$T$12:$T$52,--($I$12:$I$52=I25))/SUMIF($I$12:$I$52,I25:$I$52,$F$12:$F$52),"")</f>
        <v/>
      </c>
      <c r="V25" s="65" t="str">
        <f>IF(O25&lt;&gt;"",T25*F25*(1-'(1) Inputs'!$E$10),"")</f>
        <v/>
      </c>
      <c r="W25" s="66" t="str">
        <f t="shared" si="4"/>
        <v/>
      </c>
      <c r="X25" s="43" t="str">
        <f t="shared" si="25"/>
        <v/>
      </c>
      <c r="Y25" s="43" t="str">
        <f t="shared" si="25"/>
        <v/>
      </c>
      <c r="Z25" s="43" t="str">
        <f t="shared" si="25"/>
        <v/>
      </c>
      <c r="AA25" s="43" t="str">
        <f t="shared" si="25"/>
        <v/>
      </c>
      <c r="AB25" s="43" t="str">
        <f t="shared" si="25"/>
        <v/>
      </c>
      <c r="AC25" s="43" t="str">
        <f t="shared" si="25"/>
        <v/>
      </c>
      <c r="AD25" s="131" t="str">
        <f t="shared" si="25"/>
        <v/>
      </c>
      <c r="AF25" s="67" t="str">
        <f t="shared" si="6"/>
        <v/>
      </c>
      <c r="AG25" s="44" t="str">
        <f t="shared" si="14"/>
        <v/>
      </c>
      <c r="AH25" s="40" t="str">
        <f t="shared" si="7"/>
        <v/>
      </c>
      <c r="AI25" s="78" t="str">
        <f t="shared" si="8"/>
        <v/>
      </c>
      <c r="AJ25" s="101" t="str">
        <f t="shared" si="15"/>
        <v/>
      </c>
      <c r="AL25" s="127" t="str">
        <f t="shared" si="16"/>
        <v/>
      </c>
      <c r="AM25" s="68" t="str">
        <f t="shared" si="17"/>
        <v/>
      </c>
      <c r="AN25" s="68" t="str">
        <f t="shared" si="18"/>
        <v/>
      </c>
      <c r="AO25" s="116" t="str">
        <f t="shared" si="19"/>
        <v/>
      </c>
      <c r="AP25" s="69" t="str">
        <f t="shared" si="9"/>
        <v/>
      </c>
      <c r="AQ25" s="101" t="str">
        <f t="shared" si="20"/>
        <v/>
      </c>
      <c r="AS25" s="67" t="str">
        <f t="shared" si="10"/>
        <v/>
      </c>
      <c r="AT25" s="70" t="str">
        <f t="shared" si="11"/>
        <v/>
      </c>
      <c r="AU25" s="70" t="str">
        <f t="shared" si="21"/>
        <v/>
      </c>
      <c r="AV25" s="23" t="str">
        <f t="shared" si="22"/>
        <v/>
      </c>
      <c r="AW25" s="78" t="str">
        <f t="shared" si="12"/>
        <v/>
      </c>
      <c r="AX25" s="101" t="str">
        <f t="shared" si="23"/>
        <v/>
      </c>
      <c r="AY25" s="89" t="str">
        <f>IF(AS25&lt;&gt;"",AS25*T25*(1-'(1) Inputs'!$E$10),"")</f>
        <v/>
      </c>
      <c r="BA25" s="241" t="str">
        <f t="shared" si="24"/>
        <v/>
      </c>
    </row>
    <row r="26" spans="2:53" s="244" customFormat="1" ht="15" x14ac:dyDescent="0.3">
      <c r="B26" s="529">
        <v>15</v>
      </c>
      <c r="C26" s="393"/>
      <c r="D26" s="378"/>
      <c r="E26" s="378"/>
      <c r="F26" s="394"/>
      <c r="G26" s="395"/>
      <c r="H26" s="395"/>
      <c r="I26" s="395"/>
      <c r="J26" s="396"/>
      <c r="K26" s="397"/>
      <c r="L26" s="372" t="str">
        <f t="shared" si="26"/>
        <v/>
      </c>
      <c r="M26" s="164"/>
      <c r="N26" s="239"/>
      <c r="O26" s="39" t="str">
        <f t="shared" si="2"/>
        <v/>
      </c>
      <c r="P26" s="63" t="str">
        <f t="shared" si="13"/>
        <v/>
      </c>
      <c r="Q26" s="40" t="e">
        <f>#REF!</f>
        <v>#REF!</v>
      </c>
      <c r="R26" s="79"/>
      <c r="S26" s="79"/>
      <c r="T26" s="232"/>
      <c r="U26" s="42" t="str">
        <f>IF(O26&lt;&gt;"",SUMPRODUCT($F$12:$F$52,$T$12:$T$52,--($I$12:$I$52=I26))/SUMIF($I$12:$I$52,I26:$I$52,$F$12:$F$52),"")</f>
        <v/>
      </c>
      <c r="V26" s="65" t="str">
        <f>IF(O26&lt;&gt;"",T26*F26*(1-'(1) Inputs'!$E$10),"")</f>
        <v/>
      </c>
      <c r="W26" s="66" t="str">
        <f t="shared" si="4"/>
        <v/>
      </c>
      <c r="X26" s="43" t="str">
        <f t="shared" si="25"/>
        <v/>
      </c>
      <c r="Y26" s="43" t="str">
        <f t="shared" si="25"/>
        <v/>
      </c>
      <c r="Z26" s="43" t="str">
        <f t="shared" si="25"/>
        <v/>
      </c>
      <c r="AA26" s="43" t="str">
        <f t="shared" si="25"/>
        <v/>
      </c>
      <c r="AB26" s="43" t="str">
        <f t="shared" si="25"/>
        <v/>
      </c>
      <c r="AC26" s="43" t="str">
        <f t="shared" si="25"/>
        <v/>
      </c>
      <c r="AD26" s="131" t="str">
        <f t="shared" si="25"/>
        <v/>
      </c>
      <c r="AF26" s="67" t="str">
        <f t="shared" si="6"/>
        <v/>
      </c>
      <c r="AG26" s="44" t="str">
        <f t="shared" si="14"/>
        <v/>
      </c>
      <c r="AH26" s="40" t="str">
        <f t="shared" si="7"/>
        <v/>
      </c>
      <c r="AI26" s="78" t="str">
        <f t="shared" si="8"/>
        <v/>
      </c>
      <c r="AJ26" s="101" t="str">
        <f t="shared" si="15"/>
        <v/>
      </c>
      <c r="AL26" s="127" t="str">
        <f t="shared" si="16"/>
        <v/>
      </c>
      <c r="AM26" s="68" t="str">
        <f t="shared" si="17"/>
        <v/>
      </c>
      <c r="AN26" s="68" t="str">
        <f t="shared" si="18"/>
        <v/>
      </c>
      <c r="AO26" s="116" t="str">
        <f t="shared" si="19"/>
        <v/>
      </c>
      <c r="AP26" s="69" t="str">
        <f t="shared" si="9"/>
        <v/>
      </c>
      <c r="AQ26" s="101" t="str">
        <f t="shared" si="20"/>
        <v/>
      </c>
      <c r="AS26" s="67" t="str">
        <f t="shared" si="10"/>
        <v/>
      </c>
      <c r="AT26" s="70" t="str">
        <f t="shared" si="11"/>
        <v/>
      </c>
      <c r="AU26" s="70" t="str">
        <f t="shared" si="21"/>
        <v/>
      </c>
      <c r="AV26" s="23" t="str">
        <f t="shared" si="22"/>
        <v/>
      </c>
      <c r="AW26" s="78" t="str">
        <f t="shared" si="12"/>
        <v/>
      </c>
      <c r="AX26" s="101" t="str">
        <f t="shared" si="23"/>
        <v/>
      </c>
      <c r="AY26" s="89" t="str">
        <f>IF(AS26&lt;&gt;"",AS26*T26*(1-'(1) Inputs'!$E$10),"")</f>
        <v/>
      </c>
      <c r="BA26" s="241" t="str">
        <f t="shared" si="24"/>
        <v/>
      </c>
    </row>
    <row r="27" spans="2:53" s="244" customFormat="1" ht="15" x14ac:dyDescent="0.3">
      <c r="B27" s="529">
        <v>16</v>
      </c>
      <c r="C27" s="393"/>
      <c r="D27" s="378"/>
      <c r="E27" s="378"/>
      <c r="F27" s="394"/>
      <c r="G27" s="395"/>
      <c r="H27" s="395"/>
      <c r="I27" s="395"/>
      <c r="J27" s="396"/>
      <c r="K27" s="397"/>
      <c r="L27" s="372" t="str">
        <f t="shared" si="26"/>
        <v/>
      </c>
      <c r="M27" s="164"/>
      <c r="N27" s="239"/>
      <c r="O27" s="39" t="str">
        <f t="shared" si="2"/>
        <v/>
      </c>
      <c r="P27" s="63" t="str">
        <f t="shared" si="13"/>
        <v/>
      </c>
      <c r="Q27" s="40" t="e">
        <f>#REF!</f>
        <v>#REF!</v>
      </c>
      <c r="R27" s="79"/>
      <c r="S27" s="79"/>
      <c r="T27" s="232"/>
      <c r="U27" s="42" t="str">
        <f>IF(O27&lt;&gt;"",SUMPRODUCT($F$12:$F$52,$T$12:$T$52,--($I$12:$I$52=I27))/SUMIF($I$12:$I$52,I27:$I$52,$F$12:$F$52),"")</f>
        <v/>
      </c>
      <c r="V27" s="65" t="str">
        <f>IF(O27&lt;&gt;"",T27*F27*(1-'(1) Inputs'!$E$10),"")</f>
        <v/>
      </c>
      <c r="W27" s="66" t="str">
        <f t="shared" si="4"/>
        <v/>
      </c>
      <c r="X27" s="43" t="str">
        <f t="shared" si="25"/>
        <v/>
      </c>
      <c r="Y27" s="43" t="str">
        <f t="shared" si="25"/>
        <v/>
      </c>
      <c r="Z27" s="43" t="str">
        <f t="shared" si="25"/>
        <v/>
      </c>
      <c r="AA27" s="43" t="str">
        <f t="shared" si="25"/>
        <v/>
      </c>
      <c r="AB27" s="43" t="str">
        <f t="shared" si="25"/>
        <v/>
      </c>
      <c r="AC27" s="43" t="str">
        <f t="shared" si="25"/>
        <v/>
      </c>
      <c r="AD27" s="131" t="str">
        <f t="shared" si="25"/>
        <v/>
      </c>
      <c r="AF27" s="67" t="str">
        <f t="shared" si="6"/>
        <v/>
      </c>
      <c r="AG27" s="44" t="str">
        <f t="shared" si="14"/>
        <v/>
      </c>
      <c r="AH27" s="40" t="str">
        <f t="shared" si="7"/>
        <v/>
      </c>
      <c r="AI27" s="78" t="str">
        <f t="shared" si="8"/>
        <v/>
      </c>
      <c r="AJ27" s="101" t="str">
        <f t="shared" si="15"/>
        <v/>
      </c>
      <c r="AL27" s="127" t="str">
        <f t="shared" si="16"/>
        <v/>
      </c>
      <c r="AM27" s="68" t="str">
        <f t="shared" si="17"/>
        <v/>
      </c>
      <c r="AN27" s="68" t="str">
        <f t="shared" si="18"/>
        <v/>
      </c>
      <c r="AO27" s="116" t="str">
        <f t="shared" si="19"/>
        <v/>
      </c>
      <c r="AP27" s="69" t="str">
        <f t="shared" si="9"/>
        <v/>
      </c>
      <c r="AQ27" s="101" t="str">
        <f t="shared" si="20"/>
        <v/>
      </c>
      <c r="AS27" s="67" t="str">
        <f t="shared" si="10"/>
        <v/>
      </c>
      <c r="AT27" s="70" t="str">
        <f t="shared" si="11"/>
        <v/>
      </c>
      <c r="AU27" s="70" t="str">
        <f t="shared" si="21"/>
        <v/>
      </c>
      <c r="AV27" s="23" t="str">
        <f t="shared" si="22"/>
        <v/>
      </c>
      <c r="AW27" s="78" t="str">
        <f t="shared" si="12"/>
        <v/>
      </c>
      <c r="AX27" s="101" t="str">
        <f t="shared" si="23"/>
        <v/>
      </c>
      <c r="AY27" s="89" t="str">
        <f>IF(AS27&lt;&gt;"",AS27*T27*(1-'(1) Inputs'!$E$10),"")</f>
        <v/>
      </c>
      <c r="BA27" s="241" t="str">
        <f t="shared" si="24"/>
        <v/>
      </c>
    </row>
    <row r="28" spans="2:53" s="244" customFormat="1" ht="15" x14ac:dyDescent="0.3">
      <c r="B28" s="529">
        <v>17</v>
      </c>
      <c r="C28" s="393"/>
      <c r="D28" s="378"/>
      <c r="E28" s="378"/>
      <c r="F28" s="394"/>
      <c r="G28" s="395"/>
      <c r="H28" s="395"/>
      <c r="I28" s="395"/>
      <c r="J28" s="396"/>
      <c r="K28" s="397"/>
      <c r="L28" s="372" t="str">
        <f t="shared" si="26"/>
        <v/>
      </c>
      <c r="M28" s="164"/>
      <c r="N28" s="239"/>
      <c r="O28" s="39" t="str">
        <f t="shared" si="2"/>
        <v/>
      </c>
      <c r="P28" s="63" t="str">
        <f t="shared" si="13"/>
        <v/>
      </c>
      <c r="Q28" s="40" t="e">
        <f>#REF!</f>
        <v>#REF!</v>
      </c>
      <c r="R28" s="79"/>
      <c r="S28" s="79"/>
      <c r="T28" s="232"/>
      <c r="U28" s="42" t="str">
        <f>IF(O28&lt;&gt;"",SUMPRODUCT($F$12:$F$52,$T$12:$T$52,--($I$12:$I$52=I28))/SUMIF($I$12:$I$52,I28:$I$52,$F$12:$F$52),"")</f>
        <v/>
      </c>
      <c r="V28" s="65" t="str">
        <f>IF(O28&lt;&gt;"",T28*F28*(1-'(1) Inputs'!$E$10),"")</f>
        <v/>
      </c>
      <c r="W28" s="66" t="str">
        <f t="shared" si="4"/>
        <v/>
      </c>
      <c r="X28" s="43" t="str">
        <f t="shared" si="25"/>
        <v/>
      </c>
      <c r="Y28" s="43" t="str">
        <f t="shared" si="25"/>
        <v/>
      </c>
      <c r="Z28" s="43" t="str">
        <f t="shared" si="25"/>
        <v/>
      </c>
      <c r="AA28" s="43" t="str">
        <f t="shared" si="25"/>
        <v/>
      </c>
      <c r="AB28" s="43" t="str">
        <f t="shared" si="25"/>
        <v/>
      </c>
      <c r="AC28" s="43" t="str">
        <f t="shared" si="25"/>
        <v/>
      </c>
      <c r="AD28" s="131" t="str">
        <f t="shared" si="25"/>
        <v/>
      </c>
      <c r="AF28" s="67" t="str">
        <f t="shared" si="6"/>
        <v/>
      </c>
      <c r="AG28" s="44" t="str">
        <f t="shared" si="14"/>
        <v/>
      </c>
      <c r="AH28" s="40" t="str">
        <f t="shared" si="7"/>
        <v/>
      </c>
      <c r="AI28" s="78" t="str">
        <f t="shared" si="8"/>
        <v/>
      </c>
      <c r="AJ28" s="101" t="str">
        <f t="shared" si="15"/>
        <v/>
      </c>
      <c r="AL28" s="127" t="str">
        <f t="shared" si="16"/>
        <v/>
      </c>
      <c r="AM28" s="68" t="str">
        <f t="shared" si="17"/>
        <v/>
      </c>
      <c r="AN28" s="68" t="str">
        <f t="shared" si="18"/>
        <v/>
      </c>
      <c r="AO28" s="116" t="str">
        <f t="shared" si="19"/>
        <v/>
      </c>
      <c r="AP28" s="69" t="str">
        <f t="shared" si="9"/>
        <v/>
      </c>
      <c r="AQ28" s="101" t="str">
        <f t="shared" si="20"/>
        <v/>
      </c>
      <c r="AS28" s="67" t="str">
        <f t="shared" si="10"/>
        <v/>
      </c>
      <c r="AT28" s="70" t="str">
        <f t="shared" si="11"/>
        <v/>
      </c>
      <c r="AU28" s="70" t="str">
        <f t="shared" si="21"/>
        <v/>
      </c>
      <c r="AV28" s="23" t="str">
        <f t="shared" si="22"/>
        <v/>
      </c>
      <c r="AW28" s="78" t="str">
        <f t="shared" si="12"/>
        <v/>
      </c>
      <c r="AX28" s="101" t="str">
        <f t="shared" si="23"/>
        <v/>
      </c>
      <c r="AY28" s="89" t="str">
        <f>IF(AS28&lt;&gt;"",AS28*T28*(1-'(1) Inputs'!$E$10),"")</f>
        <v/>
      </c>
      <c r="BA28" s="241" t="str">
        <f t="shared" si="24"/>
        <v/>
      </c>
    </row>
    <row r="29" spans="2:53" s="244" customFormat="1" ht="15" x14ac:dyDescent="0.3">
      <c r="B29" s="529">
        <v>18</v>
      </c>
      <c r="C29" s="393"/>
      <c r="D29" s="378"/>
      <c r="E29" s="378"/>
      <c r="F29" s="394"/>
      <c r="G29" s="395"/>
      <c r="H29" s="395"/>
      <c r="I29" s="395"/>
      <c r="J29" s="396"/>
      <c r="K29" s="397"/>
      <c r="L29" s="372" t="str">
        <f t="shared" si="26"/>
        <v/>
      </c>
      <c r="M29" s="164"/>
      <c r="N29" s="239"/>
      <c r="O29" s="39" t="str">
        <f t="shared" si="2"/>
        <v/>
      </c>
      <c r="P29" s="63" t="str">
        <f t="shared" si="13"/>
        <v/>
      </c>
      <c r="Q29" s="40" t="e">
        <f>#REF!</f>
        <v>#REF!</v>
      </c>
      <c r="R29" s="79"/>
      <c r="S29" s="79"/>
      <c r="T29" s="232"/>
      <c r="U29" s="42" t="str">
        <f>IF(O29&lt;&gt;"",SUMPRODUCT($F$12:$F$52,$T$12:$T$52,--($I$12:$I$52=I29))/SUMIF($I$12:$I$52,I29:$I$52,$F$12:$F$52),"")</f>
        <v/>
      </c>
      <c r="V29" s="65" t="str">
        <f>IF(O29&lt;&gt;"",T29*F29*(1-'(1) Inputs'!$E$10),"")</f>
        <v/>
      </c>
      <c r="W29" s="66" t="str">
        <f t="shared" si="4"/>
        <v/>
      </c>
      <c r="X29" s="43" t="str">
        <f t="shared" si="25"/>
        <v/>
      </c>
      <c r="Y29" s="43" t="str">
        <f t="shared" si="25"/>
        <v/>
      </c>
      <c r="Z29" s="43" t="str">
        <f t="shared" si="25"/>
        <v/>
      </c>
      <c r="AA29" s="43" t="str">
        <f t="shared" si="25"/>
        <v/>
      </c>
      <c r="AB29" s="43" t="str">
        <f t="shared" si="25"/>
        <v/>
      </c>
      <c r="AC29" s="43" t="str">
        <f t="shared" si="25"/>
        <v/>
      </c>
      <c r="AD29" s="131" t="str">
        <f t="shared" si="25"/>
        <v/>
      </c>
      <c r="AF29" s="67" t="str">
        <f t="shared" si="6"/>
        <v/>
      </c>
      <c r="AG29" s="44" t="str">
        <f t="shared" si="14"/>
        <v/>
      </c>
      <c r="AH29" s="40" t="str">
        <f t="shared" si="7"/>
        <v/>
      </c>
      <c r="AI29" s="78" t="str">
        <f t="shared" si="8"/>
        <v/>
      </c>
      <c r="AJ29" s="101" t="str">
        <f t="shared" si="15"/>
        <v/>
      </c>
      <c r="AL29" s="127" t="str">
        <f t="shared" si="16"/>
        <v/>
      </c>
      <c r="AM29" s="68" t="str">
        <f t="shared" si="17"/>
        <v/>
      </c>
      <c r="AN29" s="68" t="str">
        <f t="shared" si="18"/>
        <v/>
      </c>
      <c r="AO29" s="116" t="str">
        <f t="shared" si="19"/>
        <v/>
      </c>
      <c r="AP29" s="69" t="str">
        <f t="shared" si="9"/>
        <v/>
      </c>
      <c r="AQ29" s="101" t="str">
        <f t="shared" si="20"/>
        <v/>
      </c>
      <c r="AS29" s="67" t="str">
        <f t="shared" si="10"/>
        <v/>
      </c>
      <c r="AT29" s="70" t="str">
        <f t="shared" si="11"/>
        <v/>
      </c>
      <c r="AU29" s="70" t="str">
        <f t="shared" si="21"/>
        <v/>
      </c>
      <c r="AV29" s="23" t="str">
        <f t="shared" si="22"/>
        <v/>
      </c>
      <c r="AW29" s="78" t="str">
        <f t="shared" si="12"/>
        <v/>
      </c>
      <c r="AX29" s="101" t="str">
        <f t="shared" si="23"/>
        <v/>
      </c>
      <c r="AY29" s="89" t="str">
        <f>IF(AS29&lt;&gt;"",AS29*T29*(1-'(1) Inputs'!$E$10),"")</f>
        <v/>
      </c>
      <c r="BA29" s="241" t="str">
        <f t="shared" si="24"/>
        <v/>
      </c>
    </row>
    <row r="30" spans="2:53" s="244" customFormat="1" ht="15" x14ac:dyDescent="0.3">
      <c r="B30" s="529">
        <v>19</v>
      </c>
      <c r="C30" s="393"/>
      <c r="D30" s="378"/>
      <c r="E30" s="378"/>
      <c r="F30" s="394"/>
      <c r="G30" s="395"/>
      <c r="H30" s="395"/>
      <c r="I30" s="395"/>
      <c r="J30" s="396"/>
      <c r="K30" s="397"/>
      <c r="L30" s="372" t="str">
        <f t="shared" si="26"/>
        <v/>
      </c>
      <c r="M30" s="164"/>
      <c r="N30" s="239"/>
      <c r="O30" s="39" t="str">
        <f t="shared" si="2"/>
        <v/>
      </c>
      <c r="P30" s="63" t="str">
        <f t="shared" si="13"/>
        <v/>
      </c>
      <c r="Q30" s="40" t="e">
        <f>#REF!</f>
        <v>#REF!</v>
      </c>
      <c r="R30" s="79"/>
      <c r="S30" s="79"/>
      <c r="T30" s="232"/>
      <c r="U30" s="42" t="str">
        <f>IF(O30&lt;&gt;"",SUMPRODUCT($F$12:$F$52,$T$12:$T$52,--($I$12:$I$52=I30))/SUMIF($I$12:$I$52,I30:$I$52,$F$12:$F$52),"")</f>
        <v/>
      </c>
      <c r="V30" s="65" t="str">
        <f>IF(O30&lt;&gt;"",T30*F30*(1-'(1) Inputs'!$E$10),"")</f>
        <v/>
      </c>
      <c r="W30" s="66" t="str">
        <f t="shared" si="4"/>
        <v/>
      </c>
      <c r="X30" s="43" t="str">
        <f t="shared" si="25"/>
        <v/>
      </c>
      <c r="Y30" s="43" t="str">
        <f t="shared" si="25"/>
        <v/>
      </c>
      <c r="Z30" s="43" t="str">
        <f t="shared" si="25"/>
        <v/>
      </c>
      <c r="AA30" s="43" t="str">
        <f t="shared" si="25"/>
        <v/>
      </c>
      <c r="AB30" s="43" t="str">
        <f t="shared" si="25"/>
        <v/>
      </c>
      <c r="AC30" s="43" t="str">
        <f t="shared" si="25"/>
        <v/>
      </c>
      <c r="AD30" s="131" t="str">
        <f t="shared" si="25"/>
        <v/>
      </c>
      <c r="AF30" s="67" t="str">
        <f t="shared" si="6"/>
        <v/>
      </c>
      <c r="AG30" s="44" t="str">
        <f t="shared" si="14"/>
        <v/>
      </c>
      <c r="AH30" s="40" t="str">
        <f t="shared" si="7"/>
        <v/>
      </c>
      <c r="AI30" s="78" t="str">
        <f t="shared" si="8"/>
        <v/>
      </c>
      <c r="AJ30" s="101" t="str">
        <f t="shared" si="15"/>
        <v/>
      </c>
      <c r="AL30" s="127" t="str">
        <f t="shared" si="16"/>
        <v/>
      </c>
      <c r="AM30" s="68" t="str">
        <f t="shared" si="17"/>
        <v/>
      </c>
      <c r="AN30" s="68" t="str">
        <f t="shared" si="18"/>
        <v/>
      </c>
      <c r="AO30" s="116" t="str">
        <f t="shared" si="19"/>
        <v/>
      </c>
      <c r="AP30" s="69" t="str">
        <f t="shared" si="9"/>
        <v/>
      </c>
      <c r="AQ30" s="101" t="str">
        <f t="shared" si="20"/>
        <v/>
      </c>
      <c r="AS30" s="67" t="str">
        <f t="shared" si="10"/>
        <v/>
      </c>
      <c r="AT30" s="70" t="str">
        <f t="shared" si="11"/>
        <v/>
      </c>
      <c r="AU30" s="70" t="str">
        <f t="shared" si="21"/>
        <v/>
      </c>
      <c r="AV30" s="23" t="str">
        <f t="shared" si="22"/>
        <v/>
      </c>
      <c r="AW30" s="78" t="str">
        <f t="shared" si="12"/>
        <v/>
      </c>
      <c r="AX30" s="101" t="str">
        <f t="shared" si="23"/>
        <v/>
      </c>
      <c r="AY30" s="89" t="str">
        <f>IF(AS30&lt;&gt;"",AS30*T30*(1-'(1) Inputs'!$E$10),"")</f>
        <v/>
      </c>
      <c r="BA30" s="241" t="str">
        <f t="shared" si="24"/>
        <v/>
      </c>
    </row>
    <row r="31" spans="2:53" s="244" customFormat="1" ht="15" x14ac:dyDescent="0.3">
      <c r="B31" s="529">
        <v>20</v>
      </c>
      <c r="C31" s="393"/>
      <c r="D31" s="378"/>
      <c r="E31" s="378"/>
      <c r="F31" s="394"/>
      <c r="G31" s="395"/>
      <c r="H31" s="395"/>
      <c r="I31" s="395"/>
      <c r="J31" s="396"/>
      <c r="K31" s="397"/>
      <c r="L31" s="372" t="str">
        <f t="shared" si="26"/>
        <v/>
      </c>
      <c r="M31" s="164"/>
      <c r="N31" s="239"/>
      <c r="O31" s="39" t="str">
        <f t="shared" si="2"/>
        <v/>
      </c>
      <c r="P31" s="63" t="str">
        <f t="shared" si="13"/>
        <v/>
      </c>
      <c r="Q31" s="40"/>
      <c r="R31" s="79"/>
      <c r="S31" s="79"/>
      <c r="T31" s="232"/>
      <c r="U31" s="42" t="str">
        <f>IF(O31&lt;&gt;"",SUMPRODUCT($F$12:$F$52,$T$12:$T$52,--($I$12:$I$52=I31))/SUMIF($I$12:$I$52,I31:$I$52,$F$12:$F$52),"")</f>
        <v/>
      </c>
      <c r="V31" s="65" t="str">
        <f>IF(O31&lt;&gt;"",T31*F31*(1-'(1) Inputs'!$E$10),"")</f>
        <v/>
      </c>
      <c r="W31" s="66" t="str">
        <f t="shared" si="4"/>
        <v/>
      </c>
      <c r="X31" s="43" t="str">
        <f t="shared" si="25"/>
        <v/>
      </c>
      <c r="Y31" s="43" t="str">
        <f t="shared" si="25"/>
        <v/>
      </c>
      <c r="Z31" s="43" t="str">
        <f t="shared" si="25"/>
        <v/>
      </c>
      <c r="AA31" s="43" t="str">
        <f t="shared" si="25"/>
        <v/>
      </c>
      <c r="AB31" s="43" t="str">
        <f t="shared" si="25"/>
        <v/>
      </c>
      <c r="AC31" s="43" t="str">
        <f t="shared" si="25"/>
        <v/>
      </c>
      <c r="AD31" s="131" t="str">
        <f t="shared" si="25"/>
        <v/>
      </c>
      <c r="AF31" s="67" t="str">
        <f t="shared" si="6"/>
        <v/>
      </c>
      <c r="AG31" s="44" t="str">
        <f t="shared" si="14"/>
        <v/>
      </c>
      <c r="AH31" s="40" t="str">
        <f t="shared" si="7"/>
        <v/>
      </c>
      <c r="AI31" s="78" t="str">
        <f t="shared" si="8"/>
        <v/>
      </c>
      <c r="AJ31" s="101" t="str">
        <f t="shared" si="15"/>
        <v/>
      </c>
      <c r="AL31" s="127" t="str">
        <f t="shared" si="16"/>
        <v/>
      </c>
      <c r="AM31" s="68" t="str">
        <f t="shared" si="17"/>
        <v/>
      </c>
      <c r="AN31" s="68" t="str">
        <f t="shared" si="18"/>
        <v/>
      </c>
      <c r="AO31" s="116" t="str">
        <f t="shared" si="19"/>
        <v/>
      </c>
      <c r="AP31" s="69" t="str">
        <f t="shared" si="9"/>
        <v/>
      </c>
      <c r="AQ31" s="101" t="str">
        <f t="shared" si="20"/>
        <v/>
      </c>
      <c r="AS31" s="67" t="str">
        <f t="shared" si="10"/>
        <v/>
      </c>
      <c r="AT31" s="70" t="str">
        <f t="shared" si="11"/>
        <v/>
      </c>
      <c r="AU31" s="70" t="str">
        <f t="shared" si="21"/>
        <v/>
      </c>
      <c r="AV31" s="23" t="str">
        <f t="shared" si="22"/>
        <v/>
      </c>
      <c r="AW31" s="78" t="str">
        <f t="shared" si="12"/>
        <v/>
      </c>
      <c r="AX31" s="101" t="str">
        <f t="shared" si="23"/>
        <v/>
      </c>
      <c r="AY31" s="89" t="str">
        <f>IF(AS31&lt;&gt;"",AS31*T31*(1-'(1) Inputs'!$E$10),"")</f>
        <v/>
      </c>
      <c r="BA31" s="241" t="str">
        <f t="shared" si="24"/>
        <v/>
      </c>
    </row>
    <row r="32" spans="2:53" s="244" customFormat="1" ht="15" x14ac:dyDescent="0.3">
      <c r="B32" s="529">
        <v>21</v>
      </c>
      <c r="C32" s="392"/>
      <c r="D32" s="378"/>
      <c r="E32" s="378"/>
      <c r="F32" s="394"/>
      <c r="G32" s="395"/>
      <c r="H32" s="395"/>
      <c r="I32" s="395"/>
      <c r="J32" s="396"/>
      <c r="K32" s="397"/>
      <c r="L32" s="372" t="str">
        <f t="shared" si="26"/>
        <v/>
      </c>
      <c r="M32" s="164"/>
      <c r="N32" s="239"/>
      <c r="O32" s="39" t="str">
        <f t="shared" si="2"/>
        <v/>
      </c>
      <c r="P32" s="63" t="str">
        <f t="shared" si="13"/>
        <v/>
      </c>
      <c r="Q32" s="40" t="e">
        <f>#REF!</f>
        <v>#REF!</v>
      </c>
      <c r="R32" s="79"/>
      <c r="S32" s="79"/>
      <c r="T32" s="232"/>
      <c r="U32" s="42" t="str">
        <f>IF(O32&lt;&gt;"",SUMPRODUCT($F$12:$F$52,$T$12:$T$52,--($I$12:$I$52=I32))/SUMIF($I$12:$I$52,I32:$I$52,$F$12:$F$52),"")</f>
        <v/>
      </c>
      <c r="V32" s="65" t="str">
        <f>IF(O32&lt;&gt;"",T32*F32*(1-'(1) Inputs'!$E$10),"")</f>
        <v/>
      </c>
      <c r="W32" s="66" t="str">
        <f t="shared" si="4"/>
        <v/>
      </c>
      <c r="X32" s="43" t="str">
        <f t="shared" ref="X32:AD41" si="27">IF($O32&lt;&gt;"",IF(OR(YEAR($H32)&gt;X$1,(X$1-YEAR($G32))&gt;$K32),0,
IF(YEAR($H32)=X$1,(13-MONTH($H32))*(1/$N32)*$V32,
IF((X$1-YEAR($G32))=$K32,(MONTH($G32)-1)*(1/$N32)*$V32,(1/$N32)*$V32*12)
)),"")</f>
        <v/>
      </c>
      <c r="Y32" s="43" t="str">
        <f t="shared" si="27"/>
        <v/>
      </c>
      <c r="Z32" s="43" t="str">
        <f t="shared" si="27"/>
        <v/>
      </c>
      <c r="AA32" s="43" t="str">
        <f t="shared" si="27"/>
        <v/>
      </c>
      <c r="AB32" s="43" t="str">
        <f t="shared" si="27"/>
        <v/>
      </c>
      <c r="AC32" s="43" t="str">
        <f t="shared" si="27"/>
        <v/>
      </c>
      <c r="AD32" s="131" t="str">
        <f t="shared" si="27"/>
        <v/>
      </c>
      <c r="AF32" s="67" t="str">
        <f t="shared" si="6"/>
        <v/>
      </c>
      <c r="AG32" s="44" t="str">
        <f t="shared" si="14"/>
        <v/>
      </c>
      <c r="AH32" s="40" t="str">
        <f t="shared" si="7"/>
        <v/>
      </c>
      <c r="AI32" s="78" t="str">
        <f t="shared" si="8"/>
        <v/>
      </c>
      <c r="AJ32" s="101" t="str">
        <f t="shared" si="15"/>
        <v/>
      </c>
      <c r="AL32" s="127" t="str">
        <f t="shared" si="16"/>
        <v/>
      </c>
      <c r="AM32" s="68" t="str">
        <f t="shared" si="17"/>
        <v/>
      </c>
      <c r="AN32" s="68" t="str">
        <f t="shared" si="18"/>
        <v/>
      </c>
      <c r="AO32" s="116" t="str">
        <f t="shared" si="19"/>
        <v/>
      </c>
      <c r="AP32" s="69" t="str">
        <f t="shared" si="9"/>
        <v/>
      </c>
      <c r="AQ32" s="101" t="str">
        <f t="shared" si="20"/>
        <v/>
      </c>
      <c r="AS32" s="67" t="str">
        <f t="shared" si="10"/>
        <v/>
      </c>
      <c r="AT32" s="70" t="str">
        <f t="shared" si="11"/>
        <v/>
      </c>
      <c r="AU32" s="70" t="str">
        <f t="shared" si="21"/>
        <v/>
      </c>
      <c r="AV32" s="23" t="str">
        <f t="shared" si="22"/>
        <v/>
      </c>
      <c r="AW32" s="78" t="str">
        <f t="shared" si="12"/>
        <v/>
      </c>
      <c r="AX32" s="101" t="str">
        <f t="shared" si="23"/>
        <v/>
      </c>
      <c r="AY32" s="89" t="str">
        <f>IF(AS32&lt;&gt;"",AS32*T32*(1-'(1) Inputs'!$E$10),"")</f>
        <v/>
      </c>
      <c r="BA32" s="241" t="str">
        <f t="shared" si="24"/>
        <v/>
      </c>
    </row>
    <row r="33" spans="2:53" s="244" customFormat="1" ht="15" x14ac:dyDescent="0.3">
      <c r="B33" s="529">
        <v>22</v>
      </c>
      <c r="C33" s="392"/>
      <c r="D33" s="378"/>
      <c r="E33" s="378"/>
      <c r="F33" s="394"/>
      <c r="G33" s="395"/>
      <c r="H33" s="395"/>
      <c r="I33" s="395"/>
      <c r="J33" s="396"/>
      <c r="K33" s="397"/>
      <c r="L33" s="372" t="str">
        <f t="shared" si="26"/>
        <v/>
      </c>
      <c r="M33" s="164"/>
      <c r="N33" s="239"/>
      <c r="O33" s="39" t="str">
        <f t="shared" si="2"/>
        <v/>
      </c>
      <c r="P33" s="63" t="str">
        <f t="shared" si="13"/>
        <v/>
      </c>
      <c r="Q33" s="40"/>
      <c r="R33" s="79"/>
      <c r="S33" s="79"/>
      <c r="T33" s="232"/>
      <c r="U33" s="42" t="str">
        <f>IF(O33&lt;&gt;"",SUMPRODUCT($F$12:$F$52,$T$12:$T$52,--($I$12:$I$52=I33))/SUMIF($I$12:$I$52,I33:$I$52,$F$12:$F$52),"")</f>
        <v/>
      </c>
      <c r="V33" s="65" t="str">
        <f>IF(O33&lt;&gt;"",T33*F33*(1-'(1) Inputs'!$E$10),"")</f>
        <v/>
      </c>
      <c r="W33" s="66" t="str">
        <f t="shared" si="4"/>
        <v/>
      </c>
      <c r="X33" s="43" t="str">
        <f t="shared" si="27"/>
        <v/>
      </c>
      <c r="Y33" s="43" t="str">
        <f t="shared" si="27"/>
        <v/>
      </c>
      <c r="Z33" s="43" t="str">
        <f t="shared" si="27"/>
        <v/>
      </c>
      <c r="AA33" s="43" t="str">
        <f t="shared" si="27"/>
        <v/>
      </c>
      <c r="AB33" s="43" t="str">
        <f t="shared" si="27"/>
        <v/>
      </c>
      <c r="AC33" s="43" t="str">
        <f t="shared" si="27"/>
        <v/>
      </c>
      <c r="AD33" s="131" t="str">
        <f t="shared" si="27"/>
        <v/>
      </c>
      <c r="AF33" s="67" t="str">
        <f t="shared" si="6"/>
        <v/>
      </c>
      <c r="AG33" s="44" t="str">
        <f t="shared" si="14"/>
        <v/>
      </c>
      <c r="AH33" s="40" t="str">
        <f t="shared" si="7"/>
        <v/>
      </c>
      <c r="AI33" s="78" t="str">
        <f t="shared" si="8"/>
        <v/>
      </c>
      <c r="AJ33" s="101" t="str">
        <f t="shared" si="15"/>
        <v/>
      </c>
      <c r="AL33" s="127" t="str">
        <f t="shared" si="16"/>
        <v/>
      </c>
      <c r="AM33" s="68" t="str">
        <f t="shared" si="17"/>
        <v/>
      </c>
      <c r="AN33" s="68" t="str">
        <f t="shared" si="18"/>
        <v/>
      </c>
      <c r="AO33" s="116" t="str">
        <f t="shared" si="19"/>
        <v/>
      </c>
      <c r="AP33" s="69" t="str">
        <f t="shared" si="9"/>
        <v/>
      </c>
      <c r="AQ33" s="101" t="str">
        <f t="shared" si="20"/>
        <v/>
      </c>
      <c r="AS33" s="67" t="str">
        <f t="shared" si="10"/>
        <v/>
      </c>
      <c r="AT33" s="70" t="str">
        <f t="shared" si="11"/>
        <v/>
      </c>
      <c r="AU33" s="70" t="str">
        <f t="shared" si="21"/>
        <v/>
      </c>
      <c r="AV33" s="23" t="str">
        <f t="shared" si="22"/>
        <v/>
      </c>
      <c r="AW33" s="78" t="str">
        <f t="shared" si="12"/>
        <v/>
      </c>
      <c r="AX33" s="101" t="str">
        <f t="shared" si="23"/>
        <v/>
      </c>
      <c r="AY33" s="89" t="str">
        <f>IF(AS33&lt;&gt;"",AS33*T33*(1-'(1) Inputs'!$E$10),"")</f>
        <v/>
      </c>
      <c r="BA33" s="241" t="str">
        <f t="shared" si="24"/>
        <v/>
      </c>
    </row>
    <row r="34" spans="2:53" s="244" customFormat="1" ht="15" x14ac:dyDescent="0.3">
      <c r="B34" s="529">
        <v>23</v>
      </c>
      <c r="C34" s="392"/>
      <c r="D34" s="378"/>
      <c r="E34" s="378"/>
      <c r="F34" s="394"/>
      <c r="G34" s="395"/>
      <c r="H34" s="395"/>
      <c r="I34" s="395"/>
      <c r="J34" s="396"/>
      <c r="K34" s="397"/>
      <c r="L34" s="372" t="str">
        <f t="shared" si="26"/>
        <v/>
      </c>
      <c r="M34" s="164"/>
      <c r="N34" s="239"/>
      <c r="O34" s="39" t="str">
        <f t="shared" si="2"/>
        <v/>
      </c>
      <c r="P34" s="63" t="str">
        <f t="shared" si="13"/>
        <v/>
      </c>
      <c r="Q34" s="40"/>
      <c r="R34" s="79"/>
      <c r="S34" s="79"/>
      <c r="T34" s="232"/>
      <c r="U34" s="42" t="str">
        <f>IF(O34&lt;&gt;"",SUMPRODUCT($F$12:$F$52,$T$12:$T$52,--($I$12:$I$52=I34))/SUMIF($I$12:$I$52,I34:$I$52,$F$12:$F$52),"")</f>
        <v/>
      </c>
      <c r="V34" s="65" t="str">
        <f>IF(O34&lt;&gt;"",T34*F34*(1-'(1) Inputs'!$E$10),"")</f>
        <v/>
      </c>
      <c r="W34" s="66" t="str">
        <f t="shared" si="4"/>
        <v/>
      </c>
      <c r="X34" s="43" t="str">
        <f t="shared" si="27"/>
        <v/>
      </c>
      <c r="Y34" s="43" t="str">
        <f t="shared" si="27"/>
        <v/>
      </c>
      <c r="Z34" s="43" t="str">
        <f t="shared" si="27"/>
        <v/>
      </c>
      <c r="AA34" s="43" t="str">
        <f t="shared" si="27"/>
        <v/>
      </c>
      <c r="AB34" s="43" t="str">
        <f t="shared" si="27"/>
        <v/>
      </c>
      <c r="AC34" s="43" t="str">
        <f t="shared" si="27"/>
        <v/>
      </c>
      <c r="AD34" s="131" t="str">
        <f t="shared" si="27"/>
        <v/>
      </c>
      <c r="AF34" s="67" t="str">
        <f t="shared" si="6"/>
        <v/>
      </c>
      <c r="AG34" s="44" t="str">
        <f t="shared" si="14"/>
        <v/>
      </c>
      <c r="AH34" s="40" t="str">
        <f t="shared" si="7"/>
        <v/>
      </c>
      <c r="AI34" s="78" t="str">
        <f t="shared" si="8"/>
        <v/>
      </c>
      <c r="AJ34" s="101" t="str">
        <f t="shared" si="15"/>
        <v/>
      </c>
      <c r="AL34" s="127" t="str">
        <f t="shared" si="16"/>
        <v/>
      </c>
      <c r="AM34" s="68" t="str">
        <f t="shared" si="17"/>
        <v/>
      </c>
      <c r="AN34" s="68" t="str">
        <f t="shared" si="18"/>
        <v/>
      </c>
      <c r="AO34" s="116" t="str">
        <f t="shared" si="19"/>
        <v/>
      </c>
      <c r="AP34" s="69" t="str">
        <f t="shared" si="9"/>
        <v/>
      </c>
      <c r="AQ34" s="101" t="str">
        <f t="shared" si="20"/>
        <v/>
      </c>
      <c r="AS34" s="67" t="str">
        <f t="shared" si="10"/>
        <v/>
      </c>
      <c r="AT34" s="70" t="str">
        <f t="shared" si="11"/>
        <v/>
      </c>
      <c r="AU34" s="70" t="str">
        <f t="shared" si="21"/>
        <v/>
      </c>
      <c r="AV34" s="23" t="str">
        <f t="shared" si="22"/>
        <v/>
      </c>
      <c r="AW34" s="78" t="str">
        <f t="shared" si="12"/>
        <v/>
      </c>
      <c r="AX34" s="101" t="str">
        <f t="shared" si="23"/>
        <v/>
      </c>
      <c r="AY34" s="89" t="str">
        <f>IF(AS34&lt;&gt;"",AS34*T34*(1-'(1) Inputs'!$E$10),"")</f>
        <v/>
      </c>
      <c r="BA34" s="241" t="str">
        <f t="shared" si="24"/>
        <v/>
      </c>
    </row>
    <row r="35" spans="2:53" s="244" customFormat="1" ht="15" x14ac:dyDescent="0.3">
      <c r="B35" s="529">
        <v>24</v>
      </c>
      <c r="C35" s="392"/>
      <c r="D35" s="378"/>
      <c r="E35" s="378"/>
      <c r="F35" s="394"/>
      <c r="G35" s="395"/>
      <c r="H35" s="395"/>
      <c r="I35" s="395"/>
      <c r="J35" s="396"/>
      <c r="K35" s="397"/>
      <c r="L35" s="372" t="str">
        <f t="shared" si="26"/>
        <v/>
      </c>
      <c r="M35" s="164"/>
      <c r="N35" s="239"/>
      <c r="O35" s="39" t="str">
        <f t="shared" si="2"/>
        <v/>
      </c>
      <c r="P35" s="63" t="str">
        <f t="shared" si="13"/>
        <v/>
      </c>
      <c r="Q35" s="40"/>
      <c r="R35" s="79"/>
      <c r="S35" s="79"/>
      <c r="T35" s="232"/>
      <c r="U35" s="42" t="str">
        <f>IF(O35&lt;&gt;"",SUMPRODUCT($F$12:$F$52,$T$12:$T$52,--($I$12:$I$52=I35))/SUMIF($I$12:$I$52,I35:$I$52,$F$12:$F$52),"")</f>
        <v/>
      </c>
      <c r="V35" s="65" t="str">
        <f>IF(O35&lt;&gt;"",T35*F35*(1-'(1) Inputs'!$E$10),"")</f>
        <v/>
      </c>
      <c r="W35" s="66" t="str">
        <f t="shared" si="4"/>
        <v/>
      </c>
      <c r="X35" s="43" t="str">
        <f t="shared" si="27"/>
        <v/>
      </c>
      <c r="Y35" s="43" t="str">
        <f t="shared" si="27"/>
        <v/>
      </c>
      <c r="Z35" s="43" t="str">
        <f t="shared" si="27"/>
        <v/>
      </c>
      <c r="AA35" s="43" t="str">
        <f t="shared" si="27"/>
        <v/>
      </c>
      <c r="AB35" s="43" t="str">
        <f t="shared" si="27"/>
        <v/>
      </c>
      <c r="AC35" s="43" t="str">
        <f t="shared" si="27"/>
        <v/>
      </c>
      <c r="AD35" s="131" t="str">
        <f t="shared" si="27"/>
        <v/>
      </c>
      <c r="AF35" s="67" t="str">
        <f t="shared" si="6"/>
        <v/>
      </c>
      <c r="AG35" s="44" t="str">
        <f t="shared" si="14"/>
        <v/>
      </c>
      <c r="AH35" s="40" t="str">
        <f t="shared" si="7"/>
        <v/>
      </c>
      <c r="AI35" s="78" t="str">
        <f t="shared" si="8"/>
        <v/>
      </c>
      <c r="AJ35" s="101" t="str">
        <f t="shared" si="15"/>
        <v/>
      </c>
      <c r="AL35" s="127" t="str">
        <f t="shared" si="16"/>
        <v/>
      </c>
      <c r="AM35" s="68" t="str">
        <f t="shared" si="17"/>
        <v/>
      </c>
      <c r="AN35" s="68" t="str">
        <f t="shared" si="18"/>
        <v/>
      </c>
      <c r="AO35" s="116" t="str">
        <f t="shared" si="19"/>
        <v/>
      </c>
      <c r="AP35" s="69" t="str">
        <f t="shared" si="9"/>
        <v/>
      </c>
      <c r="AQ35" s="101" t="str">
        <f t="shared" si="20"/>
        <v/>
      </c>
      <c r="AS35" s="67" t="str">
        <f t="shared" si="10"/>
        <v/>
      </c>
      <c r="AT35" s="70" t="str">
        <f t="shared" si="11"/>
        <v/>
      </c>
      <c r="AU35" s="70" t="str">
        <f t="shared" si="21"/>
        <v/>
      </c>
      <c r="AV35" s="23" t="str">
        <f t="shared" si="22"/>
        <v/>
      </c>
      <c r="AW35" s="78" t="str">
        <f t="shared" si="12"/>
        <v/>
      </c>
      <c r="AX35" s="101" t="str">
        <f t="shared" si="23"/>
        <v/>
      </c>
      <c r="AY35" s="89" t="str">
        <f>IF(AS35&lt;&gt;"",AS35*T35*(1-'(1) Inputs'!$E$10),"")</f>
        <v/>
      </c>
      <c r="BA35" s="241" t="str">
        <f t="shared" si="24"/>
        <v/>
      </c>
    </row>
    <row r="36" spans="2:53" s="323" customFormat="1" ht="15" x14ac:dyDescent="0.3">
      <c r="B36" s="529">
        <v>25</v>
      </c>
      <c r="C36" s="398"/>
      <c r="D36" s="378"/>
      <c r="E36" s="378"/>
      <c r="F36" s="394"/>
      <c r="G36" s="395"/>
      <c r="H36" s="395"/>
      <c r="I36" s="395"/>
      <c r="J36" s="399"/>
      <c r="K36" s="400"/>
      <c r="L36" s="372" t="str">
        <f t="shared" si="26"/>
        <v/>
      </c>
      <c r="M36" s="367"/>
      <c r="N36" s="368"/>
      <c r="O36" s="39" t="str">
        <f t="shared" si="2"/>
        <v/>
      </c>
      <c r="P36" s="63" t="str">
        <f t="shared" si="13"/>
        <v/>
      </c>
      <c r="Q36" s="40"/>
      <c r="R36" s="366"/>
      <c r="S36" s="366"/>
      <c r="T36" s="233"/>
      <c r="U36" s="42" t="str">
        <f>IF(O36&lt;&gt;"",SUMPRODUCT($F$12:$F$52,$T$12:$T$52,--($I$12:$I$52=I36))/SUMIF($I$12:$I$52,I36:$I$52,$F$12:$F$52),"")</f>
        <v/>
      </c>
      <c r="V36" s="65" t="str">
        <f>IF(O36&lt;&gt;"",T36*F36*(1-'(1) Inputs'!$E$10),"")</f>
        <v/>
      </c>
      <c r="W36" s="66" t="str">
        <f t="shared" si="4"/>
        <v/>
      </c>
      <c r="X36" s="43" t="str">
        <f t="shared" si="27"/>
        <v/>
      </c>
      <c r="Y36" s="43" t="str">
        <f t="shared" si="27"/>
        <v/>
      </c>
      <c r="Z36" s="43" t="str">
        <f t="shared" si="27"/>
        <v/>
      </c>
      <c r="AA36" s="43" t="str">
        <f t="shared" si="27"/>
        <v/>
      </c>
      <c r="AB36" s="43" t="str">
        <f t="shared" si="27"/>
        <v/>
      </c>
      <c r="AC36" s="43" t="str">
        <f t="shared" si="27"/>
        <v/>
      </c>
      <c r="AD36" s="131" t="str">
        <f t="shared" si="27"/>
        <v/>
      </c>
      <c r="AF36" s="67" t="str">
        <f t="shared" si="6"/>
        <v/>
      </c>
      <c r="AG36" s="44" t="str">
        <f t="shared" si="14"/>
        <v/>
      </c>
      <c r="AH36" s="40" t="str">
        <f t="shared" si="7"/>
        <v/>
      </c>
      <c r="AI36" s="78" t="str">
        <f t="shared" si="8"/>
        <v/>
      </c>
      <c r="AJ36" s="101" t="str">
        <f t="shared" si="15"/>
        <v/>
      </c>
      <c r="AL36" s="127" t="str">
        <f t="shared" si="16"/>
        <v/>
      </c>
      <c r="AM36" s="68" t="str">
        <f t="shared" si="17"/>
        <v/>
      </c>
      <c r="AN36" s="68" t="str">
        <f t="shared" si="18"/>
        <v/>
      </c>
      <c r="AO36" s="116" t="str">
        <f t="shared" si="19"/>
        <v/>
      </c>
      <c r="AP36" s="69" t="str">
        <f t="shared" si="9"/>
        <v/>
      </c>
      <c r="AQ36" s="101" t="str">
        <f t="shared" si="20"/>
        <v/>
      </c>
      <c r="AS36" s="67" t="str">
        <f t="shared" si="10"/>
        <v/>
      </c>
      <c r="AT36" s="70" t="str">
        <f t="shared" si="11"/>
        <v/>
      </c>
      <c r="AU36" s="70" t="str">
        <f t="shared" si="21"/>
        <v/>
      </c>
      <c r="AV36" s="23" t="str">
        <f t="shared" si="22"/>
        <v/>
      </c>
      <c r="AW36" s="78" t="str">
        <f t="shared" si="12"/>
        <v/>
      </c>
      <c r="AX36" s="101" t="str">
        <f t="shared" si="23"/>
        <v/>
      </c>
      <c r="AY36" s="89" t="str">
        <f>IF(AS36&lt;&gt;"",AS36*T36*(1-'(1) Inputs'!$E$10),"")</f>
        <v/>
      </c>
      <c r="BA36" s="241" t="str">
        <f t="shared" si="24"/>
        <v/>
      </c>
    </row>
    <row r="37" spans="2:53" s="323" customFormat="1" ht="15" x14ac:dyDescent="0.3">
      <c r="B37" s="529">
        <v>26</v>
      </c>
      <c r="C37" s="398"/>
      <c r="D37" s="378"/>
      <c r="E37" s="378"/>
      <c r="F37" s="394"/>
      <c r="G37" s="395"/>
      <c r="H37" s="395"/>
      <c r="I37" s="395"/>
      <c r="J37" s="399"/>
      <c r="K37" s="400"/>
      <c r="L37" s="372" t="str">
        <f t="shared" si="26"/>
        <v/>
      </c>
      <c r="M37" s="367"/>
      <c r="N37" s="368"/>
      <c r="O37" s="39" t="str">
        <f t="shared" si="2"/>
        <v/>
      </c>
      <c r="P37" s="63" t="str">
        <f t="shared" si="13"/>
        <v/>
      </c>
      <c r="Q37" s="40"/>
      <c r="R37" s="366"/>
      <c r="S37" s="366"/>
      <c r="T37" s="233"/>
      <c r="U37" s="42" t="str">
        <f>IF(O37&lt;&gt;"",SUMPRODUCT($F$12:$F$52,$T$12:$T$52,--($I$12:$I$52=I37))/SUMIF($I$12:$I$52,I37:$I$52,$F$12:$F$52),"")</f>
        <v/>
      </c>
      <c r="V37" s="65" t="str">
        <f>IF(O37&lt;&gt;"",T37*F37*(1-'(1) Inputs'!$E$10),"")</f>
        <v/>
      </c>
      <c r="W37" s="66" t="str">
        <f t="shared" si="4"/>
        <v/>
      </c>
      <c r="X37" s="43" t="str">
        <f t="shared" si="27"/>
        <v/>
      </c>
      <c r="Y37" s="43" t="str">
        <f t="shared" si="27"/>
        <v/>
      </c>
      <c r="Z37" s="43" t="str">
        <f t="shared" si="27"/>
        <v/>
      </c>
      <c r="AA37" s="43" t="str">
        <f t="shared" si="27"/>
        <v/>
      </c>
      <c r="AB37" s="43" t="str">
        <f t="shared" si="27"/>
        <v/>
      </c>
      <c r="AC37" s="43" t="str">
        <f t="shared" si="27"/>
        <v/>
      </c>
      <c r="AD37" s="131" t="str">
        <f t="shared" si="27"/>
        <v/>
      </c>
      <c r="AF37" s="67" t="str">
        <f t="shared" si="6"/>
        <v/>
      </c>
      <c r="AG37" s="44" t="str">
        <f t="shared" si="14"/>
        <v/>
      </c>
      <c r="AH37" s="40" t="str">
        <f t="shared" si="7"/>
        <v/>
      </c>
      <c r="AI37" s="78" t="str">
        <f t="shared" si="8"/>
        <v/>
      </c>
      <c r="AJ37" s="101" t="str">
        <f t="shared" si="15"/>
        <v/>
      </c>
      <c r="AL37" s="127" t="str">
        <f t="shared" si="16"/>
        <v/>
      </c>
      <c r="AM37" s="68" t="str">
        <f t="shared" si="17"/>
        <v/>
      </c>
      <c r="AN37" s="68" t="str">
        <f t="shared" si="18"/>
        <v/>
      </c>
      <c r="AO37" s="116" t="str">
        <f t="shared" si="19"/>
        <v/>
      </c>
      <c r="AP37" s="69" t="str">
        <f t="shared" si="9"/>
        <v/>
      </c>
      <c r="AQ37" s="101" t="str">
        <f t="shared" si="20"/>
        <v/>
      </c>
      <c r="AS37" s="67" t="str">
        <f t="shared" si="10"/>
        <v/>
      </c>
      <c r="AT37" s="70" t="str">
        <f t="shared" si="11"/>
        <v/>
      </c>
      <c r="AU37" s="70" t="str">
        <f t="shared" si="21"/>
        <v/>
      </c>
      <c r="AV37" s="23" t="str">
        <f t="shared" si="22"/>
        <v/>
      </c>
      <c r="AW37" s="78" t="str">
        <f t="shared" si="12"/>
        <v/>
      </c>
      <c r="AX37" s="101" t="str">
        <f t="shared" si="23"/>
        <v/>
      </c>
      <c r="AY37" s="89" t="str">
        <f>IF(AS37&lt;&gt;"",AS37*T37*(1-'(1) Inputs'!$E$10),"")</f>
        <v/>
      </c>
      <c r="BA37" s="241" t="str">
        <f t="shared" si="24"/>
        <v/>
      </c>
    </row>
    <row r="38" spans="2:53" s="323" customFormat="1" ht="15" x14ac:dyDescent="0.3">
      <c r="B38" s="529">
        <v>27</v>
      </c>
      <c r="C38" s="398"/>
      <c r="D38" s="378"/>
      <c r="E38" s="378"/>
      <c r="F38" s="394"/>
      <c r="G38" s="395"/>
      <c r="H38" s="395"/>
      <c r="I38" s="395"/>
      <c r="J38" s="399"/>
      <c r="K38" s="400"/>
      <c r="L38" s="372" t="str">
        <f t="shared" si="26"/>
        <v/>
      </c>
      <c r="M38" s="367"/>
      <c r="N38" s="368"/>
      <c r="O38" s="39" t="str">
        <f t="shared" si="2"/>
        <v/>
      </c>
      <c r="P38" s="63" t="str">
        <f t="shared" si="13"/>
        <v/>
      </c>
      <c r="Q38" s="40"/>
      <c r="R38" s="366"/>
      <c r="S38" s="366"/>
      <c r="T38" s="233"/>
      <c r="U38" s="42" t="str">
        <f>IF(O38&lt;&gt;"",SUMPRODUCT($F$12:$F$52,$T$12:$T$52,--($I$12:$I$52=I38))/SUMIF($I$12:$I$52,I38:$I$52,$F$12:$F$52),"")</f>
        <v/>
      </c>
      <c r="V38" s="65" t="str">
        <f>IF(O38&lt;&gt;"",T38*F38*(1-'(1) Inputs'!$E$10),"")</f>
        <v/>
      </c>
      <c r="W38" s="66" t="str">
        <f t="shared" si="4"/>
        <v/>
      </c>
      <c r="X38" s="43" t="str">
        <f t="shared" si="27"/>
        <v/>
      </c>
      <c r="Y38" s="43" t="str">
        <f t="shared" si="27"/>
        <v/>
      </c>
      <c r="Z38" s="43" t="str">
        <f t="shared" si="27"/>
        <v/>
      </c>
      <c r="AA38" s="43" t="str">
        <f t="shared" si="27"/>
        <v/>
      </c>
      <c r="AB38" s="43" t="str">
        <f t="shared" si="27"/>
        <v/>
      </c>
      <c r="AC38" s="43" t="str">
        <f t="shared" si="27"/>
        <v/>
      </c>
      <c r="AD38" s="131" t="str">
        <f t="shared" si="27"/>
        <v/>
      </c>
      <c r="AF38" s="67" t="str">
        <f t="shared" si="6"/>
        <v/>
      </c>
      <c r="AG38" s="44" t="str">
        <f t="shared" si="14"/>
        <v/>
      </c>
      <c r="AH38" s="40" t="str">
        <f t="shared" si="7"/>
        <v/>
      </c>
      <c r="AI38" s="78" t="str">
        <f t="shared" si="8"/>
        <v/>
      </c>
      <c r="AJ38" s="101" t="str">
        <f t="shared" si="15"/>
        <v/>
      </c>
      <c r="AL38" s="127" t="str">
        <f t="shared" si="16"/>
        <v/>
      </c>
      <c r="AM38" s="68" t="str">
        <f t="shared" si="17"/>
        <v/>
      </c>
      <c r="AN38" s="68" t="str">
        <f t="shared" si="18"/>
        <v/>
      </c>
      <c r="AO38" s="116" t="str">
        <f t="shared" si="19"/>
        <v/>
      </c>
      <c r="AP38" s="69" t="str">
        <f t="shared" si="9"/>
        <v/>
      </c>
      <c r="AQ38" s="101" t="str">
        <f t="shared" si="20"/>
        <v/>
      </c>
      <c r="AS38" s="67" t="str">
        <f t="shared" si="10"/>
        <v/>
      </c>
      <c r="AT38" s="70" t="str">
        <f t="shared" si="11"/>
        <v/>
      </c>
      <c r="AU38" s="70" t="str">
        <f t="shared" si="21"/>
        <v/>
      </c>
      <c r="AV38" s="23" t="str">
        <f t="shared" si="22"/>
        <v/>
      </c>
      <c r="AW38" s="78" t="str">
        <f t="shared" si="12"/>
        <v/>
      </c>
      <c r="AX38" s="101" t="str">
        <f t="shared" si="23"/>
        <v/>
      </c>
      <c r="AY38" s="89" t="str">
        <f>IF(AS38&lt;&gt;"",AS38*T38*(1-'(1) Inputs'!$E$10),"")</f>
        <v/>
      </c>
      <c r="BA38" s="241" t="str">
        <f t="shared" si="24"/>
        <v/>
      </c>
    </row>
    <row r="39" spans="2:53" s="323" customFormat="1" ht="15" x14ac:dyDescent="0.3">
      <c r="B39" s="529">
        <v>28</v>
      </c>
      <c r="C39" s="398"/>
      <c r="D39" s="378"/>
      <c r="E39" s="378"/>
      <c r="F39" s="394"/>
      <c r="G39" s="395"/>
      <c r="H39" s="395"/>
      <c r="I39" s="395"/>
      <c r="J39" s="399"/>
      <c r="K39" s="400"/>
      <c r="L39" s="372" t="str">
        <f t="shared" si="26"/>
        <v/>
      </c>
      <c r="M39" s="367"/>
      <c r="N39" s="368"/>
      <c r="O39" s="39" t="str">
        <f t="shared" si="2"/>
        <v/>
      </c>
      <c r="P39" s="63" t="str">
        <f t="shared" si="13"/>
        <v/>
      </c>
      <c r="Q39" s="40"/>
      <c r="R39" s="366"/>
      <c r="S39" s="366"/>
      <c r="T39" s="233"/>
      <c r="U39" s="42" t="str">
        <f>IF(O39&lt;&gt;"",SUMPRODUCT($F$12:$F$52,$T$12:$T$52,--($I$12:$I$52=I39))/SUMIF($I$12:$I$52,I39:$I$52,$F$12:$F$52),"")</f>
        <v/>
      </c>
      <c r="V39" s="65" t="str">
        <f>IF(O39&lt;&gt;"",T39*F39*(1-'(1) Inputs'!$E$10),"")</f>
        <v/>
      </c>
      <c r="W39" s="66" t="str">
        <f t="shared" si="4"/>
        <v/>
      </c>
      <c r="X39" s="43" t="str">
        <f t="shared" si="27"/>
        <v/>
      </c>
      <c r="Y39" s="43" t="str">
        <f t="shared" si="27"/>
        <v/>
      </c>
      <c r="Z39" s="43" t="str">
        <f t="shared" si="27"/>
        <v/>
      </c>
      <c r="AA39" s="43" t="str">
        <f t="shared" si="27"/>
        <v/>
      </c>
      <c r="AB39" s="43" t="str">
        <f t="shared" si="27"/>
        <v/>
      </c>
      <c r="AC39" s="43" t="str">
        <f t="shared" si="27"/>
        <v/>
      </c>
      <c r="AD39" s="131" t="str">
        <f t="shared" si="27"/>
        <v/>
      </c>
      <c r="AF39" s="67" t="str">
        <f t="shared" si="6"/>
        <v/>
      </c>
      <c r="AG39" s="44" t="str">
        <f t="shared" si="14"/>
        <v/>
      </c>
      <c r="AH39" s="40" t="str">
        <f t="shared" si="7"/>
        <v/>
      </c>
      <c r="AI39" s="78" t="str">
        <f t="shared" si="8"/>
        <v/>
      </c>
      <c r="AJ39" s="101" t="str">
        <f t="shared" si="15"/>
        <v/>
      </c>
      <c r="AL39" s="127" t="str">
        <f t="shared" si="16"/>
        <v/>
      </c>
      <c r="AM39" s="68" t="str">
        <f t="shared" si="17"/>
        <v/>
      </c>
      <c r="AN39" s="68" t="str">
        <f t="shared" si="18"/>
        <v/>
      </c>
      <c r="AO39" s="116" t="str">
        <f t="shared" si="19"/>
        <v/>
      </c>
      <c r="AP39" s="69" t="str">
        <f t="shared" si="9"/>
        <v/>
      </c>
      <c r="AQ39" s="101" t="str">
        <f t="shared" si="20"/>
        <v/>
      </c>
      <c r="AS39" s="67" t="str">
        <f t="shared" si="10"/>
        <v/>
      </c>
      <c r="AT39" s="70" t="str">
        <f t="shared" si="11"/>
        <v/>
      </c>
      <c r="AU39" s="70" t="str">
        <f t="shared" si="21"/>
        <v/>
      </c>
      <c r="AV39" s="23" t="str">
        <f t="shared" si="22"/>
        <v/>
      </c>
      <c r="AW39" s="78" t="str">
        <f t="shared" si="12"/>
        <v/>
      </c>
      <c r="AX39" s="101" t="str">
        <f t="shared" si="23"/>
        <v/>
      </c>
      <c r="AY39" s="89" t="str">
        <f>IF(AS39&lt;&gt;"",AS39*T39*(1-'(1) Inputs'!$E$10),"")</f>
        <v/>
      </c>
      <c r="BA39" s="241" t="str">
        <f t="shared" si="24"/>
        <v/>
      </c>
    </row>
    <row r="40" spans="2:53" s="323" customFormat="1" ht="15" x14ac:dyDescent="0.3">
      <c r="B40" s="529">
        <v>29</v>
      </c>
      <c r="C40" s="398"/>
      <c r="D40" s="378"/>
      <c r="E40" s="378"/>
      <c r="F40" s="394"/>
      <c r="G40" s="395"/>
      <c r="H40" s="395"/>
      <c r="I40" s="395"/>
      <c r="J40" s="399"/>
      <c r="K40" s="400"/>
      <c r="L40" s="372" t="str">
        <f t="shared" si="26"/>
        <v/>
      </c>
      <c r="M40" s="367"/>
      <c r="N40" s="368"/>
      <c r="O40" s="39" t="str">
        <f t="shared" si="2"/>
        <v/>
      </c>
      <c r="P40" s="63" t="str">
        <f t="shared" si="13"/>
        <v/>
      </c>
      <c r="Q40" s="40"/>
      <c r="R40" s="366"/>
      <c r="S40" s="366"/>
      <c r="T40" s="233"/>
      <c r="U40" s="42" t="str">
        <f>IF(O40&lt;&gt;"",SUMPRODUCT($F$12:$F$52,$T$12:$T$52,--($I$12:$I$52=I40))/SUMIF($I$12:$I$52,I40:$I$52,$F$12:$F$52),"")</f>
        <v/>
      </c>
      <c r="V40" s="65" t="str">
        <f>IF(O40&lt;&gt;"",T40*F40*(1-'(1) Inputs'!$E$10),"")</f>
        <v/>
      </c>
      <c r="W40" s="66" t="str">
        <f t="shared" si="4"/>
        <v/>
      </c>
      <c r="X40" s="43" t="str">
        <f t="shared" si="27"/>
        <v/>
      </c>
      <c r="Y40" s="43" t="str">
        <f t="shared" si="27"/>
        <v/>
      </c>
      <c r="Z40" s="43" t="str">
        <f t="shared" si="27"/>
        <v/>
      </c>
      <c r="AA40" s="43" t="str">
        <f t="shared" si="27"/>
        <v/>
      </c>
      <c r="AB40" s="43" t="str">
        <f t="shared" si="27"/>
        <v/>
      </c>
      <c r="AC40" s="43" t="str">
        <f t="shared" si="27"/>
        <v/>
      </c>
      <c r="AD40" s="131" t="str">
        <f t="shared" si="27"/>
        <v/>
      </c>
      <c r="AF40" s="67" t="str">
        <f t="shared" si="6"/>
        <v/>
      </c>
      <c r="AG40" s="44" t="str">
        <f t="shared" si="14"/>
        <v/>
      </c>
      <c r="AH40" s="40" t="str">
        <f t="shared" si="7"/>
        <v/>
      </c>
      <c r="AI40" s="78" t="str">
        <f t="shared" si="8"/>
        <v/>
      </c>
      <c r="AJ40" s="101" t="str">
        <f t="shared" si="15"/>
        <v/>
      </c>
      <c r="AL40" s="127" t="str">
        <f t="shared" si="16"/>
        <v/>
      </c>
      <c r="AM40" s="68" t="str">
        <f t="shared" si="17"/>
        <v/>
      </c>
      <c r="AN40" s="68" t="str">
        <f t="shared" si="18"/>
        <v/>
      </c>
      <c r="AO40" s="116" t="str">
        <f t="shared" si="19"/>
        <v/>
      </c>
      <c r="AP40" s="69" t="str">
        <f t="shared" si="9"/>
        <v/>
      </c>
      <c r="AQ40" s="101" t="str">
        <f t="shared" si="20"/>
        <v/>
      </c>
      <c r="AS40" s="67" t="str">
        <f t="shared" si="10"/>
        <v/>
      </c>
      <c r="AT40" s="70" t="str">
        <f t="shared" si="11"/>
        <v/>
      </c>
      <c r="AU40" s="70" t="str">
        <f t="shared" si="21"/>
        <v/>
      </c>
      <c r="AV40" s="23" t="str">
        <f t="shared" si="22"/>
        <v/>
      </c>
      <c r="AW40" s="78" t="str">
        <f t="shared" si="12"/>
        <v/>
      </c>
      <c r="AX40" s="101" t="str">
        <f t="shared" si="23"/>
        <v/>
      </c>
      <c r="AY40" s="89" t="str">
        <f>IF(AS40&lt;&gt;"",AS40*T40*(1-'(1) Inputs'!$E$10),"")</f>
        <v/>
      </c>
      <c r="BA40" s="241" t="str">
        <f t="shared" si="24"/>
        <v/>
      </c>
    </row>
    <row r="41" spans="2:53" s="323" customFormat="1" ht="15" x14ac:dyDescent="0.3">
      <c r="B41" s="529">
        <v>30</v>
      </c>
      <c r="C41" s="398"/>
      <c r="D41" s="378"/>
      <c r="E41" s="378"/>
      <c r="F41" s="394"/>
      <c r="G41" s="395"/>
      <c r="H41" s="395"/>
      <c r="I41" s="395"/>
      <c r="J41" s="399"/>
      <c r="K41" s="400"/>
      <c r="L41" s="372" t="str">
        <f t="shared" si="26"/>
        <v/>
      </c>
      <c r="M41" s="367"/>
      <c r="N41" s="368"/>
      <c r="O41" s="39" t="str">
        <f t="shared" si="2"/>
        <v/>
      </c>
      <c r="P41" s="63" t="str">
        <f t="shared" si="13"/>
        <v/>
      </c>
      <c r="Q41" s="40"/>
      <c r="R41" s="366"/>
      <c r="S41" s="366"/>
      <c r="T41" s="233"/>
      <c r="U41" s="42" t="str">
        <f>IF(O41&lt;&gt;"",SUMPRODUCT($F$12:$F$52,$T$12:$T$52,--($I$12:$I$52=I41))/SUMIF($I$12:$I$52,I41:$I$52,$F$12:$F$52),"")</f>
        <v/>
      </c>
      <c r="V41" s="65" t="str">
        <f>IF(O41&lt;&gt;"",T41*F41*(1-'(1) Inputs'!$E$10),"")</f>
        <v/>
      </c>
      <c r="W41" s="66" t="str">
        <f t="shared" si="4"/>
        <v/>
      </c>
      <c r="X41" s="43" t="str">
        <f t="shared" si="27"/>
        <v/>
      </c>
      <c r="Y41" s="43" t="str">
        <f t="shared" si="27"/>
        <v/>
      </c>
      <c r="Z41" s="43" t="str">
        <f t="shared" si="27"/>
        <v/>
      </c>
      <c r="AA41" s="43" t="str">
        <f t="shared" si="27"/>
        <v/>
      </c>
      <c r="AB41" s="43" t="str">
        <f t="shared" si="27"/>
        <v/>
      </c>
      <c r="AC41" s="43" t="str">
        <f t="shared" si="27"/>
        <v/>
      </c>
      <c r="AD41" s="131" t="str">
        <f t="shared" si="27"/>
        <v/>
      </c>
      <c r="AF41" s="67" t="str">
        <f t="shared" si="6"/>
        <v/>
      </c>
      <c r="AG41" s="44" t="str">
        <f t="shared" si="14"/>
        <v/>
      </c>
      <c r="AH41" s="40" t="str">
        <f t="shared" si="7"/>
        <v/>
      </c>
      <c r="AI41" s="78" t="str">
        <f t="shared" si="8"/>
        <v/>
      </c>
      <c r="AJ41" s="101" t="str">
        <f t="shared" si="15"/>
        <v/>
      </c>
      <c r="AL41" s="127" t="str">
        <f t="shared" si="16"/>
        <v/>
      </c>
      <c r="AM41" s="68" t="str">
        <f t="shared" si="17"/>
        <v/>
      </c>
      <c r="AN41" s="68" t="str">
        <f t="shared" si="18"/>
        <v/>
      </c>
      <c r="AO41" s="116" t="str">
        <f t="shared" si="19"/>
        <v/>
      </c>
      <c r="AP41" s="69" t="str">
        <f t="shared" si="9"/>
        <v/>
      </c>
      <c r="AQ41" s="101" t="str">
        <f t="shared" si="20"/>
        <v/>
      </c>
      <c r="AS41" s="67" t="str">
        <f t="shared" si="10"/>
        <v/>
      </c>
      <c r="AT41" s="70" t="str">
        <f t="shared" si="11"/>
        <v/>
      </c>
      <c r="AU41" s="70" t="str">
        <f t="shared" si="21"/>
        <v/>
      </c>
      <c r="AV41" s="23" t="str">
        <f t="shared" si="22"/>
        <v/>
      </c>
      <c r="AW41" s="78" t="str">
        <f t="shared" si="12"/>
        <v/>
      </c>
      <c r="AX41" s="101" t="str">
        <f t="shared" si="23"/>
        <v/>
      </c>
      <c r="AY41" s="89" t="str">
        <f>IF(AS41&lt;&gt;"",AS41*T41*(1-'(1) Inputs'!$E$10),"")</f>
        <v/>
      </c>
      <c r="BA41" s="241" t="str">
        <f t="shared" si="24"/>
        <v/>
      </c>
    </row>
    <row r="42" spans="2:53" s="323" customFormat="1" ht="15" x14ac:dyDescent="0.3">
      <c r="B42" s="529">
        <v>31</v>
      </c>
      <c r="C42" s="398"/>
      <c r="D42" s="378"/>
      <c r="E42" s="378"/>
      <c r="F42" s="394"/>
      <c r="G42" s="395"/>
      <c r="H42" s="395"/>
      <c r="I42" s="395"/>
      <c r="J42" s="399"/>
      <c r="K42" s="400"/>
      <c r="L42" s="372" t="str">
        <f t="shared" si="26"/>
        <v/>
      </c>
      <c r="M42" s="367"/>
      <c r="N42" s="368"/>
      <c r="O42" s="39" t="str">
        <f t="shared" si="2"/>
        <v/>
      </c>
      <c r="P42" s="63" t="str">
        <f t="shared" si="13"/>
        <v/>
      </c>
      <c r="Q42" s="40"/>
      <c r="R42" s="366"/>
      <c r="S42" s="366"/>
      <c r="T42" s="233"/>
      <c r="U42" s="42" t="str">
        <f>IF(O42&lt;&gt;"",SUMPRODUCT($F$12:$F$52,$T$12:$T$52,--($I$12:$I$52=I42))/SUMIF($I$12:$I$52,I42:$I$52,$F$12:$F$52),"")</f>
        <v/>
      </c>
      <c r="V42" s="65" t="str">
        <f>IF(O42&lt;&gt;"",T42*F42*(1-'(1) Inputs'!$E$10),"")</f>
        <v/>
      </c>
      <c r="W42" s="66" t="str">
        <f t="shared" si="4"/>
        <v/>
      </c>
      <c r="X42" s="43" t="str">
        <f t="shared" ref="X42:AD52" si="28">IF($O42&lt;&gt;"",IF(OR(YEAR($H42)&gt;X$1,(X$1-YEAR($G42))&gt;$K42),0,
IF(YEAR($H42)=X$1,(13-MONTH($H42))*(1/$N42)*$V42,
IF((X$1-YEAR($G42))=$K42,(MONTH($G42)-1)*(1/$N42)*$V42,(1/$N42)*$V42*12)
)),"")</f>
        <v/>
      </c>
      <c r="Y42" s="43" t="str">
        <f t="shared" si="28"/>
        <v/>
      </c>
      <c r="Z42" s="43" t="str">
        <f t="shared" si="28"/>
        <v/>
      </c>
      <c r="AA42" s="43" t="str">
        <f t="shared" si="28"/>
        <v/>
      </c>
      <c r="AB42" s="43" t="str">
        <f t="shared" si="28"/>
        <v/>
      </c>
      <c r="AC42" s="43" t="str">
        <f t="shared" si="28"/>
        <v/>
      </c>
      <c r="AD42" s="131" t="str">
        <f t="shared" si="28"/>
        <v/>
      </c>
      <c r="AF42" s="67" t="str">
        <f t="shared" si="6"/>
        <v/>
      </c>
      <c r="AG42" s="44" t="str">
        <f t="shared" si="14"/>
        <v/>
      </c>
      <c r="AH42" s="40" t="str">
        <f t="shared" si="7"/>
        <v/>
      </c>
      <c r="AI42" s="78" t="str">
        <f t="shared" si="8"/>
        <v/>
      </c>
      <c r="AJ42" s="101" t="str">
        <f t="shared" si="15"/>
        <v/>
      </c>
      <c r="AL42" s="127" t="str">
        <f t="shared" si="16"/>
        <v/>
      </c>
      <c r="AM42" s="68" t="str">
        <f t="shared" si="17"/>
        <v/>
      </c>
      <c r="AN42" s="68" t="str">
        <f t="shared" si="18"/>
        <v/>
      </c>
      <c r="AO42" s="116" t="str">
        <f t="shared" si="19"/>
        <v/>
      </c>
      <c r="AP42" s="69" t="str">
        <f t="shared" si="9"/>
        <v/>
      </c>
      <c r="AQ42" s="101" t="str">
        <f t="shared" si="20"/>
        <v/>
      </c>
      <c r="AS42" s="67" t="str">
        <f t="shared" si="10"/>
        <v/>
      </c>
      <c r="AT42" s="70" t="str">
        <f t="shared" si="11"/>
        <v/>
      </c>
      <c r="AU42" s="70" t="str">
        <f t="shared" si="21"/>
        <v/>
      </c>
      <c r="AV42" s="23" t="str">
        <f t="shared" si="22"/>
        <v/>
      </c>
      <c r="AW42" s="78" t="str">
        <f t="shared" si="12"/>
        <v/>
      </c>
      <c r="AX42" s="101" t="str">
        <f t="shared" si="23"/>
        <v/>
      </c>
      <c r="AY42" s="89" t="str">
        <f>IF(AS42&lt;&gt;"",AS42*T42*(1-'(1) Inputs'!$E$10),"")</f>
        <v/>
      </c>
      <c r="BA42" s="241" t="str">
        <f t="shared" si="24"/>
        <v/>
      </c>
    </row>
    <row r="43" spans="2:53" s="323" customFormat="1" ht="15" x14ac:dyDescent="0.3">
      <c r="B43" s="529">
        <v>32</v>
      </c>
      <c r="C43" s="398"/>
      <c r="D43" s="378"/>
      <c r="E43" s="378"/>
      <c r="F43" s="394"/>
      <c r="G43" s="395"/>
      <c r="H43" s="395"/>
      <c r="I43" s="395"/>
      <c r="J43" s="399"/>
      <c r="K43" s="400"/>
      <c r="L43" s="372" t="str">
        <f t="shared" si="26"/>
        <v/>
      </c>
      <c r="M43" s="367"/>
      <c r="N43" s="368"/>
      <c r="O43" s="39" t="str">
        <f t="shared" si="2"/>
        <v/>
      </c>
      <c r="P43" s="63" t="str">
        <f t="shared" si="13"/>
        <v/>
      </c>
      <c r="Q43" s="40"/>
      <c r="R43" s="366"/>
      <c r="S43" s="366"/>
      <c r="T43" s="233"/>
      <c r="U43" s="42" t="str">
        <f>IF(O43&lt;&gt;"",SUMPRODUCT($F$12:$F$52,$T$12:$T$52,--($I$12:$I$52=I43))/SUMIF($I$12:$I$52,I43:$I$52,$F$12:$F$52),"")</f>
        <v/>
      </c>
      <c r="V43" s="65" t="str">
        <f>IF(O43&lt;&gt;"",T43*F43*(1-'(1) Inputs'!$E$10),"")</f>
        <v/>
      </c>
      <c r="W43" s="66" t="str">
        <f t="shared" si="4"/>
        <v/>
      </c>
      <c r="X43" s="43" t="str">
        <f t="shared" si="28"/>
        <v/>
      </c>
      <c r="Y43" s="43" t="str">
        <f t="shared" si="28"/>
        <v/>
      </c>
      <c r="Z43" s="43" t="str">
        <f t="shared" si="28"/>
        <v/>
      </c>
      <c r="AA43" s="43" t="str">
        <f t="shared" si="28"/>
        <v/>
      </c>
      <c r="AB43" s="43" t="str">
        <f t="shared" si="28"/>
        <v/>
      </c>
      <c r="AC43" s="43" t="str">
        <f t="shared" si="28"/>
        <v/>
      </c>
      <c r="AD43" s="131" t="str">
        <f t="shared" si="28"/>
        <v/>
      </c>
      <c r="AF43" s="67" t="str">
        <f t="shared" si="6"/>
        <v/>
      </c>
      <c r="AG43" s="44" t="str">
        <f t="shared" si="14"/>
        <v/>
      </c>
      <c r="AH43" s="40" t="str">
        <f t="shared" si="7"/>
        <v/>
      </c>
      <c r="AI43" s="78" t="str">
        <f t="shared" si="8"/>
        <v/>
      </c>
      <c r="AJ43" s="101" t="str">
        <f t="shared" si="15"/>
        <v/>
      </c>
      <c r="AL43" s="127" t="str">
        <f t="shared" si="16"/>
        <v/>
      </c>
      <c r="AM43" s="68" t="str">
        <f t="shared" si="17"/>
        <v/>
      </c>
      <c r="AN43" s="68" t="str">
        <f t="shared" si="18"/>
        <v/>
      </c>
      <c r="AO43" s="116" t="str">
        <f t="shared" si="19"/>
        <v/>
      </c>
      <c r="AP43" s="69" t="str">
        <f t="shared" si="9"/>
        <v/>
      </c>
      <c r="AQ43" s="101" t="str">
        <f t="shared" si="20"/>
        <v/>
      </c>
      <c r="AS43" s="67" t="str">
        <f t="shared" si="10"/>
        <v/>
      </c>
      <c r="AT43" s="70" t="str">
        <f t="shared" si="11"/>
        <v/>
      </c>
      <c r="AU43" s="70" t="str">
        <f t="shared" si="21"/>
        <v/>
      </c>
      <c r="AV43" s="23" t="str">
        <f t="shared" si="22"/>
        <v/>
      </c>
      <c r="AW43" s="78" t="str">
        <f t="shared" si="12"/>
        <v/>
      </c>
      <c r="AX43" s="101" t="str">
        <f t="shared" si="23"/>
        <v/>
      </c>
      <c r="AY43" s="89" t="str">
        <f>IF(AS43&lt;&gt;"",AS43*T43*(1-'(1) Inputs'!$E$10),"")</f>
        <v/>
      </c>
      <c r="BA43" s="241" t="str">
        <f t="shared" si="24"/>
        <v/>
      </c>
    </row>
    <row r="44" spans="2:53" s="323" customFormat="1" ht="15" x14ac:dyDescent="0.3">
      <c r="B44" s="529">
        <v>33</v>
      </c>
      <c r="C44" s="398"/>
      <c r="D44" s="378"/>
      <c r="E44" s="378"/>
      <c r="F44" s="394"/>
      <c r="G44" s="395"/>
      <c r="H44" s="395"/>
      <c r="I44" s="395"/>
      <c r="J44" s="399"/>
      <c r="K44" s="400"/>
      <c r="L44" s="372" t="str">
        <f t="shared" si="26"/>
        <v/>
      </c>
      <c r="M44" s="367"/>
      <c r="N44" s="368"/>
      <c r="O44" s="39" t="str">
        <f t="shared" si="2"/>
        <v/>
      </c>
      <c r="P44" s="63" t="str">
        <f t="shared" si="13"/>
        <v/>
      </c>
      <c r="Q44" s="40"/>
      <c r="R44" s="366"/>
      <c r="S44" s="366"/>
      <c r="T44" s="233"/>
      <c r="U44" s="42" t="str">
        <f>IF(O44&lt;&gt;"",SUMPRODUCT($F$12:$F$52,$T$12:$T$52,--($I$12:$I$52=I44))/SUMIF($I$12:$I$52,I44:$I$52,$F$12:$F$52),"")</f>
        <v/>
      </c>
      <c r="V44" s="65" t="str">
        <f>IF(O44&lt;&gt;"",T44*F44*(1-'(1) Inputs'!$E$10),"")</f>
        <v/>
      </c>
      <c r="W44" s="66" t="str">
        <f t="shared" si="4"/>
        <v/>
      </c>
      <c r="X44" s="43" t="str">
        <f t="shared" si="28"/>
        <v/>
      </c>
      <c r="Y44" s="43" t="str">
        <f t="shared" si="28"/>
        <v/>
      </c>
      <c r="Z44" s="43" t="str">
        <f t="shared" si="28"/>
        <v/>
      </c>
      <c r="AA44" s="43" t="str">
        <f t="shared" si="28"/>
        <v/>
      </c>
      <c r="AB44" s="43" t="str">
        <f t="shared" si="28"/>
        <v/>
      </c>
      <c r="AC44" s="43" t="str">
        <f t="shared" si="28"/>
        <v/>
      </c>
      <c r="AD44" s="131" t="str">
        <f t="shared" si="28"/>
        <v/>
      </c>
      <c r="AF44" s="67" t="str">
        <f t="shared" si="6"/>
        <v/>
      </c>
      <c r="AG44" s="44" t="str">
        <f t="shared" si="14"/>
        <v/>
      </c>
      <c r="AH44" s="40" t="str">
        <f t="shared" si="7"/>
        <v/>
      </c>
      <c r="AI44" s="78" t="str">
        <f t="shared" si="8"/>
        <v/>
      </c>
      <c r="AJ44" s="101" t="str">
        <f t="shared" si="15"/>
        <v/>
      </c>
      <c r="AL44" s="127" t="str">
        <f t="shared" si="16"/>
        <v/>
      </c>
      <c r="AM44" s="68" t="str">
        <f t="shared" si="17"/>
        <v/>
      </c>
      <c r="AN44" s="68" t="str">
        <f t="shared" si="18"/>
        <v/>
      </c>
      <c r="AO44" s="116" t="str">
        <f t="shared" si="19"/>
        <v/>
      </c>
      <c r="AP44" s="69" t="str">
        <f t="shared" si="9"/>
        <v/>
      </c>
      <c r="AQ44" s="101" t="str">
        <f t="shared" si="20"/>
        <v/>
      </c>
      <c r="AS44" s="67" t="str">
        <f t="shared" si="10"/>
        <v/>
      </c>
      <c r="AT44" s="70" t="str">
        <f t="shared" si="11"/>
        <v/>
      </c>
      <c r="AU44" s="70" t="str">
        <f t="shared" si="21"/>
        <v/>
      </c>
      <c r="AV44" s="23" t="str">
        <f t="shared" si="22"/>
        <v/>
      </c>
      <c r="AW44" s="78" t="str">
        <f t="shared" si="12"/>
        <v/>
      </c>
      <c r="AX44" s="101" t="str">
        <f t="shared" si="23"/>
        <v/>
      </c>
      <c r="AY44" s="89" t="str">
        <f>IF(AS44&lt;&gt;"",AS44*T44*(1-'(1) Inputs'!$E$10),"")</f>
        <v/>
      </c>
      <c r="BA44" s="241" t="str">
        <f t="shared" si="24"/>
        <v/>
      </c>
    </row>
    <row r="45" spans="2:53" s="323" customFormat="1" ht="15" x14ac:dyDescent="0.3">
      <c r="B45" s="529">
        <v>34</v>
      </c>
      <c r="C45" s="398"/>
      <c r="D45" s="378"/>
      <c r="E45" s="378"/>
      <c r="F45" s="394"/>
      <c r="G45" s="395"/>
      <c r="H45" s="395"/>
      <c r="I45" s="395"/>
      <c r="J45" s="399"/>
      <c r="K45" s="400"/>
      <c r="L45" s="372" t="str">
        <f t="shared" si="26"/>
        <v/>
      </c>
      <c r="M45" s="367"/>
      <c r="N45" s="368"/>
      <c r="O45" s="39" t="str">
        <f t="shared" si="2"/>
        <v/>
      </c>
      <c r="P45" s="63" t="str">
        <f t="shared" si="13"/>
        <v/>
      </c>
      <c r="Q45" s="40"/>
      <c r="R45" s="366"/>
      <c r="S45" s="366"/>
      <c r="T45" s="233"/>
      <c r="U45" s="42" t="str">
        <f>IF(O45&lt;&gt;"",SUMPRODUCT($F$12:$F$52,$T$12:$T$52,--($I$12:$I$52=I45))/SUMIF($I$12:$I$52,I45:$I$52,$F$12:$F$52),"")</f>
        <v/>
      </c>
      <c r="V45" s="65" t="str">
        <f>IF(O45&lt;&gt;"",T45*F45*(1-'(1) Inputs'!$E$10),"")</f>
        <v/>
      </c>
      <c r="W45" s="66" t="str">
        <f t="shared" si="4"/>
        <v/>
      </c>
      <c r="X45" s="43" t="str">
        <f t="shared" si="28"/>
        <v/>
      </c>
      <c r="Y45" s="43" t="str">
        <f t="shared" si="28"/>
        <v/>
      </c>
      <c r="Z45" s="43" t="str">
        <f t="shared" si="28"/>
        <v/>
      </c>
      <c r="AA45" s="43" t="str">
        <f t="shared" si="28"/>
        <v/>
      </c>
      <c r="AB45" s="43" t="str">
        <f t="shared" si="28"/>
        <v/>
      </c>
      <c r="AC45" s="43" t="str">
        <f t="shared" si="28"/>
        <v/>
      </c>
      <c r="AD45" s="131" t="str">
        <f t="shared" si="28"/>
        <v/>
      </c>
      <c r="AF45" s="67" t="str">
        <f t="shared" si="6"/>
        <v/>
      </c>
      <c r="AG45" s="44" t="str">
        <f t="shared" si="14"/>
        <v/>
      </c>
      <c r="AH45" s="40" t="str">
        <f t="shared" si="7"/>
        <v/>
      </c>
      <c r="AI45" s="78" t="str">
        <f t="shared" si="8"/>
        <v/>
      </c>
      <c r="AJ45" s="101" t="str">
        <f t="shared" si="15"/>
        <v/>
      </c>
      <c r="AL45" s="127" t="str">
        <f t="shared" si="16"/>
        <v/>
      </c>
      <c r="AM45" s="68" t="str">
        <f t="shared" si="17"/>
        <v/>
      </c>
      <c r="AN45" s="68" t="str">
        <f t="shared" si="18"/>
        <v/>
      </c>
      <c r="AO45" s="116" t="str">
        <f t="shared" si="19"/>
        <v/>
      </c>
      <c r="AP45" s="69" t="str">
        <f t="shared" si="9"/>
        <v/>
      </c>
      <c r="AQ45" s="101" t="str">
        <f t="shared" si="20"/>
        <v/>
      </c>
      <c r="AS45" s="67" t="str">
        <f t="shared" si="10"/>
        <v/>
      </c>
      <c r="AT45" s="70" t="str">
        <f t="shared" si="11"/>
        <v/>
      </c>
      <c r="AU45" s="70" t="str">
        <f t="shared" si="21"/>
        <v/>
      </c>
      <c r="AV45" s="23" t="str">
        <f t="shared" si="22"/>
        <v/>
      </c>
      <c r="AW45" s="78" t="str">
        <f t="shared" si="12"/>
        <v/>
      </c>
      <c r="AX45" s="101" t="str">
        <f t="shared" si="23"/>
        <v/>
      </c>
      <c r="AY45" s="89" t="str">
        <f>IF(AS45&lt;&gt;"",AS45*T45*(1-'(1) Inputs'!$E$10),"")</f>
        <v/>
      </c>
      <c r="BA45" s="241" t="str">
        <f t="shared" si="24"/>
        <v/>
      </c>
    </row>
    <row r="46" spans="2:53" s="323" customFormat="1" ht="15" x14ac:dyDescent="0.3">
      <c r="B46" s="529">
        <v>35</v>
      </c>
      <c r="C46" s="398"/>
      <c r="D46" s="378"/>
      <c r="E46" s="378"/>
      <c r="F46" s="394"/>
      <c r="G46" s="395"/>
      <c r="H46" s="395"/>
      <c r="I46" s="395"/>
      <c r="J46" s="399"/>
      <c r="K46" s="400"/>
      <c r="L46" s="372" t="str">
        <f t="shared" si="26"/>
        <v/>
      </c>
      <c r="M46" s="367"/>
      <c r="N46" s="368"/>
      <c r="O46" s="39" t="str">
        <f t="shared" si="2"/>
        <v/>
      </c>
      <c r="P46" s="63" t="str">
        <f t="shared" si="13"/>
        <v/>
      </c>
      <c r="Q46" s="40"/>
      <c r="R46" s="366"/>
      <c r="S46" s="366"/>
      <c r="T46" s="233"/>
      <c r="U46" s="42" t="str">
        <f>IF(O46&lt;&gt;"",SUMPRODUCT($F$12:$F$52,$T$12:$T$52,--($I$12:$I$52=I46))/SUMIF($I$12:$I$52,I46:$I$52,$F$12:$F$52),"")</f>
        <v/>
      </c>
      <c r="V46" s="65" t="str">
        <f>IF(O46&lt;&gt;"",T46*F46*(1-'(1) Inputs'!$E$10),"")</f>
        <v/>
      </c>
      <c r="W46" s="66" t="str">
        <f t="shared" si="4"/>
        <v/>
      </c>
      <c r="X46" s="43" t="str">
        <f t="shared" si="28"/>
        <v/>
      </c>
      <c r="Y46" s="43" t="str">
        <f t="shared" si="28"/>
        <v/>
      </c>
      <c r="Z46" s="43" t="str">
        <f t="shared" si="28"/>
        <v/>
      </c>
      <c r="AA46" s="43" t="str">
        <f t="shared" si="28"/>
        <v/>
      </c>
      <c r="AB46" s="43" t="str">
        <f t="shared" si="28"/>
        <v/>
      </c>
      <c r="AC46" s="43" t="str">
        <f t="shared" si="28"/>
        <v/>
      </c>
      <c r="AD46" s="131" t="str">
        <f t="shared" si="28"/>
        <v/>
      </c>
      <c r="AF46" s="67" t="str">
        <f t="shared" si="6"/>
        <v/>
      </c>
      <c r="AG46" s="44" t="str">
        <f t="shared" si="14"/>
        <v/>
      </c>
      <c r="AH46" s="40" t="str">
        <f t="shared" si="7"/>
        <v/>
      </c>
      <c r="AI46" s="78" t="str">
        <f t="shared" si="8"/>
        <v/>
      </c>
      <c r="AJ46" s="101" t="str">
        <f t="shared" si="15"/>
        <v/>
      </c>
      <c r="AL46" s="127" t="str">
        <f t="shared" si="16"/>
        <v/>
      </c>
      <c r="AM46" s="68" t="str">
        <f t="shared" si="17"/>
        <v/>
      </c>
      <c r="AN46" s="68" t="str">
        <f t="shared" si="18"/>
        <v/>
      </c>
      <c r="AO46" s="116" t="str">
        <f t="shared" si="19"/>
        <v/>
      </c>
      <c r="AP46" s="69" t="str">
        <f t="shared" si="9"/>
        <v/>
      </c>
      <c r="AQ46" s="101" t="str">
        <f t="shared" si="20"/>
        <v/>
      </c>
      <c r="AS46" s="67" t="str">
        <f t="shared" si="10"/>
        <v/>
      </c>
      <c r="AT46" s="70" t="str">
        <f t="shared" si="11"/>
        <v/>
      </c>
      <c r="AU46" s="70" t="str">
        <f t="shared" si="21"/>
        <v/>
      </c>
      <c r="AV46" s="23" t="str">
        <f t="shared" si="22"/>
        <v/>
      </c>
      <c r="AW46" s="78" t="str">
        <f t="shared" si="12"/>
        <v/>
      </c>
      <c r="AX46" s="101" t="str">
        <f t="shared" si="23"/>
        <v/>
      </c>
      <c r="AY46" s="89" t="str">
        <f>IF(AS46&lt;&gt;"",AS46*T46*(1-'(1) Inputs'!$E$10),"")</f>
        <v/>
      </c>
      <c r="BA46" s="241" t="str">
        <f t="shared" si="24"/>
        <v/>
      </c>
    </row>
    <row r="47" spans="2:53" s="323" customFormat="1" ht="15" x14ac:dyDescent="0.3">
      <c r="B47" s="529">
        <v>36</v>
      </c>
      <c r="C47" s="398"/>
      <c r="D47" s="378"/>
      <c r="E47" s="378"/>
      <c r="F47" s="394"/>
      <c r="G47" s="395"/>
      <c r="H47" s="395"/>
      <c r="I47" s="395"/>
      <c r="J47" s="399"/>
      <c r="K47" s="400"/>
      <c r="L47" s="372" t="str">
        <f t="shared" si="26"/>
        <v/>
      </c>
      <c r="M47" s="367"/>
      <c r="N47" s="368"/>
      <c r="O47" s="39" t="str">
        <f t="shared" si="2"/>
        <v/>
      </c>
      <c r="P47" s="63" t="str">
        <f t="shared" si="13"/>
        <v/>
      </c>
      <c r="Q47" s="40"/>
      <c r="R47" s="366"/>
      <c r="S47" s="366"/>
      <c r="T47" s="233"/>
      <c r="U47" s="42" t="str">
        <f>IF(O47&lt;&gt;"",SUMPRODUCT($F$12:$F$52,$T$12:$T$52,--($I$12:$I$52=I47))/SUMIF($I$12:$I$52,I47:$I$52,$F$12:$F$52),"")</f>
        <v/>
      </c>
      <c r="V47" s="65" t="str">
        <f>IF(O47&lt;&gt;"",T47*F47*(1-'(1) Inputs'!$E$10),"")</f>
        <v/>
      </c>
      <c r="W47" s="66" t="str">
        <f t="shared" si="4"/>
        <v/>
      </c>
      <c r="X47" s="43" t="str">
        <f t="shared" si="28"/>
        <v/>
      </c>
      <c r="Y47" s="43" t="str">
        <f t="shared" si="28"/>
        <v/>
      </c>
      <c r="Z47" s="43" t="str">
        <f t="shared" si="28"/>
        <v/>
      </c>
      <c r="AA47" s="43" t="str">
        <f t="shared" si="28"/>
        <v/>
      </c>
      <c r="AB47" s="43" t="str">
        <f t="shared" si="28"/>
        <v/>
      </c>
      <c r="AC47" s="43" t="str">
        <f t="shared" si="28"/>
        <v/>
      </c>
      <c r="AD47" s="131" t="str">
        <f t="shared" si="28"/>
        <v/>
      </c>
      <c r="AF47" s="67" t="str">
        <f t="shared" si="6"/>
        <v/>
      </c>
      <c r="AG47" s="44" t="str">
        <f t="shared" si="14"/>
        <v/>
      </c>
      <c r="AH47" s="40" t="str">
        <f t="shared" si="7"/>
        <v/>
      </c>
      <c r="AI47" s="78" t="str">
        <f t="shared" si="8"/>
        <v/>
      </c>
      <c r="AJ47" s="101" t="str">
        <f t="shared" si="15"/>
        <v/>
      </c>
      <c r="AL47" s="127" t="str">
        <f t="shared" si="16"/>
        <v/>
      </c>
      <c r="AM47" s="68" t="str">
        <f t="shared" si="17"/>
        <v/>
      </c>
      <c r="AN47" s="68" t="str">
        <f t="shared" si="18"/>
        <v/>
      </c>
      <c r="AO47" s="116" t="str">
        <f t="shared" si="19"/>
        <v/>
      </c>
      <c r="AP47" s="69" t="str">
        <f t="shared" si="9"/>
        <v/>
      </c>
      <c r="AQ47" s="101" t="str">
        <f t="shared" si="20"/>
        <v/>
      </c>
      <c r="AS47" s="67" t="str">
        <f t="shared" si="10"/>
        <v/>
      </c>
      <c r="AT47" s="70" t="str">
        <f t="shared" si="11"/>
        <v/>
      </c>
      <c r="AU47" s="70" t="str">
        <f t="shared" si="21"/>
        <v/>
      </c>
      <c r="AV47" s="23" t="str">
        <f t="shared" si="22"/>
        <v/>
      </c>
      <c r="AW47" s="78" t="str">
        <f t="shared" si="12"/>
        <v/>
      </c>
      <c r="AX47" s="101" t="str">
        <f t="shared" si="23"/>
        <v/>
      </c>
      <c r="AY47" s="89" t="str">
        <f>IF(AS47&lt;&gt;"",AS47*T47*(1-'(1) Inputs'!$E$10),"")</f>
        <v/>
      </c>
      <c r="BA47" s="241" t="str">
        <f t="shared" si="24"/>
        <v/>
      </c>
    </row>
    <row r="48" spans="2:53" s="323" customFormat="1" ht="15" x14ac:dyDescent="0.3">
      <c r="B48" s="529">
        <v>37</v>
      </c>
      <c r="C48" s="398"/>
      <c r="D48" s="378"/>
      <c r="E48" s="378"/>
      <c r="F48" s="394"/>
      <c r="G48" s="395"/>
      <c r="H48" s="395"/>
      <c r="I48" s="395"/>
      <c r="J48" s="399"/>
      <c r="K48" s="400"/>
      <c r="L48" s="372" t="str">
        <f t="shared" si="26"/>
        <v/>
      </c>
      <c r="M48" s="367"/>
      <c r="N48" s="368"/>
      <c r="O48" s="39" t="str">
        <f t="shared" si="2"/>
        <v/>
      </c>
      <c r="P48" s="63" t="str">
        <f t="shared" si="13"/>
        <v/>
      </c>
      <c r="Q48" s="40"/>
      <c r="R48" s="366"/>
      <c r="S48" s="366"/>
      <c r="T48" s="233"/>
      <c r="U48" s="42" t="str">
        <f>IF(O48&lt;&gt;"",SUMPRODUCT($F$12:$F$52,$T$12:$T$52,--($I$12:$I$52=I48))/SUMIF($I$12:$I$52,I48:$I$52,$F$12:$F$52),"")</f>
        <v/>
      </c>
      <c r="V48" s="65" t="str">
        <f>IF(O48&lt;&gt;"",T48*F48*(1-'(1) Inputs'!$E$10),"")</f>
        <v/>
      </c>
      <c r="W48" s="66" t="str">
        <f t="shared" si="4"/>
        <v/>
      </c>
      <c r="X48" s="43" t="str">
        <f t="shared" si="28"/>
        <v/>
      </c>
      <c r="Y48" s="43" t="str">
        <f t="shared" si="28"/>
        <v/>
      </c>
      <c r="Z48" s="43" t="str">
        <f t="shared" si="28"/>
        <v/>
      </c>
      <c r="AA48" s="43" t="str">
        <f t="shared" si="28"/>
        <v/>
      </c>
      <c r="AB48" s="43" t="str">
        <f t="shared" si="28"/>
        <v/>
      </c>
      <c r="AC48" s="43" t="str">
        <f t="shared" si="28"/>
        <v/>
      </c>
      <c r="AD48" s="131" t="str">
        <f t="shared" si="28"/>
        <v/>
      </c>
      <c r="AF48" s="67" t="str">
        <f t="shared" si="6"/>
        <v/>
      </c>
      <c r="AG48" s="44" t="str">
        <f t="shared" si="14"/>
        <v/>
      </c>
      <c r="AH48" s="40" t="str">
        <f t="shared" si="7"/>
        <v/>
      </c>
      <c r="AI48" s="78" t="str">
        <f t="shared" si="8"/>
        <v/>
      </c>
      <c r="AJ48" s="101" t="str">
        <f t="shared" si="15"/>
        <v/>
      </c>
      <c r="AL48" s="127" t="str">
        <f t="shared" si="16"/>
        <v/>
      </c>
      <c r="AM48" s="68" t="str">
        <f t="shared" si="17"/>
        <v/>
      </c>
      <c r="AN48" s="68" t="str">
        <f t="shared" si="18"/>
        <v/>
      </c>
      <c r="AO48" s="116" t="str">
        <f t="shared" si="19"/>
        <v/>
      </c>
      <c r="AP48" s="69" t="str">
        <f t="shared" si="9"/>
        <v/>
      </c>
      <c r="AQ48" s="101" t="str">
        <f t="shared" si="20"/>
        <v/>
      </c>
      <c r="AS48" s="67" t="str">
        <f t="shared" si="10"/>
        <v/>
      </c>
      <c r="AT48" s="70" t="str">
        <f t="shared" si="11"/>
        <v/>
      </c>
      <c r="AU48" s="70" t="str">
        <f t="shared" si="21"/>
        <v/>
      </c>
      <c r="AV48" s="23" t="str">
        <f t="shared" si="22"/>
        <v/>
      </c>
      <c r="AW48" s="78" t="str">
        <f t="shared" si="12"/>
        <v/>
      </c>
      <c r="AX48" s="101" t="str">
        <f t="shared" si="23"/>
        <v/>
      </c>
      <c r="AY48" s="89" t="str">
        <f>IF(AS48&lt;&gt;"",AS48*T48*(1-'(1) Inputs'!$E$10),"")</f>
        <v/>
      </c>
      <c r="BA48" s="241" t="str">
        <f t="shared" si="24"/>
        <v/>
      </c>
    </row>
    <row r="49" spans="2:54" s="244" customFormat="1" ht="15" x14ac:dyDescent="0.3">
      <c r="B49" s="529">
        <v>38</v>
      </c>
      <c r="C49" s="392"/>
      <c r="D49" s="378"/>
      <c r="E49" s="378"/>
      <c r="F49" s="394"/>
      <c r="G49" s="395"/>
      <c r="H49" s="395"/>
      <c r="I49" s="395"/>
      <c r="J49" s="396"/>
      <c r="K49" s="397"/>
      <c r="L49" s="372" t="str">
        <f t="shared" si="26"/>
        <v/>
      </c>
      <c r="M49" s="164"/>
      <c r="N49" s="239"/>
      <c r="O49" s="39" t="str">
        <f t="shared" si="2"/>
        <v/>
      </c>
      <c r="P49" s="63" t="str">
        <f t="shared" si="13"/>
        <v/>
      </c>
      <c r="Q49" s="40"/>
      <c r="R49" s="79"/>
      <c r="S49" s="79"/>
      <c r="T49" s="232"/>
      <c r="U49" s="42" t="str">
        <f>IF(O49&lt;&gt;"",SUMPRODUCT($F$12:$F$52,$T$12:$T$52,--($I$12:$I$52=I49))/SUMIF($I$12:$I$52,I49:$I$52,$F$12:$F$52),"")</f>
        <v/>
      </c>
      <c r="V49" s="65" t="str">
        <f>IF(O49&lt;&gt;"",T49*F49*(1-'(1) Inputs'!$E$10),"")</f>
        <v/>
      </c>
      <c r="W49" s="66" t="str">
        <f t="shared" si="4"/>
        <v/>
      </c>
      <c r="X49" s="43" t="str">
        <f t="shared" si="28"/>
        <v/>
      </c>
      <c r="Y49" s="43" t="str">
        <f t="shared" si="28"/>
        <v/>
      </c>
      <c r="Z49" s="43" t="str">
        <f t="shared" si="28"/>
        <v/>
      </c>
      <c r="AA49" s="43" t="str">
        <f t="shared" si="28"/>
        <v/>
      </c>
      <c r="AB49" s="43" t="str">
        <f t="shared" si="28"/>
        <v/>
      </c>
      <c r="AC49" s="43" t="str">
        <f t="shared" si="28"/>
        <v/>
      </c>
      <c r="AD49" s="131" t="str">
        <f t="shared" si="28"/>
        <v/>
      </c>
      <c r="AF49" s="67" t="str">
        <f t="shared" si="6"/>
        <v/>
      </c>
      <c r="AG49" s="44" t="str">
        <f t="shared" si="14"/>
        <v/>
      </c>
      <c r="AH49" s="40" t="str">
        <f t="shared" si="7"/>
        <v/>
      </c>
      <c r="AI49" s="78" t="str">
        <f t="shared" si="8"/>
        <v/>
      </c>
      <c r="AJ49" s="101" t="str">
        <f t="shared" si="15"/>
        <v/>
      </c>
      <c r="AL49" s="127" t="str">
        <f t="shared" si="16"/>
        <v/>
      </c>
      <c r="AM49" s="68" t="str">
        <f t="shared" si="17"/>
        <v/>
      </c>
      <c r="AN49" s="68" t="str">
        <f t="shared" si="18"/>
        <v/>
      </c>
      <c r="AO49" s="116" t="str">
        <f t="shared" si="19"/>
        <v/>
      </c>
      <c r="AP49" s="69" t="str">
        <f t="shared" si="9"/>
        <v/>
      </c>
      <c r="AQ49" s="101" t="str">
        <f t="shared" si="20"/>
        <v/>
      </c>
      <c r="AS49" s="67" t="str">
        <f t="shared" si="10"/>
        <v/>
      </c>
      <c r="AT49" s="70" t="str">
        <f t="shared" si="11"/>
        <v/>
      </c>
      <c r="AU49" s="70" t="str">
        <f t="shared" si="21"/>
        <v/>
      </c>
      <c r="AV49" s="23" t="str">
        <f t="shared" si="22"/>
        <v/>
      </c>
      <c r="AW49" s="78" t="str">
        <f t="shared" si="12"/>
        <v/>
      </c>
      <c r="AX49" s="101" t="str">
        <f t="shared" si="23"/>
        <v/>
      </c>
      <c r="AY49" s="89" t="str">
        <f>IF(AS49&lt;&gt;"",AS49*T49*(1-'(1) Inputs'!$E$10),"")</f>
        <v/>
      </c>
      <c r="BA49" s="241" t="str">
        <f t="shared" si="24"/>
        <v/>
      </c>
    </row>
    <row r="50" spans="2:54" s="244" customFormat="1" ht="15" x14ac:dyDescent="0.3">
      <c r="B50" s="529">
        <v>39</v>
      </c>
      <c r="C50" s="392"/>
      <c r="D50" s="378"/>
      <c r="E50" s="378"/>
      <c r="F50" s="394"/>
      <c r="G50" s="395"/>
      <c r="H50" s="395"/>
      <c r="I50" s="395"/>
      <c r="J50" s="396"/>
      <c r="K50" s="397"/>
      <c r="L50" s="372" t="str">
        <f t="shared" si="26"/>
        <v/>
      </c>
      <c r="M50" s="164"/>
      <c r="N50" s="239"/>
      <c r="O50" s="39" t="str">
        <f t="shared" si="2"/>
        <v/>
      </c>
      <c r="P50" s="63" t="str">
        <f t="shared" si="13"/>
        <v/>
      </c>
      <c r="Q50" s="40"/>
      <c r="R50" s="79"/>
      <c r="S50" s="79"/>
      <c r="T50" s="232"/>
      <c r="U50" s="42" t="str">
        <f>IF(O50&lt;&gt;"",SUMPRODUCT($F$12:$F$52,$T$12:$T$52,--($I$12:$I$52=I50))/SUMIF($I$12:$I$52,I50:$I$52,$F$12:$F$52),"")</f>
        <v/>
      </c>
      <c r="V50" s="65" t="str">
        <f>IF(O50&lt;&gt;"",T50*F50*(1-'(1) Inputs'!$E$10),"")</f>
        <v/>
      </c>
      <c r="W50" s="66" t="str">
        <f t="shared" si="4"/>
        <v/>
      </c>
      <c r="X50" s="43" t="str">
        <f t="shared" si="28"/>
        <v/>
      </c>
      <c r="Y50" s="43" t="str">
        <f t="shared" si="28"/>
        <v/>
      </c>
      <c r="Z50" s="43" t="str">
        <f t="shared" si="28"/>
        <v/>
      </c>
      <c r="AA50" s="43" t="str">
        <f t="shared" si="28"/>
        <v/>
      </c>
      <c r="AB50" s="43" t="str">
        <f t="shared" si="28"/>
        <v/>
      </c>
      <c r="AC50" s="43" t="str">
        <f t="shared" si="28"/>
        <v/>
      </c>
      <c r="AD50" s="131" t="str">
        <f t="shared" si="28"/>
        <v/>
      </c>
      <c r="AF50" s="67" t="str">
        <f t="shared" si="6"/>
        <v/>
      </c>
      <c r="AG50" s="44" t="str">
        <f t="shared" si="14"/>
        <v/>
      </c>
      <c r="AH50" s="40" t="str">
        <f t="shared" si="7"/>
        <v/>
      </c>
      <c r="AI50" s="78" t="str">
        <f t="shared" si="8"/>
        <v/>
      </c>
      <c r="AJ50" s="101" t="str">
        <f t="shared" si="15"/>
        <v/>
      </c>
      <c r="AL50" s="127" t="str">
        <f t="shared" si="16"/>
        <v/>
      </c>
      <c r="AM50" s="68" t="str">
        <f t="shared" si="17"/>
        <v/>
      </c>
      <c r="AN50" s="68" t="str">
        <f t="shared" si="18"/>
        <v/>
      </c>
      <c r="AO50" s="116" t="str">
        <f t="shared" si="19"/>
        <v/>
      </c>
      <c r="AP50" s="69" t="str">
        <f t="shared" si="9"/>
        <v/>
      </c>
      <c r="AQ50" s="101" t="str">
        <f t="shared" si="20"/>
        <v/>
      </c>
      <c r="AS50" s="67" t="str">
        <f t="shared" si="10"/>
        <v/>
      </c>
      <c r="AT50" s="70" t="str">
        <f t="shared" si="11"/>
        <v/>
      </c>
      <c r="AU50" s="70" t="str">
        <f t="shared" si="21"/>
        <v/>
      </c>
      <c r="AV50" s="23" t="str">
        <f t="shared" si="22"/>
        <v/>
      </c>
      <c r="AW50" s="78" t="str">
        <f t="shared" si="12"/>
        <v/>
      </c>
      <c r="AX50" s="101" t="str">
        <f t="shared" si="23"/>
        <v/>
      </c>
      <c r="AY50" s="89" t="str">
        <f>IF(AS50&lt;&gt;"",AS50*T50*(1-'(1) Inputs'!$E$10),"")</f>
        <v/>
      </c>
      <c r="BA50" s="241" t="str">
        <f t="shared" si="24"/>
        <v/>
      </c>
    </row>
    <row r="51" spans="2:54" s="244" customFormat="1" ht="15" x14ac:dyDescent="0.3">
      <c r="B51" s="529">
        <v>40</v>
      </c>
      <c r="C51" s="392"/>
      <c r="D51" s="378"/>
      <c r="E51" s="378"/>
      <c r="F51" s="394"/>
      <c r="G51" s="395"/>
      <c r="H51" s="395"/>
      <c r="I51" s="395"/>
      <c r="J51" s="396"/>
      <c r="K51" s="397"/>
      <c r="L51" s="372" t="str">
        <f t="shared" si="26"/>
        <v/>
      </c>
      <c r="M51" s="164"/>
      <c r="N51" s="239"/>
      <c r="O51" s="39" t="str">
        <f t="shared" si="2"/>
        <v/>
      </c>
      <c r="P51" s="63" t="str">
        <f t="shared" si="13"/>
        <v/>
      </c>
      <c r="Q51" s="40"/>
      <c r="R51" s="79"/>
      <c r="S51" s="79"/>
      <c r="T51" s="232"/>
      <c r="U51" s="42" t="str">
        <f>IF(O51&lt;&gt;"",SUMPRODUCT($F$12:$F$52,$T$12:$T$52,--($I$12:$I$52=I51))/SUMIF($I$12:$I$52,I51:$I$52,$F$12:$F$52),"")</f>
        <v/>
      </c>
      <c r="V51" s="65" t="str">
        <f>IF(O51&lt;&gt;"",T51*F51*(1-'(1) Inputs'!$E$10),"")</f>
        <v/>
      </c>
      <c r="W51" s="66" t="str">
        <f t="shared" si="4"/>
        <v/>
      </c>
      <c r="X51" s="43" t="str">
        <f t="shared" si="28"/>
        <v/>
      </c>
      <c r="Y51" s="43" t="str">
        <f t="shared" si="28"/>
        <v/>
      </c>
      <c r="Z51" s="43" t="str">
        <f t="shared" si="28"/>
        <v/>
      </c>
      <c r="AA51" s="43" t="str">
        <f t="shared" si="28"/>
        <v/>
      </c>
      <c r="AB51" s="43" t="str">
        <f t="shared" si="28"/>
        <v/>
      </c>
      <c r="AC51" s="43" t="str">
        <f t="shared" si="28"/>
        <v/>
      </c>
      <c r="AD51" s="131" t="str">
        <f t="shared" si="28"/>
        <v/>
      </c>
      <c r="AF51" s="67" t="str">
        <f t="shared" si="6"/>
        <v/>
      </c>
      <c r="AG51" s="44" t="str">
        <f t="shared" si="14"/>
        <v/>
      </c>
      <c r="AH51" s="40" t="str">
        <f t="shared" si="7"/>
        <v/>
      </c>
      <c r="AI51" s="78" t="str">
        <f t="shared" si="8"/>
        <v/>
      </c>
      <c r="AJ51" s="101" t="str">
        <f t="shared" si="15"/>
        <v/>
      </c>
      <c r="AL51" s="127" t="str">
        <f t="shared" si="16"/>
        <v/>
      </c>
      <c r="AM51" s="68" t="str">
        <f t="shared" si="17"/>
        <v/>
      </c>
      <c r="AN51" s="68" t="str">
        <f t="shared" si="18"/>
        <v/>
      </c>
      <c r="AO51" s="116" t="str">
        <f t="shared" si="19"/>
        <v/>
      </c>
      <c r="AP51" s="69" t="str">
        <f t="shared" si="9"/>
        <v/>
      </c>
      <c r="AQ51" s="101" t="str">
        <f t="shared" si="20"/>
        <v/>
      </c>
      <c r="AS51" s="67" t="str">
        <f t="shared" si="10"/>
        <v/>
      </c>
      <c r="AT51" s="70" t="str">
        <f t="shared" si="11"/>
        <v/>
      </c>
      <c r="AU51" s="70" t="str">
        <f t="shared" si="21"/>
        <v/>
      </c>
      <c r="AV51" s="23" t="str">
        <f t="shared" si="22"/>
        <v/>
      </c>
      <c r="AW51" s="78" t="str">
        <f t="shared" si="12"/>
        <v/>
      </c>
      <c r="AX51" s="101" t="str">
        <f t="shared" si="23"/>
        <v/>
      </c>
      <c r="AY51" s="89" t="str">
        <f>IF(AS51&lt;&gt;"",AS51*T51*(1-'(1) Inputs'!$E$10),"")</f>
        <v/>
      </c>
      <c r="BA51" s="241" t="str">
        <f t="shared" si="24"/>
        <v/>
      </c>
    </row>
    <row r="52" spans="2:54" s="244" customFormat="1" ht="15.75" thickBot="1" x14ac:dyDescent="0.35">
      <c r="B52" s="530">
        <v>41</v>
      </c>
      <c r="C52" s="401"/>
      <c r="D52" s="402"/>
      <c r="E52" s="402"/>
      <c r="F52" s="403"/>
      <c r="G52" s="404"/>
      <c r="H52" s="404"/>
      <c r="I52" s="404"/>
      <c r="J52" s="405"/>
      <c r="K52" s="406"/>
      <c r="L52" s="373" t="str">
        <f t="shared" si="26"/>
        <v/>
      </c>
      <c r="M52" s="369"/>
      <c r="N52" s="370"/>
      <c r="O52" s="39" t="str">
        <f t="shared" si="2"/>
        <v/>
      </c>
      <c r="P52" s="63" t="str">
        <f t="shared" si="13"/>
        <v/>
      </c>
      <c r="Q52" s="40"/>
      <c r="R52" s="79"/>
      <c r="S52" s="79"/>
      <c r="T52" s="232"/>
      <c r="U52" s="234" t="str">
        <f>IF(O52&lt;&gt;"",SUMPRODUCT($F$12:$F$52,$T$12:$T$52,--($I$12:$I$52=I52))/SUMIF($I$12:$I$52,I52:$I$52,$F$12:$F$52),"")</f>
        <v/>
      </c>
      <c r="V52" s="65" t="str">
        <f>IF(O52&lt;&gt;"",T52*F52*(1-'(1) Inputs'!$E$10),"")</f>
        <v/>
      </c>
      <c r="W52" s="66" t="str">
        <f t="shared" si="4"/>
        <v/>
      </c>
      <c r="X52" s="93" t="str">
        <f t="shared" si="28"/>
        <v/>
      </c>
      <c r="Y52" s="93" t="str">
        <f t="shared" si="28"/>
        <v/>
      </c>
      <c r="Z52" s="93" t="str">
        <f t="shared" si="28"/>
        <v/>
      </c>
      <c r="AA52" s="93" t="str">
        <f t="shared" si="28"/>
        <v/>
      </c>
      <c r="AB52" s="93" t="str">
        <f t="shared" si="28"/>
        <v/>
      </c>
      <c r="AC52" s="93" t="str">
        <f t="shared" si="28"/>
        <v/>
      </c>
      <c r="AD52" s="179" t="str">
        <f t="shared" si="28"/>
        <v/>
      </c>
      <c r="AF52" s="67" t="str">
        <f t="shared" si="6"/>
        <v/>
      </c>
      <c r="AG52" s="44" t="str">
        <f t="shared" si="14"/>
        <v/>
      </c>
      <c r="AH52" s="40" t="str">
        <f t="shared" si="7"/>
        <v/>
      </c>
      <c r="AI52" s="78" t="str">
        <f t="shared" si="8"/>
        <v/>
      </c>
      <c r="AJ52" s="101" t="str">
        <f t="shared" si="15"/>
        <v/>
      </c>
      <c r="AL52" s="127" t="str">
        <f t="shared" si="16"/>
        <v/>
      </c>
      <c r="AM52" s="68" t="str">
        <f t="shared" si="17"/>
        <v/>
      </c>
      <c r="AN52" s="68" t="str">
        <f t="shared" si="18"/>
        <v/>
      </c>
      <c r="AO52" s="116" t="str">
        <f t="shared" si="19"/>
        <v/>
      </c>
      <c r="AP52" s="69" t="str">
        <f t="shared" si="9"/>
        <v/>
      </c>
      <c r="AQ52" s="101" t="str">
        <f t="shared" si="20"/>
        <v/>
      </c>
      <c r="AS52" s="67" t="str">
        <f t="shared" si="10"/>
        <v/>
      </c>
      <c r="AT52" s="70" t="str">
        <f t="shared" si="11"/>
        <v/>
      </c>
      <c r="AU52" s="70" t="str">
        <f t="shared" si="21"/>
        <v/>
      </c>
      <c r="AV52" s="23" t="str">
        <f t="shared" si="22"/>
        <v/>
      </c>
      <c r="AW52" s="78" t="str">
        <f t="shared" si="12"/>
        <v/>
      </c>
      <c r="AX52" s="101" t="str">
        <f t="shared" si="23"/>
        <v/>
      </c>
      <c r="AY52" s="89" t="str">
        <f>IF(AS52&lt;&gt;"",AS52*T52*(1-'(1) Inputs'!$E$10),"")</f>
        <v/>
      </c>
      <c r="BA52" s="242" t="str">
        <f t="shared" si="24"/>
        <v/>
      </c>
    </row>
    <row r="53" spans="2:54" s="244" customFormat="1" ht="15" x14ac:dyDescent="0.3">
      <c r="B53" s="531"/>
      <c r="C53" s="319"/>
      <c r="D53" s="374" t="s">
        <v>72</v>
      </c>
      <c r="E53" s="411" t="s">
        <v>31</v>
      </c>
      <c r="F53" s="408">
        <f>SUMIF($E$12:$E$52,$E53,F$12:F$52)</f>
        <v>130000</v>
      </c>
      <c r="G53" s="321"/>
      <c r="H53" s="321"/>
      <c r="I53" s="321"/>
      <c r="J53" s="324"/>
      <c r="K53" s="325"/>
      <c r="L53" s="325"/>
      <c r="M53" s="326"/>
      <c r="N53" s="322"/>
      <c r="O53" s="310"/>
      <c r="P53" s="309"/>
      <c r="Q53" s="310"/>
      <c r="R53" s="247"/>
      <c r="S53" s="247"/>
      <c r="T53" s="327"/>
      <c r="U53" s="172" t="s">
        <v>72</v>
      </c>
      <c r="V53" s="185">
        <f t="shared" ref="V53:AD55" si="29">SUMIF($E$12:$E$52,$E53,V$12:V$52)</f>
        <v>14951.638989017618</v>
      </c>
      <c r="W53" s="185">
        <f t="shared" si="29"/>
        <v>15738.567356860653</v>
      </c>
      <c r="X53" s="185">
        <f t="shared" si="29"/>
        <v>2207.5918654188763</v>
      </c>
      <c r="Y53" s="185">
        <f t="shared" si="29"/>
        <v>3817.4397418768385</v>
      </c>
      <c r="Z53" s="185">
        <f t="shared" si="29"/>
        <v>3817.4397418768385</v>
      </c>
      <c r="AA53" s="185">
        <f t="shared" si="29"/>
        <v>3817.4397418768385</v>
      </c>
      <c r="AB53" s="185">
        <f t="shared" si="29"/>
        <v>1291.7278979682262</v>
      </c>
      <c r="AC53" s="185">
        <f t="shared" si="29"/>
        <v>0</v>
      </c>
      <c r="AD53" s="186">
        <f t="shared" si="29"/>
        <v>0</v>
      </c>
      <c r="AF53" s="189">
        <f t="shared" ref="AF53:AG55" si="30">SUMIF($E$12:$E$52,$E53,AF$12:AF$52)</f>
        <v>130000</v>
      </c>
      <c r="AG53" s="190">
        <f t="shared" si="30"/>
        <v>5.3719008264462811E-2</v>
      </c>
      <c r="AH53" s="170"/>
      <c r="AI53" s="190">
        <f t="shared" ref="AI53:AJ55" si="31">SUMIF($E$12:$E$52,$E53,AI$12:AI$52)</f>
        <v>2.0123400883052192</v>
      </c>
      <c r="AJ53" s="186">
        <f t="shared" si="31"/>
        <v>14299.999999999996</v>
      </c>
      <c r="AL53" s="196"/>
      <c r="AM53" s="197"/>
      <c r="AN53" s="185">
        <f t="shared" ref="AN53:AQ55" si="32">SUMIF($E$12:$E$52,$E53,AN$12:AN$52)</f>
        <v>0</v>
      </c>
      <c r="AO53" s="190">
        <f t="shared" si="32"/>
        <v>0</v>
      </c>
      <c r="AP53" s="185">
        <f t="shared" si="32"/>
        <v>0</v>
      </c>
      <c r="AQ53" s="186">
        <f t="shared" si="32"/>
        <v>0</v>
      </c>
      <c r="AS53" s="189">
        <f t="shared" ref="AS53:AY55" si="33">SUMIF($E$12:$E$52,$E53,AS$12:AS$52)</f>
        <v>130000</v>
      </c>
      <c r="AT53" s="185">
        <f t="shared" si="33"/>
        <v>130000</v>
      </c>
      <c r="AU53" s="185">
        <f t="shared" si="33"/>
        <v>130000</v>
      </c>
      <c r="AV53" s="190">
        <f t="shared" si="33"/>
        <v>5.3719008264462811E-2</v>
      </c>
      <c r="AW53" s="190">
        <f t="shared" si="33"/>
        <v>2.0123400883052192</v>
      </c>
      <c r="AX53" s="185">
        <f t="shared" si="33"/>
        <v>14299.999999999996</v>
      </c>
      <c r="AY53" s="200">
        <f t="shared" si="33"/>
        <v>14951.638989017618</v>
      </c>
      <c r="BA53" s="203">
        <f>SUMIF($E$12:$E$52,$E53,BA$12:BA$52)</f>
        <v>0.70870366984881161</v>
      </c>
    </row>
    <row r="54" spans="2:54" s="244" customFormat="1" ht="15" x14ac:dyDescent="0.3">
      <c r="B54" s="531"/>
      <c r="C54" s="319"/>
      <c r="D54" s="375" t="s">
        <v>86</v>
      </c>
      <c r="E54" s="411" t="s">
        <v>85</v>
      </c>
      <c r="F54" s="409">
        <f>SUMIF($E$12:$E$52,$E54,F$12:F$52)</f>
        <v>225000</v>
      </c>
      <c r="G54" s="321"/>
      <c r="H54" s="321"/>
      <c r="I54" s="321"/>
      <c r="J54" s="324"/>
      <c r="K54" s="325"/>
      <c r="L54" s="325"/>
      <c r="M54" s="326"/>
      <c r="N54" s="322"/>
      <c r="O54" s="310"/>
      <c r="P54" s="309"/>
      <c r="Q54" s="310"/>
      <c r="R54" s="247"/>
      <c r="S54" s="247"/>
      <c r="T54" s="327"/>
      <c r="U54" s="81" t="s">
        <v>86</v>
      </c>
      <c r="V54" s="167">
        <f t="shared" si="29"/>
        <v>23105.949919853541</v>
      </c>
      <c r="W54" s="167">
        <f t="shared" si="29"/>
        <v>24322.052547214254</v>
      </c>
      <c r="X54" s="167">
        <f t="shared" si="29"/>
        <v>3850.9916533089236</v>
      </c>
      <c r="Y54" s="167">
        <f t="shared" si="29"/>
        <v>5776.4874799633853</v>
      </c>
      <c r="Z54" s="167">
        <f t="shared" si="29"/>
        <v>5776.4874799633853</v>
      </c>
      <c r="AA54" s="167">
        <f t="shared" si="29"/>
        <v>5776.4874799633853</v>
      </c>
      <c r="AB54" s="167">
        <f t="shared" si="29"/>
        <v>1925.4958266544618</v>
      </c>
      <c r="AC54" s="167">
        <f t="shared" si="29"/>
        <v>0</v>
      </c>
      <c r="AD54" s="187">
        <f t="shared" si="29"/>
        <v>0</v>
      </c>
      <c r="AF54" s="191">
        <f t="shared" si="30"/>
        <v>225000</v>
      </c>
      <c r="AG54" s="188">
        <f t="shared" si="30"/>
        <v>0.10413223140495868</v>
      </c>
      <c r="AH54" s="40"/>
      <c r="AI54" s="188">
        <f t="shared" si="31"/>
        <v>3.472942375183969</v>
      </c>
      <c r="AJ54" s="187">
        <f t="shared" si="31"/>
        <v>17999.999999999993</v>
      </c>
      <c r="AL54" s="127"/>
      <c r="AM54" s="68"/>
      <c r="AN54" s="167">
        <f t="shared" si="32"/>
        <v>0</v>
      </c>
      <c r="AO54" s="188">
        <f t="shared" si="32"/>
        <v>0</v>
      </c>
      <c r="AP54" s="167">
        <f t="shared" si="32"/>
        <v>0</v>
      </c>
      <c r="AQ54" s="187">
        <f t="shared" si="32"/>
        <v>0</v>
      </c>
      <c r="AS54" s="191">
        <f t="shared" si="33"/>
        <v>225000</v>
      </c>
      <c r="AT54" s="167">
        <f t="shared" si="33"/>
        <v>225000</v>
      </c>
      <c r="AU54" s="167">
        <f t="shared" si="33"/>
        <v>225000</v>
      </c>
      <c r="AV54" s="188">
        <f t="shared" si="33"/>
        <v>0.10413223140495868</v>
      </c>
      <c r="AW54" s="188">
        <f t="shared" si="33"/>
        <v>3.472942375183969</v>
      </c>
      <c r="AX54" s="167">
        <f t="shared" si="33"/>
        <v>17999.999999999993</v>
      </c>
      <c r="AY54" s="201">
        <f t="shared" si="33"/>
        <v>23105.949919853541</v>
      </c>
      <c r="BA54" s="204"/>
    </row>
    <row r="55" spans="2:54" ht="15" x14ac:dyDescent="0.3">
      <c r="D55" s="375" t="s">
        <v>73</v>
      </c>
      <c r="E55" s="411" t="s">
        <v>32</v>
      </c>
      <c r="F55" s="409">
        <f>SUMIF($E$12:$E$52,$E55,F$12:F$52)</f>
        <v>250000</v>
      </c>
      <c r="O55" s="310"/>
      <c r="P55" s="309"/>
      <c r="Q55" s="310"/>
      <c r="R55" s="247"/>
      <c r="S55" s="247"/>
      <c r="T55" s="327"/>
      <c r="U55" s="81" t="s">
        <v>73</v>
      </c>
      <c r="V55" s="167">
        <f t="shared" si="29"/>
        <v>38886.012851899424</v>
      </c>
      <c r="W55" s="167">
        <f t="shared" si="29"/>
        <v>40932.645107262557</v>
      </c>
      <c r="X55" s="167">
        <f t="shared" si="29"/>
        <v>8433.9837344656553</v>
      </c>
      <c r="Y55" s="167">
        <f t="shared" si="29"/>
        <v>9928.3437068679377</v>
      </c>
      <c r="Z55" s="167">
        <f t="shared" si="29"/>
        <v>9928.3437068679377</v>
      </c>
      <c r="AA55" s="167">
        <f t="shared" si="29"/>
        <v>8611.3757677816702</v>
      </c>
      <c r="AB55" s="167">
        <f t="shared" si="29"/>
        <v>996.23998160152246</v>
      </c>
      <c r="AC55" s="167">
        <f t="shared" si="29"/>
        <v>0</v>
      </c>
      <c r="AD55" s="187">
        <f t="shared" si="29"/>
        <v>0</v>
      </c>
      <c r="AE55" s="244"/>
      <c r="AF55" s="191">
        <f t="shared" si="30"/>
        <v>250000</v>
      </c>
      <c r="AG55" s="188">
        <f t="shared" si="30"/>
        <v>6.1983471074380167E-2</v>
      </c>
      <c r="AH55" s="40"/>
      <c r="AI55" s="188">
        <f t="shared" si="31"/>
        <v>3.7078002943507302</v>
      </c>
      <c r="AJ55" s="187">
        <f t="shared" si="31"/>
        <v>52500</v>
      </c>
      <c r="AK55" s="244"/>
      <c r="AL55" s="127"/>
      <c r="AM55" s="68"/>
      <c r="AN55" s="167">
        <f t="shared" si="32"/>
        <v>30068.493150684932</v>
      </c>
      <c r="AO55" s="188">
        <f t="shared" si="32"/>
        <v>0.15</v>
      </c>
      <c r="AP55" s="167">
        <f t="shared" si="32"/>
        <v>8.6753424657534239</v>
      </c>
      <c r="AQ55" s="187">
        <f t="shared" si="32"/>
        <v>6314.3835616438355</v>
      </c>
      <c r="AR55" s="244"/>
      <c r="AS55" s="191">
        <f t="shared" si="33"/>
        <v>219931.50684931508</v>
      </c>
      <c r="AT55" s="167">
        <f t="shared" si="33"/>
        <v>219931.50684931508</v>
      </c>
      <c r="AU55" s="167">
        <f t="shared" si="33"/>
        <v>250000</v>
      </c>
      <c r="AV55" s="188">
        <f t="shared" si="33"/>
        <v>6.1983471074380167E-2</v>
      </c>
      <c r="AW55" s="188">
        <f t="shared" si="33"/>
        <v>3.7078002943507302</v>
      </c>
      <c r="AX55" s="167">
        <f t="shared" si="33"/>
        <v>52500</v>
      </c>
      <c r="AY55" s="201">
        <f t="shared" si="33"/>
        <v>34233.101980809195</v>
      </c>
      <c r="AZ55" s="244"/>
      <c r="BA55" s="204">
        <f>SUMIF($E$12:$E$52,$E55,BA$12:BA$52)</f>
        <v>1.4772473353553774</v>
      </c>
    </row>
    <row r="56" spans="2:54" ht="15.75" thickBot="1" x14ac:dyDescent="0.35">
      <c r="D56" s="376" t="s">
        <v>74</v>
      </c>
      <c r="E56" s="290"/>
      <c r="F56" s="410">
        <f>SUM(F12:F52)</f>
        <v>605000</v>
      </c>
      <c r="Q56" s="310"/>
      <c r="U56" s="175" t="s">
        <v>74</v>
      </c>
      <c r="V56" s="176">
        <f>SUM(V12:V52)</f>
        <v>76943.601760770587</v>
      </c>
      <c r="W56" s="177">
        <f>SUM(W12:W22)</f>
        <v>80993.265011337469</v>
      </c>
      <c r="X56" s="93">
        <f>SUM(X12:X32)</f>
        <v>14492.567253193454</v>
      </c>
      <c r="Y56" s="93">
        <f>SUM(Y12:Y51)</f>
        <v>19522.27092870816</v>
      </c>
      <c r="Z56" s="93">
        <f>SUM(Z12:Z52)</f>
        <v>19522.27092870816</v>
      </c>
      <c r="AA56" s="93">
        <f>SUM(AA12:AA52)</f>
        <v>18205.302989621894</v>
      </c>
      <c r="AB56" s="93">
        <f>SUM(AB12:AB52)</f>
        <v>4213.4637062242109</v>
      </c>
      <c r="AC56" s="93">
        <f>SUM(AC12:AC52)</f>
        <v>0</v>
      </c>
      <c r="AD56" s="179">
        <f>SUM(AD12:AD52)</f>
        <v>0</v>
      </c>
      <c r="AF56" s="192">
        <f>SUM(AF12:AF52)</f>
        <v>605000</v>
      </c>
      <c r="AG56" s="194">
        <f>SUM(AG12:AG52)</f>
        <v>0.21983471074380168</v>
      </c>
      <c r="AH56" s="193"/>
      <c r="AI56" s="194">
        <f>SUM(AI12:AI52)</f>
        <v>9.1930827578399192</v>
      </c>
      <c r="AJ56" s="179">
        <f>SUM(AJ12:AJ52)</f>
        <v>84800</v>
      </c>
      <c r="AL56" s="198"/>
      <c r="AM56" s="199"/>
      <c r="AN56" s="93">
        <f>SUM(AN12:AN52)</f>
        <v>30068.493150684932</v>
      </c>
      <c r="AO56" s="194">
        <f>SUM(AO12:AO52)</f>
        <v>0.15</v>
      </c>
      <c r="AP56" s="93">
        <f>SUM(AP12:AP52)</f>
        <v>8.6753424657534239</v>
      </c>
      <c r="AQ56" s="179">
        <f>SUM(AQ12:AQ52)</f>
        <v>6314.3835616438355</v>
      </c>
      <c r="AS56" s="192">
        <f t="shared" ref="AS56:AY56" si="34">SUM(AS12:AS52)</f>
        <v>574931.50684931502</v>
      </c>
      <c r="AT56" s="93">
        <f t="shared" si="34"/>
        <v>574931.50684931502</v>
      </c>
      <c r="AU56" s="93">
        <f t="shared" si="34"/>
        <v>605000</v>
      </c>
      <c r="AV56" s="194">
        <f t="shared" si="34"/>
        <v>0.21983471074380168</v>
      </c>
      <c r="AW56" s="194">
        <f t="shared" si="34"/>
        <v>9.1930827578399192</v>
      </c>
      <c r="AX56" s="93">
        <f t="shared" si="34"/>
        <v>84800</v>
      </c>
      <c r="AY56" s="202">
        <f t="shared" si="34"/>
        <v>72290.690889680351</v>
      </c>
      <c r="BA56" s="205">
        <f>SUM(BA12:BA52)</f>
        <v>3.2709264123756303</v>
      </c>
    </row>
    <row r="57" spans="2:54" ht="15" x14ac:dyDescent="0.3">
      <c r="C57" s="302"/>
      <c r="D57" s="290"/>
      <c r="E57" s="308"/>
      <c r="F57" s="328"/>
      <c r="Q57" s="310"/>
      <c r="U57" s="306"/>
      <c r="V57" s="307"/>
      <c r="W57" s="307"/>
      <c r="X57" s="307"/>
      <c r="Y57" s="307"/>
      <c r="Z57" s="307"/>
      <c r="AA57" s="307"/>
      <c r="AB57" s="307"/>
      <c r="AC57" s="307"/>
      <c r="AD57" s="307"/>
      <c r="AE57" s="307"/>
      <c r="AF57" s="307"/>
      <c r="AG57" s="307"/>
      <c r="AH57" s="307"/>
      <c r="AJ57" s="315"/>
      <c r="AL57" s="291"/>
      <c r="AM57" s="291"/>
      <c r="AN57" s="307"/>
      <c r="AQ57" s="315"/>
      <c r="AY57" s="329"/>
      <c r="BB57" s="307"/>
    </row>
    <row r="58" spans="2:54" ht="15" x14ac:dyDescent="0.3">
      <c r="D58" s="307"/>
      <c r="E58" s="330"/>
      <c r="F58" s="331"/>
      <c r="G58" s="306"/>
      <c r="H58" s="306"/>
      <c r="I58" s="306"/>
      <c r="J58" s="332"/>
      <c r="Q58" s="310"/>
      <c r="U58" s="306"/>
      <c r="V58" s="307"/>
      <c r="W58" s="307"/>
      <c r="X58" s="307"/>
      <c r="Y58" s="307"/>
      <c r="Z58" s="307"/>
      <c r="AA58" s="307"/>
      <c r="AB58" s="307"/>
      <c r="AC58" s="307"/>
      <c r="AD58" s="307"/>
      <c r="AE58" s="307"/>
      <c r="AF58" s="307"/>
      <c r="AG58" s="307"/>
      <c r="AH58" s="307"/>
      <c r="AQ58" s="333"/>
      <c r="AX58" s="333"/>
      <c r="AY58" s="329"/>
    </row>
    <row r="59" spans="2:54" ht="15" hidden="1" x14ac:dyDescent="0.3">
      <c r="D59" s="330"/>
      <c r="E59" s="334"/>
      <c r="F59" s="317"/>
      <c r="G59" s="306"/>
      <c r="H59" s="306"/>
      <c r="I59" s="306"/>
      <c r="J59" s="332"/>
      <c r="Q59" s="310"/>
      <c r="U59" s="306"/>
      <c r="V59" s="307"/>
      <c r="W59" s="307"/>
      <c r="X59" s="307"/>
      <c r="Y59" s="307"/>
      <c r="Z59" s="307"/>
      <c r="AA59" s="307"/>
      <c r="AB59" s="307"/>
      <c r="AC59" s="307"/>
      <c r="AD59" s="307"/>
      <c r="AE59" s="307"/>
      <c r="AF59" s="335"/>
      <c r="AG59" s="336"/>
      <c r="AH59" s="307"/>
      <c r="AL59" s="337"/>
      <c r="AM59" s="337"/>
      <c r="AN59" s="337"/>
      <c r="AQ59" s="337"/>
      <c r="AU59" s="337"/>
      <c r="AW59" s="289" t="s">
        <v>48</v>
      </c>
      <c r="AX59" s="337"/>
      <c r="AY59" s="329"/>
    </row>
    <row r="60" spans="2:54" hidden="1" x14ac:dyDescent="0.3">
      <c r="D60" s="334"/>
      <c r="E60" s="307"/>
      <c r="F60" s="317"/>
      <c r="G60" s="306"/>
      <c r="H60" s="306"/>
      <c r="I60" s="306"/>
      <c r="J60" s="332"/>
      <c r="Q60" s="310"/>
      <c r="U60" s="306"/>
      <c r="V60" s="307"/>
      <c r="W60" s="307"/>
      <c r="X60" s="307"/>
      <c r="Y60" s="307"/>
      <c r="Z60" s="307"/>
      <c r="AA60" s="307"/>
      <c r="AB60" s="307"/>
      <c r="AC60" s="307"/>
      <c r="AD60" s="307"/>
      <c r="AE60" s="307"/>
      <c r="AF60" s="338"/>
      <c r="AG60" s="336"/>
      <c r="AH60" s="307"/>
      <c r="AL60" s="337"/>
      <c r="AM60" s="337"/>
      <c r="AN60" s="337"/>
      <c r="AO60" s="337"/>
      <c r="AP60" s="337"/>
      <c r="AQ60" s="337"/>
      <c r="AU60" s="337"/>
      <c r="AV60" s="339"/>
      <c r="AW60" s="339"/>
      <c r="AX60" s="337"/>
      <c r="AY60" s="329"/>
    </row>
    <row r="61" spans="2:54" ht="14.25" hidden="1" customHeight="1" x14ac:dyDescent="0.3">
      <c r="D61" s="307"/>
      <c r="E61" s="330"/>
      <c r="F61" s="331"/>
      <c r="G61" s="340"/>
      <c r="H61" s="340"/>
      <c r="I61" s="340"/>
      <c r="J61" s="332"/>
      <c r="O61" s="310"/>
      <c r="P61" s="309"/>
      <c r="Q61" s="310"/>
      <c r="R61" s="311"/>
      <c r="S61" s="312"/>
      <c r="T61" s="313"/>
      <c r="U61" s="313"/>
      <c r="V61" s="341"/>
      <c r="W61" s="341"/>
      <c r="X61" s="316"/>
      <c r="Y61" s="307"/>
      <c r="Z61" s="307"/>
      <c r="AA61" s="307"/>
      <c r="AB61" s="307"/>
      <c r="AC61" s="307"/>
      <c r="AD61" s="307"/>
      <c r="AE61" s="307"/>
      <c r="AF61" s="307"/>
      <c r="AG61" s="307"/>
      <c r="AH61" s="307"/>
      <c r="AY61" s="329"/>
    </row>
    <row r="62" spans="2:54" ht="20.25" hidden="1" customHeight="1" outlineLevel="1" x14ac:dyDescent="0.3">
      <c r="D62" s="330"/>
      <c r="E62" s="342"/>
      <c r="F62" s="317"/>
      <c r="G62" s="306"/>
      <c r="H62" s="306"/>
      <c r="I62" s="306"/>
      <c r="J62" s="332"/>
      <c r="U62" s="306"/>
      <c r="V62" s="330"/>
      <c r="W62" s="307"/>
      <c r="X62" s="307"/>
      <c r="Y62" s="307"/>
      <c r="Z62" s="307"/>
      <c r="AA62" s="307"/>
      <c r="AB62" s="307"/>
      <c r="AC62" s="307"/>
      <c r="AD62" s="307"/>
      <c r="AE62" s="307"/>
      <c r="AF62" s="307"/>
      <c r="AY62" s="329"/>
    </row>
    <row r="63" spans="2:54" ht="22.5" hidden="1" customHeight="1" outlineLevel="1" x14ac:dyDescent="0.3">
      <c r="D63" s="342"/>
      <c r="E63" s="342"/>
      <c r="F63" s="317"/>
      <c r="G63" s="306"/>
      <c r="H63" s="306"/>
      <c r="I63" s="306"/>
      <c r="J63" s="332"/>
      <c r="U63" s="306"/>
      <c r="V63" s="307"/>
      <c r="W63" s="330"/>
      <c r="X63" s="343"/>
      <c r="Y63" s="307"/>
      <c r="AS63" s="344"/>
      <c r="AY63" s="329"/>
    </row>
    <row r="64" spans="2:54" ht="15" hidden="1" outlineLevel="1" x14ac:dyDescent="0.3">
      <c r="D64" s="342"/>
      <c r="E64" s="330"/>
      <c r="F64" s="331"/>
      <c r="G64" s="340"/>
      <c r="H64" s="340"/>
      <c r="I64" s="340"/>
      <c r="J64" s="332"/>
      <c r="U64" s="306"/>
      <c r="V64" s="345"/>
      <c r="W64" s="330"/>
      <c r="X64" s="343"/>
      <c r="Y64" s="307"/>
      <c r="AY64" s="329"/>
    </row>
    <row r="65" spans="3:51" ht="15" hidden="1" x14ac:dyDescent="0.3">
      <c r="D65" s="330"/>
      <c r="E65" s="307"/>
      <c r="F65" s="346"/>
      <c r="G65" s="340"/>
      <c r="H65" s="340"/>
      <c r="I65" s="340"/>
      <c r="J65" s="332"/>
      <c r="U65" s="306"/>
      <c r="V65" s="345"/>
      <c r="W65" s="330"/>
      <c r="X65" s="307"/>
      <c r="Y65" s="307"/>
      <c r="AY65" s="329"/>
    </row>
    <row r="66" spans="3:51" hidden="1" x14ac:dyDescent="0.3">
      <c r="D66" s="307"/>
      <c r="E66" s="296"/>
      <c r="F66" s="320"/>
      <c r="G66" s="321"/>
      <c r="H66" s="321"/>
      <c r="I66" s="321"/>
      <c r="J66" s="347"/>
      <c r="U66" s="306"/>
      <c r="V66" s="307"/>
      <c r="W66" s="307"/>
      <c r="X66" s="307"/>
      <c r="Y66" s="307"/>
      <c r="Z66" s="307"/>
      <c r="AA66" s="307"/>
      <c r="AB66" s="307"/>
      <c r="AC66" s="307"/>
      <c r="AD66" s="307"/>
      <c r="AE66" s="307"/>
      <c r="AY66" s="329"/>
    </row>
    <row r="67" spans="3:51" hidden="1" x14ac:dyDescent="0.3">
      <c r="D67" s="296"/>
      <c r="U67" s="306"/>
      <c r="V67" s="348"/>
      <c r="W67" s="342"/>
      <c r="X67" s="349"/>
      <c r="Y67" s="349"/>
      <c r="Z67" s="349"/>
      <c r="AA67" s="349"/>
      <c r="AB67" s="349"/>
      <c r="AC67" s="349"/>
      <c r="AD67" s="349"/>
      <c r="AE67" s="307"/>
      <c r="AY67" s="329"/>
    </row>
    <row r="68" spans="3:51" ht="15" hidden="1" x14ac:dyDescent="0.3">
      <c r="C68" s="350"/>
      <c r="U68" s="306"/>
      <c r="V68" s="330"/>
      <c r="W68" s="307"/>
      <c r="X68" s="314"/>
      <c r="Y68" s="314"/>
      <c r="Z68" s="314"/>
      <c r="AA68" s="314"/>
      <c r="AB68" s="314"/>
      <c r="AC68" s="314"/>
      <c r="AD68" s="314"/>
      <c r="AE68" s="307"/>
      <c r="AY68" s="329"/>
    </row>
    <row r="69" spans="3:51" ht="15" hidden="1" x14ac:dyDescent="0.3">
      <c r="U69" s="306"/>
      <c r="V69" s="330"/>
      <c r="W69" s="307"/>
      <c r="X69" s="314"/>
      <c r="Y69" s="314"/>
      <c r="Z69" s="314"/>
      <c r="AA69" s="314"/>
      <c r="AB69" s="314"/>
      <c r="AC69" s="314"/>
      <c r="AD69" s="314"/>
      <c r="AE69" s="307"/>
    </row>
    <row r="70" spans="3:51" ht="15" hidden="1" x14ac:dyDescent="0.3">
      <c r="C70" s="351"/>
      <c r="U70" s="306"/>
      <c r="V70" s="352"/>
      <c r="W70" s="307"/>
      <c r="X70" s="314"/>
      <c r="Y70" s="314"/>
      <c r="Z70" s="314"/>
      <c r="AA70" s="314"/>
      <c r="AB70" s="314"/>
      <c r="AC70" s="314"/>
      <c r="AD70" s="314"/>
      <c r="AE70" s="307"/>
    </row>
    <row r="71" spans="3:51" hidden="1" x14ac:dyDescent="0.3">
      <c r="C71" s="307"/>
      <c r="U71" s="306"/>
      <c r="V71" s="307"/>
      <c r="W71" s="307"/>
      <c r="X71" s="307"/>
      <c r="Y71" s="307"/>
      <c r="Z71" s="307"/>
      <c r="AA71" s="307"/>
      <c r="AB71" s="307"/>
      <c r="AC71" s="307"/>
      <c r="AD71" s="307"/>
      <c r="AE71" s="307"/>
    </row>
    <row r="72" spans="3:51" ht="15" hidden="1" x14ac:dyDescent="0.3">
      <c r="C72" s="307"/>
      <c r="E72" s="353"/>
      <c r="F72" s="353"/>
      <c r="G72" s="353"/>
      <c r="H72" s="353"/>
      <c r="I72" s="353"/>
      <c r="J72" s="353"/>
      <c r="U72" s="306"/>
      <c r="V72" s="354"/>
      <c r="W72" s="307"/>
      <c r="X72" s="314"/>
      <c r="Y72" s="314"/>
      <c r="Z72" s="314"/>
      <c r="AA72" s="314"/>
      <c r="AB72" s="314"/>
      <c r="AC72" s="314"/>
      <c r="AD72" s="314"/>
      <c r="AE72" s="307"/>
    </row>
    <row r="73" spans="3:51" ht="15" hidden="1" x14ac:dyDescent="0.3">
      <c r="C73" s="307"/>
      <c r="D73" s="353"/>
      <c r="E73" s="353"/>
      <c r="F73" s="353"/>
      <c r="G73" s="353"/>
      <c r="H73" s="353"/>
      <c r="I73" s="353"/>
      <c r="J73" s="353"/>
      <c r="U73" s="306"/>
      <c r="V73" s="354"/>
      <c r="W73" s="307"/>
      <c r="X73" s="314"/>
      <c r="Y73" s="314"/>
      <c r="Z73" s="314"/>
      <c r="AA73" s="314"/>
      <c r="AB73" s="314"/>
      <c r="AC73" s="314"/>
      <c r="AD73" s="314"/>
      <c r="AE73" s="307"/>
    </row>
    <row r="74" spans="3:51" hidden="1" x14ac:dyDescent="0.3">
      <c r="C74" s="307"/>
      <c r="D74" s="353"/>
      <c r="E74" s="353"/>
      <c r="F74" s="353"/>
      <c r="G74" s="353"/>
      <c r="H74" s="353"/>
      <c r="I74" s="353"/>
      <c r="J74" s="353"/>
      <c r="U74" s="306"/>
      <c r="V74" s="352"/>
      <c r="W74" s="307"/>
      <c r="X74" s="314"/>
      <c r="Y74" s="314"/>
      <c r="Z74" s="314"/>
      <c r="AA74" s="314"/>
      <c r="AB74" s="314"/>
      <c r="AC74" s="314"/>
      <c r="AD74" s="314"/>
      <c r="AE74" s="307"/>
    </row>
    <row r="75" spans="3:51" hidden="1" x14ac:dyDescent="0.3">
      <c r="C75" s="307"/>
      <c r="D75" s="353"/>
      <c r="E75" s="353"/>
      <c r="F75" s="353"/>
      <c r="G75" s="353"/>
      <c r="H75" s="353"/>
      <c r="I75" s="353"/>
      <c r="J75" s="353"/>
      <c r="U75" s="306"/>
      <c r="V75" s="307"/>
      <c r="W75" s="307"/>
      <c r="X75" s="307"/>
      <c r="Y75" s="307"/>
      <c r="Z75" s="307"/>
      <c r="AA75" s="307"/>
      <c r="AB75" s="307"/>
      <c r="AC75" s="307"/>
      <c r="AD75" s="307"/>
      <c r="AE75" s="307"/>
    </row>
    <row r="76" spans="3:51" hidden="1" x14ac:dyDescent="0.3">
      <c r="C76" s="307"/>
      <c r="D76" s="353"/>
      <c r="E76" s="353"/>
      <c r="F76" s="353"/>
      <c r="G76" s="353"/>
      <c r="H76" s="353"/>
      <c r="I76" s="353"/>
      <c r="J76" s="353"/>
      <c r="U76" s="306"/>
      <c r="V76" s="336"/>
      <c r="W76" s="336"/>
      <c r="X76" s="355"/>
      <c r="Y76" s="355"/>
      <c r="Z76" s="355"/>
      <c r="AA76" s="355"/>
      <c r="AB76" s="355"/>
      <c r="AC76" s="355"/>
      <c r="AD76" s="355"/>
      <c r="AE76" s="307"/>
    </row>
    <row r="77" spans="3:51" hidden="1" x14ac:dyDescent="0.3">
      <c r="D77" s="353"/>
      <c r="F77" s="356"/>
      <c r="G77" s="329"/>
      <c r="H77" s="329"/>
      <c r="I77" s="329"/>
      <c r="J77" s="289"/>
      <c r="U77" s="306"/>
      <c r="V77" s="307"/>
      <c r="W77" s="307"/>
      <c r="X77" s="307"/>
      <c r="Y77" s="307"/>
      <c r="Z77" s="307"/>
      <c r="AA77" s="307"/>
      <c r="AB77" s="307"/>
      <c r="AC77" s="307"/>
      <c r="AD77" s="307"/>
      <c r="AE77" s="307"/>
    </row>
    <row r="78" spans="3:51" hidden="1" x14ac:dyDescent="0.3">
      <c r="F78" s="356"/>
      <c r="G78" s="329"/>
      <c r="H78" s="329"/>
      <c r="I78" s="329"/>
      <c r="J78" s="289"/>
      <c r="U78" s="306"/>
      <c r="V78" s="307"/>
      <c r="W78" s="307"/>
      <c r="X78" s="307"/>
      <c r="Y78" s="307"/>
      <c r="Z78" s="307"/>
      <c r="AA78" s="307"/>
      <c r="AB78" s="307"/>
      <c r="AC78" s="307"/>
      <c r="AD78" s="307"/>
      <c r="AE78" s="307"/>
    </row>
    <row r="79" spans="3:51" hidden="1" x14ac:dyDescent="0.3">
      <c r="F79" s="356"/>
      <c r="G79" s="329"/>
      <c r="H79" s="329"/>
      <c r="I79" s="329"/>
      <c r="J79" s="289"/>
      <c r="U79" s="306"/>
      <c r="V79" s="307"/>
      <c r="W79" s="307"/>
      <c r="X79" s="307"/>
      <c r="Y79" s="307"/>
      <c r="Z79" s="307"/>
      <c r="AA79" s="307"/>
      <c r="AB79" s="307"/>
      <c r="AC79" s="307"/>
      <c r="AD79" s="307"/>
      <c r="AE79" s="307"/>
    </row>
    <row r="80" spans="3:51" hidden="1" x14ac:dyDescent="0.3">
      <c r="F80" s="356"/>
      <c r="G80" s="329"/>
      <c r="H80" s="329"/>
      <c r="I80" s="329"/>
      <c r="J80" s="289"/>
      <c r="U80" s="306"/>
      <c r="V80" s="307"/>
      <c r="W80" s="307"/>
      <c r="X80" s="307"/>
      <c r="Y80" s="307"/>
      <c r="Z80" s="307"/>
      <c r="AA80" s="307"/>
      <c r="AB80" s="307"/>
      <c r="AC80" s="307"/>
      <c r="AD80" s="307"/>
      <c r="AE80" s="307"/>
    </row>
    <row r="81" spans="6:31" hidden="1" x14ac:dyDescent="0.3">
      <c r="F81" s="356"/>
      <c r="G81" s="329"/>
      <c r="H81" s="329"/>
      <c r="I81" s="329"/>
      <c r="J81" s="289"/>
      <c r="U81" s="306"/>
      <c r="V81" s="307"/>
      <c r="W81" s="307"/>
      <c r="X81" s="307"/>
      <c r="Y81" s="307"/>
      <c r="Z81" s="307"/>
      <c r="AA81" s="307"/>
      <c r="AB81" s="307"/>
      <c r="AC81" s="307"/>
      <c r="AD81" s="307"/>
      <c r="AE81" s="307"/>
    </row>
    <row r="82" spans="6:31" hidden="1" x14ac:dyDescent="0.3">
      <c r="F82" s="356"/>
      <c r="G82" s="329"/>
      <c r="H82" s="329"/>
      <c r="I82" s="329"/>
      <c r="J82" s="289"/>
      <c r="U82" s="306"/>
      <c r="V82" s="307"/>
      <c r="W82" s="307"/>
      <c r="X82" s="307"/>
      <c r="Y82" s="307"/>
      <c r="Z82" s="307"/>
      <c r="AA82" s="307"/>
      <c r="AB82" s="307"/>
      <c r="AC82" s="307"/>
      <c r="AD82" s="307"/>
      <c r="AE82" s="307"/>
    </row>
    <row r="83" spans="6:31" hidden="1" x14ac:dyDescent="0.3">
      <c r="F83" s="356"/>
      <c r="G83" s="329"/>
      <c r="H83" s="329"/>
      <c r="I83" s="329"/>
      <c r="J83" s="289"/>
      <c r="U83" s="306"/>
      <c r="V83" s="307"/>
      <c r="W83" s="307"/>
      <c r="X83" s="307"/>
      <c r="Y83" s="307"/>
      <c r="Z83" s="307"/>
      <c r="AA83" s="307"/>
      <c r="AB83" s="307"/>
      <c r="AC83" s="307"/>
      <c r="AD83" s="307"/>
      <c r="AE83" s="307"/>
    </row>
    <row r="84" spans="6:31" hidden="1" x14ac:dyDescent="0.3">
      <c r="F84" s="356"/>
      <c r="G84" s="329"/>
      <c r="H84" s="329"/>
      <c r="I84" s="329"/>
      <c r="J84" s="289"/>
      <c r="U84" s="306"/>
      <c r="V84" s="307"/>
      <c r="W84" s="307"/>
      <c r="X84" s="307"/>
      <c r="Y84" s="307"/>
      <c r="Z84" s="307"/>
      <c r="AA84" s="307"/>
      <c r="AB84" s="307"/>
      <c r="AC84" s="307"/>
      <c r="AD84" s="307"/>
      <c r="AE84" s="307"/>
    </row>
    <row r="85" spans="6:31" hidden="1" x14ac:dyDescent="0.3">
      <c r="F85" s="356"/>
      <c r="G85" s="329"/>
      <c r="H85" s="329"/>
      <c r="I85" s="329"/>
      <c r="J85" s="289"/>
    </row>
    <row r="86" spans="6:31" hidden="1" x14ac:dyDescent="0.3">
      <c r="F86" s="356"/>
      <c r="G86" s="329"/>
      <c r="H86" s="329"/>
      <c r="I86" s="329"/>
      <c r="J86" s="289"/>
    </row>
    <row r="87" spans="6:31" hidden="1" x14ac:dyDescent="0.3">
      <c r="F87" s="356"/>
      <c r="G87" s="329"/>
      <c r="H87" s="329"/>
      <c r="I87" s="329"/>
      <c r="J87" s="289"/>
    </row>
    <row r="88" spans="6:31" hidden="1" x14ac:dyDescent="0.3">
      <c r="F88" s="356"/>
      <c r="G88" s="329"/>
      <c r="H88" s="329"/>
      <c r="I88" s="329"/>
      <c r="J88" s="289"/>
    </row>
    <row r="89" spans="6:31" ht="7.5" hidden="1" customHeight="1" x14ac:dyDescent="0.3">
      <c r="F89" s="356"/>
      <c r="G89" s="329"/>
      <c r="H89" s="329"/>
      <c r="I89" s="329"/>
      <c r="J89" s="289"/>
    </row>
    <row r="90" spans="6:31" hidden="1" x14ac:dyDescent="0.3">
      <c r="F90" s="356"/>
      <c r="G90" s="329"/>
      <c r="H90" s="329"/>
      <c r="I90" s="329"/>
      <c r="J90" s="289"/>
    </row>
    <row r="91" spans="6:31" hidden="1" x14ac:dyDescent="0.3">
      <c r="F91" s="356"/>
      <c r="G91" s="329"/>
      <c r="H91" s="329"/>
      <c r="I91" s="329"/>
      <c r="J91" s="289"/>
    </row>
    <row r="92" spans="6:31" hidden="1" x14ac:dyDescent="0.3">
      <c r="F92" s="356"/>
      <c r="G92" s="329"/>
      <c r="H92" s="329"/>
      <c r="I92" s="329"/>
      <c r="J92" s="289"/>
    </row>
    <row r="93" spans="6:31" hidden="1" x14ac:dyDescent="0.3">
      <c r="F93" s="291"/>
      <c r="G93" s="329"/>
      <c r="H93" s="329"/>
      <c r="I93" s="329"/>
      <c r="J93" s="289"/>
    </row>
    <row r="94" spans="6:31" ht="15" hidden="1" x14ac:dyDescent="0.3">
      <c r="F94" s="357"/>
      <c r="G94" s="358"/>
      <c r="H94" s="358"/>
      <c r="I94" s="358"/>
      <c r="J94" s="289"/>
    </row>
    <row r="95" spans="6:31" hidden="1" x14ac:dyDescent="0.3">
      <c r="F95" s="329"/>
      <c r="G95" s="329"/>
      <c r="H95" s="329"/>
      <c r="I95" s="329"/>
      <c r="J95" s="289"/>
    </row>
    <row r="96" spans="6:31" ht="15" hidden="1" x14ac:dyDescent="0.3">
      <c r="F96" s="329"/>
      <c r="G96" s="359"/>
      <c r="H96" s="359"/>
      <c r="I96" s="359"/>
      <c r="J96" s="289"/>
    </row>
    <row r="97" spans="3:13" ht="15" hidden="1" x14ac:dyDescent="0.3">
      <c r="F97" s="329"/>
      <c r="G97" s="360"/>
      <c r="H97" s="360" t="e">
        <f>#REF!</f>
        <v>#REF!</v>
      </c>
      <c r="I97" s="360"/>
      <c r="J97" s="289"/>
    </row>
    <row r="98" spans="3:13" hidden="1" x14ac:dyDescent="0.3">
      <c r="D98" s="289" t="s">
        <v>38</v>
      </c>
      <c r="F98" s="329"/>
      <c r="G98" s="329"/>
      <c r="H98" s="329"/>
      <c r="I98" s="329"/>
      <c r="J98" s="289"/>
    </row>
    <row r="99" spans="3:13" hidden="1" x14ac:dyDescent="0.3">
      <c r="F99" s="329"/>
      <c r="G99" s="329"/>
      <c r="H99" s="329"/>
      <c r="I99" s="329"/>
      <c r="J99" s="289"/>
    </row>
    <row r="100" spans="3:13" hidden="1" x14ac:dyDescent="0.3">
      <c r="F100" s="329"/>
      <c r="G100" s="329"/>
      <c r="H100" s="329"/>
      <c r="I100" s="329"/>
      <c r="J100" s="289"/>
    </row>
    <row r="101" spans="3:13" hidden="1" x14ac:dyDescent="0.3"/>
    <row r="102" spans="3:13" ht="15" hidden="1" customHeight="1" x14ac:dyDescent="0.3">
      <c r="C102" s="351"/>
      <c r="K102" s="361"/>
      <c r="L102" s="361"/>
      <c r="M102" s="362"/>
    </row>
    <row r="103" spans="3:13" hidden="1" x14ac:dyDescent="0.3">
      <c r="K103" s="361"/>
      <c r="L103" s="361"/>
      <c r="M103" s="362"/>
    </row>
    <row r="104" spans="3:13" hidden="1" x14ac:dyDescent="0.3">
      <c r="E104" s="361"/>
      <c r="F104" s="361"/>
      <c r="G104" s="361"/>
      <c r="H104" s="361"/>
      <c r="I104" s="361"/>
      <c r="J104" s="361"/>
      <c r="K104" s="361"/>
      <c r="L104" s="361"/>
      <c r="M104" s="362"/>
    </row>
    <row r="105" spans="3:13" hidden="1" x14ac:dyDescent="0.3">
      <c r="D105" s="361"/>
      <c r="E105" s="361"/>
      <c r="F105" s="361"/>
      <c r="G105" s="361"/>
      <c r="H105" s="361"/>
      <c r="I105" s="361"/>
      <c r="J105" s="361"/>
    </row>
    <row r="106" spans="3:13" hidden="1" x14ac:dyDescent="0.3">
      <c r="D106" s="361"/>
      <c r="E106" s="361"/>
      <c r="F106" s="361"/>
      <c r="G106" s="361"/>
      <c r="H106" s="361"/>
      <c r="I106" s="361"/>
      <c r="J106" s="361"/>
    </row>
    <row r="107" spans="3:13" hidden="1" x14ac:dyDescent="0.3">
      <c r="D107" s="361"/>
    </row>
    <row r="108" spans="3:13" hidden="1" x14ac:dyDescent="0.3"/>
    <row r="109" spans="3:13" x14ac:dyDescent="0.3"/>
  </sheetData>
  <sheetProtection sheet="1" objects="1" scenarios="1"/>
  <mergeCells count="6">
    <mergeCell ref="AS9:AX9"/>
    <mergeCell ref="O9:AA9"/>
    <mergeCell ref="AF9:AJ9"/>
    <mergeCell ref="AL9:AQ9"/>
    <mergeCell ref="E4:H6"/>
    <mergeCell ref="K4:U6"/>
  </mergeCells>
  <pageMargins left="0.25" right="0.25" top="1" bottom="1" header="0.5" footer="0.5"/>
  <pageSetup paperSize="5" scale="24" orientation="landscape" r:id="rId1"/>
  <headerFooter alignWithMargin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C107"/>
  <sheetViews>
    <sheetView topLeftCell="A2" zoomScale="70" zoomScaleNormal="70" zoomScalePageLayoutView="70" workbookViewId="0">
      <selection activeCell="A11" sqref="A11"/>
    </sheetView>
  </sheetViews>
  <sheetFormatPr defaultColWidth="8.85546875" defaultRowHeight="14.25" outlineLevelRow="1" outlineLevelCol="1" x14ac:dyDescent="0.3"/>
  <cols>
    <col min="1" max="1" width="12" style="31" customWidth="1"/>
    <col min="2" max="2" width="47.140625" style="31" customWidth="1"/>
    <col min="3" max="3" width="22.7109375" style="31" customWidth="1"/>
    <col min="4" max="4" width="14.7109375" style="31" customWidth="1"/>
    <col min="5" max="6" width="17.85546875" style="32" customWidth="1"/>
    <col min="7" max="7" width="9.85546875" style="32" customWidth="1"/>
    <col min="8" max="8" width="9.7109375" style="144" customWidth="1" outlineLevel="1"/>
    <col min="9" max="9" width="14.28515625" style="32" customWidth="1" outlineLevel="1"/>
    <col min="10" max="10" width="12" style="2" bestFit="1" customWidth="1"/>
    <col min="11" max="12" width="14.140625" style="31" customWidth="1"/>
    <col min="13" max="13" width="14.140625" style="152" customWidth="1"/>
    <col min="14" max="14" width="15.42578125" style="152" customWidth="1"/>
    <col min="15" max="15" width="15.28515625" style="32" bestFit="1" customWidth="1"/>
    <col min="16" max="16" width="16.7109375" style="32" bestFit="1" customWidth="1"/>
    <col min="17" max="17" width="15.42578125" style="32" customWidth="1"/>
    <col min="18" max="18" width="19.7109375" style="32" customWidth="1"/>
    <col min="19" max="19" width="3.7109375" style="32" customWidth="1"/>
    <col min="20" max="20" width="19.28515625" style="219" bestFit="1" customWidth="1"/>
    <col min="21" max="21" width="19.28515625" style="32" customWidth="1"/>
    <col min="22" max="22" width="25.85546875" style="31" customWidth="1"/>
    <col min="23" max="23" width="16.7109375" style="31" hidden="1" customWidth="1"/>
    <col min="24" max="24" width="14.7109375" style="31" customWidth="1"/>
    <col min="25" max="25" width="14.42578125" style="31" bestFit="1" customWidth="1"/>
    <col min="26" max="26" width="15.7109375" style="31" bestFit="1" customWidth="1"/>
    <col min="27" max="27" width="17.140625" style="31" bestFit="1" customWidth="1"/>
    <col min="28" max="30" width="17.140625" style="31" customWidth="1"/>
    <col min="31" max="31" width="12.42578125" style="31" customWidth="1"/>
    <col min="32" max="32" width="18.140625" style="31" customWidth="1"/>
    <col min="33" max="34" width="15.28515625" style="31" customWidth="1"/>
    <col min="35" max="35" width="12.42578125" style="31" bestFit="1" customWidth="1"/>
    <col min="36" max="36" width="17.7109375" style="31" bestFit="1" customWidth="1"/>
    <col min="37" max="37" width="7.28515625" style="31" customWidth="1"/>
    <col min="38" max="39" width="13.85546875" style="31" customWidth="1"/>
    <col min="40" max="40" width="17.28515625" style="31" bestFit="1" customWidth="1"/>
    <col min="41" max="42" width="15" style="31" customWidth="1"/>
    <col min="43" max="43" width="17.7109375" style="31" customWidth="1"/>
    <col min="44" max="44" width="7.28515625" style="31" customWidth="1"/>
    <col min="45" max="49" width="16.85546875" style="31" customWidth="1"/>
    <col min="50" max="50" width="17.7109375" style="31" bestFit="1" customWidth="1"/>
    <col min="51" max="51" width="26.7109375" style="31" customWidth="1"/>
    <col min="52" max="52" width="7.28515625" style="31" customWidth="1"/>
    <col min="53" max="53" width="17" style="31" bestFit="1" customWidth="1" outlineLevel="1"/>
    <col min="54" max="54" width="7.28515625" style="31" customWidth="1"/>
    <col min="55" max="16384" width="8.85546875" style="31"/>
  </cols>
  <sheetData>
    <row r="1" spans="1:54" ht="15" hidden="1" x14ac:dyDescent="0.3">
      <c r="B1" s="1"/>
      <c r="C1" s="1"/>
      <c r="R1" s="3">
        <v>39813</v>
      </c>
      <c r="X1" s="31">
        <v>2010</v>
      </c>
      <c r="Y1" s="31">
        <f>X1+1</f>
        <v>2011</v>
      </c>
      <c r="Z1" s="31">
        <f t="shared" ref="Z1:AD1" si="0">Y1+1</f>
        <v>2012</v>
      </c>
      <c r="AA1" s="31">
        <f t="shared" si="0"/>
        <v>2013</v>
      </c>
      <c r="AB1" s="31">
        <f t="shared" si="0"/>
        <v>2014</v>
      </c>
      <c r="AC1" s="31">
        <f t="shared" si="0"/>
        <v>2015</v>
      </c>
      <c r="AD1" s="31">
        <f t="shared" si="0"/>
        <v>2016</v>
      </c>
    </row>
    <row r="2" spans="1:54" ht="15" x14ac:dyDescent="0.3">
      <c r="B2" s="1" t="s">
        <v>58</v>
      </c>
      <c r="C2" s="1"/>
      <c r="I2" s="3"/>
      <c r="J2" s="162"/>
    </row>
    <row r="3" spans="1:54" s="59" customFormat="1" ht="15.75" customHeight="1" x14ac:dyDescent="0.3">
      <c r="B3" s="4"/>
      <c r="C3" s="4"/>
      <c r="E3" s="60"/>
      <c r="F3" s="60"/>
      <c r="G3" s="60"/>
      <c r="H3" s="145"/>
      <c r="I3" s="60"/>
      <c r="J3" s="26"/>
      <c r="M3" s="155"/>
      <c r="N3" s="155"/>
      <c r="O3" s="60"/>
      <c r="P3" s="60"/>
      <c r="Q3" s="60"/>
      <c r="R3" s="60"/>
      <c r="S3" s="60"/>
      <c r="T3" s="220"/>
      <c r="U3" s="60"/>
      <c r="AL3" s="33"/>
      <c r="AM3" s="33"/>
      <c r="AN3" s="33"/>
      <c r="AO3" s="33"/>
    </row>
    <row r="4" spans="1:54" ht="15.75" thickBot="1" x14ac:dyDescent="0.35">
      <c r="B4" s="1"/>
      <c r="C4" s="1"/>
      <c r="AH4" s="139">
        <v>41274</v>
      </c>
      <c r="AI4" s="140">
        <v>0.28000000000000003</v>
      </c>
      <c r="AL4" s="56"/>
      <c r="AM4" s="56"/>
      <c r="AN4" s="56"/>
      <c r="AO4" s="56"/>
      <c r="AP4" s="56"/>
      <c r="AQ4" s="56"/>
    </row>
    <row r="5" spans="1:54" ht="15.75" thickBot="1" x14ac:dyDescent="0.35">
      <c r="A5" s="130"/>
      <c r="O5" s="415" t="s">
        <v>35</v>
      </c>
      <c r="P5" s="416"/>
      <c r="Q5" s="416"/>
      <c r="R5" s="416"/>
      <c r="S5" s="416"/>
      <c r="T5" s="416"/>
      <c r="U5" s="416"/>
      <c r="V5" s="416"/>
      <c r="W5" s="416"/>
      <c r="X5" s="416"/>
      <c r="Y5" s="416"/>
      <c r="Z5" s="416"/>
      <c r="AA5" s="416"/>
      <c r="AB5" s="213"/>
      <c r="AC5" s="213"/>
      <c r="AD5" s="217"/>
      <c r="AF5" s="412" t="s">
        <v>40</v>
      </c>
      <c r="AG5" s="413"/>
      <c r="AH5" s="413"/>
      <c r="AI5" s="413"/>
      <c r="AJ5" s="414"/>
      <c r="AK5" s="129"/>
      <c r="AL5" s="417" t="s">
        <v>42</v>
      </c>
      <c r="AM5" s="418"/>
      <c r="AN5" s="418"/>
      <c r="AO5" s="418"/>
      <c r="AP5" s="418"/>
      <c r="AQ5" s="419"/>
      <c r="AR5" s="129"/>
      <c r="AS5" s="412" t="s">
        <v>41</v>
      </c>
      <c r="AT5" s="413"/>
      <c r="AU5" s="413"/>
      <c r="AV5" s="413"/>
      <c r="AW5" s="413"/>
      <c r="AX5" s="414"/>
      <c r="AY5" s="88"/>
      <c r="AZ5" s="129"/>
      <c r="BB5" s="129"/>
    </row>
    <row r="6" spans="1:54" s="6" customFormat="1" ht="57.75" customHeight="1" x14ac:dyDescent="0.3">
      <c r="A6" s="5" t="s">
        <v>0</v>
      </c>
      <c r="B6" s="6" t="s">
        <v>1</v>
      </c>
      <c r="C6" s="6" t="s">
        <v>71</v>
      </c>
      <c r="D6" s="7" t="s">
        <v>2</v>
      </c>
      <c r="E6" s="7" t="s">
        <v>3</v>
      </c>
      <c r="F6" s="7" t="s">
        <v>57</v>
      </c>
      <c r="G6" s="7" t="s">
        <v>68</v>
      </c>
      <c r="H6" s="146" t="s">
        <v>4</v>
      </c>
      <c r="I6" s="7" t="s">
        <v>56</v>
      </c>
      <c r="J6" s="8" t="s">
        <v>87</v>
      </c>
      <c r="K6" s="6" t="s">
        <v>6</v>
      </c>
      <c r="L6" s="6" t="s">
        <v>69</v>
      </c>
      <c r="M6" s="156"/>
      <c r="N6" s="156" t="s">
        <v>70</v>
      </c>
      <c r="O6" s="115" t="s">
        <v>51</v>
      </c>
      <c r="P6" s="57" t="s">
        <v>7</v>
      </c>
      <c r="Q6" s="57" t="s">
        <v>8</v>
      </c>
      <c r="R6" s="57" t="s">
        <v>9</v>
      </c>
      <c r="S6" s="57"/>
      <c r="T6" s="221" t="s">
        <v>82</v>
      </c>
      <c r="U6" s="57" t="s">
        <v>55</v>
      </c>
      <c r="V6" s="57" t="s">
        <v>11</v>
      </c>
      <c r="W6" s="57" t="s">
        <v>12</v>
      </c>
      <c r="X6" s="57" t="s">
        <v>13</v>
      </c>
      <c r="Y6" s="57" t="s">
        <v>14</v>
      </c>
      <c r="Z6" s="57" t="s">
        <v>15</v>
      </c>
      <c r="AA6" s="57" t="s">
        <v>16</v>
      </c>
      <c r="AB6" s="57" t="s">
        <v>34</v>
      </c>
      <c r="AC6" s="57" t="s">
        <v>36</v>
      </c>
      <c r="AD6" s="218" t="s">
        <v>39</v>
      </c>
      <c r="AF6" s="9" t="s">
        <v>17</v>
      </c>
      <c r="AG6" s="10" t="s">
        <v>18</v>
      </c>
      <c r="AH6" s="10" t="s">
        <v>19</v>
      </c>
      <c r="AI6" s="10" t="s">
        <v>20</v>
      </c>
      <c r="AJ6" s="11" t="s">
        <v>21</v>
      </c>
      <c r="AL6" s="9" t="s">
        <v>52</v>
      </c>
      <c r="AM6" s="10" t="s">
        <v>53</v>
      </c>
      <c r="AN6" s="10" t="s">
        <v>22</v>
      </c>
      <c r="AO6" s="10" t="s">
        <v>18</v>
      </c>
      <c r="AP6" s="10" t="s">
        <v>20</v>
      </c>
      <c r="AQ6" s="11" t="s">
        <v>21</v>
      </c>
      <c r="AS6" s="9" t="s">
        <v>23</v>
      </c>
      <c r="AT6" s="10" t="s">
        <v>24</v>
      </c>
      <c r="AU6" s="10" t="s">
        <v>25</v>
      </c>
      <c r="AV6" s="10" t="s">
        <v>18</v>
      </c>
      <c r="AW6" s="10" t="s">
        <v>20</v>
      </c>
      <c r="AX6" s="11" t="s">
        <v>21</v>
      </c>
      <c r="AY6" s="90" t="s">
        <v>37</v>
      </c>
      <c r="BA6" s="20" t="s">
        <v>54</v>
      </c>
    </row>
    <row r="7" spans="1:54" ht="6.75" customHeight="1" x14ac:dyDescent="0.3">
      <c r="O7" s="35"/>
      <c r="P7" s="36"/>
      <c r="Q7" s="36"/>
      <c r="R7" s="36"/>
      <c r="S7" s="36"/>
      <c r="T7" s="222"/>
      <c r="U7" s="36"/>
      <c r="V7" s="61"/>
      <c r="W7" s="61"/>
      <c r="X7" s="61"/>
      <c r="Y7" s="61"/>
      <c r="Z7" s="61"/>
      <c r="AA7" s="61"/>
      <c r="AB7" s="61"/>
      <c r="AC7" s="61"/>
      <c r="AD7" s="37"/>
      <c r="AF7" s="62"/>
      <c r="AG7" s="61"/>
      <c r="AH7" s="61"/>
      <c r="AI7" s="12"/>
      <c r="AJ7" s="13"/>
      <c r="AL7" s="62"/>
      <c r="AM7" s="61"/>
      <c r="AN7" s="61"/>
      <c r="AO7" s="61"/>
      <c r="AP7" s="61"/>
      <c r="AQ7" s="37"/>
      <c r="AS7" s="62"/>
      <c r="AT7" s="61"/>
      <c r="AU7" s="61"/>
      <c r="AV7" s="61"/>
      <c r="AW7" s="61"/>
      <c r="AX7" s="37"/>
      <c r="AY7" s="89"/>
    </row>
    <row r="8" spans="1:54" x14ac:dyDescent="0.3">
      <c r="B8" s="14" t="s">
        <v>26</v>
      </c>
      <c r="C8" s="14"/>
      <c r="O8" s="35"/>
      <c r="P8" s="36"/>
      <c r="Q8" s="36"/>
      <c r="R8" s="36"/>
      <c r="S8" s="36"/>
      <c r="T8" s="222"/>
      <c r="U8" s="36"/>
      <c r="V8" s="61"/>
      <c r="W8" s="61"/>
      <c r="X8" s="61"/>
      <c r="Y8" s="61"/>
      <c r="Z8" s="61"/>
      <c r="AA8" s="61"/>
      <c r="AB8" s="61"/>
      <c r="AC8" s="61"/>
      <c r="AD8" s="37"/>
      <c r="AF8" s="62"/>
      <c r="AG8" s="61"/>
      <c r="AH8" s="61"/>
      <c r="AI8" s="61"/>
      <c r="AJ8" s="37"/>
      <c r="AL8" s="62"/>
      <c r="AM8" s="61"/>
      <c r="AN8" s="61"/>
      <c r="AO8" s="61"/>
      <c r="AP8" s="61"/>
      <c r="AQ8" s="37"/>
      <c r="AS8" s="62"/>
      <c r="AT8" s="61"/>
      <c r="AU8" s="61"/>
      <c r="AV8" s="61"/>
      <c r="AW8" s="61"/>
      <c r="AX8" s="37"/>
      <c r="AY8" s="89"/>
    </row>
    <row r="9" spans="1:54" ht="15" x14ac:dyDescent="0.2">
      <c r="A9" s="38"/>
      <c r="B9" s="215" t="s">
        <v>78</v>
      </c>
      <c r="C9" s="215" t="s">
        <v>31</v>
      </c>
      <c r="D9" s="134">
        <v>1000000</v>
      </c>
      <c r="E9" s="135">
        <v>40588</v>
      </c>
      <c r="F9" s="135">
        <v>40588</v>
      </c>
      <c r="G9" s="142">
        <f>YEAR(F9)</f>
        <v>2011</v>
      </c>
      <c r="I9" s="32" t="s">
        <v>77</v>
      </c>
      <c r="J9" s="216">
        <v>0.1</v>
      </c>
      <c r="K9" s="31">
        <v>4</v>
      </c>
      <c r="L9" s="154">
        <f>IF(B9&lt;&gt;"",F9+K9*365.25,"")</f>
        <v>42049</v>
      </c>
      <c r="M9" s="152">
        <f>(YEAR(L9)-1)-YEAR(E9)</f>
        <v>3</v>
      </c>
      <c r="N9" s="152">
        <f>(13-MONTH(E9))+MONTH(F9)+M9*12-1</f>
        <v>48</v>
      </c>
      <c r="O9" s="39">
        <f t="shared" ref="O9:O17" si="1">E9</f>
        <v>40588</v>
      </c>
      <c r="P9" s="63">
        <f>MONTH(O9)*30-30+DAY(O9)</f>
        <v>44</v>
      </c>
      <c r="Q9" s="40" t="e">
        <f>#REF!</f>
        <v>#REF!</v>
      </c>
      <c r="R9" s="64" t="e">
        <f>(Q9-DATE(2008,12,31))/365</f>
        <v>#REF!</v>
      </c>
      <c r="S9" s="41"/>
      <c r="T9" s="223">
        <v>0.1</v>
      </c>
      <c r="U9" s="42">
        <f>SUMPRODUCT($D$9:$D$51,$T$9:$T$51,--($G$9:$G$51=G9))/SUMIF($G$9:$G$51,G9:$G$51,$D$9:$D$51)</f>
        <v>0.1</v>
      </c>
      <c r="V9" s="65">
        <f t="shared" ref="V9:V51" si="2">T9*D9*(1-$X$64)</f>
        <v>100000</v>
      </c>
      <c r="W9" s="66" t="e">
        <f>T9*#REF!</f>
        <v>#REF!</v>
      </c>
      <c r="X9" s="43">
        <f t="shared" ref="X9:AD17" si="3">IF(OR(YEAR($E9)&gt;X$1,(X$1-YEAR($F9))&gt;$K9),0,
IF(YEAR($E9)=X$1,(13-MONTH($E9))*(1/$N9)*$V9,
IF((X$1-YEAR($F9))=$K9,(MONTH($F9)-1)*(1/$N9)*$V9,(1/$N9)*$V9*12)
))</f>
        <v>0</v>
      </c>
      <c r="Y9" s="43">
        <f t="shared" si="3"/>
        <v>22916.666666666664</v>
      </c>
      <c r="Z9" s="43">
        <f t="shared" si="3"/>
        <v>24999.999999999996</v>
      </c>
      <c r="AA9" s="43">
        <f t="shared" si="3"/>
        <v>24999.999999999996</v>
      </c>
      <c r="AB9" s="43">
        <f t="shared" si="3"/>
        <v>24999.999999999996</v>
      </c>
      <c r="AC9" s="43">
        <f t="shared" si="3"/>
        <v>2083.333333333333</v>
      </c>
      <c r="AD9" s="131">
        <f t="shared" si="3"/>
        <v>0</v>
      </c>
      <c r="AE9" s="50"/>
      <c r="AF9" s="67">
        <f t="shared" ref="AF9:AF21" si="4">D9</f>
        <v>1000000</v>
      </c>
      <c r="AG9" s="44">
        <f t="shared" ref="AG9:AG14" si="5">(AF9/$AF$55)*J9</f>
        <v>2.4096385542168676E-2</v>
      </c>
      <c r="AH9" s="40">
        <f>F9+10*365.25</f>
        <v>44240.5</v>
      </c>
      <c r="AI9" s="78">
        <f t="shared" ref="AI9:AI29" si="6">((AH9-$AH$4)/365)*(AF9/$AF$55)</f>
        <v>1.9584089783792706</v>
      </c>
      <c r="AJ9" s="101">
        <f t="shared" ref="AJ9:AJ26" si="7">AF9*($AI$4-J9)</f>
        <v>180000.00000000003</v>
      </c>
      <c r="AL9" s="127">
        <f>($AH$4-O9)</f>
        <v>686</v>
      </c>
      <c r="AM9" s="68">
        <f t="shared" ref="AM9:AM51" si="8">IF(AL9&gt;(365*K9),0,((365*K9)-AL9))</f>
        <v>774</v>
      </c>
      <c r="AN9" s="68">
        <f>IF(AL9&lt;365,0.2*AF9,(AF9*(AL9/365/5))+0.2*AF9)</f>
        <v>575890.41095890407</v>
      </c>
      <c r="AO9" s="116">
        <f>(AN9/$AN$55)*J9</f>
        <v>2.4096385542168676E-2</v>
      </c>
      <c r="AP9" s="69">
        <f>((AH9-$AH$4)/365)*(AN9/$AN$55)</f>
        <v>1.9584089783792706</v>
      </c>
      <c r="AQ9" s="101">
        <f t="shared" ref="AQ9:AQ51" si="9">AN9*($AI$4-J9)</f>
        <v>103660.27397260275</v>
      </c>
      <c r="AS9" s="67">
        <f t="shared" ref="AS9:AS51" si="10">D9-AN9</f>
        <v>424109.58904109593</v>
      </c>
      <c r="AT9" s="70">
        <f>AS9*(1-$X$63)</f>
        <v>424109.58904109593</v>
      </c>
      <c r="AU9" s="70">
        <f t="shared" ref="AU9:AU13" si="11">AT9+AN9</f>
        <v>1000000</v>
      </c>
      <c r="AV9" s="23">
        <f>(AU9/$AU$55)*J9</f>
        <v>2.4096385542168676E-2</v>
      </c>
      <c r="AW9" s="78">
        <f>((AH9-$AH$4)/365)*(AU9/$AU$55)</f>
        <v>1.9584089783792706</v>
      </c>
      <c r="AX9" s="101">
        <f t="shared" ref="AX9:AX51" si="12">AU9*($AI$4-J9)</f>
        <v>180000.00000000003</v>
      </c>
      <c r="AY9" s="89">
        <f t="shared" ref="AY9:AY51" si="13">AS9*T9*(1-$X$63)</f>
        <v>42410.958904109597</v>
      </c>
      <c r="BA9" s="128">
        <f t="shared" ref="BA9:BA51" si="14">(AY9/$AY$55)*AM9/365</f>
        <v>0.51097540848324807</v>
      </c>
    </row>
    <row r="10" spans="1:54" ht="15" x14ac:dyDescent="0.2">
      <c r="B10" s="215" t="s">
        <v>79</v>
      </c>
      <c r="C10" s="215" t="s">
        <v>32</v>
      </c>
      <c r="D10" s="134">
        <v>1000000</v>
      </c>
      <c r="E10" s="135">
        <v>40588</v>
      </c>
      <c r="F10" s="135">
        <v>40588</v>
      </c>
      <c r="G10" s="142">
        <f>YEAR(F10)</f>
        <v>2011</v>
      </c>
      <c r="I10" s="32" t="s">
        <v>77</v>
      </c>
      <c r="J10" s="216">
        <v>0.1</v>
      </c>
      <c r="K10" s="31">
        <v>4</v>
      </c>
      <c r="L10" s="154">
        <f>IF(B10&lt;&gt;"",F10+K10*365.25,"")</f>
        <v>42049</v>
      </c>
      <c r="M10" s="152">
        <f>(YEAR(L10)-1)-YEAR(E10)</f>
        <v>3</v>
      </c>
      <c r="N10" s="152">
        <f>(13-MONTH(E10))+MONTH(F10)+M10*12-1</f>
        <v>48</v>
      </c>
      <c r="O10" s="39">
        <f t="shared" si="1"/>
        <v>40588</v>
      </c>
      <c r="P10" s="63">
        <f t="shared" ref="P10:P22" si="15">MONTH(O10)*30-30+DAY(O10)</f>
        <v>44</v>
      </c>
      <c r="Q10" s="40" t="e">
        <f>#REF!</f>
        <v>#REF!</v>
      </c>
      <c r="R10" s="64" t="e">
        <f t="shared" ref="R10:R17" si="16">(Q10-DATE(2008,12,31))/365</f>
        <v>#REF!</v>
      </c>
      <c r="S10" s="41"/>
      <c r="T10" s="223">
        <v>0.1</v>
      </c>
      <c r="U10" s="42">
        <f>SUMPRODUCT($D$9:$D$51,$T$9:$T$51,--($G$9:$G$51=G10))/SUMIF($G$9:$G$51,G10:$G$51,$D$9:$D$51)</f>
        <v>0.1</v>
      </c>
      <c r="V10" s="65">
        <f t="shared" si="2"/>
        <v>100000</v>
      </c>
      <c r="W10" s="66" t="e">
        <f>T10*#REF!</f>
        <v>#REF!</v>
      </c>
      <c r="X10" s="43">
        <f t="shared" si="3"/>
        <v>0</v>
      </c>
      <c r="Y10" s="43">
        <f t="shared" si="3"/>
        <v>22916.666666666664</v>
      </c>
      <c r="Z10" s="43">
        <f t="shared" si="3"/>
        <v>24999.999999999996</v>
      </c>
      <c r="AA10" s="43">
        <f t="shared" si="3"/>
        <v>24999.999999999996</v>
      </c>
      <c r="AB10" s="43">
        <f t="shared" si="3"/>
        <v>24999.999999999996</v>
      </c>
      <c r="AC10" s="43">
        <f t="shared" si="3"/>
        <v>2083.333333333333</v>
      </c>
      <c r="AD10" s="131">
        <f t="shared" si="3"/>
        <v>0</v>
      </c>
      <c r="AE10" s="50"/>
      <c r="AF10" s="67">
        <f t="shared" si="4"/>
        <v>1000000</v>
      </c>
      <c r="AG10" s="44">
        <f t="shared" si="5"/>
        <v>2.4096385542168676E-2</v>
      </c>
      <c r="AH10" s="40">
        <f>F10+10*365.25</f>
        <v>44240.5</v>
      </c>
      <c r="AI10" s="78">
        <f t="shared" si="6"/>
        <v>1.9584089783792706</v>
      </c>
      <c r="AJ10" s="101">
        <f t="shared" si="7"/>
        <v>180000.00000000003</v>
      </c>
      <c r="AL10" s="127">
        <f>($AH$4-O10)</f>
        <v>686</v>
      </c>
      <c r="AM10" s="68">
        <f t="shared" si="8"/>
        <v>774</v>
      </c>
      <c r="AN10" s="68">
        <f t="shared" ref="AN10:AN13" si="17">IF(AL10&lt;365,0.2*AF10,(AF10*(AL10/365/5))+0.2*AF10)</f>
        <v>575890.41095890407</v>
      </c>
      <c r="AO10" s="116">
        <f>(AN10/$AN$55)*J10</f>
        <v>2.4096385542168676E-2</v>
      </c>
      <c r="AP10" s="69">
        <f>((AH10-$AH$4)/365)*(AN10/$AN$55)</f>
        <v>1.9584089783792706</v>
      </c>
      <c r="AQ10" s="101">
        <f t="shared" si="9"/>
        <v>103660.27397260275</v>
      </c>
      <c r="AS10" s="67">
        <f t="shared" si="10"/>
        <v>424109.58904109593</v>
      </c>
      <c r="AT10" s="70">
        <f>AS10*(1-$X$63)</f>
        <v>424109.58904109593</v>
      </c>
      <c r="AU10" s="70">
        <f t="shared" si="11"/>
        <v>1000000</v>
      </c>
      <c r="AV10" s="23">
        <f>(AU10/$AU$55)*J10</f>
        <v>2.4096385542168676E-2</v>
      </c>
      <c r="AW10" s="78">
        <f>((AH10-$AH$4)/365)*(AU10/$AU$55)</f>
        <v>1.9584089783792706</v>
      </c>
      <c r="AX10" s="101">
        <f t="shared" si="12"/>
        <v>180000.00000000003</v>
      </c>
      <c r="AY10" s="89">
        <f t="shared" si="13"/>
        <v>42410.958904109597</v>
      </c>
      <c r="BA10" s="128">
        <f t="shared" si="14"/>
        <v>0.51097540848324807</v>
      </c>
    </row>
    <row r="11" spans="1:54" ht="15" x14ac:dyDescent="0.2">
      <c r="B11" s="215" t="s">
        <v>80</v>
      </c>
      <c r="C11" s="215" t="s">
        <v>32</v>
      </c>
      <c r="D11" s="134">
        <v>1000000</v>
      </c>
      <c r="E11" s="135">
        <v>40588</v>
      </c>
      <c r="F11" s="135">
        <v>40588</v>
      </c>
      <c r="G11" s="142">
        <f>YEAR(F11)</f>
        <v>2011</v>
      </c>
      <c r="H11" s="147"/>
      <c r="I11" s="32" t="s">
        <v>77</v>
      </c>
      <c r="J11" s="216">
        <v>0.1</v>
      </c>
      <c r="K11" s="31">
        <v>4</v>
      </c>
      <c r="L11" s="154">
        <f>IF(B11&lt;&gt;"",F11+K11*365.25,"")</f>
        <v>42049</v>
      </c>
      <c r="M11" s="152">
        <f>(YEAR(L11)-1)-YEAR(E11)</f>
        <v>3</v>
      </c>
      <c r="N11" s="152">
        <f>(13-MONTH(E11))+MONTH(F11)+M11*12-1</f>
        <v>48</v>
      </c>
      <c r="O11" s="39">
        <f t="shared" si="1"/>
        <v>40588</v>
      </c>
      <c r="P11" s="63">
        <f t="shared" si="15"/>
        <v>44</v>
      </c>
      <c r="Q11" s="40" t="e">
        <f>#REF!</f>
        <v>#REF!</v>
      </c>
      <c r="R11" s="64" t="e">
        <f t="shared" si="16"/>
        <v>#REF!</v>
      </c>
      <c r="S11" s="41"/>
      <c r="T11" s="223">
        <v>0.1</v>
      </c>
      <c r="U11" s="42">
        <f>SUMPRODUCT($D$9:$D$51,$T$9:$T$51,--($G$9:$G$51=G11))/SUMIF($G$9:$G$51,G11:$G$51,$D$9:$D$51)</f>
        <v>0.1</v>
      </c>
      <c r="V11" s="65">
        <f t="shared" si="2"/>
        <v>100000</v>
      </c>
      <c r="W11" s="66" t="e">
        <f>T11*#REF!</f>
        <v>#REF!</v>
      </c>
      <c r="X11" s="43">
        <f t="shared" si="3"/>
        <v>0</v>
      </c>
      <c r="Y11" s="43">
        <f t="shared" si="3"/>
        <v>22916.666666666664</v>
      </c>
      <c r="Z11" s="43">
        <f t="shared" si="3"/>
        <v>24999.999999999996</v>
      </c>
      <c r="AA11" s="43">
        <f t="shared" si="3"/>
        <v>24999.999999999996</v>
      </c>
      <c r="AB11" s="43">
        <f t="shared" si="3"/>
        <v>24999.999999999996</v>
      </c>
      <c r="AC11" s="43">
        <f t="shared" si="3"/>
        <v>2083.333333333333</v>
      </c>
      <c r="AD11" s="131">
        <f t="shared" si="3"/>
        <v>0</v>
      </c>
      <c r="AE11" s="50"/>
      <c r="AF11" s="67">
        <f t="shared" si="4"/>
        <v>1000000</v>
      </c>
      <c r="AG11" s="44">
        <f t="shared" si="5"/>
        <v>2.4096385542168676E-2</v>
      </c>
      <c r="AH11" s="40">
        <f t="shared" ref="AH11:AH51" si="18">F11+K11*365.25</f>
        <v>42049</v>
      </c>
      <c r="AI11" s="78">
        <f t="shared" si="6"/>
        <v>0.51163558342960891</v>
      </c>
      <c r="AJ11" s="101">
        <f t="shared" si="7"/>
        <v>180000.00000000003</v>
      </c>
      <c r="AL11" s="127">
        <f>($AH$4-O11)</f>
        <v>686</v>
      </c>
      <c r="AM11" s="68">
        <f t="shared" si="8"/>
        <v>774</v>
      </c>
      <c r="AN11" s="68">
        <f t="shared" si="17"/>
        <v>575890.41095890407</v>
      </c>
      <c r="AO11" s="116">
        <f>(AN11/$AN$55)*J11</f>
        <v>2.4096385542168676E-2</v>
      </c>
      <c r="AP11" s="69">
        <f>((AH11-$AH$4)/365)*(AN11/$AN$55)</f>
        <v>0.51163558342960891</v>
      </c>
      <c r="AQ11" s="101">
        <f t="shared" si="9"/>
        <v>103660.27397260275</v>
      </c>
      <c r="AS11" s="67">
        <f t="shared" si="10"/>
        <v>424109.58904109593</v>
      </c>
      <c r="AT11" s="70">
        <f>AS11*(1-$X$63)</f>
        <v>424109.58904109593</v>
      </c>
      <c r="AU11" s="70">
        <f t="shared" si="11"/>
        <v>1000000</v>
      </c>
      <c r="AV11" s="23">
        <f>(AU11/$AU$55)*J11</f>
        <v>2.4096385542168676E-2</v>
      </c>
      <c r="AW11" s="78">
        <f>((AH11-$AH$4)/365)*(AU11/$AU$55)</f>
        <v>0.51163558342960891</v>
      </c>
      <c r="AX11" s="101">
        <f t="shared" si="12"/>
        <v>180000.00000000003</v>
      </c>
      <c r="AY11" s="89">
        <f t="shared" si="13"/>
        <v>42410.958904109597</v>
      </c>
      <c r="BA11" s="128">
        <f t="shared" si="14"/>
        <v>0.51097540848324807</v>
      </c>
    </row>
    <row r="12" spans="1:54" ht="15" x14ac:dyDescent="0.2">
      <c r="B12" s="215" t="s">
        <v>81</v>
      </c>
      <c r="C12" s="215" t="s">
        <v>32</v>
      </c>
      <c r="D12" s="134">
        <v>1000000</v>
      </c>
      <c r="E12" s="135">
        <v>40588</v>
      </c>
      <c r="F12" s="135">
        <v>40588</v>
      </c>
      <c r="G12" s="142">
        <f>YEAR(F12)</f>
        <v>2011</v>
      </c>
      <c r="H12" s="147"/>
      <c r="I12" s="32" t="s">
        <v>77</v>
      </c>
      <c r="J12" s="216">
        <v>0.1</v>
      </c>
      <c r="K12" s="31">
        <v>4</v>
      </c>
      <c r="L12" s="154">
        <f>IF(B12&lt;&gt;"",F12+K12*365.25,"")</f>
        <v>42049</v>
      </c>
      <c r="M12" s="152">
        <f>(YEAR(L12)-1)-YEAR(E12)</f>
        <v>3</v>
      </c>
      <c r="N12" s="152">
        <f>(13-MONTH(E12))+MONTH(F12)+M12*12-1</f>
        <v>48</v>
      </c>
      <c r="O12" s="39">
        <f t="shared" si="1"/>
        <v>40588</v>
      </c>
      <c r="P12" s="63">
        <f t="shared" si="15"/>
        <v>44</v>
      </c>
      <c r="Q12" s="40" t="e">
        <f>#REF!</f>
        <v>#REF!</v>
      </c>
      <c r="R12" s="64" t="e">
        <f t="shared" si="16"/>
        <v>#REF!</v>
      </c>
      <c r="S12" s="41"/>
      <c r="T12" s="223">
        <v>0.1</v>
      </c>
      <c r="U12" s="42">
        <f>SUMPRODUCT($D$9:$D$51,$T$9:$T$51,--($G$9:$G$51=G12))/SUMIF($G$9:$G$51,G12:$G$51,$D$9:$D$51)</f>
        <v>0.1</v>
      </c>
      <c r="V12" s="65">
        <f t="shared" si="2"/>
        <v>100000</v>
      </c>
      <c r="W12" s="66" t="e">
        <f>T12*#REF!</f>
        <v>#REF!</v>
      </c>
      <c r="X12" s="43">
        <f t="shared" si="3"/>
        <v>0</v>
      </c>
      <c r="Y12" s="43">
        <f t="shared" si="3"/>
        <v>22916.666666666664</v>
      </c>
      <c r="Z12" s="43">
        <f t="shared" si="3"/>
        <v>24999.999999999996</v>
      </c>
      <c r="AA12" s="43">
        <f t="shared" si="3"/>
        <v>24999.999999999996</v>
      </c>
      <c r="AB12" s="43">
        <f t="shared" si="3"/>
        <v>24999.999999999996</v>
      </c>
      <c r="AC12" s="43">
        <f t="shared" si="3"/>
        <v>2083.333333333333</v>
      </c>
      <c r="AD12" s="131">
        <f t="shared" si="3"/>
        <v>0</v>
      </c>
      <c r="AE12" s="50"/>
      <c r="AF12" s="67">
        <f t="shared" si="4"/>
        <v>1000000</v>
      </c>
      <c r="AG12" s="44">
        <f t="shared" si="5"/>
        <v>2.4096385542168676E-2</v>
      </c>
      <c r="AH12" s="40">
        <f t="shared" si="18"/>
        <v>42049</v>
      </c>
      <c r="AI12" s="78">
        <f t="shared" si="6"/>
        <v>0.51163558342960891</v>
      </c>
      <c r="AJ12" s="101">
        <f t="shared" si="7"/>
        <v>180000.00000000003</v>
      </c>
      <c r="AL12" s="127">
        <f>($AH$4-O12)</f>
        <v>686</v>
      </c>
      <c r="AM12" s="68">
        <f t="shared" si="8"/>
        <v>774</v>
      </c>
      <c r="AN12" s="68">
        <f t="shared" si="17"/>
        <v>575890.41095890407</v>
      </c>
      <c r="AO12" s="116">
        <f>(AN12/$AN$55)*J12</f>
        <v>2.4096385542168676E-2</v>
      </c>
      <c r="AP12" s="69">
        <f>((AH12-$AH$4)/365)*(AN12/$AN$55)</f>
        <v>0.51163558342960891</v>
      </c>
      <c r="AQ12" s="101">
        <f t="shared" si="9"/>
        <v>103660.27397260275</v>
      </c>
      <c r="AS12" s="67">
        <f t="shared" si="10"/>
        <v>424109.58904109593</v>
      </c>
      <c r="AT12" s="70">
        <f>AS12*(1-$X$63)</f>
        <v>424109.58904109593</v>
      </c>
      <c r="AU12" s="70">
        <f t="shared" si="11"/>
        <v>1000000</v>
      </c>
      <c r="AV12" s="23">
        <f>(AU12/$AU$55)*J12</f>
        <v>2.4096385542168676E-2</v>
      </c>
      <c r="AW12" s="78">
        <f>((AH12-$AH$4)/365)*(AU12/$AU$55)</f>
        <v>0.51163558342960891</v>
      </c>
      <c r="AX12" s="101">
        <f t="shared" si="12"/>
        <v>180000.00000000003</v>
      </c>
      <c r="AY12" s="89">
        <f t="shared" si="13"/>
        <v>42410.958904109597</v>
      </c>
      <c r="BA12" s="128">
        <f t="shared" si="14"/>
        <v>0.51097540848324807</v>
      </c>
    </row>
    <row r="13" spans="1:54" ht="15" x14ac:dyDescent="0.2">
      <c r="B13" s="215" t="s">
        <v>76</v>
      </c>
      <c r="C13" s="215" t="s">
        <v>31</v>
      </c>
      <c r="D13" s="134">
        <v>150000</v>
      </c>
      <c r="E13" s="136">
        <v>40588</v>
      </c>
      <c r="F13" s="135">
        <v>40793</v>
      </c>
      <c r="G13" s="142">
        <f>YEAR(F13)</f>
        <v>2011</v>
      </c>
      <c r="I13" s="32" t="s">
        <v>77</v>
      </c>
      <c r="J13" s="216">
        <v>0.1</v>
      </c>
      <c r="K13" s="31">
        <v>4</v>
      </c>
      <c r="L13" s="154">
        <f>IF(B13&lt;&gt;"",F13+K13*365.25,"")</f>
        <v>42254</v>
      </c>
      <c r="M13" s="152">
        <f>(YEAR(L13)-1)-YEAR(E13)</f>
        <v>3</v>
      </c>
      <c r="N13" s="152">
        <f>(13-MONTH(E13))+MONTH(F13)+M13*12-1</f>
        <v>55</v>
      </c>
      <c r="O13" s="39">
        <f t="shared" si="1"/>
        <v>40588</v>
      </c>
      <c r="P13" s="63">
        <f t="shared" si="15"/>
        <v>44</v>
      </c>
      <c r="Q13" s="40" t="e">
        <f>#REF!</f>
        <v>#REF!</v>
      </c>
      <c r="R13" s="64" t="e">
        <f t="shared" si="16"/>
        <v>#REF!</v>
      </c>
      <c r="S13" s="41"/>
      <c r="T13" s="223">
        <v>0.1</v>
      </c>
      <c r="U13" s="42">
        <f>SUMPRODUCT($D$9:$D$51,$T$9:$T$51,--($G$9:$G$51=G13))/SUMIF($G$9:$G$51,G13:$G$51,$D$9:$D$51)</f>
        <v>0.1</v>
      </c>
      <c r="V13" s="65">
        <f t="shared" si="2"/>
        <v>15000</v>
      </c>
      <c r="W13" s="66" t="e">
        <f>T13*#REF!</f>
        <v>#REF!</v>
      </c>
      <c r="X13" s="43">
        <f t="shared" si="3"/>
        <v>0</v>
      </c>
      <c r="Y13" s="43">
        <f t="shared" si="3"/>
        <v>2999.9999999999995</v>
      </c>
      <c r="Z13" s="43">
        <f t="shared" si="3"/>
        <v>3272.7272727272721</v>
      </c>
      <c r="AA13" s="43">
        <f t="shared" si="3"/>
        <v>3272.7272727272721</v>
      </c>
      <c r="AB13" s="43">
        <f t="shared" si="3"/>
        <v>3272.7272727272721</v>
      </c>
      <c r="AC13" s="43">
        <f t="shared" si="3"/>
        <v>2181.8181818181815</v>
      </c>
      <c r="AD13" s="131">
        <f t="shared" si="3"/>
        <v>0</v>
      </c>
      <c r="AE13" s="50"/>
      <c r="AF13" s="67">
        <f t="shared" si="4"/>
        <v>150000</v>
      </c>
      <c r="AG13" s="44">
        <f t="shared" si="5"/>
        <v>3.6144578313253013E-3</v>
      </c>
      <c r="AH13" s="40">
        <f t="shared" si="18"/>
        <v>42254</v>
      </c>
      <c r="AI13" s="45">
        <f t="shared" si="6"/>
        <v>9.7045717115035485E-2</v>
      </c>
      <c r="AJ13" s="101">
        <f t="shared" si="7"/>
        <v>27000.000000000004</v>
      </c>
      <c r="AL13" s="127">
        <f>($AH$4-O13)</f>
        <v>686</v>
      </c>
      <c r="AM13" s="68">
        <f t="shared" si="8"/>
        <v>774</v>
      </c>
      <c r="AN13" s="68">
        <f t="shared" si="17"/>
        <v>86383.561643835623</v>
      </c>
      <c r="AO13" s="116">
        <f>(AN13/$AN$55)*J13</f>
        <v>3.6144578313253017E-3</v>
      </c>
      <c r="AP13" s="69">
        <f>((AH13-$AH$4)/365)*(AN13/$AN$55)</f>
        <v>9.7045717115035499E-2</v>
      </c>
      <c r="AQ13" s="101">
        <f t="shared" si="9"/>
        <v>15549.041095890414</v>
      </c>
      <c r="AS13" s="67">
        <f t="shared" si="10"/>
        <v>63616.438356164377</v>
      </c>
      <c r="AT13" s="70">
        <f>AS13*(1-$X$63)</f>
        <v>63616.438356164377</v>
      </c>
      <c r="AU13" s="70">
        <f t="shared" si="11"/>
        <v>150000</v>
      </c>
      <c r="AV13" s="23">
        <f>(AU13/$AU$55)*J13</f>
        <v>3.6144578313253013E-3</v>
      </c>
      <c r="AW13" s="78">
        <f>((AH13-$AH$4)/365)*(AU13/$AU$55)</f>
        <v>9.7045717115035485E-2</v>
      </c>
      <c r="AX13" s="101">
        <f t="shared" si="12"/>
        <v>27000.000000000004</v>
      </c>
      <c r="AY13" s="89">
        <f t="shared" si="13"/>
        <v>6361.6438356164381</v>
      </c>
      <c r="BA13" s="128">
        <f t="shared" si="14"/>
        <v>7.6646311272487194E-2</v>
      </c>
    </row>
    <row r="14" spans="1:54" ht="21.75" customHeight="1" x14ac:dyDescent="0.2">
      <c r="B14" s="215"/>
      <c r="C14" s="215"/>
      <c r="D14" s="134"/>
      <c r="E14" s="135"/>
      <c r="F14" s="135"/>
      <c r="G14" s="142"/>
      <c r="J14" s="216"/>
      <c r="L14" s="154"/>
      <c r="O14" s="39">
        <f t="shared" si="1"/>
        <v>0</v>
      </c>
      <c r="P14" s="63">
        <f t="shared" si="15"/>
        <v>0</v>
      </c>
      <c r="Q14" s="40" t="e">
        <f>#REF!</f>
        <v>#REF!</v>
      </c>
      <c r="R14" s="64" t="e">
        <f t="shared" si="16"/>
        <v>#REF!</v>
      </c>
      <c r="S14" s="41"/>
      <c r="T14" s="223"/>
      <c r="U14" s="42"/>
      <c r="V14" s="65">
        <f t="shared" si="2"/>
        <v>0</v>
      </c>
      <c r="W14" s="66" t="e">
        <f>T14*#REF!</f>
        <v>#REF!</v>
      </c>
      <c r="X14" s="43">
        <f t="shared" si="3"/>
        <v>0</v>
      </c>
      <c r="Y14" s="43">
        <f t="shared" si="3"/>
        <v>0</v>
      </c>
      <c r="Z14" s="43">
        <f t="shared" si="3"/>
        <v>0</v>
      </c>
      <c r="AA14" s="43">
        <f t="shared" si="3"/>
        <v>0</v>
      </c>
      <c r="AB14" s="43">
        <f t="shared" si="3"/>
        <v>0</v>
      </c>
      <c r="AC14" s="43">
        <f t="shared" si="3"/>
        <v>0</v>
      </c>
      <c r="AD14" s="131">
        <f t="shared" si="3"/>
        <v>0</v>
      </c>
      <c r="AE14" s="50"/>
      <c r="AF14" s="67">
        <f t="shared" si="4"/>
        <v>0</v>
      </c>
      <c r="AG14" s="44">
        <f t="shared" si="5"/>
        <v>0</v>
      </c>
      <c r="AH14" s="40">
        <f t="shared" si="18"/>
        <v>0</v>
      </c>
      <c r="AI14" s="45">
        <f t="shared" si="6"/>
        <v>0</v>
      </c>
      <c r="AJ14" s="101">
        <f t="shared" si="7"/>
        <v>0</v>
      </c>
      <c r="AL14" s="127">
        <f t="shared" ref="AL14:AL51" si="19">($AH$4-O14)</f>
        <v>41274</v>
      </c>
      <c r="AM14" s="68">
        <f t="shared" si="8"/>
        <v>0</v>
      </c>
      <c r="AN14" s="68">
        <f t="shared" ref="AN14:AN51" si="20">IF(AL14&gt;365,(AF14*(AL14/365/4)),0)</f>
        <v>0</v>
      </c>
      <c r="AO14" s="116">
        <f t="shared" ref="AO14:AO51" si="21">(AN14/$AN$55)*J14</f>
        <v>0</v>
      </c>
      <c r="AP14" s="69">
        <f t="shared" ref="AP14:AP51" si="22">((AH14-$AH$4)/365)*(AN14/$AN$55)</f>
        <v>0</v>
      </c>
      <c r="AQ14" s="101">
        <f t="shared" si="9"/>
        <v>0</v>
      </c>
      <c r="AS14" s="67">
        <f t="shared" si="10"/>
        <v>0</v>
      </c>
      <c r="AT14" s="70">
        <f t="shared" ref="AT14:AT51" si="23">AS14*(1-$X$63)</f>
        <v>0</v>
      </c>
      <c r="AU14" s="70">
        <f t="shared" ref="AU14:AU51" si="24">AT14+AN14</f>
        <v>0</v>
      </c>
      <c r="AV14" s="23">
        <f t="shared" ref="AV14:AV51" si="25">(AU14/$AU$55)*J14</f>
        <v>0</v>
      </c>
      <c r="AW14" s="78">
        <f t="shared" ref="AW14:AW51" si="26">((AH14-$AH$4)/365)*(AU14/$AU$55)</f>
        <v>0</v>
      </c>
      <c r="AX14" s="101">
        <f t="shared" si="12"/>
        <v>0</v>
      </c>
      <c r="AY14" s="89">
        <f t="shared" si="13"/>
        <v>0</v>
      </c>
      <c r="BA14" s="128">
        <f t="shared" si="14"/>
        <v>0</v>
      </c>
    </row>
    <row r="15" spans="1:54" ht="18.75" customHeight="1" x14ac:dyDescent="0.2">
      <c r="B15" s="215"/>
      <c r="C15" s="215"/>
      <c r="D15" s="134"/>
      <c r="E15" s="135"/>
      <c r="F15" s="135"/>
      <c r="G15" s="142"/>
      <c r="H15" s="147"/>
      <c r="J15" s="216"/>
      <c r="L15" s="154"/>
      <c r="O15" s="39">
        <f t="shared" si="1"/>
        <v>0</v>
      </c>
      <c r="P15" s="63">
        <f t="shared" si="15"/>
        <v>0</v>
      </c>
      <c r="Q15" s="40" t="e">
        <f>#REF!</f>
        <v>#REF!</v>
      </c>
      <c r="R15" s="64" t="e">
        <f t="shared" si="16"/>
        <v>#REF!</v>
      </c>
      <c r="S15" s="41"/>
      <c r="T15" s="223"/>
      <c r="U15" s="42"/>
      <c r="V15" s="65">
        <f t="shared" si="2"/>
        <v>0</v>
      </c>
      <c r="W15" s="66" t="e">
        <f>T15*#REF!</f>
        <v>#REF!</v>
      </c>
      <c r="X15" s="43">
        <f t="shared" si="3"/>
        <v>0</v>
      </c>
      <c r="Y15" s="43">
        <f t="shared" si="3"/>
        <v>0</v>
      </c>
      <c r="Z15" s="43">
        <f t="shared" si="3"/>
        <v>0</v>
      </c>
      <c r="AA15" s="43">
        <f t="shared" si="3"/>
        <v>0</v>
      </c>
      <c r="AB15" s="43">
        <f t="shared" si="3"/>
        <v>0</v>
      </c>
      <c r="AC15" s="43">
        <f t="shared" si="3"/>
        <v>0</v>
      </c>
      <c r="AD15" s="131">
        <f t="shared" si="3"/>
        <v>0</v>
      </c>
      <c r="AE15" s="50"/>
      <c r="AF15" s="67">
        <f t="shared" si="4"/>
        <v>0</v>
      </c>
      <c r="AG15" s="44">
        <f t="shared" ref="AG15:AG22" si="27">(AF15/$AF$55)*J15</f>
        <v>0</v>
      </c>
      <c r="AH15" s="40">
        <f t="shared" si="18"/>
        <v>0</v>
      </c>
      <c r="AI15" s="45">
        <f t="shared" si="6"/>
        <v>0</v>
      </c>
      <c r="AJ15" s="101">
        <f t="shared" si="7"/>
        <v>0</v>
      </c>
      <c r="AL15" s="127">
        <f t="shared" si="19"/>
        <v>41274</v>
      </c>
      <c r="AM15" s="68">
        <f t="shared" si="8"/>
        <v>0</v>
      </c>
      <c r="AN15" s="68">
        <f t="shared" si="20"/>
        <v>0</v>
      </c>
      <c r="AO15" s="116">
        <f t="shared" si="21"/>
        <v>0</v>
      </c>
      <c r="AP15" s="69">
        <f t="shared" si="22"/>
        <v>0</v>
      </c>
      <c r="AQ15" s="101">
        <f t="shared" si="9"/>
        <v>0</v>
      </c>
      <c r="AS15" s="67">
        <f t="shared" si="10"/>
        <v>0</v>
      </c>
      <c r="AT15" s="70">
        <f t="shared" si="23"/>
        <v>0</v>
      </c>
      <c r="AU15" s="70">
        <f t="shared" si="24"/>
        <v>0</v>
      </c>
      <c r="AV15" s="23">
        <f t="shared" si="25"/>
        <v>0</v>
      </c>
      <c r="AW15" s="78">
        <f t="shared" si="26"/>
        <v>0</v>
      </c>
      <c r="AX15" s="101">
        <f t="shared" si="12"/>
        <v>0</v>
      </c>
      <c r="AY15" s="89">
        <f t="shared" si="13"/>
        <v>0</v>
      </c>
      <c r="BA15" s="128">
        <f t="shared" si="14"/>
        <v>0</v>
      </c>
    </row>
    <row r="16" spans="1:54" ht="15" x14ac:dyDescent="0.2">
      <c r="B16" s="215"/>
      <c r="C16" s="215"/>
      <c r="D16" s="134"/>
      <c r="E16" s="135"/>
      <c r="F16" s="135"/>
      <c r="G16" s="142"/>
      <c r="H16" s="147"/>
      <c r="J16" s="216"/>
      <c r="L16" s="154"/>
      <c r="O16" s="39">
        <f t="shared" si="1"/>
        <v>0</v>
      </c>
      <c r="P16" s="63">
        <f t="shared" si="15"/>
        <v>0</v>
      </c>
      <c r="Q16" s="40" t="e">
        <f>#REF!</f>
        <v>#REF!</v>
      </c>
      <c r="R16" s="64" t="e">
        <f t="shared" si="16"/>
        <v>#REF!</v>
      </c>
      <c r="S16" s="41"/>
      <c r="T16" s="223"/>
      <c r="U16" s="42"/>
      <c r="V16" s="65">
        <f t="shared" si="2"/>
        <v>0</v>
      </c>
      <c r="W16" s="66" t="e">
        <f>T16*#REF!</f>
        <v>#REF!</v>
      </c>
      <c r="X16" s="43">
        <f t="shared" si="3"/>
        <v>0</v>
      </c>
      <c r="Y16" s="43">
        <f t="shared" si="3"/>
        <v>0</v>
      </c>
      <c r="Z16" s="43">
        <f t="shared" si="3"/>
        <v>0</v>
      </c>
      <c r="AA16" s="43">
        <f t="shared" si="3"/>
        <v>0</v>
      </c>
      <c r="AB16" s="43">
        <f t="shared" si="3"/>
        <v>0</v>
      </c>
      <c r="AC16" s="43">
        <f t="shared" si="3"/>
        <v>0</v>
      </c>
      <c r="AD16" s="131">
        <f t="shared" si="3"/>
        <v>0</v>
      </c>
      <c r="AE16" s="50"/>
      <c r="AF16" s="67">
        <f t="shared" si="4"/>
        <v>0</v>
      </c>
      <c r="AG16" s="44">
        <f t="shared" si="27"/>
        <v>0</v>
      </c>
      <c r="AH16" s="40">
        <f t="shared" si="18"/>
        <v>0</v>
      </c>
      <c r="AI16" s="45">
        <f t="shared" si="6"/>
        <v>0</v>
      </c>
      <c r="AJ16" s="101">
        <f t="shared" si="7"/>
        <v>0</v>
      </c>
      <c r="AL16" s="127">
        <f t="shared" si="19"/>
        <v>41274</v>
      </c>
      <c r="AM16" s="68">
        <f t="shared" si="8"/>
        <v>0</v>
      </c>
      <c r="AN16" s="68">
        <f t="shared" si="20"/>
        <v>0</v>
      </c>
      <c r="AO16" s="116">
        <f t="shared" si="21"/>
        <v>0</v>
      </c>
      <c r="AP16" s="69">
        <f t="shared" si="22"/>
        <v>0</v>
      </c>
      <c r="AQ16" s="101">
        <f t="shared" si="9"/>
        <v>0</v>
      </c>
      <c r="AS16" s="67">
        <f t="shared" si="10"/>
        <v>0</v>
      </c>
      <c r="AT16" s="70">
        <f t="shared" si="23"/>
        <v>0</v>
      </c>
      <c r="AU16" s="70">
        <f t="shared" si="24"/>
        <v>0</v>
      </c>
      <c r="AV16" s="23">
        <f t="shared" si="25"/>
        <v>0</v>
      </c>
      <c r="AW16" s="78">
        <f t="shared" si="26"/>
        <v>0</v>
      </c>
      <c r="AX16" s="101">
        <f t="shared" si="12"/>
        <v>0</v>
      </c>
      <c r="AY16" s="89">
        <f t="shared" si="13"/>
        <v>0</v>
      </c>
      <c r="BA16" s="128">
        <f t="shared" si="14"/>
        <v>0</v>
      </c>
    </row>
    <row r="17" spans="1:53" ht="15" x14ac:dyDescent="0.2">
      <c r="B17" s="215"/>
      <c r="C17" s="215"/>
      <c r="D17" s="134"/>
      <c r="E17" s="136"/>
      <c r="F17" s="135"/>
      <c r="G17" s="142"/>
      <c r="J17" s="216"/>
      <c r="L17" s="154"/>
      <c r="O17" s="39">
        <f t="shared" si="1"/>
        <v>0</v>
      </c>
      <c r="P17" s="63">
        <f t="shared" si="15"/>
        <v>0</v>
      </c>
      <c r="Q17" s="40" t="e">
        <f>#REF!</f>
        <v>#REF!</v>
      </c>
      <c r="R17" s="64" t="e">
        <f t="shared" si="16"/>
        <v>#REF!</v>
      </c>
      <c r="S17" s="41"/>
      <c r="T17" s="223"/>
      <c r="U17" s="42"/>
      <c r="V17" s="65">
        <f t="shared" si="2"/>
        <v>0</v>
      </c>
      <c r="W17" s="66" t="e">
        <f>T17*#REF!</f>
        <v>#REF!</v>
      </c>
      <c r="X17" s="43">
        <f t="shared" si="3"/>
        <v>0</v>
      </c>
      <c r="Y17" s="43">
        <f t="shared" si="3"/>
        <v>0</v>
      </c>
      <c r="Z17" s="43">
        <f t="shared" si="3"/>
        <v>0</v>
      </c>
      <c r="AA17" s="43">
        <f t="shared" si="3"/>
        <v>0</v>
      </c>
      <c r="AB17" s="43">
        <f t="shared" si="3"/>
        <v>0</v>
      </c>
      <c r="AC17" s="43">
        <f t="shared" si="3"/>
        <v>0</v>
      </c>
      <c r="AD17" s="131">
        <f t="shared" si="3"/>
        <v>0</v>
      </c>
      <c r="AE17" s="50"/>
      <c r="AF17" s="67">
        <f t="shared" si="4"/>
        <v>0</v>
      </c>
      <c r="AG17" s="44">
        <f t="shared" si="27"/>
        <v>0</v>
      </c>
      <c r="AH17" s="40">
        <f t="shared" si="18"/>
        <v>0</v>
      </c>
      <c r="AI17" s="45">
        <f t="shared" si="6"/>
        <v>0</v>
      </c>
      <c r="AJ17" s="101">
        <f t="shared" si="7"/>
        <v>0</v>
      </c>
      <c r="AL17" s="127">
        <f t="shared" si="19"/>
        <v>41274</v>
      </c>
      <c r="AM17" s="68">
        <f t="shared" si="8"/>
        <v>0</v>
      </c>
      <c r="AN17" s="68">
        <f t="shared" si="20"/>
        <v>0</v>
      </c>
      <c r="AO17" s="116">
        <f t="shared" si="21"/>
        <v>0</v>
      </c>
      <c r="AP17" s="69">
        <f t="shared" si="22"/>
        <v>0</v>
      </c>
      <c r="AQ17" s="101">
        <f t="shared" si="9"/>
        <v>0</v>
      </c>
      <c r="AS17" s="67">
        <f t="shared" si="10"/>
        <v>0</v>
      </c>
      <c r="AT17" s="70">
        <f t="shared" si="23"/>
        <v>0</v>
      </c>
      <c r="AU17" s="70">
        <f t="shared" si="24"/>
        <v>0</v>
      </c>
      <c r="AV17" s="23">
        <f t="shared" si="25"/>
        <v>0</v>
      </c>
      <c r="AW17" s="78">
        <f t="shared" si="26"/>
        <v>0</v>
      </c>
      <c r="AX17" s="101">
        <f t="shared" si="12"/>
        <v>0</v>
      </c>
      <c r="AY17" s="89">
        <f t="shared" si="13"/>
        <v>0</v>
      </c>
      <c r="BA17" s="128">
        <f t="shared" si="14"/>
        <v>0</v>
      </c>
    </row>
    <row r="18" spans="1:53" s="22" customFormat="1" ht="18" customHeight="1" x14ac:dyDescent="0.2">
      <c r="A18" s="76"/>
      <c r="B18" s="138"/>
      <c r="C18" s="138"/>
      <c r="D18" s="134"/>
      <c r="E18" s="135"/>
      <c r="F18" s="136"/>
      <c r="G18" s="136"/>
      <c r="H18" s="148"/>
      <c r="I18" s="32"/>
      <c r="J18" s="137"/>
      <c r="K18" s="31"/>
      <c r="L18" s="154" t="str">
        <f t="shared" ref="L18:L51" si="28">IF(B18&lt;&gt;"",F18+K18*365.25,"")</f>
        <v/>
      </c>
      <c r="M18" s="152"/>
      <c r="N18" s="157"/>
      <c r="O18" s="39">
        <f t="shared" ref="O18:O22" si="29">E18</f>
        <v>0</v>
      </c>
      <c r="P18" s="63">
        <f t="shared" si="15"/>
        <v>0</v>
      </c>
      <c r="Q18" s="40" t="e">
        <f>#REF!</f>
        <v>#REF!</v>
      </c>
      <c r="R18" s="64"/>
      <c r="S18" s="77"/>
      <c r="T18" s="224"/>
      <c r="U18" s="42"/>
      <c r="V18" s="65">
        <f t="shared" si="2"/>
        <v>0</v>
      </c>
      <c r="W18" s="66"/>
      <c r="X18" s="43"/>
      <c r="Y18" s="43"/>
      <c r="Z18" s="43"/>
      <c r="AA18" s="43"/>
      <c r="AB18" s="43"/>
      <c r="AC18" s="43"/>
      <c r="AD18" s="131"/>
      <c r="AF18" s="67">
        <f t="shared" si="4"/>
        <v>0</v>
      </c>
      <c r="AG18" s="44">
        <f t="shared" si="27"/>
        <v>0</v>
      </c>
      <c r="AH18" s="40">
        <f t="shared" si="18"/>
        <v>0</v>
      </c>
      <c r="AI18" s="78">
        <f t="shared" si="6"/>
        <v>0</v>
      </c>
      <c r="AJ18" s="101">
        <f t="shared" si="7"/>
        <v>0</v>
      </c>
      <c r="AL18" s="127">
        <f t="shared" si="19"/>
        <v>41274</v>
      </c>
      <c r="AM18" s="68">
        <f t="shared" si="8"/>
        <v>0</v>
      </c>
      <c r="AN18" s="68">
        <f t="shared" si="20"/>
        <v>0</v>
      </c>
      <c r="AO18" s="116">
        <f t="shared" si="21"/>
        <v>0</v>
      </c>
      <c r="AP18" s="69">
        <f t="shared" si="22"/>
        <v>0</v>
      </c>
      <c r="AQ18" s="101">
        <f t="shared" si="9"/>
        <v>0</v>
      </c>
      <c r="AS18" s="67">
        <f t="shared" si="10"/>
        <v>0</v>
      </c>
      <c r="AT18" s="70">
        <f t="shared" si="23"/>
        <v>0</v>
      </c>
      <c r="AU18" s="70">
        <f t="shared" si="24"/>
        <v>0</v>
      </c>
      <c r="AV18" s="23">
        <f t="shared" si="25"/>
        <v>0</v>
      </c>
      <c r="AW18" s="78">
        <f t="shared" si="26"/>
        <v>0</v>
      </c>
      <c r="AX18" s="101">
        <f t="shared" si="12"/>
        <v>0</v>
      </c>
      <c r="AY18" s="89">
        <f t="shared" si="13"/>
        <v>0</v>
      </c>
      <c r="BA18" s="128">
        <f t="shared" si="14"/>
        <v>0</v>
      </c>
    </row>
    <row r="19" spans="1:53" s="22" customFormat="1" ht="15" x14ac:dyDescent="0.2">
      <c r="A19" s="76"/>
      <c r="B19" s="138"/>
      <c r="C19" s="138"/>
      <c r="D19" s="134"/>
      <c r="E19" s="135"/>
      <c r="F19" s="136"/>
      <c r="G19" s="136"/>
      <c r="H19" s="148"/>
      <c r="I19" s="32"/>
      <c r="J19" s="137"/>
      <c r="K19" s="31"/>
      <c r="L19" s="154" t="str">
        <f t="shared" si="28"/>
        <v/>
      </c>
      <c r="M19" s="152"/>
      <c r="N19" s="157"/>
      <c r="O19" s="39">
        <f t="shared" si="29"/>
        <v>0</v>
      </c>
      <c r="P19" s="63">
        <f t="shared" si="15"/>
        <v>0</v>
      </c>
      <c r="Q19" s="40" t="e">
        <f>#REF!</f>
        <v>#REF!</v>
      </c>
      <c r="R19" s="64"/>
      <c r="S19" s="77"/>
      <c r="T19" s="224"/>
      <c r="U19" s="42"/>
      <c r="V19" s="65">
        <f t="shared" si="2"/>
        <v>0</v>
      </c>
      <c r="W19" s="66"/>
      <c r="X19" s="43"/>
      <c r="Y19" s="43"/>
      <c r="Z19" s="43"/>
      <c r="AA19" s="43"/>
      <c r="AB19" s="43"/>
      <c r="AC19" s="43"/>
      <c r="AD19" s="131"/>
      <c r="AF19" s="67">
        <f t="shared" si="4"/>
        <v>0</v>
      </c>
      <c r="AG19" s="44">
        <f t="shared" si="27"/>
        <v>0</v>
      </c>
      <c r="AH19" s="40">
        <f t="shared" si="18"/>
        <v>0</v>
      </c>
      <c r="AI19" s="78">
        <f t="shared" si="6"/>
        <v>0</v>
      </c>
      <c r="AJ19" s="101">
        <f t="shared" si="7"/>
        <v>0</v>
      </c>
      <c r="AL19" s="127">
        <f t="shared" si="19"/>
        <v>41274</v>
      </c>
      <c r="AM19" s="68">
        <f t="shared" si="8"/>
        <v>0</v>
      </c>
      <c r="AN19" s="68">
        <f t="shared" si="20"/>
        <v>0</v>
      </c>
      <c r="AO19" s="116">
        <f t="shared" si="21"/>
        <v>0</v>
      </c>
      <c r="AP19" s="69">
        <f t="shared" si="22"/>
        <v>0</v>
      </c>
      <c r="AQ19" s="101">
        <f t="shared" si="9"/>
        <v>0</v>
      </c>
      <c r="AS19" s="67">
        <f t="shared" si="10"/>
        <v>0</v>
      </c>
      <c r="AT19" s="70">
        <f t="shared" si="23"/>
        <v>0</v>
      </c>
      <c r="AU19" s="70">
        <f t="shared" si="24"/>
        <v>0</v>
      </c>
      <c r="AV19" s="23">
        <f t="shared" si="25"/>
        <v>0</v>
      </c>
      <c r="AW19" s="78">
        <f t="shared" si="26"/>
        <v>0</v>
      </c>
      <c r="AX19" s="101">
        <f t="shared" si="12"/>
        <v>0</v>
      </c>
      <c r="AY19" s="89">
        <f t="shared" si="13"/>
        <v>0</v>
      </c>
      <c r="BA19" s="128">
        <f t="shared" si="14"/>
        <v>0</v>
      </c>
    </row>
    <row r="20" spans="1:53" ht="15" x14ac:dyDescent="0.2">
      <c r="A20" s="38"/>
      <c r="L20" s="154"/>
      <c r="M20" s="163"/>
      <c r="O20" s="39">
        <f t="shared" si="29"/>
        <v>0</v>
      </c>
      <c r="P20" s="63">
        <f t="shared" si="15"/>
        <v>0</v>
      </c>
      <c r="Q20" s="40" t="e">
        <f>#REF!</f>
        <v>#REF!</v>
      </c>
      <c r="R20" s="64"/>
      <c r="S20" s="41"/>
      <c r="T20" s="225"/>
      <c r="U20" s="52"/>
      <c r="V20" s="65">
        <f t="shared" si="2"/>
        <v>0</v>
      </c>
      <c r="W20" s="66"/>
      <c r="X20" s="43"/>
      <c r="Y20" s="43"/>
      <c r="Z20" s="43"/>
      <c r="AA20" s="43"/>
      <c r="AB20" s="43"/>
      <c r="AC20" s="66"/>
      <c r="AD20" s="131"/>
      <c r="AF20" s="67">
        <f t="shared" si="4"/>
        <v>0</v>
      </c>
      <c r="AG20" s="44">
        <f t="shared" si="27"/>
        <v>0</v>
      </c>
      <c r="AH20" s="40">
        <f t="shared" si="18"/>
        <v>0</v>
      </c>
      <c r="AI20" s="45">
        <f t="shared" si="6"/>
        <v>0</v>
      </c>
      <c r="AJ20" s="101">
        <f t="shared" si="7"/>
        <v>0</v>
      </c>
      <c r="AL20" s="127">
        <f t="shared" si="19"/>
        <v>41274</v>
      </c>
      <c r="AM20" s="68">
        <f t="shared" si="8"/>
        <v>0</v>
      </c>
      <c r="AN20" s="68">
        <f t="shared" si="20"/>
        <v>0</v>
      </c>
      <c r="AO20" s="116">
        <f t="shared" si="21"/>
        <v>0</v>
      </c>
      <c r="AP20" s="69">
        <f t="shared" si="22"/>
        <v>0</v>
      </c>
      <c r="AQ20" s="101">
        <f t="shared" si="9"/>
        <v>0</v>
      </c>
      <c r="AS20" s="67">
        <f t="shared" si="10"/>
        <v>0</v>
      </c>
      <c r="AT20" s="70">
        <f t="shared" si="23"/>
        <v>0</v>
      </c>
      <c r="AU20" s="70">
        <f t="shared" si="24"/>
        <v>0</v>
      </c>
      <c r="AV20" s="23">
        <f t="shared" si="25"/>
        <v>0</v>
      </c>
      <c r="AW20" s="78">
        <f t="shared" si="26"/>
        <v>0</v>
      </c>
      <c r="AX20" s="101">
        <f t="shared" si="12"/>
        <v>0</v>
      </c>
      <c r="AY20" s="89">
        <f t="shared" si="13"/>
        <v>0</v>
      </c>
      <c r="BA20" s="128">
        <f t="shared" si="14"/>
        <v>0</v>
      </c>
    </row>
    <row r="21" spans="1:53" s="30" customFormat="1" ht="15" x14ac:dyDescent="0.3">
      <c r="A21" s="38"/>
      <c r="B21" s="61"/>
      <c r="C21" s="61"/>
      <c r="D21" s="71"/>
      <c r="E21" s="72"/>
      <c r="F21" s="72"/>
      <c r="G21" s="72"/>
      <c r="H21" s="149"/>
      <c r="I21" s="79"/>
      <c r="J21" s="54"/>
      <c r="K21" s="28"/>
      <c r="L21" s="154" t="str">
        <f t="shared" si="28"/>
        <v/>
      </c>
      <c r="M21" s="161"/>
      <c r="N21" s="158"/>
      <c r="O21" s="39">
        <f t="shared" si="29"/>
        <v>0</v>
      </c>
      <c r="P21" s="63">
        <f t="shared" si="15"/>
        <v>0</v>
      </c>
      <c r="Q21" s="40" t="e">
        <f>#REF!</f>
        <v>#REF!</v>
      </c>
      <c r="R21" s="27"/>
      <c r="S21" s="27"/>
      <c r="T21" s="226"/>
      <c r="U21" s="81"/>
      <c r="V21" s="65">
        <f t="shared" si="2"/>
        <v>0</v>
      </c>
      <c r="W21" s="29"/>
      <c r="X21" s="43"/>
      <c r="Y21" s="43"/>
      <c r="Z21" s="43"/>
      <c r="AA21" s="43"/>
      <c r="AB21" s="43"/>
      <c r="AC21" s="43"/>
      <c r="AD21" s="131"/>
      <c r="AF21" s="67">
        <f t="shared" si="4"/>
        <v>0</v>
      </c>
      <c r="AG21" s="44">
        <f t="shared" si="27"/>
        <v>0</v>
      </c>
      <c r="AH21" s="40">
        <f t="shared" si="18"/>
        <v>0</v>
      </c>
      <c r="AI21" s="45">
        <f t="shared" si="6"/>
        <v>0</v>
      </c>
      <c r="AJ21" s="101">
        <f t="shared" si="7"/>
        <v>0</v>
      </c>
      <c r="AL21" s="127">
        <f t="shared" si="19"/>
        <v>41274</v>
      </c>
      <c r="AM21" s="68">
        <f t="shared" si="8"/>
        <v>0</v>
      </c>
      <c r="AN21" s="68">
        <f t="shared" si="20"/>
        <v>0</v>
      </c>
      <c r="AO21" s="116">
        <f t="shared" si="21"/>
        <v>0</v>
      </c>
      <c r="AP21" s="69">
        <f t="shared" si="22"/>
        <v>0</v>
      </c>
      <c r="AQ21" s="101">
        <f t="shared" si="9"/>
        <v>0</v>
      </c>
      <c r="AS21" s="67">
        <f t="shared" si="10"/>
        <v>0</v>
      </c>
      <c r="AT21" s="70">
        <f t="shared" si="23"/>
        <v>0</v>
      </c>
      <c r="AU21" s="70">
        <f t="shared" si="24"/>
        <v>0</v>
      </c>
      <c r="AV21" s="23">
        <f t="shared" si="25"/>
        <v>0</v>
      </c>
      <c r="AW21" s="78">
        <f t="shared" si="26"/>
        <v>0</v>
      </c>
      <c r="AX21" s="101">
        <f t="shared" si="12"/>
        <v>0</v>
      </c>
      <c r="AY21" s="89">
        <f t="shared" si="13"/>
        <v>0</v>
      </c>
      <c r="BA21" s="128">
        <f t="shared" si="14"/>
        <v>0</v>
      </c>
    </row>
    <row r="22" spans="1:53" s="30" customFormat="1" ht="15" x14ac:dyDescent="0.3">
      <c r="B22" s="61"/>
      <c r="C22" s="61"/>
      <c r="D22" s="71"/>
      <c r="E22" s="72"/>
      <c r="F22" s="72"/>
      <c r="G22" s="72"/>
      <c r="H22" s="149"/>
      <c r="I22" s="25"/>
      <c r="J22" s="55"/>
      <c r="K22" s="28"/>
      <c r="L22" s="154" t="str">
        <f t="shared" si="28"/>
        <v/>
      </c>
      <c r="M22" s="161"/>
      <c r="N22" s="158"/>
      <c r="O22" s="39">
        <f t="shared" si="29"/>
        <v>0</v>
      </c>
      <c r="P22" s="63">
        <f t="shared" si="15"/>
        <v>0</v>
      </c>
      <c r="Q22" s="40" t="e">
        <f>#REF!</f>
        <v>#REF!</v>
      </c>
      <c r="R22" s="27"/>
      <c r="S22" s="27"/>
      <c r="T22" s="226"/>
      <c r="U22" s="81"/>
      <c r="V22" s="65">
        <f t="shared" si="2"/>
        <v>0</v>
      </c>
      <c r="W22" s="29"/>
      <c r="X22" s="43"/>
      <c r="Y22" s="43"/>
      <c r="Z22" s="43"/>
      <c r="AA22" s="43"/>
      <c r="AB22" s="43"/>
      <c r="AC22" s="43"/>
      <c r="AD22" s="131"/>
      <c r="AF22" s="67">
        <f t="shared" ref="AF22:AF51" si="30">D22</f>
        <v>0</v>
      </c>
      <c r="AG22" s="44">
        <f t="shared" si="27"/>
        <v>0</v>
      </c>
      <c r="AH22" s="40">
        <f t="shared" si="18"/>
        <v>0</v>
      </c>
      <c r="AI22" s="45">
        <f t="shared" si="6"/>
        <v>0</v>
      </c>
      <c r="AJ22" s="101">
        <f t="shared" si="7"/>
        <v>0</v>
      </c>
      <c r="AL22" s="127">
        <f t="shared" si="19"/>
        <v>41274</v>
      </c>
      <c r="AM22" s="68">
        <f t="shared" si="8"/>
        <v>0</v>
      </c>
      <c r="AN22" s="68">
        <f t="shared" si="20"/>
        <v>0</v>
      </c>
      <c r="AO22" s="116">
        <f t="shared" si="21"/>
        <v>0</v>
      </c>
      <c r="AP22" s="69">
        <f t="shared" si="22"/>
        <v>0</v>
      </c>
      <c r="AQ22" s="101">
        <f t="shared" si="9"/>
        <v>0</v>
      </c>
      <c r="AS22" s="67">
        <f t="shared" si="10"/>
        <v>0</v>
      </c>
      <c r="AT22" s="70">
        <f t="shared" si="23"/>
        <v>0</v>
      </c>
      <c r="AU22" s="70">
        <f t="shared" si="24"/>
        <v>0</v>
      </c>
      <c r="AV22" s="23">
        <f t="shared" si="25"/>
        <v>0</v>
      </c>
      <c r="AW22" s="78">
        <f t="shared" si="26"/>
        <v>0</v>
      </c>
      <c r="AX22" s="101">
        <f t="shared" si="12"/>
        <v>0</v>
      </c>
      <c r="AY22" s="89">
        <f t="shared" si="13"/>
        <v>0</v>
      </c>
      <c r="BA22" s="128">
        <f t="shared" si="14"/>
        <v>0</v>
      </c>
    </row>
    <row r="23" spans="1:53" s="30" customFormat="1" ht="15" x14ac:dyDescent="0.3">
      <c r="B23" s="61"/>
      <c r="C23" s="61"/>
      <c r="D23" s="71"/>
      <c r="E23" s="72"/>
      <c r="F23" s="72"/>
      <c r="G23" s="72"/>
      <c r="H23" s="149"/>
      <c r="I23" s="25"/>
      <c r="J23" s="55"/>
      <c r="K23" s="28"/>
      <c r="L23" s="154" t="str">
        <f t="shared" si="28"/>
        <v/>
      </c>
      <c r="M23" s="161"/>
      <c r="N23" s="158"/>
      <c r="O23" s="39">
        <f t="shared" ref="O23:O51" si="31">E23</f>
        <v>0</v>
      </c>
      <c r="P23" s="63">
        <f t="shared" ref="P23:P51" si="32">MONTH(O23)*30-30+DAY(O23)</f>
        <v>0</v>
      </c>
      <c r="Q23" s="40" t="e">
        <f>#REF!</f>
        <v>#REF!</v>
      </c>
      <c r="R23" s="27"/>
      <c r="S23" s="27"/>
      <c r="T23" s="226"/>
      <c r="U23" s="81"/>
      <c r="V23" s="65">
        <f t="shared" si="2"/>
        <v>0</v>
      </c>
      <c r="W23" s="29"/>
      <c r="X23" s="43"/>
      <c r="Y23" s="43"/>
      <c r="Z23" s="43"/>
      <c r="AA23" s="43"/>
      <c r="AB23" s="43"/>
      <c r="AC23" s="43"/>
      <c r="AD23" s="131"/>
      <c r="AF23" s="67">
        <f t="shared" si="30"/>
        <v>0</v>
      </c>
      <c r="AG23" s="44">
        <f t="shared" ref="AG23:AG29" si="33">(AF23/$AF$55)*J23</f>
        <v>0</v>
      </c>
      <c r="AH23" s="40">
        <f t="shared" si="18"/>
        <v>0</v>
      </c>
      <c r="AI23" s="45">
        <f t="shared" si="6"/>
        <v>0</v>
      </c>
      <c r="AJ23" s="101">
        <f t="shared" si="7"/>
        <v>0</v>
      </c>
      <c r="AL23" s="127">
        <f t="shared" si="19"/>
        <v>41274</v>
      </c>
      <c r="AM23" s="68">
        <f t="shared" si="8"/>
        <v>0</v>
      </c>
      <c r="AN23" s="68">
        <f t="shared" si="20"/>
        <v>0</v>
      </c>
      <c r="AO23" s="116">
        <f t="shared" si="21"/>
        <v>0</v>
      </c>
      <c r="AP23" s="69">
        <f t="shared" si="22"/>
        <v>0</v>
      </c>
      <c r="AQ23" s="101">
        <f t="shared" si="9"/>
        <v>0</v>
      </c>
      <c r="AS23" s="67">
        <f t="shared" si="10"/>
        <v>0</v>
      </c>
      <c r="AT23" s="70">
        <f t="shared" si="23"/>
        <v>0</v>
      </c>
      <c r="AU23" s="70">
        <f t="shared" si="24"/>
        <v>0</v>
      </c>
      <c r="AV23" s="23">
        <f t="shared" si="25"/>
        <v>0</v>
      </c>
      <c r="AW23" s="78">
        <f t="shared" si="26"/>
        <v>0</v>
      </c>
      <c r="AX23" s="101">
        <f t="shared" si="12"/>
        <v>0</v>
      </c>
      <c r="AY23" s="89">
        <f t="shared" si="13"/>
        <v>0</v>
      </c>
      <c r="BA23" s="128">
        <f t="shared" si="14"/>
        <v>0</v>
      </c>
    </row>
    <row r="24" spans="1:53" s="30" customFormat="1" ht="15" x14ac:dyDescent="0.3">
      <c r="B24" s="61"/>
      <c r="C24" s="61"/>
      <c r="D24" s="71"/>
      <c r="E24" s="72"/>
      <c r="F24" s="72"/>
      <c r="G24" s="72"/>
      <c r="H24" s="149"/>
      <c r="I24" s="25"/>
      <c r="J24" s="55"/>
      <c r="K24" s="28"/>
      <c r="L24" s="154" t="str">
        <f t="shared" si="28"/>
        <v/>
      </c>
      <c r="M24" s="161"/>
      <c r="N24" s="158"/>
      <c r="O24" s="39">
        <f t="shared" si="31"/>
        <v>0</v>
      </c>
      <c r="P24" s="63">
        <f t="shared" si="32"/>
        <v>0</v>
      </c>
      <c r="Q24" s="40" t="e">
        <f>#REF!</f>
        <v>#REF!</v>
      </c>
      <c r="R24" s="27"/>
      <c r="S24" s="27"/>
      <c r="T24" s="226"/>
      <c r="U24" s="81"/>
      <c r="V24" s="65">
        <f t="shared" si="2"/>
        <v>0</v>
      </c>
      <c r="W24" s="29"/>
      <c r="X24" s="43"/>
      <c r="Y24" s="43"/>
      <c r="Z24" s="43"/>
      <c r="AA24" s="43"/>
      <c r="AB24" s="43"/>
      <c r="AC24" s="43"/>
      <c r="AD24" s="131"/>
      <c r="AF24" s="67">
        <f t="shared" si="30"/>
        <v>0</v>
      </c>
      <c r="AG24" s="44">
        <f t="shared" si="33"/>
        <v>0</v>
      </c>
      <c r="AH24" s="40">
        <f t="shared" si="18"/>
        <v>0</v>
      </c>
      <c r="AI24" s="45">
        <f t="shared" si="6"/>
        <v>0</v>
      </c>
      <c r="AJ24" s="101">
        <f t="shared" si="7"/>
        <v>0</v>
      </c>
      <c r="AL24" s="127">
        <f t="shared" si="19"/>
        <v>41274</v>
      </c>
      <c r="AM24" s="68">
        <f t="shared" si="8"/>
        <v>0</v>
      </c>
      <c r="AN24" s="68">
        <f t="shared" si="20"/>
        <v>0</v>
      </c>
      <c r="AO24" s="116">
        <f t="shared" si="21"/>
        <v>0</v>
      </c>
      <c r="AP24" s="69">
        <f t="shared" si="22"/>
        <v>0</v>
      </c>
      <c r="AQ24" s="101">
        <f t="shared" si="9"/>
        <v>0</v>
      </c>
      <c r="AS24" s="67">
        <f t="shared" si="10"/>
        <v>0</v>
      </c>
      <c r="AT24" s="70">
        <f t="shared" si="23"/>
        <v>0</v>
      </c>
      <c r="AU24" s="70">
        <f t="shared" si="24"/>
        <v>0</v>
      </c>
      <c r="AV24" s="23">
        <f t="shared" si="25"/>
        <v>0</v>
      </c>
      <c r="AW24" s="78">
        <f t="shared" si="26"/>
        <v>0</v>
      </c>
      <c r="AX24" s="101">
        <f t="shared" si="12"/>
        <v>0</v>
      </c>
      <c r="AY24" s="89">
        <f t="shared" si="13"/>
        <v>0</v>
      </c>
      <c r="BA24" s="128">
        <f t="shared" si="14"/>
        <v>0</v>
      </c>
    </row>
    <row r="25" spans="1:53" s="30" customFormat="1" ht="15" x14ac:dyDescent="0.3">
      <c r="B25" s="61"/>
      <c r="C25" s="61"/>
      <c r="D25" s="71"/>
      <c r="E25" s="72"/>
      <c r="F25" s="72"/>
      <c r="G25" s="72"/>
      <c r="H25" s="149"/>
      <c r="I25" s="25"/>
      <c r="J25" s="55"/>
      <c r="K25" s="28"/>
      <c r="L25" s="154" t="str">
        <f t="shared" si="28"/>
        <v/>
      </c>
      <c r="M25" s="161"/>
      <c r="N25" s="158"/>
      <c r="O25" s="39">
        <f t="shared" si="31"/>
        <v>0</v>
      </c>
      <c r="P25" s="63">
        <f t="shared" si="32"/>
        <v>0</v>
      </c>
      <c r="Q25" s="40" t="e">
        <f>#REF!</f>
        <v>#REF!</v>
      </c>
      <c r="R25" s="27"/>
      <c r="S25" s="27"/>
      <c r="T25" s="226"/>
      <c r="U25" s="81"/>
      <c r="V25" s="65">
        <f t="shared" si="2"/>
        <v>0</v>
      </c>
      <c r="W25" s="29"/>
      <c r="X25" s="43"/>
      <c r="Y25" s="43"/>
      <c r="Z25" s="43"/>
      <c r="AA25" s="43"/>
      <c r="AB25" s="43"/>
      <c r="AC25" s="43"/>
      <c r="AD25" s="131"/>
      <c r="AF25" s="67">
        <f t="shared" si="30"/>
        <v>0</v>
      </c>
      <c r="AG25" s="44">
        <f t="shared" si="33"/>
        <v>0</v>
      </c>
      <c r="AH25" s="40">
        <f t="shared" si="18"/>
        <v>0</v>
      </c>
      <c r="AI25" s="45">
        <f t="shared" si="6"/>
        <v>0</v>
      </c>
      <c r="AJ25" s="101">
        <f t="shared" si="7"/>
        <v>0</v>
      </c>
      <c r="AL25" s="127">
        <f t="shared" si="19"/>
        <v>41274</v>
      </c>
      <c r="AM25" s="68">
        <f t="shared" si="8"/>
        <v>0</v>
      </c>
      <c r="AN25" s="68">
        <f t="shared" si="20"/>
        <v>0</v>
      </c>
      <c r="AO25" s="116">
        <f t="shared" si="21"/>
        <v>0</v>
      </c>
      <c r="AP25" s="69">
        <f t="shared" si="22"/>
        <v>0</v>
      </c>
      <c r="AQ25" s="101">
        <f t="shared" si="9"/>
        <v>0</v>
      </c>
      <c r="AS25" s="67">
        <f t="shared" si="10"/>
        <v>0</v>
      </c>
      <c r="AT25" s="70">
        <f t="shared" si="23"/>
        <v>0</v>
      </c>
      <c r="AU25" s="70">
        <f t="shared" si="24"/>
        <v>0</v>
      </c>
      <c r="AV25" s="23">
        <f t="shared" si="25"/>
        <v>0</v>
      </c>
      <c r="AW25" s="78">
        <f t="shared" si="26"/>
        <v>0</v>
      </c>
      <c r="AX25" s="101">
        <f t="shared" si="12"/>
        <v>0</v>
      </c>
      <c r="AY25" s="89">
        <f t="shared" si="13"/>
        <v>0</v>
      </c>
      <c r="BA25" s="128">
        <f t="shared" si="14"/>
        <v>0</v>
      </c>
    </row>
    <row r="26" spans="1:53" s="30" customFormat="1" ht="15" x14ac:dyDescent="0.3">
      <c r="B26" s="61"/>
      <c r="C26" s="61"/>
      <c r="D26" s="71"/>
      <c r="E26" s="72"/>
      <c r="F26" s="72"/>
      <c r="G26" s="72"/>
      <c r="H26" s="149"/>
      <c r="I26" s="25"/>
      <c r="J26" s="55"/>
      <c r="K26" s="28"/>
      <c r="L26" s="154" t="str">
        <f t="shared" si="28"/>
        <v/>
      </c>
      <c r="M26" s="161"/>
      <c r="N26" s="158"/>
      <c r="O26" s="39">
        <f t="shared" si="31"/>
        <v>0</v>
      </c>
      <c r="P26" s="63">
        <f t="shared" si="32"/>
        <v>0</v>
      </c>
      <c r="Q26" s="40" t="e">
        <f>#REF!</f>
        <v>#REF!</v>
      </c>
      <c r="R26" s="27"/>
      <c r="S26" s="27"/>
      <c r="T26" s="226"/>
      <c r="U26" s="81"/>
      <c r="V26" s="65">
        <f t="shared" si="2"/>
        <v>0</v>
      </c>
      <c r="W26" s="29"/>
      <c r="X26" s="43"/>
      <c r="Y26" s="43"/>
      <c r="Z26" s="43"/>
      <c r="AA26" s="43"/>
      <c r="AB26" s="43"/>
      <c r="AC26" s="43"/>
      <c r="AD26" s="131"/>
      <c r="AF26" s="67">
        <f t="shared" si="30"/>
        <v>0</v>
      </c>
      <c r="AG26" s="44">
        <f t="shared" si="33"/>
        <v>0</v>
      </c>
      <c r="AH26" s="40">
        <f t="shared" si="18"/>
        <v>0</v>
      </c>
      <c r="AI26" s="45">
        <f t="shared" si="6"/>
        <v>0</v>
      </c>
      <c r="AJ26" s="101">
        <f t="shared" si="7"/>
        <v>0</v>
      </c>
      <c r="AL26" s="127">
        <f t="shared" si="19"/>
        <v>41274</v>
      </c>
      <c r="AM26" s="68">
        <f t="shared" si="8"/>
        <v>0</v>
      </c>
      <c r="AN26" s="68">
        <f t="shared" si="20"/>
        <v>0</v>
      </c>
      <c r="AO26" s="116">
        <f t="shared" si="21"/>
        <v>0</v>
      </c>
      <c r="AP26" s="69">
        <f t="shared" si="22"/>
        <v>0</v>
      </c>
      <c r="AQ26" s="101">
        <f t="shared" si="9"/>
        <v>0</v>
      </c>
      <c r="AS26" s="67">
        <f t="shared" si="10"/>
        <v>0</v>
      </c>
      <c r="AT26" s="70">
        <f t="shared" si="23"/>
        <v>0</v>
      </c>
      <c r="AU26" s="70">
        <f t="shared" si="24"/>
        <v>0</v>
      </c>
      <c r="AV26" s="23">
        <f t="shared" si="25"/>
        <v>0</v>
      </c>
      <c r="AW26" s="78">
        <f t="shared" si="26"/>
        <v>0</v>
      </c>
      <c r="AX26" s="101">
        <f t="shared" si="12"/>
        <v>0</v>
      </c>
      <c r="AY26" s="89">
        <f t="shared" si="13"/>
        <v>0</v>
      </c>
      <c r="BA26" s="128">
        <f t="shared" si="14"/>
        <v>0</v>
      </c>
    </row>
    <row r="27" spans="1:53" s="30" customFormat="1" ht="15" x14ac:dyDescent="0.3">
      <c r="B27" s="61"/>
      <c r="C27" s="61"/>
      <c r="D27" s="71"/>
      <c r="E27" s="72"/>
      <c r="F27" s="72"/>
      <c r="G27" s="72"/>
      <c r="H27" s="149"/>
      <c r="I27" s="25"/>
      <c r="J27" s="55"/>
      <c r="K27" s="28"/>
      <c r="L27" s="154" t="str">
        <f t="shared" si="28"/>
        <v/>
      </c>
      <c r="M27" s="161"/>
      <c r="N27" s="158"/>
      <c r="O27" s="39">
        <f t="shared" si="31"/>
        <v>0</v>
      </c>
      <c r="P27" s="63">
        <f t="shared" si="32"/>
        <v>0</v>
      </c>
      <c r="Q27" s="40" t="e">
        <f>#REF!</f>
        <v>#REF!</v>
      </c>
      <c r="R27" s="27"/>
      <c r="S27" s="27"/>
      <c r="T27" s="226"/>
      <c r="U27" s="81"/>
      <c r="V27" s="65">
        <f t="shared" si="2"/>
        <v>0</v>
      </c>
      <c r="W27" s="29"/>
      <c r="X27" s="43"/>
      <c r="Y27" s="43"/>
      <c r="Z27" s="43"/>
      <c r="AA27" s="43"/>
      <c r="AB27" s="43"/>
      <c r="AC27" s="43"/>
      <c r="AD27" s="131"/>
      <c r="AF27" s="67">
        <f t="shared" si="30"/>
        <v>0</v>
      </c>
      <c r="AG27" s="44">
        <f t="shared" si="33"/>
        <v>0</v>
      </c>
      <c r="AH27" s="40">
        <f t="shared" si="18"/>
        <v>0</v>
      </c>
      <c r="AI27" s="45">
        <f t="shared" si="6"/>
        <v>0</v>
      </c>
      <c r="AJ27" s="101">
        <f t="shared" ref="AJ27:AJ51" si="34">AF27*($AI$4-J27)</f>
        <v>0</v>
      </c>
      <c r="AL27" s="127">
        <f t="shared" si="19"/>
        <v>41274</v>
      </c>
      <c r="AM27" s="68">
        <f t="shared" si="8"/>
        <v>0</v>
      </c>
      <c r="AN27" s="68">
        <f t="shared" si="20"/>
        <v>0</v>
      </c>
      <c r="AO27" s="116">
        <f t="shared" si="21"/>
        <v>0</v>
      </c>
      <c r="AP27" s="69">
        <f t="shared" si="22"/>
        <v>0</v>
      </c>
      <c r="AQ27" s="101">
        <f t="shared" si="9"/>
        <v>0</v>
      </c>
      <c r="AS27" s="67">
        <f t="shared" si="10"/>
        <v>0</v>
      </c>
      <c r="AT27" s="70">
        <f t="shared" si="23"/>
        <v>0</v>
      </c>
      <c r="AU27" s="70">
        <f t="shared" si="24"/>
        <v>0</v>
      </c>
      <c r="AV27" s="23">
        <f t="shared" si="25"/>
        <v>0</v>
      </c>
      <c r="AW27" s="78">
        <f t="shared" si="26"/>
        <v>0</v>
      </c>
      <c r="AX27" s="101">
        <f t="shared" si="12"/>
        <v>0</v>
      </c>
      <c r="AY27" s="89">
        <f t="shared" si="13"/>
        <v>0</v>
      </c>
      <c r="BA27" s="128">
        <f t="shared" si="14"/>
        <v>0</v>
      </c>
    </row>
    <row r="28" spans="1:53" s="30" customFormat="1" ht="15" x14ac:dyDescent="0.3">
      <c r="B28" s="61"/>
      <c r="C28" s="61"/>
      <c r="D28" s="71"/>
      <c r="E28" s="72"/>
      <c r="F28" s="72"/>
      <c r="G28" s="72"/>
      <c r="H28" s="149"/>
      <c r="I28" s="25"/>
      <c r="J28" s="55"/>
      <c r="K28" s="28"/>
      <c r="L28" s="154" t="str">
        <f t="shared" si="28"/>
        <v/>
      </c>
      <c r="M28" s="161"/>
      <c r="N28" s="158"/>
      <c r="O28" s="39">
        <f t="shared" si="31"/>
        <v>0</v>
      </c>
      <c r="P28" s="63">
        <f t="shared" si="32"/>
        <v>0</v>
      </c>
      <c r="Q28" s="40" t="e">
        <f>#REF!</f>
        <v>#REF!</v>
      </c>
      <c r="R28" s="27"/>
      <c r="S28" s="27"/>
      <c r="T28" s="226"/>
      <c r="U28" s="81"/>
      <c r="V28" s="65">
        <f t="shared" si="2"/>
        <v>0</v>
      </c>
      <c r="W28" s="29"/>
      <c r="X28" s="43"/>
      <c r="Y28" s="43"/>
      <c r="Z28" s="43"/>
      <c r="AA28" s="43"/>
      <c r="AB28" s="43"/>
      <c r="AC28" s="43"/>
      <c r="AD28" s="131"/>
      <c r="AF28" s="67">
        <f t="shared" si="30"/>
        <v>0</v>
      </c>
      <c r="AG28" s="44">
        <f t="shared" si="33"/>
        <v>0</v>
      </c>
      <c r="AH28" s="40">
        <f t="shared" si="18"/>
        <v>0</v>
      </c>
      <c r="AI28" s="45">
        <f t="shared" si="6"/>
        <v>0</v>
      </c>
      <c r="AJ28" s="101">
        <f t="shared" si="34"/>
        <v>0</v>
      </c>
      <c r="AL28" s="127">
        <f t="shared" si="19"/>
        <v>41274</v>
      </c>
      <c r="AM28" s="68">
        <f t="shared" si="8"/>
        <v>0</v>
      </c>
      <c r="AN28" s="68">
        <f t="shared" si="20"/>
        <v>0</v>
      </c>
      <c r="AO28" s="116">
        <f t="shared" si="21"/>
        <v>0</v>
      </c>
      <c r="AP28" s="69">
        <f t="shared" si="22"/>
        <v>0</v>
      </c>
      <c r="AQ28" s="101">
        <f t="shared" si="9"/>
        <v>0</v>
      </c>
      <c r="AS28" s="67">
        <f t="shared" si="10"/>
        <v>0</v>
      </c>
      <c r="AT28" s="70">
        <f t="shared" si="23"/>
        <v>0</v>
      </c>
      <c r="AU28" s="70">
        <f t="shared" si="24"/>
        <v>0</v>
      </c>
      <c r="AV28" s="23">
        <f t="shared" si="25"/>
        <v>0</v>
      </c>
      <c r="AW28" s="78">
        <f t="shared" si="26"/>
        <v>0</v>
      </c>
      <c r="AX28" s="101">
        <f t="shared" si="12"/>
        <v>0</v>
      </c>
      <c r="AY28" s="89">
        <f t="shared" si="13"/>
        <v>0</v>
      </c>
      <c r="BA28" s="128">
        <f t="shared" si="14"/>
        <v>0</v>
      </c>
    </row>
    <row r="29" spans="1:53" s="30" customFormat="1" ht="15" x14ac:dyDescent="0.3">
      <c r="B29" s="61"/>
      <c r="C29" s="61"/>
      <c r="D29" s="71"/>
      <c r="E29" s="72"/>
      <c r="F29" s="72"/>
      <c r="G29" s="72"/>
      <c r="H29" s="149"/>
      <c r="I29" s="25"/>
      <c r="J29" s="55"/>
      <c r="K29" s="28"/>
      <c r="L29" s="154" t="str">
        <f t="shared" si="28"/>
        <v/>
      </c>
      <c r="M29" s="161"/>
      <c r="N29" s="158"/>
      <c r="O29" s="39">
        <f t="shared" si="31"/>
        <v>0</v>
      </c>
      <c r="P29" s="63">
        <f t="shared" si="32"/>
        <v>0</v>
      </c>
      <c r="Q29" s="40" t="e">
        <f>#REF!</f>
        <v>#REF!</v>
      </c>
      <c r="R29" s="27"/>
      <c r="S29" s="27"/>
      <c r="T29" s="226"/>
      <c r="U29" s="81"/>
      <c r="V29" s="65">
        <f t="shared" si="2"/>
        <v>0</v>
      </c>
      <c r="W29" s="29"/>
      <c r="X29" s="43"/>
      <c r="Y29" s="43"/>
      <c r="Z29" s="43"/>
      <c r="AA29" s="43"/>
      <c r="AB29" s="43"/>
      <c r="AC29" s="43"/>
      <c r="AD29" s="131"/>
      <c r="AF29" s="67">
        <f t="shared" si="30"/>
        <v>0</v>
      </c>
      <c r="AG29" s="44">
        <f t="shared" si="33"/>
        <v>0</v>
      </c>
      <c r="AH29" s="40">
        <f t="shared" si="18"/>
        <v>0</v>
      </c>
      <c r="AI29" s="45">
        <f t="shared" si="6"/>
        <v>0</v>
      </c>
      <c r="AJ29" s="101">
        <f t="shared" si="34"/>
        <v>0</v>
      </c>
      <c r="AL29" s="127">
        <f t="shared" si="19"/>
        <v>41274</v>
      </c>
      <c r="AM29" s="68">
        <f t="shared" si="8"/>
        <v>0</v>
      </c>
      <c r="AN29" s="68">
        <f t="shared" si="20"/>
        <v>0</v>
      </c>
      <c r="AO29" s="116">
        <f t="shared" si="21"/>
        <v>0</v>
      </c>
      <c r="AP29" s="69">
        <f t="shared" si="22"/>
        <v>0</v>
      </c>
      <c r="AQ29" s="101">
        <f t="shared" si="9"/>
        <v>0</v>
      </c>
      <c r="AS29" s="67">
        <f t="shared" si="10"/>
        <v>0</v>
      </c>
      <c r="AT29" s="70">
        <f t="shared" si="23"/>
        <v>0</v>
      </c>
      <c r="AU29" s="70">
        <f t="shared" si="24"/>
        <v>0</v>
      </c>
      <c r="AV29" s="23">
        <f t="shared" si="25"/>
        <v>0</v>
      </c>
      <c r="AW29" s="78">
        <f t="shared" si="26"/>
        <v>0</v>
      </c>
      <c r="AX29" s="101">
        <f t="shared" si="12"/>
        <v>0</v>
      </c>
      <c r="AY29" s="89">
        <f t="shared" si="13"/>
        <v>0</v>
      </c>
      <c r="BA29" s="128">
        <f t="shared" si="14"/>
        <v>0</v>
      </c>
    </row>
    <row r="30" spans="1:53" s="58" customFormat="1" ht="15" x14ac:dyDescent="0.3">
      <c r="B30" s="61"/>
      <c r="C30" s="61"/>
      <c r="D30" s="71"/>
      <c r="E30" s="72"/>
      <c r="F30" s="72"/>
      <c r="G30" s="72"/>
      <c r="H30" s="149"/>
      <c r="I30" s="25"/>
      <c r="J30" s="55"/>
      <c r="K30" s="80"/>
      <c r="L30" s="154" t="str">
        <f t="shared" si="28"/>
        <v/>
      </c>
      <c r="M30" s="164"/>
      <c r="N30" s="159"/>
      <c r="O30" s="39">
        <f t="shared" si="31"/>
        <v>0</v>
      </c>
      <c r="P30" s="63">
        <f t="shared" si="32"/>
        <v>0</v>
      </c>
      <c r="Q30" s="40"/>
      <c r="R30" s="79"/>
      <c r="S30" s="79"/>
      <c r="T30" s="226"/>
      <c r="U30" s="81"/>
      <c r="V30" s="65">
        <f t="shared" si="2"/>
        <v>0</v>
      </c>
      <c r="W30" s="80"/>
      <c r="X30" s="43"/>
      <c r="Y30" s="43"/>
      <c r="Z30" s="43"/>
      <c r="AA30" s="43"/>
      <c r="AB30" s="43"/>
      <c r="AC30" s="43"/>
      <c r="AD30" s="131"/>
      <c r="AF30" s="67">
        <f t="shared" si="30"/>
        <v>0</v>
      </c>
      <c r="AG30" s="44"/>
      <c r="AH30" s="40">
        <f t="shared" si="18"/>
        <v>0</v>
      </c>
      <c r="AI30" s="45"/>
      <c r="AJ30" s="101">
        <f t="shared" si="34"/>
        <v>0</v>
      </c>
      <c r="AL30" s="127">
        <f t="shared" si="19"/>
        <v>41274</v>
      </c>
      <c r="AM30" s="68">
        <f t="shared" si="8"/>
        <v>0</v>
      </c>
      <c r="AN30" s="68">
        <f t="shared" si="20"/>
        <v>0</v>
      </c>
      <c r="AO30" s="116">
        <f t="shared" si="21"/>
        <v>0</v>
      </c>
      <c r="AP30" s="69">
        <f t="shared" si="22"/>
        <v>0</v>
      </c>
      <c r="AQ30" s="101">
        <f t="shared" si="9"/>
        <v>0</v>
      </c>
      <c r="AS30" s="67">
        <f t="shared" si="10"/>
        <v>0</v>
      </c>
      <c r="AT30" s="70">
        <f t="shared" si="23"/>
        <v>0</v>
      </c>
      <c r="AU30" s="70">
        <f t="shared" si="24"/>
        <v>0</v>
      </c>
      <c r="AV30" s="23">
        <f t="shared" si="25"/>
        <v>0</v>
      </c>
      <c r="AW30" s="78">
        <f t="shared" si="26"/>
        <v>0</v>
      </c>
      <c r="AX30" s="101">
        <f t="shared" si="12"/>
        <v>0</v>
      </c>
      <c r="AY30" s="89">
        <f t="shared" si="13"/>
        <v>0</v>
      </c>
      <c r="BA30" s="128">
        <f t="shared" si="14"/>
        <v>0</v>
      </c>
    </row>
    <row r="31" spans="1:53" s="30" customFormat="1" ht="15" x14ac:dyDescent="0.3">
      <c r="A31" s="38"/>
      <c r="B31" s="61"/>
      <c r="C31" s="61"/>
      <c r="D31" s="71"/>
      <c r="E31" s="72"/>
      <c r="F31" s="72"/>
      <c r="G31" s="72"/>
      <c r="H31" s="149"/>
      <c r="I31" s="25"/>
      <c r="J31" s="55"/>
      <c r="K31" s="28"/>
      <c r="L31" s="154" t="str">
        <f t="shared" si="28"/>
        <v/>
      </c>
      <c r="M31" s="161"/>
      <c r="N31" s="158"/>
      <c r="O31" s="39">
        <f t="shared" si="31"/>
        <v>0</v>
      </c>
      <c r="P31" s="63">
        <f t="shared" si="32"/>
        <v>0</v>
      </c>
      <c r="Q31" s="40" t="e">
        <f>#REF!</f>
        <v>#REF!</v>
      </c>
      <c r="R31" s="27"/>
      <c r="S31" s="27"/>
      <c r="T31" s="226"/>
      <c r="U31" s="81"/>
      <c r="V31" s="65">
        <f t="shared" si="2"/>
        <v>0</v>
      </c>
      <c r="W31" s="29"/>
      <c r="X31" s="43"/>
      <c r="Y31" s="43"/>
      <c r="Z31" s="43"/>
      <c r="AA31" s="43"/>
      <c r="AB31" s="43"/>
      <c r="AC31" s="43"/>
      <c r="AD31" s="131"/>
      <c r="AF31" s="67">
        <f t="shared" si="30"/>
        <v>0</v>
      </c>
      <c r="AG31" s="44">
        <f t="shared" ref="AG31:AG51" si="35">(AF31/$AF$55)*J31</f>
        <v>0</v>
      </c>
      <c r="AH31" s="40">
        <f t="shared" si="18"/>
        <v>0</v>
      </c>
      <c r="AI31" s="45">
        <f t="shared" ref="AI31:AI51" si="36">((AH31-$AH$4)/365)*(AF31/$AF$55)</f>
        <v>0</v>
      </c>
      <c r="AJ31" s="101">
        <f t="shared" si="34"/>
        <v>0</v>
      </c>
      <c r="AL31" s="127">
        <f t="shared" si="19"/>
        <v>41274</v>
      </c>
      <c r="AM31" s="68">
        <f t="shared" si="8"/>
        <v>0</v>
      </c>
      <c r="AN31" s="68">
        <f t="shared" si="20"/>
        <v>0</v>
      </c>
      <c r="AO31" s="116">
        <f t="shared" si="21"/>
        <v>0</v>
      </c>
      <c r="AP31" s="69">
        <f t="shared" si="22"/>
        <v>0</v>
      </c>
      <c r="AQ31" s="101">
        <f t="shared" si="9"/>
        <v>0</v>
      </c>
      <c r="AS31" s="67">
        <f t="shared" si="10"/>
        <v>0</v>
      </c>
      <c r="AT31" s="70">
        <f t="shared" si="23"/>
        <v>0</v>
      </c>
      <c r="AU31" s="70">
        <f t="shared" si="24"/>
        <v>0</v>
      </c>
      <c r="AV31" s="23">
        <f t="shared" si="25"/>
        <v>0</v>
      </c>
      <c r="AW31" s="78">
        <f t="shared" si="26"/>
        <v>0</v>
      </c>
      <c r="AX31" s="101">
        <f t="shared" si="12"/>
        <v>0</v>
      </c>
      <c r="AY31" s="89">
        <f t="shared" si="13"/>
        <v>0</v>
      </c>
      <c r="BA31" s="128">
        <f t="shared" si="14"/>
        <v>0</v>
      </c>
    </row>
    <row r="32" spans="1:53" s="30" customFormat="1" ht="15" x14ac:dyDescent="0.3">
      <c r="A32" s="38"/>
      <c r="B32" s="61"/>
      <c r="C32" s="61"/>
      <c r="D32" s="71"/>
      <c r="E32" s="72"/>
      <c r="F32" s="72"/>
      <c r="G32" s="72"/>
      <c r="H32" s="149"/>
      <c r="I32" s="25"/>
      <c r="J32" s="55"/>
      <c r="K32" s="28"/>
      <c r="L32" s="154" t="str">
        <f t="shared" si="28"/>
        <v/>
      </c>
      <c r="M32" s="161"/>
      <c r="N32" s="158"/>
      <c r="O32" s="39">
        <f t="shared" si="31"/>
        <v>0</v>
      </c>
      <c r="P32" s="63">
        <f t="shared" si="32"/>
        <v>0</v>
      </c>
      <c r="Q32" s="40"/>
      <c r="R32" s="27"/>
      <c r="S32" s="27"/>
      <c r="T32" s="226"/>
      <c r="U32" s="81"/>
      <c r="V32" s="65">
        <f t="shared" si="2"/>
        <v>0</v>
      </c>
      <c r="W32" s="29"/>
      <c r="X32" s="43"/>
      <c r="Y32" s="43"/>
      <c r="Z32" s="43"/>
      <c r="AA32" s="43"/>
      <c r="AB32" s="43"/>
      <c r="AC32" s="43"/>
      <c r="AD32" s="101"/>
      <c r="AF32" s="67">
        <f t="shared" si="30"/>
        <v>0</v>
      </c>
      <c r="AG32" s="44">
        <f t="shared" si="35"/>
        <v>0</v>
      </c>
      <c r="AH32" s="40">
        <f t="shared" si="18"/>
        <v>0</v>
      </c>
      <c r="AI32" s="45">
        <f t="shared" si="36"/>
        <v>0</v>
      </c>
      <c r="AJ32" s="101">
        <f t="shared" si="34"/>
        <v>0</v>
      </c>
      <c r="AL32" s="127">
        <f t="shared" si="19"/>
        <v>41274</v>
      </c>
      <c r="AM32" s="68">
        <f t="shared" si="8"/>
        <v>0</v>
      </c>
      <c r="AN32" s="68">
        <f t="shared" si="20"/>
        <v>0</v>
      </c>
      <c r="AO32" s="116">
        <f t="shared" si="21"/>
        <v>0</v>
      </c>
      <c r="AP32" s="69">
        <f t="shared" si="22"/>
        <v>0</v>
      </c>
      <c r="AQ32" s="101">
        <f t="shared" si="9"/>
        <v>0</v>
      </c>
      <c r="AS32" s="67">
        <f t="shared" si="10"/>
        <v>0</v>
      </c>
      <c r="AT32" s="70">
        <f t="shared" si="23"/>
        <v>0</v>
      </c>
      <c r="AU32" s="70">
        <f t="shared" si="24"/>
        <v>0</v>
      </c>
      <c r="AV32" s="23">
        <f t="shared" si="25"/>
        <v>0</v>
      </c>
      <c r="AW32" s="78">
        <f t="shared" si="26"/>
        <v>0</v>
      </c>
      <c r="AX32" s="101">
        <f t="shared" si="12"/>
        <v>0</v>
      </c>
      <c r="AY32" s="89">
        <f t="shared" si="13"/>
        <v>0</v>
      </c>
      <c r="BA32" s="128">
        <f t="shared" si="14"/>
        <v>0</v>
      </c>
    </row>
    <row r="33" spans="1:53" s="30" customFormat="1" ht="15" x14ac:dyDescent="0.3">
      <c r="A33" s="38"/>
      <c r="B33" s="61"/>
      <c r="C33" s="61"/>
      <c r="D33" s="71"/>
      <c r="E33" s="72"/>
      <c r="F33" s="72"/>
      <c r="G33" s="72"/>
      <c r="H33" s="149"/>
      <c r="I33" s="25"/>
      <c r="J33" s="55"/>
      <c r="K33" s="28"/>
      <c r="L33" s="154" t="str">
        <f t="shared" si="28"/>
        <v/>
      </c>
      <c r="M33" s="161"/>
      <c r="N33" s="158"/>
      <c r="O33" s="39">
        <f t="shared" si="31"/>
        <v>0</v>
      </c>
      <c r="P33" s="63">
        <f t="shared" si="32"/>
        <v>0</v>
      </c>
      <c r="Q33" s="40"/>
      <c r="R33" s="27"/>
      <c r="S33" s="27"/>
      <c r="T33" s="226"/>
      <c r="U33" s="81"/>
      <c r="V33" s="65">
        <f t="shared" si="2"/>
        <v>0</v>
      </c>
      <c r="W33" s="29"/>
      <c r="X33" s="43"/>
      <c r="Y33" s="43"/>
      <c r="Z33" s="43"/>
      <c r="AA33" s="43"/>
      <c r="AB33" s="43"/>
      <c r="AC33" s="43"/>
      <c r="AD33" s="101"/>
      <c r="AF33" s="67">
        <f t="shared" si="30"/>
        <v>0</v>
      </c>
      <c r="AG33" s="44">
        <f t="shared" si="35"/>
        <v>0</v>
      </c>
      <c r="AH33" s="40">
        <f t="shared" si="18"/>
        <v>0</v>
      </c>
      <c r="AI33" s="45">
        <f t="shared" si="36"/>
        <v>0</v>
      </c>
      <c r="AJ33" s="101">
        <f t="shared" si="34"/>
        <v>0</v>
      </c>
      <c r="AL33" s="127">
        <f t="shared" si="19"/>
        <v>41274</v>
      </c>
      <c r="AM33" s="68">
        <f t="shared" si="8"/>
        <v>0</v>
      </c>
      <c r="AN33" s="68">
        <f t="shared" si="20"/>
        <v>0</v>
      </c>
      <c r="AO33" s="116">
        <f t="shared" si="21"/>
        <v>0</v>
      </c>
      <c r="AP33" s="69">
        <f t="shared" si="22"/>
        <v>0</v>
      </c>
      <c r="AQ33" s="101">
        <f t="shared" si="9"/>
        <v>0</v>
      </c>
      <c r="AS33" s="67">
        <f t="shared" si="10"/>
        <v>0</v>
      </c>
      <c r="AT33" s="70">
        <f t="shared" si="23"/>
        <v>0</v>
      </c>
      <c r="AU33" s="70">
        <f t="shared" si="24"/>
        <v>0</v>
      </c>
      <c r="AV33" s="23">
        <f t="shared" si="25"/>
        <v>0</v>
      </c>
      <c r="AW33" s="78">
        <f t="shared" si="26"/>
        <v>0</v>
      </c>
      <c r="AX33" s="101">
        <f t="shared" si="12"/>
        <v>0</v>
      </c>
      <c r="AY33" s="89">
        <f t="shared" si="13"/>
        <v>0</v>
      </c>
      <c r="BA33" s="128">
        <f t="shared" si="14"/>
        <v>0</v>
      </c>
    </row>
    <row r="34" spans="1:53" s="30" customFormat="1" ht="15" x14ac:dyDescent="0.3">
      <c r="A34" s="38"/>
      <c r="B34" s="61"/>
      <c r="C34" s="61"/>
      <c r="D34" s="71"/>
      <c r="E34" s="72"/>
      <c r="F34" s="72"/>
      <c r="G34" s="72"/>
      <c r="H34" s="149"/>
      <c r="I34" s="25"/>
      <c r="J34" s="55"/>
      <c r="K34" s="28"/>
      <c r="L34" s="154" t="str">
        <f t="shared" si="28"/>
        <v/>
      </c>
      <c r="M34" s="161"/>
      <c r="N34" s="158"/>
      <c r="O34" s="39">
        <f t="shared" si="31"/>
        <v>0</v>
      </c>
      <c r="P34" s="63">
        <f t="shared" si="32"/>
        <v>0</v>
      </c>
      <c r="Q34" s="40"/>
      <c r="R34" s="27"/>
      <c r="S34" s="27"/>
      <c r="T34" s="226"/>
      <c r="U34" s="81"/>
      <c r="V34" s="65">
        <f t="shared" si="2"/>
        <v>0</v>
      </c>
      <c r="W34" s="29"/>
      <c r="X34" s="43"/>
      <c r="Y34" s="43"/>
      <c r="Z34" s="43"/>
      <c r="AA34" s="43"/>
      <c r="AB34" s="43"/>
      <c r="AC34" s="43"/>
      <c r="AD34" s="101"/>
      <c r="AF34" s="67">
        <f t="shared" si="30"/>
        <v>0</v>
      </c>
      <c r="AG34" s="44">
        <f t="shared" si="35"/>
        <v>0</v>
      </c>
      <c r="AH34" s="40">
        <f t="shared" si="18"/>
        <v>0</v>
      </c>
      <c r="AI34" s="45">
        <f t="shared" si="36"/>
        <v>0</v>
      </c>
      <c r="AJ34" s="101">
        <f t="shared" si="34"/>
        <v>0</v>
      </c>
      <c r="AL34" s="127">
        <f t="shared" si="19"/>
        <v>41274</v>
      </c>
      <c r="AM34" s="68">
        <f t="shared" si="8"/>
        <v>0</v>
      </c>
      <c r="AN34" s="68">
        <f t="shared" si="20"/>
        <v>0</v>
      </c>
      <c r="AO34" s="116">
        <f t="shared" si="21"/>
        <v>0</v>
      </c>
      <c r="AP34" s="69">
        <f t="shared" si="22"/>
        <v>0</v>
      </c>
      <c r="AQ34" s="101">
        <f t="shared" si="9"/>
        <v>0</v>
      </c>
      <c r="AS34" s="67">
        <f t="shared" si="10"/>
        <v>0</v>
      </c>
      <c r="AT34" s="70">
        <f t="shared" si="23"/>
        <v>0</v>
      </c>
      <c r="AU34" s="70">
        <f t="shared" si="24"/>
        <v>0</v>
      </c>
      <c r="AV34" s="23">
        <f t="shared" si="25"/>
        <v>0</v>
      </c>
      <c r="AW34" s="78">
        <f t="shared" si="26"/>
        <v>0</v>
      </c>
      <c r="AX34" s="101">
        <f t="shared" si="12"/>
        <v>0</v>
      </c>
      <c r="AY34" s="89">
        <f t="shared" si="13"/>
        <v>0</v>
      </c>
      <c r="BA34" s="128">
        <f t="shared" si="14"/>
        <v>0</v>
      </c>
    </row>
    <row r="35" spans="1:53" s="125" customFormat="1" ht="15" x14ac:dyDescent="0.3">
      <c r="A35" s="214"/>
      <c r="B35" s="61"/>
      <c r="C35" s="61"/>
      <c r="D35" s="71"/>
      <c r="E35" s="72"/>
      <c r="F35" s="72"/>
      <c r="G35" s="72"/>
      <c r="H35" s="150"/>
      <c r="I35" s="25"/>
      <c r="J35" s="122"/>
      <c r="K35" s="124"/>
      <c r="L35" s="154" t="str">
        <f t="shared" si="28"/>
        <v/>
      </c>
      <c r="M35" s="165"/>
      <c r="N35" s="160"/>
      <c r="O35" s="39">
        <f t="shared" si="31"/>
        <v>0</v>
      </c>
      <c r="P35" s="63">
        <f t="shared" si="32"/>
        <v>0</v>
      </c>
      <c r="Q35" s="40"/>
      <c r="R35" s="123"/>
      <c r="S35" s="123"/>
      <c r="T35" s="227"/>
      <c r="U35" s="81"/>
      <c r="V35" s="65">
        <f t="shared" si="2"/>
        <v>0</v>
      </c>
      <c r="W35" s="126"/>
      <c r="X35" s="43"/>
      <c r="Y35" s="43"/>
      <c r="Z35" s="43"/>
      <c r="AA35" s="44"/>
      <c r="AB35" s="43"/>
      <c r="AC35" s="43"/>
      <c r="AD35" s="101"/>
      <c r="AF35" s="67">
        <f t="shared" si="30"/>
        <v>0</v>
      </c>
      <c r="AG35" s="44">
        <f t="shared" si="35"/>
        <v>0</v>
      </c>
      <c r="AH35" s="40">
        <f t="shared" si="18"/>
        <v>0</v>
      </c>
      <c r="AI35" s="45">
        <f t="shared" si="36"/>
        <v>0</v>
      </c>
      <c r="AJ35" s="101">
        <f t="shared" si="34"/>
        <v>0</v>
      </c>
      <c r="AL35" s="127">
        <f t="shared" si="19"/>
        <v>41274</v>
      </c>
      <c r="AM35" s="68">
        <f t="shared" si="8"/>
        <v>0</v>
      </c>
      <c r="AN35" s="68">
        <f t="shared" si="20"/>
        <v>0</v>
      </c>
      <c r="AO35" s="116">
        <f t="shared" si="21"/>
        <v>0</v>
      </c>
      <c r="AP35" s="69">
        <f t="shared" si="22"/>
        <v>0</v>
      </c>
      <c r="AQ35" s="101">
        <f t="shared" si="9"/>
        <v>0</v>
      </c>
      <c r="AS35" s="67">
        <f t="shared" si="10"/>
        <v>0</v>
      </c>
      <c r="AT35" s="70">
        <f t="shared" si="23"/>
        <v>0</v>
      </c>
      <c r="AU35" s="70">
        <f t="shared" si="24"/>
        <v>0</v>
      </c>
      <c r="AV35" s="23">
        <f t="shared" si="25"/>
        <v>0</v>
      </c>
      <c r="AW35" s="78">
        <f t="shared" si="26"/>
        <v>0</v>
      </c>
      <c r="AX35" s="101">
        <f t="shared" si="12"/>
        <v>0</v>
      </c>
      <c r="AY35" s="89">
        <f t="shared" si="13"/>
        <v>0</v>
      </c>
      <c r="BA35" s="128">
        <f t="shared" si="14"/>
        <v>0</v>
      </c>
    </row>
    <row r="36" spans="1:53" s="125" customFormat="1" ht="15" x14ac:dyDescent="0.3">
      <c r="A36" s="214"/>
      <c r="B36" s="61"/>
      <c r="C36" s="61"/>
      <c r="D36" s="71"/>
      <c r="E36" s="72"/>
      <c r="F36" s="72"/>
      <c r="G36" s="72"/>
      <c r="H36" s="150"/>
      <c r="I36" s="25"/>
      <c r="J36" s="122"/>
      <c r="K36" s="124"/>
      <c r="L36" s="154" t="str">
        <f t="shared" si="28"/>
        <v/>
      </c>
      <c r="M36" s="165"/>
      <c r="N36" s="160"/>
      <c r="O36" s="39">
        <f t="shared" si="31"/>
        <v>0</v>
      </c>
      <c r="P36" s="63">
        <f t="shared" si="32"/>
        <v>0</v>
      </c>
      <c r="Q36" s="40"/>
      <c r="R36" s="123"/>
      <c r="S36" s="123"/>
      <c r="T36" s="227"/>
      <c r="U36" s="81"/>
      <c r="V36" s="65">
        <f t="shared" si="2"/>
        <v>0</v>
      </c>
      <c r="W36" s="126"/>
      <c r="X36" s="43"/>
      <c r="Y36" s="43"/>
      <c r="Z36" s="43"/>
      <c r="AA36" s="43"/>
      <c r="AB36" s="43"/>
      <c r="AC36" s="43"/>
      <c r="AD36" s="101"/>
      <c r="AF36" s="67">
        <f t="shared" si="30"/>
        <v>0</v>
      </c>
      <c r="AG36" s="44">
        <f t="shared" si="35"/>
        <v>0</v>
      </c>
      <c r="AH36" s="40">
        <f t="shared" si="18"/>
        <v>0</v>
      </c>
      <c r="AI36" s="45">
        <f t="shared" si="36"/>
        <v>0</v>
      </c>
      <c r="AJ36" s="101">
        <f t="shared" si="34"/>
        <v>0</v>
      </c>
      <c r="AL36" s="127">
        <f t="shared" si="19"/>
        <v>41274</v>
      </c>
      <c r="AM36" s="68">
        <f t="shared" si="8"/>
        <v>0</v>
      </c>
      <c r="AN36" s="68">
        <f t="shared" si="20"/>
        <v>0</v>
      </c>
      <c r="AO36" s="116">
        <f t="shared" si="21"/>
        <v>0</v>
      </c>
      <c r="AP36" s="69">
        <f t="shared" si="22"/>
        <v>0</v>
      </c>
      <c r="AQ36" s="101">
        <f t="shared" si="9"/>
        <v>0</v>
      </c>
      <c r="AS36" s="67">
        <f t="shared" si="10"/>
        <v>0</v>
      </c>
      <c r="AT36" s="70">
        <f t="shared" si="23"/>
        <v>0</v>
      </c>
      <c r="AU36" s="70">
        <f t="shared" si="24"/>
        <v>0</v>
      </c>
      <c r="AV36" s="23">
        <f t="shared" si="25"/>
        <v>0</v>
      </c>
      <c r="AW36" s="78">
        <f t="shared" si="26"/>
        <v>0</v>
      </c>
      <c r="AX36" s="101">
        <f t="shared" si="12"/>
        <v>0</v>
      </c>
      <c r="AY36" s="89">
        <f t="shared" si="13"/>
        <v>0</v>
      </c>
      <c r="BA36" s="128">
        <f t="shared" si="14"/>
        <v>0</v>
      </c>
    </row>
    <row r="37" spans="1:53" s="125" customFormat="1" ht="15" x14ac:dyDescent="0.3">
      <c r="A37" s="214"/>
      <c r="B37" s="61"/>
      <c r="C37" s="61"/>
      <c r="D37" s="71"/>
      <c r="E37" s="72"/>
      <c r="F37" s="72"/>
      <c r="G37" s="72"/>
      <c r="H37" s="150"/>
      <c r="I37" s="25"/>
      <c r="J37" s="122"/>
      <c r="K37" s="124"/>
      <c r="L37" s="154" t="str">
        <f t="shared" si="28"/>
        <v/>
      </c>
      <c r="M37" s="165"/>
      <c r="N37" s="160"/>
      <c r="O37" s="39">
        <f t="shared" si="31"/>
        <v>0</v>
      </c>
      <c r="P37" s="63">
        <f t="shared" si="32"/>
        <v>0</v>
      </c>
      <c r="Q37" s="40"/>
      <c r="R37" s="123"/>
      <c r="S37" s="123"/>
      <c r="T37" s="227"/>
      <c r="U37" s="81"/>
      <c r="V37" s="65">
        <f t="shared" si="2"/>
        <v>0</v>
      </c>
      <c r="W37" s="126"/>
      <c r="X37" s="43"/>
      <c r="Y37" s="43"/>
      <c r="Z37" s="43"/>
      <c r="AA37" s="43"/>
      <c r="AB37" s="43"/>
      <c r="AC37" s="43"/>
      <c r="AD37" s="101"/>
      <c r="AF37" s="67">
        <f t="shared" si="30"/>
        <v>0</v>
      </c>
      <c r="AG37" s="44">
        <f t="shared" si="35"/>
        <v>0</v>
      </c>
      <c r="AH37" s="40">
        <f t="shared" si="18"/>
        <v>0</v>
      </c>
      <c r="AI37" s="45">
        <f t="shared" si="36"/>
        <v>0</v>
      </c>
      <c r="AJ37" s="101">
        <f t="shared" si="34"/>
        <v>0</v>
      </c>
      <c r="AL37" s="127">
        <f t="shared" si="19"/>
        <v>41274</v>
      </c>
      <c r="AM37" s="68">
        <f t="shared" si="8"/>
        <v>0</v>
      </c>
      <c r="AN37" s="68">
        <f t="shared" si="20"/>
        <v>0</v>
      </c>
      <c r="AO37" s="116">
        <f t="shared" si="21"/>
        <v>0</v>
      </c>
      <c r="AP37" s="69">
        <f t="shared" si="22"/>
        <v>0</v>
      </c>
      <c r="AQ37" s="101">
        <f t="shared" si="9"/>
        <v>0</v>
      </c>
      <c r="AS37" s="67">
        <f t="shared" si="10"/>
        <v>0</v>
      </c>
      <c r="AT37" s="70">
        <f t="shared" si="23"/>
        <v>0</v>
      </c>
      <c r="AU37" s="70">
        <f t="shared" si="24"/>
        <v>0</v>
      </c>
      <c r="AV37" s="23">
        <f t="shared" si="25"/>
        <v>0</v>
      </c>
      <c r="AW37" s="78">
        <f t="shared" si="26"/>
        <v>0</v>
      </c>
      <c r="AX37" s="101">
        <f t="shared" si="12"/>
        <v>0</v>
      </c>
      <c r="AY37" s="89">
        <f t="shared" si="13"/>
        <v>0</v>
      </c>
      <c r="BA37" s="128">
        <f t="shared" si="14"/>
        <v>0</v>
      </c>
    </row>
    <row r="38" spans="1:53" s="125" customFormat="1" ht="15" x14ac:dyDescent="0.3">
      <c r="A38" s="214"/>
      <c r="B38" s="61"/>
      <c r="C38" s="61"/>
      <c r="D38" s="71"/>
      <c r="E38" s="72"/>
      <c r="F38" s="72"/>
      <c r="G38" s="72"/>
      <c r="H38" s="150"/>
      <c r="I38" s="25"/>
      <c r="J38" s="122"/>
      <c r="K38" s="124"/>
      <c r="L38" s="154" t="str">
        <f t="shared" si="28"/>
        <v/>
      </c>
      <c r="M38" s="165"/>
      <c r="N38" s="160"/>
      <c r="O38" s="39">
        <f t="shared" si="31"/>
        <v>0</v>
      </c>
      <c r="P38" s="63">
        <f t="shared" si="32"/>
        <v>0</v>
      </c>
      <c r="Q38" s="40"/>
      <c r="R38" s="123"/>
      <c r="S38" s="123"/>
      <c r="T38" s="227"/>
      <c r="U38" s="81"/>
      <c r="V38" s="65">
        <f t="shared" si="2"/>
        <v>0</v>
      </c>
      <c r="W38" s="126"/>
      <c r="X38" s="43"/>
      <c r="Y38" s="43"/>
      <c r="Z38" s="43"/>
      <c r="AA38" s="43"/>
      <c r="AB38" s="43"/>
      <c r="AC38" s="43"/>
      <c r="AD38" s="101"/>
      <c r="AF38" s="67">
        <f t="shared" si="30"/>
        <v>0</v>
      </c>
      <c r="AG38" s="44">
        <f t="shared" si="35"/>
        <v>0</v>
      </c>
      <c r="AH38" s="40">
        <f t="shared" si="18"/>
        <v>0</v>
      </c>
      <c r="AI38" s="45">
        <f t="shared" si="36"/>
        <v>0</v>
      </c>
      <c r="AJ38" s="101">
        <f t="shared" si="34"/>
        <v>0</v>
      </c>
      <c r="AL38" s="127">
        <f t="shared" si="19"/>
        <v>41274</v>
      </c>
      <c r="AM38" s="68">
        <f t="shared" si="8"/>
        <v>0</v>
      </c>
      <c r="AN38" s="68">
        <f t="shared" si="20"/>
        <v>0</v>
      </c>
      <c r="AO38" s="116">
        <f t="shared" si="21"/>
        <v>0</v>
      </c>
      <c r="AP38" s="69">
        <f t="shared" si="22"/>
        <v>0</v>
      </c>
      <c r="AQ38" s="101">
        <f t="shared" si="9"/>
        <v>0</v>
      </c>
      <c r="AS38" s="67">
        <f t="shared" si="10"/>
        <v>0</v>
      </c>
      <c r="AT38" s="70">
        <f t="shared" si="23"/>
        <v>0</v>
      </c>
      <c r="AU38" s="70">
        <f t="shared" si="24"/>
        <v>0</v>
      </c>
      <c r="AV38" s="23">
        <f t="shared" si="25"/>
        <v>0</v>
      </c>
      <c r="AW38" s="78">
        <f t="shared" si="26"/>
        <v>0</v>
      </c>
      <c r="AX38" s="101">
        <f t="shared" si="12"/>
        <v>0</v>
      </c>
      <c r="AY38" s="89">
        <f t="shared" si="13"/>
        <v>0</v>
      </c>
      <c r="BA38" s="128">
        <f t="shared" si="14"/>
        <v>0</v>
      </c>
    </row>
    <row r="39" spans="1:53" s="125" customFormat="1" ht="15" x14ac:dyDescent="0.3">
      <c r="A39" s="214"/>
      <c r="B39" s="61"/>
      <c r="C39" s="61"/>
      <c r="D39" s="71"/>
      <c r="E39" s="72"/>
      <c r="F39" s="72"/>
      <c r="G39" s="72"/>
      <c r="H39" s="150"/>
      <c r="I39" s="25"/>
      <c r="J39" s="122"/>
      <c r="K39" s="124"/>
      <c r="L39" s="154" t="str">
        <f t="shared" si="28"/>
        <v/>
      </c>
      <c r="M39" s="165"/>
      <c r="N39" s="160"/>
      <c r="O39" s="39">
        <f t="shared" si="31"/>
        <v>0</v>
      </c>
      <c r="P39" s="63">
        <f t="shared" si="32"/>
        <v>0</v>
      </c>
      <c r="Q39" s="40"/>
      <c r="R39" s="123"/>
      <c r="S39" s="123"/>
      <c r="T39" s="227"/>
      <c r="U39" s="81"/>
      <c r="V39" s="65">
        <f t="shared" si="2"/>
        <v>0</v>
      </c>
      <c r="W39" s="126"/>
      <c r="X39" s="43"/>
      <c r="Y39" s="43"/>
      <c r="Z39" s="43"/>
      <c r="AA39" s="43"/>
      <c r="AB39" s="43"/>
      <c r="AC39" s="43"/>
      <c r="AD39" s="101"/>
      <c r="AF39" s="67">
        <f t="shared" si="30"/>
        <v>0</v>
      </c>
      <c r="AG39" s="44">
        <f t="shared" si="35"/>
        <v>0</v>
      </c>
      <c r="AH39" s="40">
        <f t="shared" si="18"/>
        <v>0</v>
      </c>
      <c r="AI39" s="45">
        <f t="shared" si="36"/>
        <v>0</v>
      </c>
      <c r="AJ39" s="101">
        <f t="shared" si="34"/>
        <v>0</v>
      </c>
      <c r="AL39" s="127">
        <f t="shared" si="19"/>
        <v>41274</v>
      </c>
      <c r="AM39" s="68">
        <f t="shared" si="8"/>
        <v>0</v>
      </c>
      <c r="AN39" s="68">
        <f t="shared" si="20"/>
        <v>0</v>
      </c>
      <c r="AO39" s="116">
        <f t="shared" si="21"/>
        <v>0</v>
      </c>
      <c r="AP39" s="69">
        <f t="shared" si="22"/>
        <v>0</v>
      </c>
      <c r="AQ39" s="101">
        <f t="shared" si="9"/>
        <v>0</v>
      </c>
      <c r="AS39" s="67">
        <f t="shared" si="10"/>
        <v>0</v>
      </c>
      <c r="AT39" s="70">
        <f t="shared" si="23"/>
        <v>0</v>
      </c>
      <c r="AU39" s="70">
        <f t="shared" si="24"/>
        <v>0</v>
      </c>
      <c r="AV39" s="23">
        <f t="shared" si="25"/>
        <v>0</v>
      </c>
      <c r="AW39" s="78">
        <f t="shared" si="26"/>
        <v>0</v>
      </c>
      <c r="AX39" s="101">
        <f t="shared" si="12"/>
        <v>0</v>
      </c>
      <c r="AY39" s="89">
        <f t="shared" si="13"/>
        <v>0</v>
      </c>
      <c r="BA39" s="128">
        <f t="shared" si="14"/>
        <v>0</v>
      </c>
    </row>
    <row r="40" spans="1:53" s="125" customFormat="1" ht="15" x14ac:dyDescent="0.3">
      <c r="A40" s="214"/>
      <c r="B40" s="61"/>
      <c r="C40" s="61"/>
      <c r="D40" s="71"/>
      <c r="E40" s="72"/>
      <c r="F40" s="72"/>
      <c r="G40" s="72"/>
      <c r="H40" s="150"/>
      <c r="I40" s="25"/>
      <c r="J40" s="122"/>
      <c r="K40" s="124"/>
      <c r="L40" s="154" t="str">
        <f t="shared" si="28"/>
        <v/>
      </c>
      <c r="M40" s="165"/>
      <c r="N40" s="160"/>
      <c r="O40" s="39">
        <f t="shared" si="31"/>
        <v>0</v>
      </c>
      <c r="P40" s="63">
        <f t="shared" si="32"/>
        <v>0</v>
      </c>
      <c r="Q40" s="40"/>
      <c r="R40" s="123"/>
      <c r="S40" s="123"/>
      <c r="T40" s="227"/>
      <c r="U40" s="81"/>
      <c r="V40" s="65">
        <f t="shared" si="2"/>
        <v>0</v>
      </c>
      <c r="W40" s="126"/>
      <c r="X40" s="43"/>
      <c r="Y40" s="43"/>
      <c r="Z40" s="43"/>
      <c r="AA40" s="43"/>
      <c r="AB40" s="43"/>
      <c r="AC40" s="43"/>
      <c r="AD40" s="101"/>
      <c r="AF40" s="67">
        <f t="shared" si="30"/>
        <v>0</v>
      </c>
      <c r="AG40" s="44">
        <f t="shared" si="35"/>
        <v>0</v>
      </c>
      <c r="AH40" s="40">
        <f t="shared" si="18"/>
        <v>0</v>
      </c>
      <c r="AI40" s="45">
        <f t="shared" si="36"/>
        <v>0</v>
      </c>
      <c r="AJ40" s="101">
        <f t="shared" si="34"/>
        <v>0</v>
      </c>
      <c r="AL40" s="127">
        <f t="shared" si="19"/>
        <v>41274</v>
      </c>
      <c r="AM40" s="68">
        <f t="shared" si="8"/>
        <v>0</v>
      </c>
      <c r="AN40" s="68">
        <f t="shared" si="20"/>
        <v>0</v>
      </c>
      <c r="AO40" s="116">
        <f t="shared" si="21"/>
        <v>0</v>
      </c>
      <c r="AP40" s="69">
        <f t="shared" si="22"/>
        <v>0</v>
      </c>
      <c r="AQ40" s="101">
        <f t="shared" si="9"/>
        <v>0</v>
      </c>
      <c r="AS40" s="67">
        <f t="shared" si="10"/>
        <v>0</v>
      </c>
      <c r="AT40" s="70">
        <f t="shared" si="23"/>
        <v>0</v>
      </c>
      <c r="AU40" s="70">
        <f t="shared" si="24"/>
        <v>0</v>
      </c>
      <c r="AV40" s="23">
        <f t="shared" si="25"/>
        <v>0</v>
      </c>
      <c r="AW40" s="78">
        <f t="shared" si="26"/>
        <v>0</v>
      </c>
      <c r="AX40" s="101">
        <f t="shared" si="12"/>
        <v>0</v>
      </c>
      <c r="AY40" s="89">
        <f t="shared" si="13"/>
        <v>0</v>
      </c>
      <c r="BA40" s="128">
        <f t="shared" si="14"/>
        <v>0</v>
      </c>
    </row>
    <row r="41" spans="1:53" s="125" customFormat="1" ht="15" x14ac:dyDescent="0.3">
      <c r="A41" s="214"/>
      <c r="B41" s="61"/>
      <c r="C41" s="61"/>
      <c r="D41" s="71"/>
      <c r="E41" s="72"/>
      <c r="F41" s="72"/>
      <c r="G41" s="72"/>
      <c r="H41" s="150"/>
      <c r="I41" s="25"/>
      <c r="J41" s="122"/>
      <c r="K41" s="124"/>
      <c r="L41" s="154" t="str">
        <f t="shared" si="28"/>
        <v/>
      </c>
      <c r="M41" s="165"/>
      <c r="N41" s="160"/>
      <c r="O41" s="39">
        <f t="shared" si="31"/>
        <v>0</v>
      </c>
      <c r="P41" s="63">
        <f t="shared" si="32"/>
        <v>0</v>
      </c>
      <c r="Q41" s="40"/>
      <c r="R41" s="123"/>
      <c r="S41" s="123"/>
      <c r="T41" s="227"/>
      <c r="U41" s="81"/>
      <c r="V41" s="65">
        <f t="shared" si="2"/>
        <v>0</v>
      </c>
      <c r="W41" s="126"/>
      <c r="X41" s="43"/>
      <c r="Y41" s="43"/>
      <c r="Z41" s="43"/>
      <c r="AA41" s="43"/>
      <c r="AB41" s="43"/>
      <c r="AC41" s="43"/>
      <c r="AD41" s="101"/>
      <c r="AF41" s="67">
        <f t="shared" si="30"/>
        <v>0</v>
      </c>
      <c r="AG41" s="44">
        <f t="shared" si="35"/>
        <v>0</v>
      </c>
      <c r="AH41" s="40">
        <f t="shared" si="18"/>
        <v>0</v>
      </c>
      <c r="AI41" s="45">
        <f t="shared" si="36"/>
        <v>0</v>
      </c>
      <c r="AJ41" s="101">
        <f t="shared" si="34"/>
        <v>0</v>
      </c>
      <c r="AL41" s="127">
        <f t="shared" si="19"/>
        <v>41274</v>
      </c>
      <c r="AM41" s="68">
        <f t="shared" si="8"/>
        <v>0</v>
      </c>
      <c r="AN41" s="68">
        <f t="shared" si="20"/>
        <v>0</v>
      </c>
      <c r="AO41" s="116">
        <f t="shared" si="21"/>
        <v>0</v>
      </c>
      <c r="AP41" s="69">
        <f t="shared" si="22"/>
        <v>0</v>
      </c>
      <c r="AQ41" s="101">
        <f t="shared" si="9"/>
        <v>0</v>
      </c>
      <c r="AS41" s="67">
        <f t="shared" si="10"/>
        <v>0</v>
      </c>
      <c r="AT41" s="70">
        <f t="shared" si="23"/>
        <v>0</v>
      </c>
      <c r="AU41" s="70">
        <f t="shared" si="24"/>
        <v>0</v>
      </c>
      <c r="AV41" s="23">
        <f t="shared" si="25"/>
        <v>0</v>
      </c>
      <c r="AW41" s="78">
        <f t="shared" si="26"/>
        <v>0</v>
      </c>
      <c r="AX41" s="101">
        <f t="shared" si="12"/>
        <v>0</v>
      </c>
      <c r="AY41" s="89">
        <f t="shared" si="13"/>
        <v>0</v>
      </c>
      <c r="BA41" s="128">
        <f t="shared" si="14"/>
        <v>0</v>
      </c>
    </row>
    <row r="42" spans="1:53" s="125" customFormat="1" ht="15" x14ac:dyDescent="0.3">
      <c r="A42" s="214"/>
      <c r="B42" s="61"/>
      <c r="C42" s="61"/>
      <c r="D42" s="71"/>
      <c r="E42" s="72"/>
      <c r="F42" s="72"/>
      <c r="G42" s="72"/>
      <c r="H42" s="150"/>
      <c r="I42" s="25"/>
      <c r="J42" s="122"/>
      <c r="K42" s="124"/>
      <c r="L42" s="154" t="str">
        <f t="shared" si="28"/>
        <v/>
      </c>
      <c r="M42" s="165"/>
      <c r="N42" s="160"/>
      <c r="O42" s="39">
        <f t="shared" si="31"/>
        <v>0</v>
      </c>
      <c r="P42" s="63">
        <f t="shared" si="32"/>
        <v>0</v>
      </c>
      <c r="Q42" s="40"/>
      <c r="R42" s="123"/>
      <c r="S42" s="123"/>
      <c r="T42" s="227"/>
      <c r="U42" s="81"/>
      <c r="V42" s="65">
        <f t="shared" si="2"/>
        <v>0</v>
      </c>
      <c r="W42" s="126"/>
      <c r="X42" s="43"/>
      <c r="Y42" s="43"/>
      <c r="Z42" s="43"/>
      <c r="AA42" s="43"/>
      <c r="AB42" s="43"/>
      <c r="AC42" s="43"/>
      <c r="AD42" s="101"/>
      <c r="AF42" s="67">
        <f t="shared" si="30"/>
        <v>0</v>
      </c>
      <c r="AG42" s="44">
        <f t="shared" si="35"/>
        <v>0</v>
      </c>
      <c r="AH42" s="40">
        <f t="shared" si="18"/>
        <v>0</v>
      </c>
      <c r="AI42" s="45">
        <f t="shared" si="36"/>
        <v>0</v>
      </c>
      <c r="AJ42" s="101">
        <f t="shared" si="34"/>
        <v>0</v>
      </c>
      <c r="AL42" s="127">
        <f t="shared" si="19"/>
        <v>41274</v>
      </c>
      <c r="AM42" s="68">
        <f t="shared" si="8"/>
        <v>0</v>
      </c>
      <c r="AN42" s="68">
        <f t="shared" si="20"/>
        <v>0</v>
      </c>
      <c r="AO42" s="116">
        <f t="shared" si="21"/>
        <v>0</v>
      </c>
      <c r="AP42" s="69">
        <f t="shared" si="22"/>
        <v>0</v>
      </c>
      <c r="AQ42" s="101">
        <f t="shared" si="9"/>
        <v>0</v>
      </c>
      <c r="AS42" s="67">
        <f t="shared" si="10"/>
        <v>0</v>
      </c>
      <c r="AT42" s="70">
        <f t="shared" si="23"/>
        <v>0</v>
      </c>
      <c r="AU42" s="70">
        <f t="shared" si="24"/>
        <v>0</v>
      </c>
      <c r="AV42" s="23">
        <f t="shared" si="25"/>
        <v>0</v>
      </c>
      <c r="AW42" s="78">
        <f t="shared" si="26"/>
        <v>0</v>
      </c>
      <c r="AX42" s="101">
        <f t="shared" si="12"/>
        <v>0</v>
      </c>
      <c r="AY42" s="89">
        <f t="shared" si="13"/>
        <v>0</v>
      </c>
      <c r="BA42" s="128">
        <f t="shared" si="14"/>
        <v>0</v>
      </c>
    </row>
    <row r="43" spans="1:53" s="125" customFormat="1" ht="15" x14ac:dyDescent="0.3">
      <c r="A43" s="214"/>
      <c r="B43" s="61"/>
      <c r="C43" s="61"/>
      <c r="D43" s="71"/>
      <c r="E43" s="72"/>
      <c r="F43" s="72"/>
      <c r="G43" s="72"/>
      <c r="H43" s="150"/>
      <c r="I43" s="25"/>
      <c r="J43" s="122"/>
      <c r="K43" s="124"/>
      <c r="L43" s="154" t="str">
        <f t="shared" si="28"/>
        <v/>
      </c>
      <c r="M43" s="165"/>
      <c r="N43" s="160"/>
      <c r="O43" s="39">
        <f t="shared" si="31"/>
        <v>0</v>
      </c>
      <c r="P43" s="63">
        <f t="shared" si="32"/>
        <v>0</v>
      </c>
      <c r="Q43" s="40"/>
      <c r="R43" s="123"/>
      <c r="S43" s="123"/>
      <c r="T43" s="227"/>
      <c r="U43" s="81"/>
      <c r="V43" s="65">
        <f t="shared" si="2"/>
        <v>0</v>
      </c>
      <c r="W43" s="126"/>
      <c r="X43" s="43"/>
      <c r="Y43" s="43"/>
      <c r="Z43" s="43"/>
      <c r="AA43" s="43"/>
      <c r="AB43" s="43"/>
      <c r="AC43" s="43"/>
      <c r="AD43" s="101"/>
      <c r="AF43" s="67">
        <f t="shared" si="30"/>
        <v>0</v>
      </c>
      <c r="AG43" s="44">
        <f t="shared" si="35"/>
        <v>0</v>
      </c>
      <c r="AH43" s="40">
        <f t="shared" si="18"/>
        <v>0</v>
      </c>
      <c r="AI43" s="45">
        <f t="shared" si="36"/>
        <v>0</v>
      </c>
      <c r="AJ43" s="101">
        <f t="shared" si="34"/>
        <v>0</v>
      </c>
      <c r="AL43" s="127">
        <f t="shared" si="19"/>
        <v>41274</v>
      </c>
      <c r="AM43" s="68">
        <f t="shared" si="8"/>
        <v>0</v>
      </c>
      <c r="AN43" s="68">
        <f t="shared" si="20"/>
        <v>0</v>
      </c>
      <c r="AO43" s="116">
        <f t="shared" si="21"/>
        <v>0</v>
      </c>
      <c r="AP43" s="69">
        <f t="shared" si="22"/>
        <v>0</v>
      </c>
      <c r="AQ43" s="101">
        <f t="shared" si="9"/>
        <v>0</v>
      </c>
      <c r="AS43" s="67">
        <f t="shared" si="10"/>
        <v>0</v>
      </c>
      <c r="AT43" s="70">
        <f t="shared" si="23"/>
        <v>0</v>
      </c>
      <c r="AU43" s="70">
        <f t="shared" si="24"/>
        <v>0</v>
      </c>
      <c r="AV43" s="23">
        <f t="shared" si="25"/>
        <v>0</v>
      </c>
      <c r="AW43" s="78">
        <f t="shared" si="26"/>
        <v>0</v>
      </c>
      <c r="AX43" s="101">
        <f t="shared" si="12"/>
        <v>0</v>
      </c>
      <c r="AY43" s="89">
        <f t="shared" si="13"/>
        <v>0</v>
      </c>
      <c r="BA43" s="128">
        <f t="shared" si="14"/>
        <v>0</v>
      </c>
    </row>
    <row r="44" spans="1:53" s="125" customFormat="1" ht="15" x14ac:dyDescent="0.3">
      <c r="A44" s="214"/>
      <c r="B44" s="61"/>
      <c r="C44" s="61"/>
      <c r="D44" s="71"/>
      <c r="E44" s="72"/>
      <c r="F44" s="72"/>
      <c r="G44" s="72"/>
      <c r="H44" s="150"/>
      <c r="I44" s="25"/>
      <c r="J44" s="122"/>
      <c r="K44" s="124"/>
      <c r="L44" s="154" t="str">
        <f t="shared" si="28"/>
        <v/>
      </c>
      <c r="M44" s="165"/>
      <c r="N44" s="160"/>
      <c r="O44" s="39">
        <f t="shared" si="31"/>
        <v>0</v>
      </c>
      <c r="P44" s="63">
        <f t="shared" si="32"/>
        <v>0</v>
      </c>
      <c r="Q44" s="40"/>
      <c r="R44" s="123"/>
      <c r="S44" s="123"/>
      <c r="T44" s="227"/>
      <c r="U44" s="81"/>
      <c r="V44" s="65">
        <f t="shared" si="2"/>
        <v>0</v>
      </c>
      <c r="W44" s="126"/>
      <c r="X44" s="43"/>
      <c r="Y44" s="43"/>
      <c r="Z44" s="43"/>
      <c r="AA44" s="43"/>
      <c r="AB44" s="43"/>
      <c r="AC44" s="43"/>
      <c r="AD44" s="101"/>
      <c r="AF44" s="67">
        <f t="shared" si="30"/>
        <v>0</v>
      </c>
      <c r="AG44" s="44">
        <f t="shared" si="35"/>
        <v>0</v>
      </c>
      <c r="AH44" s="40">
        <f t="shared" si="18"/>
        <v>0</v>
      </c>
      <c r="AI44" s="45">
        <f t="shared" si="36"/>
        <v>0</v>
      </c>
      <c r="AJ44" s="101">
        <f t="shared" si="34"/>
        <v>0</v>
      </c>
      <c r="AL44" s="127">
        <f t="shared" si="19"/>
        <v>41274</v>
      </c>
      <c r="AM44" s="68">
        <f t="shared" si="8"/>
        <v>0</v>
      </c>
      <c r="AN44" s="68">
        <f t="shared" si="20"/>
        <v>0</v>
      </c>
      <c r="AO44" s="116">
        <f t="shared" si="21"/>
        <v>0</v>
      </c>
      <c r="AP44" s="69">
        <f t="shared" si="22"/>
        <v>0</v>
      </c>
      <c r="AQ44" s="101">
        <f t="shared" si="9"/>
        <v>0</v>
      </c>
      <c r="AS44" s="67">
        <f t="shared" si="10"/>
        <v>0</v>
      </c>
      <c r="AT44" s="70">
        <f t="shared" si="23"/>
        <v>0</v>
      </c>
      <c r="AU44" s="70">
        <f t="shared" si="24"/>
        <v>0</v>
      </c>
      <c r="AV44" s="23">
        <f t="shared" si="25"/>
        <v>0</v>
      </c>
      <c r="AW44" s="78">
        <f t="shared" si="26"/>
        <v>0</v>
      </c>
      <c r="AX44" s="101">
        <f t="shared" si="12"/>
        <v>0</v>
      </c>
      <c r="AY44" s="89">
        <f t="shared" si="13"/>
        <v>0</v>
      </c>
      <c r="BA44" s="128">
        <f t="shared" si="14"/>
        <v>0</v>
      </c>
    </row>
    <row r="45" spans="1:53" s="125" customFormat="1" ht="15" x14ac:dyDescent="0.3">
      <c r="A45" s="214"/>
      <c r="B45" s="61"/>
      <c r="C45" s="61"/>
      <c r="D45" s="71"/>
      <c r="E45" s="72"/>
      <c r="F45" s="72"/>
      <c r="G45" s="72"/>
      <c r="H45" s="150"/>
      <c r="I45" s="25"/>
      <c r="J45" s="122"/>
      <c r="K45" s="124"/>
      <c r="L45" s="154" t="str">
        <f t="shared" si="28"/>
        <v/>
      </c>
      <c r="M45" s="165"/>
      <c r="N45" s="160"/>
      <c r="O45" s="39">
        <f t="shared" si="31"/>
        <v>0</v>
      </c>
      <c r="P45" s="63">
        <f t="shared" si="32"/>
        <v>0</v>
      </c>
      <c r="Q45" s="40"/>
      <c r="R45" s="123"/>
      <c r="S45" s="123"/>
      <c r="T45" s="227"/>
      <c r="U45" s="81"/>
      <c r="V45" s="65">
        <f t="shared" si="2"/>
        <v>0</v>
      </c>
      <c r="W45" s="126"/>
      <c r="X45" s="43"/>
      <c r="Y45" s="43"/>
      <c r="Z45" s="43"/>
      <c r="AA45" s="43"/>
      <c r="AB45" s="43"/>
      <c r="AC45" s="43"/>
      <c r="AD45" s="101"/>
      <c r="AF45" s="67">
        <f t="shared" si="30"/>
        <v>0</v>
      </c>
      <c r="AG45" s="44">
        <f t="shared" si="35"/>
        <v>0</v>
      </c>
      <c r="AH45" s="40">
        <f t="shared" si="18"/>
        <v>0</v>
      </c>
      <c r="AI45" s="45">
        <f t="shared" si="36"/>
        <v>0</v>
      </c>
      <c r="AJ45" s="101">
        <f t="shared" si="34"/>
        <v>0</v>
      </c>
      <c r="AL45" s="127">
        <f t="shared" si="19"/>
        <v>41274</v>
      </c>
      <c r="AM45" s="68">
        <f t="shared" si="8"/>
        <v>0</v>
      </c>
      <c r="AN45" s="68">
        <f t="shared" si="20"/>
        <v>0</v>
      </c>
      <c r="AO45" s="116">
        <f t="shared" si="21"/>
        <v>0</v>
      </c>
      <c r="AP45" s="69">
        <f t="shared" si="22"/>
        <v>0</v>
      </c>
      <c r="AQ45" s="101">
        <f t="shared" si="9"/>
        <v>0</v>
      </c>
      <c r="AS45" s="67">
        <f t="shared" si="10"/>
        <v>0</v>
      </c>
      <c r="AT45" s="70">
        <f t="shared" si="23"/>
        <v>0</v>
      </c>
      <c r="AU45" s="70">
        <f t="shared" si="24"/>
        <v>0</v>
      </c>
      <c r="AV45" s="23">
        <f t="shared" si="25"/>
        <v>0</v>
      </c>
      <c r="AW45" s="78">
        <f t="shared" si="26"/>
        <v>0</v>
      </c>
      <c r="AX45" s="101">
        <f t="shared" si="12"/>
        <v>0</v>
      </c>
      <c r="AY45" s="89">
        <f t="shared" si="13"/>
        <v>0</v>
      </c>
      <c r="BA45" s="128">
        <f t="shared" si="14"/>
        <v>0</v>
      </c>
    </row>
    <row r="46" spans="1:53" s="125" customFormat="1" ht="15" x14ac:dyDescent="0.3">
      <c r="A46" s="214"/>
      <c r="B46" s="61"/>
      <c r="C46" s="61"/>
      <c r="D46" s="71"/>
      <c r="E46" s="72"/>
      <c r="F46" s="72"/>
      <c r="G46" s="72"/>
      <c r="H46" s="150"/>
      <c r="I46" s="25"/>
      <c r="J46" s="122"/>
      <c r="K46" s="124"/>
      <c r="L46" s="154" t="str">
        <f t="shared" si="28"/>
        <v/>
      </c>
      <c r="M46" s="165"/>
      <c r="N46" s="160"/>
      <c r="O46" s="39">
        <f t="shared" si="31"/>
        <v>0</v>
      </c>
      <c r="P46" s="63">
        <f t="shared" si="32"/>
        <v>0</v>
      </c>
      <c r="Q46" s="40"/>
      <c r="R46" s="123"/>
      <c r="S46" s="123"/>
      <c r="T46" s="227"/>
      <c r="U46" s="81"/>
      <c r="V46" s="65">
        <f t="shared" si="2"/>
        <v>0</v>
      </c>
      <c r="W46" s="126"/>
      <c r="X46" s="43"/>
      <c r="Y46" s="43"/>
      <c r="Z46" s="43"/>
      <c r="AA46" s="43"/>
      <c r="AB46" s="43"/>
      <c r="AC46" s="43"/>
      <c r="AD46" s="101"/>
      <c r="AF46" s="67">
        <f t="shared" si="30"/>
        <v>0</v>
      </c>
      <c r="AG46" s="44">
        <f t="shared" si="35"/>
        <v>0</v>
      </c>
      <c r="AH46" s="40">
        <f t="shared" si="18"/>
        <v>0</v>
      </c>
      <c r="AI46" s="45">
        <f t="shared" si="36"/>
        <v>0</v>
      </c>
      <c r="AJ46" s="101">
        <f t="shared" si="34"/>
        <v>0</v>
      </c>
      <c r="AL46" s="127">
        <f t="shared" si="19"/>
        <v>41274</v>
      </c>
      <c r="AM46" s="68">
        <f t="shared" si="8"/>
        <v>0</v>
      </c>
      <c r="AN46" s="68">
        <f t="shared" si="20"/>
        <v>0</v>
      </c>
      <c r="AO46" s="116">
        <f t="shared" si="21"/>
        <v>0</v>
      </c>
      <c r="AP46" s="69">
        <f t="shared" si="22"/>
        <v>0</v>
      </c>
      <c r="AQ46" s="101">
        <f t="shared" si="9"/>
        <v>0</v>
      </c>
      <c r="AS46" s="67">
        <f t="shared" si="10"/>
        <v>0</v>
      </c>
      <c r="AT46" s="70">
        <f t="shared" si="23"/>
        <v>0</v>
      </c>
      <c r="AU46" s="70">
        <f t="shared" si="24"/>
        <v>0</v>
      </c>
      <c r="AV46" s="23">
        <f t="shared" si="25"/>
        <v>0</v>
      </c>
      <c r="AW46" s="78">
        <f t="shared" si="26"/>
        <v>0</v>
      </c>
      <c r="AX46" s="101">
        <f t="shared" si="12"/>
        <v>0</v>
      </c>
      <c r="AY46" s="89">
        <f t="shared" si="13"/>
        <v>0</v>
      </c>
      <c r="BA46" s="128">
        <f t="shared" si="14"/>
        <v>0</v>
      </c>
    </row>
    <row r="47" spans="1:53" s="125" customFormat="1" ht="15" x14ac:dyDescent="0.3">
      <c r="A47" s="214"/>
      <c r="B47" s="61"/>
      <c r="C47" s="61"/>
      <c r="D47" s="71"/>
      <c r="E47" s="72"/>
      <c r="F47" s="72"/>
      <c r="G47" s="72"/>
      <c r="H47" s="150"/>
      <c r="I47" s="25"/>
      <c r="J47" s="122"/>
      <c r="K47" s="124"/>
      <c r="L47" s="154" t="str">
        <f t="shared" si="28"/>
        <v/>
      </c>
      <c r="M47" s="165"/>
      <c r="N47" s="160"/>
      <c r="O47" s="39">
        <f t="shared" si="31"/>
        <v>0</v>
      </c>
      <c r="P47" s="63">
        <f t="shared" si="32"/>
        <v>0</v>
      </c>
      <c r="Q47" s="40"/>
      <c r="R47" s="123"/>
      <c r="S47" s="123"/>
      <c r="T47" s="227"/>
      <c r="U47" s="81"/>
      <c r="V47" s="65">
        <f t="shared" si="2"/>
        <v>0</v>
      </c>
      <c r="W47" s="126"/>
      <c r="X47" s="43"/>
      <c r="Y47" s="43"/>
      <c r="Z47" s="43"/>
      <c r="AA47" s="43"/>
      <c r="AB47" s="43"/>
      <c r="AC47" s="43"/>
      <c r="AD47" s="101"/>
      <c r="AF47" s="67">
        <f t="shared" si="30"/>
        <v>0</v>
      </c>
      <c r="AG47" s="44">
        <f t="shared" si="35"/>
        <v>0</v>
      </c>
      <c r="AH47" s="40">
        <f t="shared" si="18"/>
        <v>0</v>
      </c>
      <c r="AI47" s="45">
        <f t="shared" si="36"/>
        <v>0</v>
      </c>
      <c r="AJ47" s="101">
        <f t="shared" si="34"/>
        <v>0</v>
      </c>
      <c r="AL47" s="127">
        <f t="shared" si="19"/>
        <v>41274</v>
      </c>
      <c r="AM47" s="68">
        <f t="shared" si="8"/>
        <v>0</v>
      </c>
      <c r="AN47" s="68">
        <f t="shared" si="20"/>
        <v>0</v>
      </c>
      <c r="AO47" s="116">
        <f t="shared" si="21"/>
        <v>0</v>
      </c>
      <c r="AP47" s="69">
        <f t="shared" si="22"/>
        <v>0</v>
      </c>
      <c r="AQ47" s="101">
        <f t="shared" si="9"/>
        <v>0</v>
      </c>
      <c r="AS47" s="67">
        <f t="shared" si="10"/>
        <v>0</v>
      </c>
      <c r="AT47" s="70">
        <f t="shared" si="23"/>
        <v>0</v>
      </c>
      <c r="AU47" s="70">
        <f t="shared" si="24"/>
        <v>0</v>
      </c>
      <c r="AV47" s="23">
        <f t="shared" si="25"/>
        <v>0</v>
      </c>
      <c r="AW47" s="78">
        <f t="shared" si="26"/>
        <v>0</v>
      </c>
      <c r="AX47" s="101">
        <f t="shared" si="12"/>
        <v>0</v>
      </c>
      <c r="AY47" s="89">
        <f t="shared" si="13"/>
        <v>0</v>
      </c>
      <c r="BA47" s="128">
        <f t="shared" si="14"/>
        <v>0</v>
      </c>
    </row>
    <row r="48" spans="1:53" s="30" customFormat="1" ht="15" x14ac:dyDescent="0.3">
      <c r="A48" s="38"/>
      <c r="B48" s="61"/>
      <c r="C48" s="61"/>
      <c r="D48" s="71"/>
      <c r="E48" s="72"/>
      <c r="F48" s="72"/>
      <c r="G48" s="72"/>
      <c r="H48" s="149"/>
      <c r="I48" s="25"/>
      <c r="J48" s="55"/>
      <c r="K48" s="28"/>
      <c r="L48" s="154" t="str">
        <f t="shared" si="28"/>
        <v/>
      </c>
      <c r="M48" s="161"/>
      <c r="N48" s="158"/>
      <c r="O48" s="39">
        <f t="shared" si="31"/>
        <v>0</v>
      </c>
      <c r="P48" s="63">
        <f t="shared" si="32"/>
        <v>0</v>
      </c>
      <c r="Q48" s="40"/>
      <c r="R48" s="27"/>
      <c r="S48" s="27"/>
      <c r="T48" s="226"/>
      <c r="U48" s="81"/>
      <c r="V48" s="65">
        <f t="shared" si="2"/>
        <v>0</v>
      </c>
      <c r="W48" s="29"/>
      <c r="X48" s="43"/>
      <c r="Y48" s="43"/>
      <c r="Z48" s="43"/>
      <c r="AA48" s="43"/>
      <c r="AB48" s="43"/>
      <c r="AC48" s="43"/>
      <c r="AD48" s="101"/>
      <c r="AF48" s="67">
        <f t="shared" si="30"/>
        <v>0</v>
      </c>
      <c r="AG48" s="44">
        <f t="shared" si="35"/>
        <v>0</v>
      </c>
      <c r="AH48" s="40">
        <f t="shared" si="18"/>
        <v>0</v>
      </c>
      <c r="AI48" s="45">
        <f t="shared" si="36"/>
        <v>0</v>
      </c>
      <c r="AJ48" s="101">
        <f t="shared" si="34"/>
        <v>0</v>
      </c>
      <c r="AL48" s="127">
        <f t="shared" si="19"/>
        <v>41274</v>
      </c>
      <c r="AM48" s="68">
        <f t="shared" si="8"/>
        <v>0</v>
      </c>
      <c r="AN48" s="68">
        <f t="shared" si="20"/>
        <v>0</v>
      </c>
      <c r="AO48" s="116">
        <f t="shared" si="21"/>
        <v>0</v>
      </c>
      <c r="AP48" s="69">
        <f t="shared" si="22"/>
        <v>0</v>
      </c>
      <c r="AQ48" s="101">
        <f t="shared" si="9"/>
        <v>0</v>
      </c>
      <c r="AS48" s="67">
        <f t="shared" si="10"/>
        <v>0</v>
      </c>
      <c r="AT48" s="70">
        <f t="shared" si="23"/>
        <v>0</v>
      </c>
      <c r="AU48" s="70">
        <f t="shared" si="24"/>
        <v>0</v>
      </c>
      <c r="AV48" s="23">
        <f t="shared" si="25"/>
        <v>0</v>
      </c>
      <c r="AW48" s="78">
        <f t="shared" si="26"/>
        <v>0</v>
      </c>
      <c r="AX48" s="101">
        <f t="shared" si="12"/>
        <v>0</v>
      </c>
      <c r="AY48" s="89">
        <f t="shared" si="13"/>
        <v>0</v>
      </c>
      <c r="BA48" s="128">
        <f t="shared" si="14"/>
        <v>0</v>
      </c>
    </row>
    <row r="49" spans="1:55" s="30" customFormat="1" ht="15" x14ac:dyDescent="0.3">
      <c r="A49" s="38"/>
      <c r="B49" s="61"/>
      <c r="C49" s="61"/>
      <c r="D49" s="71"/>
      <c r="E49" s="72"/>
      <c r="F49" s="72"/>
      <c r="G49" s="72"/>
      <c r="H49" s="149"/>
      <c r="I49" s="25"/>
      <c r="J49" s="55"/>
      <c r="K49" s="28"/>
      <c r="L49" s="154" t="str">
        <f t="shared" si="28"/>
        <v/>
      </c>
      <c r="M49" s="161"/>
      <c r="N49" s="158"/>
      <c r="O49" s="39">
        <f t="shared" si="31"/>
        <v>0</v>
      </c>
      <c r="P49" s="63">
        <f t="shared" si="32"/>
        <v>0</v>
      </c>
      <c r="Q49" s="40"/>
      <c r="R49" s="27"/>
      <c r="S49" s="27"/>
      <c r="T49" s="226"/>
      <c r="U49" s="81"/>
      <c r="V49" s="65">
        <f t="shared" si="2"/>
        <v>0</v>
      </c>
      <c r="W49" s="29"/>
      <c r="X49" s="43"/>
      <c r="Y49" s="43"/>
      <c r="Z49" s="43"/>
      <c r="AA49" s="43"/>
      <c r="AB49" s="43"/>
      <c r="AC49" s="43"/>
      <c r="AD49" s="101"/>
      <c r="AF49" s="67">
        <f t="shared" si="30"/>
        <v>0</v>
      </c>
      <c r="AG49" s="44">
        <f t="shared" si="35"/>
        <v>0</v>
      </c>
      <c r="AH49" s="40">
        <f t="shared" si="18"/>
        <v>0</v>
      </c>
      <c r="AI49" s="45">
        <f t="shared" si="36"/>
        <v>0</v>
      </c>
      <c r="AJ49" s="101">
        <f t="shared" si="34"/>
        <v>0</v>
      </c>
      <c r="AL49" s="127">
        <f t="shared" si="19"/>
        <v>41274</v>
      </c>
      <c r="AM49" s="68">
        <f t="shared" si="8"/>
        <v>0</v>
      </c>
      <c r="AN49" s="68">
        <f t="shared" si="20"/>
        <v>0</v>
      </c>
      <c r="AO49" s="116">
        <f t="shared" si="21"/>
        <v>0</v>
      </c>
      <c r="AP49" s="69">
        <f t="shared" si="22"/>
        <v>0</v>
      </c>
      <c r="AQ49" s="101">
        <f t="shared" si="9"/>
        <v>0</v>
      </c>
      <c r="AS49" s="67">
        <f t="shared" si="10"/>
        <v>0</v>
      </c>
      <c r="AT49" s="70">
        <f t="shared" si="23"/>
        <v>0</v>
      </c>
      <c r="AU49" s="70">
        <f t="shared" si="24"/>
        <v>0</v>
      </c>
      <c r="AV49" s="23">
        <f t="shared" si="25"/>
        <v>0</v>
      </c>
      <c r="AW49" s="78">
        <f t="shared" si="26"/>
        <v>0</v>
      </c>
      <c r="AX49" s="101">
        <f t="shared" si="12"/>
        <v>0</v>
      </c>
      <c r="AY49" s="89">
        <f t="shared" si="13"/>
        <v>0</v>
      </c>
      <c r="BA49" s="128">
        <f t="shared" si="14"/>
        <v>0</v>
      </c>
    </row>
    <row r="50" spans="1:55" s="30" customFormat="1" ht="15" x14ac:dyDescent="0.3">
      <c r="A50" s="38"/>
      <c r="B50" s="61"/>
      <c r="C50" s="61"/>
      <c r="D50" s="71"/>
      <c r="E50" s="72"/>
      <c r="F50" s="72"/>
      <c r="G50" s="72"/>
      <c r="H50" s="149"/>
      <c r="I50" s="25"/>
      <c r="J50" s="55"/>
      <c r="K50" s="28"/>
      <c r="L50" s="154" t="str">
        <f t="shared" si="28"/>
        <v/>
      </c>
      <c r="M50" s="161"/>
      <c r="N50" s="158"/>
      <c r="O50" s="39">
        <f t="shared" si="31"/>
        <v>0</v>
      </c>
      <c r="P50" s="63">
        <f t="shared" si="32"/>
        <v>0</v>
      </c>
      <c r="Q50" s="40"/>
      <c r="R50" s="27"/>
      <c r="S50" s="27"/>
      <c r="T50" s="226"/>
      <c r="U50" s="81"/>
      <c r="V50" s="65">
        <f t="shared" si="2"/>
        <v>0</v>
      </c>
      <c r="W50" s="29"/>
      <c r="X50" s="43"/>
      <c r="Y50" s="43"/>
      <c r="Z50" s="43"/>
      <c r="AA50" s="43"/>
      <c r="AB50" s="43"/>
      <c r="AC50" s="43"/>
      <c r="AD50" s="101"/>
      <c r="AF50" s="67">
        <f t="shared" si="30"/>
        <v>0</v>
      </c>
      <c r="AG50" s="44">
        <f t="shared" si="35"/>
        <v>0</v>
      </c>
      <c r="AH50" s="40">
        <f t="shared" si="18"/>
        <v>0</v>
      </c>
      <c r="AI50" s="45">
        <f t="shared" si="36"/>
        <v>0</v>
      </c>
      <c r="AJ50" s="101">
        <f t="shared" si="34"/>
        <v>0</v>
      </c>
      <c r="AL50" s="127">
        <f t="shared" si="19"/>
        <v>41274</v>
      </c>
      <c r="AM50" s="68">
        <f t="shared" si="8"/>
        <v>0</v>
      </c>
      <c r="AN50" s="68">
        <f t="shared" si="20"/>
        <v>0</v>
      </c>
      <c r="AO50" s="116">
        <f t="shared" si="21"/>
        <v>0</v>
      </c>
      <c r="AP50" s="69">
        <f t="shared" si="22"/>
        <v>0</v>
      </c>
      <c r="AQ50" s="101">
        <f t="shared" si="9"/>
        <v>0</v>
      </c>
      <c r="AS50" s="67">
        <f t="shared" si="10"/>
        <v>0</v>
      </c>
      <c r="AT50" s="70">
        <f t="shared" si="23"/>
        <v>0</v>
      </c>
      <c r="AU50" s="70">
        <f t="shared" si="24"/>
        <v>0</v>
      </c>
      <c r="AV50" s="23">
        <f t="shared" si="25"/>
        <v>0</v>
      </c>
      <c r="AW50" s="78">
        <f t="shared" si="26"/>
        <v>0</v>
      </c>
      <c r="AX50" s="101">
        <f t="shared" si="12"/>
        <v>0</v>
      </c>
      <c r="AY50" s="89">
        <f t="shared" si="13"/>
        <v>0</v>
      </c>
      <c r="BA50" s="128">
        <f t="shared" si="14"/>
        <v>0</v>
      </c>
    </row>
    <row r="51" spans="1:55" s="30" customFormat="1" ht="15.75" thickBot="1" x14ac:dyDescent="0.35">
      <c r="A51" s="38"/>
      <c r="B51" s="61"/>
      <c r="C51" s="61"/>
      <c r="D51" s="104"/>
      <c r="E51" s="72"/>
      <c r="F51" s="72"/>
      <c r="G51" s="72"/>
      <c r="H51" s="149"/>
      <c r="I51" s="25"/>
      <c r="J51" s="103"/>
      <c r="K51" s="82"/>
      <c r="L51" s="154" t="str">
        <f t="shared" si="28"/>
        <v/>
      </c>
      <c r="M51" s="166"/>
      <c r="N51" s="161"/>
      <c r="O51" s="39">
        <f t="shared" si="31"/>
        <v>0</v>
      </c>
      <c r="P51" s="63">
        <f t="shared" si="32"/>
        <v>0</v>
      </c>
      <c r="Q51" s="40"/>
      <c r="R51" s="27"/>
      <c r="S51" s="27"/>
      <c r="T51" s="228"/>
      <c r="U51" s="81"/>
      <c r="V51" s="65">
        <f t="shared" si="2"/>
        <v>0</v>
      </c>
      <c r="W51" s="29"/>
      <c r="X51" s="43"/>
      <c r="Y51" s="43"/>
      <c r="Z51" s="43"/>
      <c r="AA51" s="43"/>
      <c r="AB51" s="43"/>
      <c r="AC51" s="43"/>
      <c r="AD51" s="101"/>
      <c r="AF51" s="67">
        <f t="shared" si="30"/>
        <v>0</v>
      </c>
      <c r="AG51" s="44">
        <f t="shared" si="35"/>
        <v>0</v>
      </c>
      <c r="AH51" s="40">
        <f t="shared" si="18"/>
        <v>0</v>
      </c>
      <c r="AI51" s="45">
        <f t="shared" si="36"/>
        <v>0</v>
      </c>
      <c r="AJ51" s="101">
        <f t="shared" si="34"/>
        <v>0</v>
      </c>
      <c r="AL51" s="127">
        <f t="shared" si="19"/>
        <v>41274</v>
      </c>
      <c r="AM51" s="68">
        <f t="shared" si="8"/>
        <v>0</v>
      </c>
      <c r="AN51" s="68">
        <f t="shared" si="20"/>
        <v>0</v>
      </c>
      <c r="AO51" s="116">
        <f t="shared" si="21"/>
        <v>0</v>
      </c>
      <c r="AP51" s="69">
        <f t="shared" si="22"/>
        <v>0</v>
      </c>
      <c r="AQ51" s="101">
        <f t="shared" si="9"/>
        <v>0</v>
      </c>
      <c r="AS51" s="67">
        <f t="shared" si="10"/>
        <v>0</v>
      </c>
      <c r="AT51" s="70">
        <f t="shared" si="23"/>
        <v>0</v>
      </c>
      <c r="AU51" s="70">
        <f t="shared" si="24"/>
        <v>0</v>
      </c>
      <c r="AV51" s="23">
        <f t="shared" si="25"/>
        <v>0</v>
      </c>
      <c r="AW51" s="78">
        <f t="shared" si="26"/>
        <v>0</v>
      </c>
      <c r="AX51" s="101">
        <f t="shared" si="12"/>
        <v>0</v>
      </c>
      <c r="AY51" s="89">
        <f t="shared" si="13"/>
        <v>0</v>
      </c>
      <c r="BA51" s="128">
        <f t="shared" si="14"/>
        <v>0</v>
      </c>
    </row>
    <row r="52" spans="1:55" s="30" customFormat="1" ht="15" x14ac:dyDescent="0.3">
      <c r="A52" s="38"/>
      <c r="B52" s="180" t="s">
        <v>72</v>
      </c>
      <c r="C52" s="184" t="s">
        <v>31</v>
      </c>
      <c r="D52" s="167">
        <f>SUMIF($C$9:$C$51,$C52,D$9:D$51)</f>
        <v>1150000</v>
      </c>
      <c r="E52" s="72"/>
      <c r="F52" s="72"/>
      <c r="G52" s="72"/>
      <c r="H52" s="149"/>
      <c r="I52" s="25"/>
      <c r="J52" s="103"/>
      <c r="K52" s="82"/>
      <c r="L52" s="82"/>
      <c r="M52" s="166"/>
      <c r="N52" s="161"/>
      <c r="O52" s="168"/>
      <c r="P52" s="169"/>
      <c r="Q52" s="170"/>
      <c r="R52" s="171"/>
      <c r="S52" s="171"/>
      <c r="T52" s="229"/>
      <c r="U52" s="172" t="s">
        <v>72</v>
      </c>
      <c r="V52" s="185">
        <f>SUMIF($C$9:$C$51,$C52,V$9:V$51)</f>
        <v>115000</v>
      </c>
      <c r="W52" s="173"/>
      <c r="X52" s="185">
        <f t="shared" ref="X52:AD54" si="37">SUMIF($C$9:$C$51,$C52,X$9:X$51)</f>
        <v>0</v>
      </c>
      <c r="Y52" s="185">
        <f t="shared" si="37"/>
        <v>25916.666666666664</v>
      </c>
      <c r="Z52" s="185">
        <f t="shared" si="37"/>
        <v>28272.727272727268</v>
      </c>
      <c r="AA52" s="185">
        <f t="shared" si="37"/>
        <v>28272.727272727268</v>
      </c>
      <c r="AB52" s="185">
        <f t="shared" si="37"/>
        <v>28272.727272727268</v>
      </c>
      <c r="AC52" s="185">
        <f t="shared" si="37"/>
        <v>4265.1515151515141</v>
      </c>
      <c r="AD52" s="186">
        <f t="shared" si="37"/>
        <v>0</v>
      </c>
      <c r="AF52" s="189">
        <f t="shared" ref="AF52:AG54" si="38">SUMIF($C$9:$C$51,$C52,AF$9:AF$51)</f>
        <v>1150000</v>
      </c>
      <c r="AG52" s="185">
        <f t="shared" si="38"/>
        <v>2.7710843373493978E-2</v>
      </c>
      <c r="AH52" s="170"/>
      <c r="AI52" s="190">
        <f t="shared" ref="AI52:AJ54" si="39">SUMIF($C$9:$C$51,$C52,AI$9:AI$51)</f>
        <v>2.0554546954943063</v>
      </c>
      <c r="AJ52" s="186">
        <f t="shared" si="39"/>
        <v>207000.00000000003</v>
      </c>
      <c r="AL52" s="196"/>
      <c r="AM52" s="197"/>
      <c r="AN52" s="185">
        <f t="shared" ref="AN52:AQ54" si="40">SUMIF($C$9:$C$51,$C52,AN$9:AN$51)</f>
        <v>662273.9726027397</v>
      </c>
      <c r="AO52" s="190">
        <f t="shared" si="40"/>
        <v>2.7710843373493978E-2</v>
      </c>
      <c r="AP52" s="185">
        <f t="shared" si="40"/>
        <v>2.0554546954943063</v>
      </c>
      <c r="AQ52" s="186">
        <f t="shared" si="40"/>
        <v>119209.31506849316</v>
      </c>
      <c r="AS52" s="189">
        <f t="shared" ref="AS52:AY54" si="41">SUMIF($C$9:$C$51,$C52,AS$9:AS$51)</f>
        <v>487726.0273972603</v>
      </c>
      <c r="AT52" s="185">
        <f t="shared" si="41"/>
        <v>487726.0273972603</v>
      </c>
      <c r="AU52" s="185">
        <f t="shared" si="41"/>
        <v>1150000</v>
      </c>
      <c r="AV52" s="190">
        <f t="shared" si="41"/>
        <v>2.7710843373493978E-2</v>
      </c>
      <c r="AW52" s="190">
        <f t="shared" si="41"/>
        <v>2.0554546954943063</v>
      </c>
      <c r="AX52" s="186">
        <f t="shared" si="41"/>
        <v>207000.00000000003</v>
      </c>
      <c r="AY52" s="200">
        <f t="shared" si="41"/>
        <v>48772.602739726033</v>
      </c>
      <c r="BA52" s="203">
        <f>SUMIF($C$9:$C$51,$C52,BA$9:BA$51)</f>
        <v>0.58762171975573529</v>
      </c>
    </row>
    <row r="53" spans="1:55" s="30" customFormat="1" ht="15" x14ac:dyDescent="0.3">
      <c r="A53" s="38"/>
      <c r="B53" s="181" t="s">
        <v>86</v>
      </c>
      <c r="C53" s="184" t="s">
        <v>85</v>
      </c>
      <c r="D53" s="167">
        <f>SUMIF($C$9:$C$51,$C53,D$9:D$51)</f>
        <v>0</v>
      </c>
      <c r="E53" s="72"/>
      <c r="F53" s="72"/>
      <c r="G53" s="72"/>
      <c r="H53" s="149"/>
      <c r="I53" s="25"/>
      <c r="J53" s="103"/>
      <c r="K53" s="82"/>
      <c r="L53" s="82"/>
      <c r="M53" s="166"/>
      <c r="N53" s="161"/>
      <c r="O53" s="39"/>
      <c r="P53" s="63"/>
      <c r="Q53" s="40"/>
      <c r="R53" s="27"/>
      <c r="S53" s="27"/>
      <c r="T53" s="228"/>
      <c r="U53" s="81" t="s">
        <v>86</v>
      </c>
      <c r="V53" s="167">
        <f>SUMIF($C$9:$C$51,$C53,V$9:V$51)</f>
        <v>0</v>
      </c>
      <c r="W53" s="29"/>
      <c r="X53" s="167">
        <f t="shared" si="37"/>
        <v>0</v>
      </c>
      <c r="Y53" s="167">
        <f t="shared" si="37"/>
        <v>0</v>
      </c>
      <c r="Z53" s="167">
        <f t="shared" si="37"/>
        <v>0</v>
      </c>
      <c r="AA53" s="167">
        <f t="shared" si="37"/>
        <v>0</v>
      </c>
      <c r="AB53" s="167">
        <f t="shared" si="37"/>
        <v>0</v>
      </c>
      <c r="AC53" s="167">
        <f t="shared" si="37"/>
        <v>0</v>
      </c>
      <c r="AD53" s="187">
        <f t="shared" si="37"/>
        <v>0</v>
      </c>
      <c r="AF53" s="191">
        <f t="shared" si="38"/>
        <v>0</v>
      </c>
      <c r="AG53" s="167">
        <f t="shared" si="38"/>
        <v>0</v>
      </c>
      <c r="AH53" s="40"/>
      <c r="AI53" s="188">
        <f t="shared" si="39"/>
        <v>0</v>
      </c>
      <c r="AJ53" s="187">
        <f t="shared" si="39"/>
        <v>0</v>
      </c>
      <c r="AL53" s="127"/>
      <c r="AM53" s="68"/>
      <c r="AN53" s="167">
        <f t="shared" si="40"/>
        <v>0</v>
      </c>
      <c r="AO53" s="188">
        <f t="shared" si="40"/>
        <v>0</v>
      </c>
      <c r="AP53" s="167">
        <f t="shared" si="40"/>
        <v>0</v>
      </c>
      <c r="AQ53" s="187">
        <f t="shared" si="40"/>
        <v>0</v>
      </c>
      <c r="AS53" s="191"/>
      <c r="AT53" s="167"/>
      <c r="AU53" s="167"/>
      <c r="AV53" s="188"/>
      <c r="AW53" s="188"/>
      <c r="AX53" s="187"/>
      <c r="AY53" s="201">
        <f t="shared" si="41"/>
        <v>0</v>
      </c>
      <c r="BA53" s="204">
        <f>SUMIF($C$9:$C$51,$C53,BA$9:BA$51)</f>
        <v>0</v>
      </c>
    </row>
    <row r="54" spans="1:55" ht="15" x14ac:dyDescent="0.3">
      <c r="B54" s="181" t="s">
        <v>73</v>
      </c>
      <c r="C54" s="184" t="s">
        <v>32</v>
      </c>
      <c r="D54" s="167">
        <f>SUMIF($C$9:$C$51,$C54,D$9:D$51)</f>
        <v>3000000</v>
      </c>
      <c r="E54" s="72"/>
      <c r="F54" s="72"/>
      <c r="G54" s="72"/>
      <c r="H54" s="149"/>
      <c r="I54" s="25"/>
      <c r="J54" s="103"/>
      <c r="K54" s="82"/>
      <c r="L54" s="82"/>
      <c r="M54" s="166"/>
      <c r="N54" s="161"/>
      <c r="O54" s="39"/>
      <c r="P54" s="63"/>
      <c r="Q54" s="40"/>
      <c r="R54" s="27"/>
      <c r="S54" s="27"/>
      <c r="T54" s="228"/>
      <c r="U54" s="81" t="s">
        <v>73</v>
      </c>
      <c r="V54" s="167">
        <f>SUMIF($C$9:$C$51,$C54,V$9:V$51)</f>
        <v>300000</v>
      </c>
      <c r="W54" s="29"/>
      <c r="X54" s="167">
        <f t="shared" si="37"/>
        <v>0</v>
      </c>
      <c r="Y54" s="167">
        <f t="shared" si="37"/>
        <v>68750</v>
      </c>
      <c r="Z54" s="167">
        <f t="shared" si="37"/>
        <v>74999.999999999985</v>
      </c>
      <c r="AA54" s="167">
        <f t="shared" si="37"/>
        <v>74999.999999999985</v>
      </c>
      <c r="AB54" s="167">
        <f t="shared" si="37"/>
        <v>74999.999999999985</v>
      </c>
      <c r="AC54" s="167">
        <f t="shared" si="37"/>
        <v>6249.9999999999991</v>
      </c>
      <c r="AD54" s="187">
        <f t="shared" si="37"/>
        <v>0</v>
      </c>
      <c r="AE54" s="30"/>
      <c r="AF54" s="191">
        <f t="shared" si="38"/>
        <v>3000000</v>
      </c>
      <c r="AG54" s="167">
        <f t="shared" si="38"/>
        <v>7.2289156626506035E-2</v>
      </c>
      <c r="AH54" s="40"/>
      <c r="AI54" s="188">
        <f t="shared" si="39"/>
        <v>2.9816801452384887</v>
      </c>
      <c r="AJ54" s="187">
        <f t="shared" si="39"/>
        <v>540000.00000000012</v>
      </c>
      <c r="AK54" s="30"/>
      <c r="AL54" s="127"/>
      <c r="AM54" s="68"/>
      <c r="AN54" s="167">
        <f t="shared" si="40"/>
        <v>1727671.2328767122</v>
      </c>
      <c r="AO54" s="188">
        <f t="shared" si="40"/>
        <v>7.2289156626506035E-2</v>
      </c>
      <c r="AP54" s="167">
        <f t="shared" si="40"/>
        <v>2.9816801452384887</v>
      </c>
      <c r="AQ54" s="187">
        <f t="shared" si="40"/>
        <v>310980.82191780827</v>
      </c>
      <c r="AR54" s="30"/>
      <c r="AS54" s="191">
        <f t="shared" si="41"/>
        <v>1272328.7671232878</v>
      </c>
      <c r="AT54" s="167">
        <f t="shared" si="41"/>
        <v>1272328.7671232878</v>
      </c>
      <c r="AU54" s="167">
        <f t="shared" si="41"/>
        <v>3000000</v>
      </c>
      <c r="AV54" s="188">
        <f t="shared" si="41"/>
        <v>7.2289156626506035E-2</v>
      </c>
      <c r="AW54" s="188">
        <f t="shared" si="41"/>
        <v>2.9816801452384887</v>
      </c>
      <c r="AX54" s="187">
        <f t="shared" si="41"/>
        <v>540000.00000000012</v>
      </c>
      <c r="AY54" s="201">
        <f t="shared" si="41"/>
        <v>127232.87671232878</v>
      </c>
      <c r="AZ54" s="30"/>
      <c r="BA54" s="204">
        <f>SUMIF($C$9:$C$51,$C54,BA$9:BA$51)</f>
        <v>1.5329262254497442</v>
      </c>
    </row>
    <row r="55" spans="1:55" ht="15.75" thickBot="1" x14ac:dyDescent="0.35">
      <c r="B55" s="182" t="s">
        <v>74</v>
      </c>
      <c r="C55" s="1"/>
      <c r="D55" s="183">
        <f>SUM(D9:D51)</f>
        <v>4150000</v>
      </c>
      <c r="O55" s="174"/>
      <c r="P55" s="175"/>
      <c r="Q55" s="18"/>
      <c r="R55" s="175"/>
      <c r="S55" s="175"/>
      <c r="T55" s="230"/>
      <c r="U55" s="175" t="s">
        <v>74</v>
      </c>
      <c r="V55" s="176">
        <f>SUM(V9:V51)</f>
        <v>415000</v>
      </c>
      <c r="W55" s="177" t="e">
        <f>SUM(W9:W21)</f>
        <v>#REF!</v>
      </c>
      <c r="X55" s="93">
        <f>SUM(X9:X31)</f>
        <v>0</v>
      </c>
      <c r="Y55" s="178">
        <f>SUM(Y9:Y50)</f>
        <v>94666.666666666657</v>
      </c>
      <c r="Z55" s="93">
        <f>SUM(Z9:Z51)</f>
        <v>103272.72727272726</v>
      </c>
      <c r="AA55" s="93">
        <f>SUM(AA9:AA51)</f>
        <v>103272.72727272726</v>
      </c>
      <c r="AB55" s="93">
        <f>SUM(AB9:AB51)</f>
        <v>103272.72727272726</v>
      </c>
      <c r="AC55" s="93">
        <f>SUM(AC9:AC51)</f>
        <v>10515.151515151514</v>
      </c>
      <c r="AD55" s="179">
        <f>SUM(AD9:AD51)</f>
        <v>0</v>
      </c>
      <c r="AF55" s="192">
        <f>SUM(AF9:AF51)</f>
        <v>4150000</v>
      </c>
      <c r="AG55" s="93">
        <f>SUM(AG9:AG51)</f>
        <v>0.1</v>
      </c>
      <c r="AH55" s="193"/>
      <c r="AI55" s="194">
        <f>SUM(AI9:AI51)</f>
        <v>5.0371348407327945</v>
      </c>
      <c r="AJ55" s="179">
        <f>SUM(AJ9:AJ51)</f>
        <v>747000.00000000012</v>
      </c>
      <c r="AL55" s="198"/>
      <c r="AM55" s="199"/>
      <c r="AN55" s="93">
        <f>SUM(AN9:AN51)</f>
        <v>2389945.2054794519</v>
      </c>
      <c r="AO55" s="194">
        <f>SUM(AO9:AO51)</f>
        <v>0.1</v>
      </c>
      <c r="AP55" s="93">
        <f>SUM(AP9:AP51)</f>
        <v>5.0371348407327945</v>
      </c>
      <c r="AQ55" s="179">
        <f>SUM(AQ9:AQ51)</f>
        <v>430190.1369863014</v>
      </c>
      <c r="AS55" s="192">
        <f t="shared" ref="AS55:AY55" si="42">SUM(AS9:AS51)</f>
        <v>1760054.7945205481</v>
      </c>
      <c r="AT55" s="93">
        <f t="shared" si="42"/>
        <v>1760054.7945205481</v>
      </c>
      <c r="AU55" s="93">
        <f t="shared" si="42"/>
        <v>4150000</v>
      </c>
      <c r="AV55" s="194">
        <f t="shared" si="42"/>
        <v>0.1</v>
      </c>
      <c r="AW55" s="194">
        <f t="shared" si="42"/>
        <v>5.0371348407327945</v>
      </c>
      <c r="AX55" s="179">
        <f t="shared" si="42"/>
        <v>747000.00000000012</v>
      </c>
      <c r="AY55" s="202">
        <f t="shared" si="42"/>
        <v>176005.47945205483</v>
      </c>
      <c r="BA55" s="205">
        <f>SUM(BA9:BA51)</f>
        <v>2.1205479452054794</v>
      </c>
    </row>
    <row r="56" spans="1:55" ht="15" x14ac:dyDescent="0.3">
      <c r="A56" s="130"/>
      <c r="B56" s="1"/>
      <c r="C56" s="1"/>
      <c r="D56" s="17"/>
      <c r="O56" s="36"/>
      <c r="P56" s="36"/>
      <c r="Q56" s="40"/>
      <c r="R56" s="36"/>
      <c r="S56" s="36"/>
      <c r="T56" s="222"/>
      <c r="U56" s="36"/>
      <c r="V56" s="61"/>
      <c r="W56" s="61"/>
      <c r="X56" s="61"/>
      <c r="Y56" s="61"/>
      <c r="Z56" s="61"/>
      <c r="AA56" s="61"/>
      <c r="AB56" s="61"/>
      <c r="AC56" s="61"/>
      <c r="AD56" s="61"/>
      <c r="AE56" s="61"/>
      <c r="AF56" s="61"/>
      <c r="AG56" s="61"/>
      <c r="AH56" s="61"/>
      <c r="AJ56" s="50"/>
      <c r="AL56" s="32"/>
      <c r="AM56" s="32"/>
      <c r="AN56" s="61"/>
      <c r="AQ56" s="50"/>
      <c r="AY56" s="87"/>
      <c r="BB56" s="61"/>
      <c r="BC56" s="61"/>
    </row>
    <row r="57" spans="1:55" ht="15" x14ac:dyDescent="0.3">
      <c r="B57" s="14"/>
      <c r="C57" s="14"/>
      <c r="D57" s="15"/>
      <c r="I57" s="36"/>
      <c r="O57" s="36"/>
      <c r="P57" s="36"/>
      <c r="Q57" s="40"/>
      <c r="R57" s="36"/>
      <c r="S57" s="36"/>
      <c r="T57" s="222"/>
      <c r="U57" s="36"/>
      <c r="Y57" s="61"/>
      <c r="Z57" s="61"/>
      <c r="AA57" s="61"/>
      <c r="AB57" s="61"/>
      <c r="AC57" s="61"/>
      <c r="AD57" s="206"/>
      <c r="AE57" s="61"/>
      <c r="AF57" s="121"/>
      <c r="AG57" s="207"/>
      <c r="AH57" s="61"/>
      <c r="AI57" s="208"/>
      <c r="AJ57" s="209"/>
      <c r="AK57" s="61"/>
      <c r="AL57" s="195"/>
      <c r="AM57" s="195"/>
      <c r="AN57" s="121"/>
      <c r="AO57" s="207"/>
      <c r="AP57" s="208"/>
      <c r="AQ57" s="209"/>
      <c r="AR57" s="61"/>
      <c r="AS57" s="210"/>
      <c r="AT57" s="121"/>
      <c r="AU57" s="121"/>
      <c r="AV57" s="207"/>
      <c r="AW57" s="208"/>
      <c r="AX57" s="209"/>
      <c r="AY57" s="211"/>
      <c r="AZ57" s="61"/>
      <c r="BA57" s="212"/>
    </row>
    <row r="58" spans="1:55" ht="15" x14ac:dyDescent="0.3">
      <c r="B58" s="61"/>
      <c r="C58" s="61"/>
      <c r="D58" s="107"/>
      <c r="E58" s="36"/>
      <c r="F58" s="36"/>
      <c r="G58" s="36"/>
      <c r="H58" s="147"/>
      <c r="I58" s="36"/>
      <c r="J58" s="53"/>
      <c r="O58" s="36"/>
      <c r="P58" s="36"/>
      <c r="Q58" s="40"/>
      <c r="R58" s="36"/>
      <c r="S58" s="36"/>
      <c r="T58" s="222"/>
      <c r="U58" s="36"/>
      <c r="V58" s="61"/>
      <c r="W58" s="61"/>
      <c r="X58" s="61"/>
      <c r="Y58" s="61"/>
      <c r="Z58" s="61"/>
      <c r="AA58" s="61"/>
      <c r="AB58" s="61"/>
      <c r="AC58" s="61"/>
      <c r="AD58" s="61"/>
      <c r="AE58" s="61"/>
      <c r="AF58" s="61"/>
      <c r="AG58" s="61"/>
      <c r="AH58" s="61"/>
      <c r="AQ58" s="105"/>
      <c r="AX58" s="105"/>
      <c r="AY58" s="87"/>
    </row>
    <row r="59" spans="1:55" ht="15" x14ac:dyDescent="0.3">
      <c r="B59" s="34"/>
      <c r="C59" s="34"/>
      <c r="D59" s="19"/>
      <c r="E59" s="36"/>
      <c r="F59" s="36"/>
      <c r="G59" s="36"/>
      <c r="H59" s="147"/>
      <c r="I59" s="36"/>
      <c r="J59" s="53"/>
      <c r="O59" s="36"/>
      <c r="P59" s="36"/>
      <c r="Q59" s="40"/>
      <c r="R59" s="36"/>
      <c r="S59" s="36"/>
      <c r="T59" s="222"/>
      <c r="U59" s="36"/>
      <c r="V59" s="61"/>
      <c r="W59" s="61"/>
      <c r="X59" s="61"/>
      <c r="Y59" s="61"/>
      <c r="Z59" s="61"/>
      <c r="AA59" s="61"/>
      <c r="AB59" s="61"/>
      <c r="AC59" s="61"/>
      <c r="AD59" s="61"/>
      <c r="AE59" s="61"/>
      <c r="AF59" s="117"/>
      <c r="AG59" s="118"/>
      <c r="AH59" s="61"/>
      <c r="AL59" s="16"/>
      <c r="AM59" s="16"/>
      <c r="AN59" s="16"/>
      <c r="AQ59" s="16"/>
      <c r="AU59" s="16"/>
      <c r="AW59" s="31" t="s">
        <v>48</v>
      </c>
      <c r="AX59" s="16"/>
      <c r="AY59" s="87"/>
    </row>
    <row r="60" spans="1:55" x14ac:dyDescent="0.3">
      <c r="B60" s="120"/>
      <c r="C60" s="120"/>
      <c r="D60" s="68"/>
      <c r="E60" s="36"/>
      <c r="F60" s="36"/>
      <c r="G60" s="36"/>
      <c r="H60" s="147"/>
      <c r="I60" s="36"/>
      <c r="J60" s="53"/>
      <c r="O60" s="36"/>
      <c r="P60" s="36"/>
      <c r="Q60" s="40"/>
      <c r="R60" s="36"/>
      <c r="S60" s="36"/>
      <c r="T60" s="222"/>
      <c r="U60" s="36"/>
      <c r="V60" s="61"/>
      <c r="W60" s="61"/>
      <c r="X60" s="61"/>
      <c r="Y60" s="61"/>
      <c r="Z60" s="61"/>
      <c r="AA60" s="61"/>
      <c r="AB60" s="61"/>
      <c r="AC60" s="61"/>
      <c r="AD60" s="61"/>
      <c r="AE60" s="61"/>
      <c r="AF60" s="119"/>
      <c r="AG60" s="118"/>
      <c r="AH60" s="61"/>
      <c r="AL60" s="16"/>
      <c r="AM60" s="16"/>
      <c r="AN60" s="16"/>
      <c r="AO60" s="16"/>
      <c r="AP60" s="16"/>
      <c r="AQ60" s="16"/>
      <c r="AU60" s="16"/>
      <c r="AV60" s="106"/>
      <c r="AW60" s="106"/>
      <c r="AX60" s="16"/>
      <c r="AY60" s="87"/>
    </row>
    <row r="61" spans="1:55" ht="14.25" customHeight="1" thickBot="1" x14ac:dyDescent="0.35">
      <c r="B61" s="61"/>
      <c r="C61" s="61"/>
      <c r="D61" s="68"/>
      <c r="E61" s="36"/>
      <c r="F61" s="36"/>
      <c r="G61" s="36"/>
      <c r="H61" s="147"/>
      <c r="I61" s="36"/>
      <c r="J61" s="53"/>
      <c r="O61" s="40"/>
      <c r="P61" s="63"/>
      <c r="Q61" s="40"/>
      <c r="R61" s="64"/>
      <c r="S61" s="41"/>
      <c r="T61" s="222"/>
      <c r="U61" s="42"/>
      <c r="V61" s="49"/>
      <c r="W61" s="49"/>
      <c r="X61" s="44"/>
      <c r="Y61" s="61"/>
      <c r="Z61" s="61"/>
      <c r="AA61" s="61"/>
      <c r="AB61" s="61"/>
      <c r="AC61" s="61"/>
      <c r="AD61" s="61"/>
      <c r="AE61" s="61"/>
      <c r="AF61" s="61"/>
      <c r="AG61" s="61"/>
      <c r="AH61" s="61"/>
      <c r="AY61" s="87"/>
    </row>
    <row r="62" spans="1:55" ht="20.25" customHeight="1" outlineLevel="1" x14ac:dyDescent="0.3">
      <c r="B62" s="34"/>
      <c r="C62" s="34"/>
      <c r="D62" s="19"/>
      <c r="E62" s="86"/>
      <c r="F62" s="86"/>
      <c r="G62" s="86"/>
      <c r="H62" s="147"/>
      <c r="I62" s="36"/>
      <c r="J62" s="53"/>
      <c r="O62" s="36"/>
      <c r="P62" s="36"/>
      <c r="Q62" s="36"/>
      <c r="R62" s="36"/>
      <c r="S62" s="36"/>
      <c r="T62" s="222"/>
      <c r="U62" s="36"/>
      <c r="V62" s="47" t="s">
        <v>29</v>
      </c>
      <c r="W62" s="46"/>
      <c r="X62" s="48"/>
      <c r="Y62" s="61"/>
      <c r="Z62" s="61"/>
      <c r="AA62" s="61"/>
      <c r="AB62" s="61"/>
      <c r="AC62" s="61"/>
      <c r="AD62" s="61"/>
      <c r="AE62" s="61"/>
      <c r="AF62" s="61"/>
      <c r="AY62" s="87"/>
    </row>
    <row r="63" spans="1:55" ht="22.5" customHeight="1" outlineLevel="1" x14ac:dyDescent="0.3">
      <c r="B63" s="75"/>
      <c r="C63" s="75"/>
      <c r="D63" s="68"/>
      <c r="E63" s="36"/>
      <c r="F63" s="36"/>
      <c r="G63" s="36"/>
      <c r="H63" s="147"/>
      <c r="I63" s="36"/>
      <c r="J63" s="53"/>
      <c r="V63" s="62">
        <v>2011</v>
      </c>
      <c r="W63" s="34"/>
      <c r="X63" s="143">
        <v>0</v>
      </c>
      <c r="AS63" s="24"/>
      <c r="AY63" s="87"/>
    </row>
    <row r="64" spans="1:55" ht="15" outlineLevel="1" x14ac:dyDescent="0.3">
      <c r="B64" s="75"/>
      <c r="C64" s="75"/>
      <c r="D64" s="68"/>
      <c r="E64" s="36"/>
      <c r="F64" s="36"/>
      <c r="G64" s="36"/>
      <c r="H64" s="147"/>
      <c r="I64" s="36"/>
      <c r="J64" s="53"/>
      <c r="V64" s="84">
        <v>2012</v>
      </c>
      <c r="W64" s="34"/>
      <c r="X64" s="141">
        <v>0</v>
      </c>
      <c r="AY64" s="87"/>
    </row>
    <row r="65" spans="1:51" ht="15.75" thickBot="1" x14ac:dyDescent="0.35">
      <c r="B65" s="34"/>
      <c r="C65" s="34"/>
      <c r="D65" s="19"/>
      <c r="E65" s="86"/>
      <c r="F65" s="86"/>
      <c r="G65" s="86"/>
      <c r="H65" s="147"/>
      <c r="I65" s="36"/>
      <c r="J65" s="53"/>
      <c r="V65" s="85"/>
      <c r="W65" s="132"/>
      <c r="X65" s="133"/>
      <c r="AY65" s="87"/>
    </row>
    <row r="66" spans="1:51" ht="15" x14ac:dyDescent="0.3">
      <c r="B66" s="61"/>
      <c r="C66" s="61"/>
      <c r="D66" s="121"/>
      <c r="E66" s="86"/>
      <c r="F66" s="86"/>
      <c r="G66" s="86"/>
      <c r="H66" s="147"/>
      <c r="I66" s="36"/>
      <c r="J66" s="53"/>
      <c r="AY66" s="87"/>
    </row>
    <row r="67" spans="1:51" x14ac:dyDescent="0.3">
      <c r="B67" s="59"/>
      <c r="C67" s="59"/>
      <c r="D67" s="71"/>
      <c r="E67" s="72"/>
      <c r="F67" s="72"/>
      <c r="G67" s="72"/>
      <c r="H67" s="145"/>
      <c r="I67" s="73"/>
      <c r="J67" s="74"/>
      <c r="V67" s="21" t="s">
        <v>33</v>
      </c>
      <c r="W67" s="75"/>
      <c r="X67" s="51">
        <v>2010</v>
      </c>
      <c r="Y67" s="51">
        <v>2011</v>
      </c>
      <c r="Z67" s="51">
        <v>2012</v>
      </c>
      <c r="AA67" s="51">
        <v>2013</v>
      </c>
      <c r="AB67" s="51">
        <v>2014</v>
      </c>
      <c r="AC67" s="51">
        <v>2015</v>
      </c>
      <c r="AD67" s="51">
        <v>2016</v>
      </c>
      <c r="AY67" s="87"/>
    </row>
    <row r="68" spans="1:51" ht="15" x14ac:dyDescent="0.3">
      <c r="A68" s="102"/>
      <c r="V68" s="1" t="s">
        <v>31</v>
      </c>
      <c r="X68" s="50">
        <f t="shared" ref="X68:AD68" si="43">X52</f>
        <v>0</v>
      </c>
      <c r="Y68" s="50">
        <f t="shared" si="43"/>
        <v>25916.666666666664</v>
      </c>
      <c r="Z68" s="50">
        <f t="shared" si="43"/>
        <v>28272.727272727268</v>
      </c>
      <c r="AA68" s="50">
        <f t="shared" si="43"/>
        <v>28272.727272727268</v>
      </c>
      <c r="AB68" s="50">
        <f t="shared" si="43"/>
        <v>28272.727272727268</v>
      </c>
      <c r="AC68" s="50">
        <f t="shared" si="43"/>
        <v>4265.1515151515141</v>
      </c>
      <c r="AD68" s="50">
        <f t="shared" si="43"/>
        <v>0</v>
      </c>
      <c r="AY68" s="87"/>
    </row>
    <row r="69" spans="1:51" ht="15" x14ac:dyDescent="0.3">
      <c r="V69" s="1" t="s">
        <v>32</v>
      </c>
      <c r="X69" s="50">
        <f>X54</f>
        <v>0</v>
      </c>
      <c r="Y69" s="50">
        <f t="shared" ref="Y69:AD69" si="44">Y54</f>
        <v>68750</v>
      </c>
      <c r="Z69" s="50">
        <f t="shared" si="44"/>
        <v>74999.999999999985</v>
      </c>
      <c r="AA69" s="50">
        <f t="shared" si="44"/>
        <v>74999.999999999985</v>
      </c>
      <c r="AB69" s="50">
        <f t="shared" si="44"/>
        <v>74999.999999999985</v>
      </c>
      <c r="AC69" s="50">
        <f t="shared" si="44"/>
        <v>6249.9999999999991</v>
      </c>
      <c r="AD69" s="50">
        <f t="shared" si="44"/>
        <v>0</v>
      </c>
    </row>
    <row r="70" spans="1:51" ht="15" x14ac:dyDescent="0.3">
      <c r="A70" s="94"/>
      <c r="V70" s="109" t="s">
        <v>50</v>
      </c>
      <c r="W70" s="110"/>
      <c r="X70" s="111">
        <f t="shared" ref="X70:AD70" si="45">SUM(X68:X69)</f>
        <v>0</v>
      </c>
      <c r="Y70" s="111">
        <f t="shared" si="45"/>
        <v>94666.666666666657</v>
      </c>
      <c r="Z70" s="111">
        <f t="shared" si="45"/>
        <v>103272.72727272725</v>
      </c>
      <c r="AA70" s="111">
        <f t="shared" si="45"/>
        <v>103272.72727272725</v>
      </c>
      <c r="AB70" s="111">
        <f t="shared" si="45"/>
        <v>103272.72727272725</v>
      </c>
      <c r="AC70" s="111">
        <f t="shared" si="45"/>
        <v>10515.151515151512</v>
      </c>
      <c r="AD70" s="111">
        <f t="shared" si="45"/>
        <v>0</v>
      </c>
    </row>
    <row r="71" spans="1:51" x14ac:dyDescent="0.3">
      <c r="A71" s="61"/>
    </row>
    <row r="72" spans="1:51" ht="15" x14ac:dyDescent="0.3">
      <c r="A72" s="61"/>
      <c r="V72" s="108" t="s">
        <v>28</v>
      </c>
      <c r="X72" s="50">
        <f t="shared" ref="X72:AD73" si="46">SUMIF($I$9:$I$51,$V72,X$9:X$51)</f>
        <v>0</v>
      </c>
      <c r="Y72" s="50">
        <f t="shared" si="46"/>
        <v>0</v>
      </c>
      <c r="Z72" s="50">
        <f t="shared" si="46"/>
        <v>0</v>
      </c>
      <c r="AA72" s="50">
        <f t="shared" si="46"/>
        <v>0</v>
      </c>
      <c r="AB72" s="50">
        <f t="shared" si="46"/>
        <v>0</v>
      </c>
      <c r="AC72" s="50">
        <f t="shared" si="46"/>
        <v>0</v>
      </c>
      <c r="AD72" s="50">
        <f t="shared" si="46"/>
        <v>0</v>
      </c>
    </row>
    <row r="73" spans="1:51" ht="15" x14ac:dyDescent="0.3">
      <c r="A73" s="61"/>
      <c r="B73" s="95"/>
      <c r="C73" s="95"/>
      <c r="D73" s="95"/>
      <c r="E73" s="95"/>
      <c r="F73" s="95"/>
      <c r="G73" s="95"/>
      <c r="H73" s="151"/>
      <c r="I73" s="95"/>
      <c r="J73" s="95"/>
      <c r="V73" s="108" t="s">
        <v>27</v>
      </c>
      <c r="X73" s="50">
        <f t="shared" si="46"/>
        <v>0</v>
      </c>
      <c r="Y73" s="50">
        <f t="shared" si="46"/>
        <v>0</v>
      </c>
      <c r="Z73" s="50">
        <f t="shared" si="46"/>
        <v>0</v>
      </c>
      <c r="AA73" s="50">
        <f t="shared" si="46"/>
        <v>0</v>
      </c>
      <c r="AB73" s="50">
        <f t="shared" si="46"/>
        <v>0</v>
      </c>
      <c r="AC73" s="50">
        <f t="shared" si="46"/>
        <v>0</v>
      </c>
      <c r="AD73" s="50">
        <f t="shared" si="46"/>
        <v>0</v>
      </c>
    </row>
    <row r="74" spans="1:51" x14ac:dyDescent="0.3">
      <c r="A74" s="61"/>
      <c r="B74" s="95"/>
      <c r="C74" s="95"/>
      <c r="D74" s="95"/>
      <c r="E74" s="95"/>
      <c r="F74" s="95"/>
      <c r="G74" s="95"/>
      <c r="H74" s="151"/>
      <c r="I74" s="95"/>
      <c r="J74" s="95"/>
      <c r="V74" s="109" t="s">
        <v>50</v>
      </c>
      <c r="W74" s="110"/>
      <c r="X74" s="111">
        <f t="shared" ref="X74:AD74" si="47">SUM(X72:X73)</f>
        <v>0</v>
      </c>
      <c r="Y74" s="111">
        <f t="shared" si="47"/>
        <v>0</v>
      </c>
      <c r="Z74" s="111">
        <f t="shared" si="47"/>
        <v>0</v>
      </c>
      <c r="AA74" s="111">
        <f t="shared" si="47"/>
        <v>0</v>
      </c>
      <c r="AB74" s="111">
        <f t="shared" si="47"/>
        <v>0</v>
      </c>
      <c r="AC74" s="111">
        <f t="shared" si="47"/>
        <v>0</v>
      </c>
      <c r="AD74" s="111">
        <f t="shared" si="47"/>
        <v>0</v>
      </c>
    </row>
    <row r="75" spans="1:51" x14ac:dyDescent="0.3">
      <c r="A75" s="61"/>
      <c r="B75" s="95"/>
      <c r="C75" s="95"/>
      <c r="D75" s="95"/>
      <c r="E75" s="95"/>
      <c r="F75" s="95"/>
      <c r="G75" s="95"/>
      <c r="H75" s="151"/>
      <c r="I75" s="95"/>
      <c r="J75" s="95"/>
    </row>
    <row r="76" spans="1:51" x14ac:dyDescent="0.3">
      <c r="A76" s="61"/>
      <c r="B76" s="95"/>
      <c r="C76" s="95"/>
      <c r="D76" s="95"/>
      <c r="E76" s="95"/>
      <c r="F76" s="95"/>
      <c r="G76" s="95"/>
      <c r="H76" s="151"/>
      <c r="I76" s="95"/>
      <c r="J76" s="95"/>
      <c r="V76" s="112" t="s">
        <v>49</v>
      </c>
      <c r="W76" s="112"/>
      <c r="X76" s="113">
        <f t="shared" ref="X76:AD76" si="48">X74-X70</f>
        <v>0</v>
      </c>
      <c r="Y76" s="113">
        <f t="shared" si="48"/>
        <v>-94666.666666666657</v>
      </c>
      <c r="Z76" s="113">
        <f t="shared" si="48"/>
        <v>-103272.72727272725</v>
      </c>
      <c r="AA76" s="113">
        <f t="shared" si="48"/>
        <v>-103272.72727272725</v>
      </c>
      <c r="AB76" s="113">
        <f t="shared" si="48"/>
        <v>-103272.72727272725</v>
      </c>
      <c r="AC76" s="113">
        <f t="shared" si="48"/>
        <v>-10515.151515151512</v>
      </c>
      <c r="AD76" s="113">
        <f t="shared" si="48"/>
        <v>0</v>
      </c>
    </row>
    <row r="77" spans="1:51" x14ac:dyDescent="0.3">
      <c r="B77" s="95"/>
      <c r="C77" s="95"/>
      <c r="D77" s="95"/>
      <c r="E77" s="95"/>
      <c r="F77" s="95"/>
      <c r="G77" s="95"/>
      <c r="H77" s="151"/>
      <c r="I77" s="95"/>
      <c r="J77" s="95"/>
    </row>
    <row r="78" spans="1:51" x14ac:dyDescent="0.3">
      <c r="D78" s="96"/>
      <c r="E78" s="87"/>
      <c r="F78" s="87"/>
      <c r="G78" s="87"/>
      <c r="H78" s="152"/>
      <c r="I78" s="31"/>
      <c r="J78" s="31"/>
    </row>
    <row r="79" spans="1:51" x14ac:dyDescent="0.3">
      <c r="D79" s="96"/>
      <c r="E79" s="87"/>
      <c r="F79" s="87"/>
      <c r="G79" s="87"/>
      <c r="H79" s="152"/>
      <c r="I79" s="31"/>
      <c r="J79" s="31"/>
    </row>
    <row r="80" spans="1:51" x14ac:dyDescent="0.3">
      <c r="D80" s="96"/>
      <c r="E80" s="87"/>
      <c r="F80" s="87"/>
      <c r="G80" s="87"/>
      <c r="H80" s="152"/>
      <c r="I80" s="31"/>
      <c r="J80" s="31"/>
    </row>
    <row r="81" spans="4:10" x14ac:dyDescent="0.3">
      <c r="D81" s="96"/>
      <c r="E81" s="87"/>
      <c r="F81" s="87"/>
      <c r="G81" s="87"/>
      <c r="H81" s="152"/>
      <c r="I81" s="31"/>
      <c r="J81" s="31"/>
    </row>
    <row r="82" spans="4:10" x14ac:dyDescent="0.3">
      <c r="D82" s="96"/>
      <c r="E82" s="87"/>
      <c r="F82" s="87"/>
      <c r="G82" s="87"/>
      <c r="H82" s="152"/>
      <c r="I82" s="31"/>
      <c r="J82" s="31"/>
    </row>
    <row r="83" spans="4:10" x14ac:dyDescent="0.3">
      <c r="D83" s="96"/>
      <c r="E83" s="87"/>
      <c r="F83" s="87"/>
      <c r="G83" s="87"/>
      <c r="H83" s="152"/>
      <c r="I83" s="31"/>
      <c r="J83" s="31"/>
    </row>
    <row r="84" spans="4:10" x14ac:dyDescent="0.3">
      <c r="D84" s="96"/>
      <c r="E84" s="87"/>
      <c r="F84" s="87"/>
      <c r="G84" s="87"/>
      <c r="H84" s="152"/>
      <c r="I84" s="31"/>
      <c r="J84" s="31"/>
    </row>
    <row r="85" spans="4:10" x14ac:dyDescent="0.3">
      <c r="D85" s="96"/>
      <c r="E85" s="87"/>
      <c r="F85" s="87"/>
      <c r="G85" s="87"/>
      <c r="H85" s="152"/>
      <c r="I85" s="31"/>
      <c r="J85" s="31"/>
    </row>
    <row r="86" spans="4:10" x14ac:dyDescent="0.3">
      <c r="D86" s="96"/>
      <c r="E86" s="87"/>
      <c r="F86" s="87"/>
      <c r="G86" s="87"/>
      <c r="H86" s="152"/>
      <c r="I86" s="31"/>
      <c r="J86" s="31"/>
    </row>
    <row r="87" spans="4:10" x14ac:dyDescent="0.3">
      <c r="D87" s="96"/>
      <c r="E87" s="87"/>
      <c r="F87" s="87"/>
      <c r="G87" s="87"/>
      <c r="H87" s="152"/>
      <c r="I87" s="31"/>
      <c r="J87" s="31"/>
    </row>
    <row r="88" spans="4:10" x14ac:dyDescent="0.3">
      <c r="D88" s="96"/>
      <c r="E88" s="87"/>
      <c r="F88" s="87"/>
      <c r="G88" s="87"/>
      <c r="H88" s="152"/>
      <c r="I88" s="31"/>
      <c r="J88" s="31"/>
    </row>
    <row r="89" spans="4:10" ht="7.5" customHeight="1" x14ac:dyDescent="0.3">
      <c r="D89" s="96"/>
      <c r="E89" s="87"/>
      <c r="F89" s="87"/>
      <c r="G89" s="87"/>
      <c r="H89" s="152"/>
      <c r="I89" s="31"/>
      <c r="J89" s="31"/>
    </row>
    <row r="90" spans="4:10" x14ac:dyDescent="0.3">
      <c r="D90" s="96"/>
      <c r="E90" s="87"/>
      <c r="F90" s="87"/>
      <c r="G90" s="87"/>
      <c r="H90" s="152"/>
      <c r="I90" s="31"/>
      <c r="J90" s="31"/>
    </row>
    <row r="91" spans="4:10" x14ac:dyDescent="0.3">
      <c r="D91" s="96"/>
      <c r="E91" s="87"/>
      <c r="F91" s="87"/>
      <c r="G91" s="87"/>
      <c r="H91" s="152"/>
      <c r="I91" s="31"/>
      <c r="J91" s="31"/>
    </row>
    <row r="92" spans="4:10" x14ac:dyDescent="0.3">
      <c r="D92" s="96"/>
      <c r="E92" s="87"/>
      <c r="F92" s="87"/>
      <c r="G92" s="87"/>
      <c r="H92" s="152"/>
      <c r="I92" s="31"/>
      <c r="J92" s="31"/>
    </row>
    <row r="93" spans="4:10" x14ac:dyDescent="0.3">
      <c r="D93" s="96"/>
      <c r="E93" s="87"/>
      <c r="F93" s="87"/>
      <c r="G93" s="87"/>
      <c r="H93" s="152"/>
      <c r="I93" s="31"/>
      <c r="J93" s="31"/>
    </row>
    <row r="94" spans="4:10" x14ac:dyDescent="0.3">
      <c r="D94" s="32"/>
      <c r="E94" s="87"/>
      <c r="F94" s="87"/>
      <c r="G94" s="87"/>
      <c r="H94" s="152"/>
      <c r="I94" s="31"/>
      <c r="J94" s="31"/>
    </row>
    <row r="95" spans="4:10" ht="15" x14ac:dyDescent="0.3">
      <c r="D95" s="100"/>
      <c r="E95" s="98"/>
      <c r="F95" s="98"/>
      <c r="G95" s="98"/>
      <c r="H95" s="152"/>
      <c r="I95" s="31"/>
      <c r="J95" s="31"/>
    </row>
    <row r="96" spans="4:10" x14ac:dyDescent="0.3">
      <c r="D96" s="87"/>
      <c r="E96" s="87"/>
      <c r="F96" s="87"/>
      <c r="G96" s="87"/>
      <c r="H96" s="152"/>
      <c r="I96" s="31"/>
      <c r="J96" s="31"/>
    </row>
    <row r="97" spans="1:13" ht="15" x14ac:dyDescent="0.3">
      <c r="D97" s="87"/>
      <c r="E97" s="99"/>
      <c r="F97" s="99"/>
      <c r="G97" s="99"/>
      <c r="H97" s="152"/>
      <c r="I97" s="31"/>
      <c r="J97" s="31"/>
    </row>
    <row r="98" spans="1:13" ht="15" x14ac:dyDescent="0.3">
      <c r="B98" s="31" t="s">
        <v>38</v>
      </c>
      <c r="D98" s="87"/>
      <c r="E98" s="97" t="e">
        <f>#REF!</f>
        <v>#REF!</v>
      </c>
      <c r="F98" s="97"/>
      <c r="G98" s="97"/>
      <c r="H98" s="152"/>
      <c r="I98" s="31"/>
      <c r="J98" s="31"/>
    </row>
    <row r="99" spans="1:13" x14ac:dyDescent="0.3">
      <c r="D99" s="87"/>
      <c r="E99" s="87"/>
      <c r="F99" s="87"/>
      <c r="G99" s="87"/>
      <c r="H99" s="152"/>
      <c r="I99" s="31"/>
      <c r="J99" s="31"/>
    </row>
    <row r="100" spans="1:13" x14ac:dyDescent="0.3">
      <c r="D100" s="87"/>
      <c r="E100" s="87"/>
      <c r="F100" s="87"/>
      <c r="G100" s="87"/>
      <c r="H100" s="152"/>
      <c r="I100" s="31"/>
      <c r="J100" s="31"/>
    </row>
    <row r="101" spans="1:13" x14ac:dyDescent="0.3">
      <c r="D101" s="87"/>
      <c r="E101" s="87"/>
      <c r="F101" s="87"/>
      <c r="G101" s="87"/>
      <c r="H101" s="152"/>
      <c r="I101" s="31"/>
      <c r="J101" s="31"/>
    </row>
    <row r="102" spans="1:13" ht="15" customHeight="1" x14ac:dyDescent="0.3">
      <c r="A102" s="94"/>
    </row>
    <row r="103" spans="1:13" x14ac:dyDescent="0.3">
      <c r="K103" s="114"/>
      <c r="L103" s="114"/>
      <c r="M103" s="153"/>
    </row>
    <row r="104" spans="1:13" x14ac:dyDescent="0.3">
      <c r="K104" s="114"/>
      <c r="L104" s="114"/>
      <c r="M104" s="153"/>
    </row>
    <row r="105" spans="1:13" x14ac:dyDescent="0.3">
      <c r="B105" s="114"/>
      <c r="C105" s="114"/>
      <c r="D105" s="114"/>
      <c r="E105" s="114"/>
      <c r="F105" s="114"/>
      <c r="G105" s="114"/>
      <c r="H105" s="153"/>
      <c r="I105" s="114"/>
      <c r="J105" s="114"/>
      <c r="K105" s="114"/>
      <c r="L105" s="114"/>
      <c r="M105" s="153"/>
    </row>
    <row r="106" spans="1:13" x14ac:dyDescent="0.3">
      <c r="B106" s="114"/>
      <c r="C106" s="114"/>
      <c r="D106" s="114"/>
      <c r="E106" s="114"/>
      <c r="F106" s="114"/>
      <c r="G106" s="114"/>
      <c r="H106" s="153"/>
      <c r="I106" s="114"/>
      <c r="J106" s="114"/>
    </row>
    <row r="107" spans="1:13" x14ac:dyDescent="0.3">
      <c r="B107" s="114"/>
      <c r="C107" s="114"/>
      <c r="D107" s="114"/>
      <c r="E107" s="114"/>
      <c r="F107" s="114"/>
      <c r="G107" s="114"/>
      <c r="H107" s="153"/>
      <c r="I107" s="114"/>
      <c r="J107" s="114"/>
    </row>
  </sheetData>
  <mergeCells count="4">
    <mergeCell ref="O5:AA5"/>
    <mergeCell ref="AF5:AJ5"/>
    <mergeCell ref="AL5:AQ5"/>
    <mergeCell ref="AS5:AX5"/>
  </mergeCells>
  <pageMargins left="0.25" right="0.25" top="1" bottom="1" header="0.5" footer="0.5"/>
  <pageSetup paperSize="5" scale="24" orientation="landscape" r:id="rId1"/>
  <headerFooter alignWithMargins="0"/>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9"/>
  <sheetViews>
    <sheetView showGridLines="0" zoomScale="80" zoomScaleNormal="80" workbookViewId="0">
      <selection activeCell="D15" sqref="D15"/>
    </sheetView>
  </sheetViews>
  <sheetFormatPr defaultColWidth="0" defaultRowHeight="15" zeroHeight="1" x14ac:dyDescent="0.3"/>
  <cols>
    <col min="1" max="1" width="17.85546875" style="244" customWidth="1"/>
    <col min="2" max="2" width="25.28515625" style="245" customWidth="1"/>
    <col min="3" max="3" width="17" style="245" customWidth="1"/>
    <col min="4" max="4" width="14.140625" style="245" customWidth="1"/>
    <col min="5" max="5" width="15.28515625" style="245" customWidth="1"/>
    <col min="6" max="6" width="16" style="245" customWidth="1"/>
    <col min="7" max="7" width="12.42578125" style="245" customWidth="1"/>
    <col min="8" max="8" width="14" style="245" customWidth="1"/>
    <col min="9" max="9" width="11.42578125" style="245" customWidth="1"/>
    <col min="10" max="10" width="18.28515625" style="245" customWidth="1"/>
    <col min="11" max="12" width="8.85546875" style="245" customWidth="1"/>
    <col min="13" max="13" width="13.28515625" style="245" customWidth="1"/>
    <col min="14" max="14" width="8.85546875" style="245" customWidth="1"/>
    <col min="15" max="15" width="8.85546875" style="244" customWidth="1"/>
    <col min="16" max="17" width="8.85546875" style="244" hidden="1" customWidth="1"/>
    <col min="18" max="18" width="13.85546875" style="244" hidden="1" customWidth="1"/>
    <col min="19" max="19" width="11.7109375" style="244" hidden="1" customWidth="1"/>
    <col min="20" max="16384" width="8.85546875" style="244" hidden="1"/>
  </cols>
  <sheetData>
    <row r="1" spans="2:23" ht="15.75" thickBot="1" x14ac:dyDescent="0.35"/>
    <row r="2" spans="2:23" ht="15" customHeight="1" x14ac:dyDescent="0.3">
      <c r="D2" s="438" t="s">
        <v>101</v>
      </c>
      <c r="E2" s="439"/>
      <c r="F2" s="439"/>
      <c r="G2" s="439"/>
      <c r="H2" s="440"/>
      <c r="J2" s="444" t="s">
        <v>116</v>
      </c>
      <c r="K2" s="445"/>
      <c r="L2" s="445"/>
      <c r="M2" s="445"/>
      <c r="N2" s="446"/>
    </row>
    <row r="3" spans="2:23" ht="15.75" thickBot="1" x14ac:dyDescent="0.35">
      <c r="D3" s="441"/>
      <c r="E3" s="442"/>
      <c r="F3" s="442"/>
      <c r="G3" s="442"/>
      <c r="H3" s="443"/>
      <c r="J3" s="447"/>
      <c r="K3" s="448"/>
      <c r="L3" s="448"/>
      <c r="M3" s="448"/>
      <c r="N3" s="449"/>
    </row>
    <row r="4" spans="2:23" x14ac:dyDescent="0.3">
      <c r="D4" s="246"/>
      <c r="E4" s="246"/>
      <c r="F4" s="246"/>
      <c r="G4" s="246"/>
      <c r="H4" s="246"/>
      <c r="J4" s="447"/>
      <c r="K4" s="448"/>
      <c r="L4" s="448"/>
      <c r="M4" s="448"/>
      <c r="N4" s="449"/>
    </row>
    <row r="5" spans="2:23" ht="15.75" thickBot="1" x14ac:dyDescent="0.35">
      <c r="D5" s="246"/>
      <c r="E5" s="246"/>
      <c r="F5" s="246"/>
      <c r="G5" s="246"/>
      <c r="H5" s="246"/>
      <c r="J5" s="450"/>
      <c r="K5" s="451"/>
      <c r="L5" s="451"/>
      <c r="M5" s="451"/>
      <c r="N5" s="452"/>
    </row>
    <row r="6" spans="2:23" ht="15.75" thickBot="1" x14ac:dyDescent="0.35"/>
    <row r="7" spans="2:23" x14ac:dyDescent="0.3">
      <c r="B7" s="255" t="s">
        <v>59</v>
      </c>
      <c r="C7" s="256" t="s">
        <v>89</v>
      </c>
      <c r="D7" s="256" t="s">
        <v>45</v>
      </c>
      <c r="E7" s="256" t="s">
        <v>88</v>
      </c>
      <c r="F7" s="256" t="s">
        <v>60</v>
      </c>
      <c r="G7" s="256" t="s">
        <v>61</v>
      </c>
      <c r="H7" s="256" t="s">
        <v>62</v>
      </c>
      <c r="I7" s="256" t="s">
        <v>63</v>
      </c>
      <c r="J7" s="256" t="s">
        <v>64</v>
      </c>
      <c r="K7" s="257"/>
      <c r="L7" s="256" t="s">
        <v>65</v>
      </c>
      <c r="M7" s="256" t="s">
        <v>66</v>
      </c>
      <c r="N7" s="258" t="s">
        <v>30</v>
      </c>
    </row>
    <row r="8" spans="2:23" x14ac:dyDescent="0.3">
      <c r="B8" s="259" t="str">
        <f>IF('(3) Options'!D12&lt;&gt;"",'(3) Options'!D12,"")</f>
        <v>Employee A</v>
      </c>
      <c r="C8" s="260">
        <f>IF(B8&lt;&gt;"",'(3) Options'!F12,"")</f>
        <v>100000</v>
      </c>
      <c r="D8" s="261">
        <f>IF(B8&lt;&gt;"",'(3) Options'!H12,"")</f>
        <v>41565</v>
      </c>
      <c r="E8" s="262">
        <f>IF(B8&lt;&gt;"",VLOOKUP(D8,'(1) Inputs'!$I$9:$J$58,2,1),"")</f>
        <v>0.28000000000000003</v>
      </c>
      <c r="F8" s="262">
        <f>IF(B8&lt;&gt;"",'(3) Options'!J12,"")</f>
        <v>0.15</v>
      </c>
      <c r="G8" s="79">
        <f>IF(B8&lt;&gt;"",'(1) Inputs'!$E$12,"")</f>
        <v>5</v>
      </c>
      <c r="H8" s="263">
        <f>IF(D8&lt;&gt;"",VLOOKUP(D8,'(1) Inputs'!$I$9:$K$104,3,1),"")</f>
        <v>0.41699999999999998</v>
      </c>
      <c r="I8" s="79">
        <f>IF(B8&lt;&gt;"",'(1) Inputs'!$E$11,"")</f>
        <v>0</v>
      </c>
      <c r="J8" s="263">
        <f>IF(B8&lt;&gt;"",VLOOKUP(D8,'(2) Risk-Free Rates'!$D$9:$E$2002,2,1)/100,"")</f>
        <v>1.3500000000000002E-2</v>
      </c>
      <c r="K8" s="79"/>
      <c r="L8" s="79">
        <f t="shared" ref="L8" si="0">IF(B8&lt;&gt;"",(LN(E8/F8)+(J8-I8+(H8^2)/2)*G8)/(H8*(G8^0.5)),"")</f>
        <v>1.2079880639647562</v>
      </c>
      <c r="M8" s="264">
        <f t="shared" ref="M8" si="1">IF(B8&lt;&gt;"",L8-H8*(G8^0.5),"")</f>
        <v>0.27554771734734396</v>
      </c>
      <c r="N8" s="265">
        <f t="shared" ref="N8" si="2">IF(B8&lt;&gt;"",+E8*EXP(-I8*G8)*NORMSDIST(L8)-F8*EXP(-J8*G8)*NORMSDIST(M8),"")</f>
        <v>0.16288813983435418</v>
      </c>
      <c r="W8" s="248"/>
    </row>
    <row r="9" spans="2:23" x14ac:dyDescent="0.3">
      <c r="B9" s="259" t="str">
        <f>IF('(3) Options'!D13&lt;&gt;"",'(3) Options'!D13,"")</f>
        <v>Employee B</v>
      </c>
      <c r="C9" s="260">
        <f>IF(B9&lt;&gt;"",'(3) Options'!F13,"")</f>
        <v>30000</v>
      </c>
      <c r="D9" s="261">
        <f>IF(B9&lt;&gt;"",'(3) Options'!H13,"")</f>
        <v>41737</v>
      </c>
      <c r="E9" s="262">
        <f>IF(B9&lt;&gt;"",VLOOKUP(D9,'(1) Inputs'!$I$9:$J$58,2,1),"")</f>
        <v>0.28000000000000003</v>
      </c>
      <c r="F9" s="262">
        <f>IF(B9&lt;&gt;"",'(3) Options'!J13,"")</f>
        <v>0.15</v>
      </c>
      <c r="G9" s="79">
        <f>IF(B9&lt;&gt;"",'(1) Inputs'!$E$12,"")</f>
        <v>5</v>
      </c>
      <c r="H9" s="263">
        <f>IF(D9&lt;&gt;"",VLOOKUP(D9,'(1) Inputs'!$I$9:$K$104,3,1),"")</f>
        <v>0.41699999999999998</v>
      </c>
      <c r="I9" s="79">
        <f>IF(B9&lt;&gt;"",'(1) Inputs'!$E$11,"")</f>
        <v>0</v>
      </c>
      <c r="J9" s="263">
        <f>IF(B9&lt;&gt;"",VLOOKUP(D9,'(2) Risk-Free Rates'!$D$9:$E$2002,2,1)/100,"")</f>
        <v>1.6799999999999999E-2</v>
      </c>
      <c r="K9" s="79"/>
      <c r="L9" s="79">
        <f t="shared" ref="L9:L12" si="3">IF(B9&lt;&gt;"",(LN(E9/F9)+(J9-I9+(H9^2)/2)*G9)/(H9*(G9^0.5)),"")</f>
        <v>1.2256835659449703</v>
      </c>
      <c r="M9" s="264">
        <f t="shared" ref="M9:M12" si="4">IF(B9&lt;&gt;"",L9-H9*(G9^0.5),"")</f>
        <v>0.29324321932755804</v>
      </c>
      <c r="N9" s="265">
        <f t="shared" ref="N9:N12" si="5">IF(B9&lt;&gt;"",+E9*EXP(-I9*G9)*NORMSDIST(L9)-F9*EXP(-J9*G9)*NORMSDIST(M9),"")</f>
        <v>0.16429220749218093</v>
      </c>
      <c r="W9" s="248"/>
    </row>
    <row r="10" spans="2:23" x14ac:dyDescent="0.3">
      <c r="B10" s="259" t="str">
        <f>IF('(3) Options'!D14&lt;&gt;"",'(3) Options'!D14,"")</f>
        <v>Employee C</v>
      </c>
      <c r="C10" s="260">
        <f>IF(B10&lt;&gt;"",'(3) Options'!F14,"")</f>
        <v>150000</v>
      </c>
      <c r="D10" s="261">
        <f>IF(B10&lt;&gt;"",'(3) Options'!H14,"")</f>
        <v>41737</v>
      </c>
      <c r="E10" s="262">
        <f>IF(B10&lt;&gt;"",VLOOKUP(D10,'(1) Inputs'!$I$9:$J$58,2,1),"")</f>
        <v>0.28000000000000003</v>
      </c>
      <c r="F10" s="262">
        <f>IF(B10&lt;&gt;"",'(3) Options'!J14,"")</f>
        <v>0.15</v>
      </c>
      <c r="G10" s="79">
        <f>IF(B10&lt;&gt;"",'(1) Inputs'!$E$12,"")</f>
        <v>5</v>
      </c>
      <c r="H10" s="263">
        <f>IF(D10&lt;&gt;"",VLOOKUP(D10,'(1) Inputs'!$I$9:$K$104,3,1),"")</f>
        <v>0.41699999999999998</v>
      </c>
      <c r="I10" s="79">
        <f>IF(B10&lt;&gt;"",'(1) Inputs'!$E$11,"")</f>
        <v>0</v>
      </c>
      <c r="J10" s="263">
        <f>IF(B10&lt;&gt;"",VLOOKUP(D10,'(2) Risk-Free Rates'!$D$9:$E$2002,2,1)/100,"")</f>
        <v>1.6799999999999999E-2</v>
      </c>
      <c r="K10" s="79"/>
      <c r="L10" s="79">
        <f t="shared" si="3"/>
        <v>1.2256835659449703</v>
      </c>
      <c r="M10" s="264">
        <f t="shared" si="4"/>
        <v>0.29324321932755804</v>
      </c>
      <c r="N10" s="265">
        <f t="shared" si="5"/>
        <v>0.16429220749218093</v>
      </c>
      <c r="W10" s="248"/>
    </row>
    <row r="11" spans="2:23" x14ac:dyDescent="0.3">
      <c r="B11" s="259" t="str">
        <f>IF('(3) Options'!D15&lt;&gt;"",'(3) Options'!D15,"")</f>
        <v>Employee D</v>
      </c>
      <c r="C11" s="260">
        <f>IF(B11&lt;&gt;"",'(3) Options'!F15,"")</f>
        <v>225000</v>
      </c>
      <c r="D11" s="261">
        <f>IF(B11&lt;&gt;"",'(3) Options'!H15,"")</f>
        <v>41783</v>
      </c>
      <c r="E11" s="262">
        <f>IF(B11&lt;&gt;"",VLOOKUP(D11,'(1) Inputs'!$I$9:$J$58,2,1),"")</f>
        <v>0.28000000000000003</v>
      </c>
      <c r="F11" s="262">
        <f>IF(B11&lt;&gt;"",'(3) Options'!J15,"")</f>
        <v>0.28000000000000003</v>
      </c>
      <c r="G11" s="79">
        <f>IF(B11&lt;&gt;"",'(1) Inputs'!$E$12,"")</f>
        <v>5</v>
      </c>
      <c r="H11" s="263">
        <f>IF(D11&lt;&gt;"",VLOOKUP(D11,'(1) Inputs'!$I$9:$K$104,3,1),"")</f>
        <v>0.41699999999999998</v>
      </c>
      <c r="I11" s="79">
        <f>IF(B11&lt;&gt;"",'(1) Inputs'!$E$11,"")</f>
        <v>0</v>
      </c>
      <c r="J11" s="263">
        <f>IF(B11&lt;&gt;"",VLOOKUP(D11,'(2) Risk-Free Rates'!$D$9:$E$2002,2,1)/100,"")</f>
        <v>1.6799999999999999E-2</v>
      </c>
      <c r="K11" s="79"/>
      <c r="L11" s="79">
        <f t="shared" si="3"/>
        <v>0.55630636520797827</v>
      </c>
      <c r="M11" s="264">
        <f t="shared" si="4"/>
        <v>-0.37613398140943399</v>
      </c>
      <c r="N11" s="265">
        <f t="shared" si="5"/>
        <v>0.10809801132095224</v>
      </c>
      <c r="W11" s="248"/>
    </row>
    <row r="12" spans="2:23" x14ac:dyDescent="0.3">
      <c r="B12" s="259" t="str">
        <f>IF('(3) Options'!D16&lt;&gt;"",'(3) Options'!D16,"")</f>
        <v>Employee E</v>
      </c>
      <c r="C12" s="260">
        <f>IF(B12&lt;&gt;"",'(3) Options'!F16,"")</f>
        <v>100000</v>
      </c>
      <c r="D12" s="261">
        <f>IF(B12&lt;&gt;"",'(3) Options'!H16,"")</f>
        <v>41821</v>
      </c>
      <c r="E12" s="262">
        <f>IF(B12&lt;&gt;"",VLOOKUP(D12,'(1) Inputs'!$I$9:$J$58,2,1),"")</f>
        <v>0.28000000000000003</v>
      </c>
      <c r="F12" s="262">
        <f>IF(B12&lt;&gt;"",'(3) Options'!J16,"")</f>
        <v>0.28000000000000003</v>
      </c>
      <c r="G12" s="79">
        <f>IF(B12&lt;&gt;"",'(1) Inputs'!$E$12,"")</f>
        <v>5</v>
      </c>
      <c r="H12" s="263">
        <f>IF(D12&lt;&gt;"",VLOOKUP(D12,'(1) Inputs'!$I$9:$K$104,3,1),"")</f>
        <v>0.41699999999999998</v>
      </c>
      <c r="I12" s="79">
        <f>IF(B12&lt;&gt;"",'(1) Inputs'!$E$11,"")</f>
        <v>0</v>
      </c>
      <c r="J12" s="263">
        <f>IF(B12&lt;&gt;"",VLOOKUP(D12,'(2) Risk-Free Rates'!$D$9:$E$2002,2,1)/100,"")</f>
        <v>1.6799999999999999E-2</v>
      </c>
      <c r="K12" s="79"/>
      <c r="L12" s="79">
        <f t="shared" si="3"/>
        <v>0.55630636520797827</v>
      </c>
      <c r="M12" s="264">
        <f t="shared" si="4"/>
        <v>-0.37613398140943399</v>
      </c>
      <c r="N12" s="265">
        <f t="shared" si="5"/>
        <v>0.10809801132095224</v>
      </c>
      <c r="W12" s="248"/>
    </row>
    <row r="13" spans="2:23" x14ac:dyDescent="0.3">
      <c r="B13" s="259" t="str">
        <f>IF('(3) Options'!D17&lt;&gt;"",'(3) Options'!D17,"")</f>
        <v/>
      </c>
      <c r="C13" s="260" t="str">
        <f>IF(B13&lt;&gt;"",'(3) Options'!F17,"")</f>
        <v/>
      </c>
      <c r="D13" s="261" t="str">
        <f>IF(B13&lt;&gt;"",'(3) Options'!H17,"")</f>
        <v/>
      </c>
      <c r="E13" s="262" t="str">
        <f>IF(B13&lt;&gt;"",VLOOKUP(D13,'(1) Inputs'!$I$9:$J$58,2,1),"")</f>
        <v/>
      </c>
      <c r="F13" s="262" t="str">
        <f>IF(B13&lt;&gt;"",'(3) Options'!J17,"")</f>
        <v/>
      </c>
      <c r="G13" s="79" t="str">
        <f>IF(B13&lt;&gt;"",'(1) Inputs'!$E$12,"")</f>
        <v/>
      </c>
      <c r="H13" s="263" t="str">
        <f>IF(D13&lt;&gt;"",VLOOKUP(D13,'(1) Inputs'!$I$9:$K$104,3,1),"")</f>
        <v/>
      </c>
      <c r="I13" s="79" t="str">
        <f>IF(B13&lt;&gt;"",'(1) Inputs'!$E$11,"")</f>
        <v/>
      </c>
      <c r="J13" s="263" t="str">
        <f>IF(B13&lt;&gt;"",VLOOKUP(D13,'(2) Risk-Free Rates'!$D$9:$E$2002,2,1)/100,"")</f>
        <v/>
      </c>
      <c r="K13" s="79"/>
      <c r="L13" s="79" t="str">
        <f t="shared" ref="L13:L39" si="6">IF(B13&lt;&gt;"",(LN(E13/F13)+(J13-I13+(H13^2)/2)*G13)/(H13*(G13^0.5)),"")</f>
        <v/>
      </c>
      <c r="M13" s="264" t="str">
        <f t="shared" ref="M13:M39" si="7">IF(B13&lt;&gt;"",L13-H13*(G13^0.5),"")</f>
        <v/>
      </c>
      <c r="N13" s="265" t="str">
        <f t="shared" ref="N13:N39" si="8">IF(B13&lt;&gt;"",+E13*EXP(-I13*G13)*NORMSDIST(L13)-F13*EXP(-J13*G13)*NORMSDIST(M13),"")</f>
        <v/>
      </c>
      <c r="W13" s="248"/>
    </row>
    <row r="14" spans="2:23" x14ac:dyDescent="0.3">
      <c r="B14" s="259" t="str">
        <f>IF('(3) Options'!D18&lt;&gt;"",'(3) Options'!D18,"")</f>
        <v/>
      </c>
      <c r="C14" s="260" t="str">
        <f>IF(B14&lt;&gt;"",'(3) Options'!F18,"")</f>
        <v/>
      </c>
      <c r="D14" s="261" t="str">
        <f>IF(B14&lt;&gt;"",'(3) Options'!H18,"")</f>
        <v/>
      </c>
      <c r="E14" s="262" t="str">
        <f>IF(B14&lt;&gt;"",VLOOKUP(D14,'(1) Inputs'!$I$9:$J$58,2,1),"")</f>
        <v/>
      </c>
      <c r="F14" s="262" t="str">
        <f>IF(B14&lt;&gt;"",'(3) Options'!J18,"")</f>
        <v/>
      </c>
      <c r="G14" s="79" t="str">
        <f>IF(B14&lt;&gt;"",'(1) Inputs'!$E$12,"")</f>
        <v/>
      </c>
      <c r="H14" s="263" t="str">
        <f>IF(D14&lt;&gt;"",VLOOKUP(D14,'(1) Inputs'!$I$9:$K$104,3,1),"")</f>
        <v/>
      </c>
      <c r="I14" s="79" t="str">
        <f>IF(B14&lt;&gt;"",'(1) Inputs'!$E$11,"")</f>
        <v/>
      </c>
      <c r="J14" s="263" t="str">
        <f>IF(B14&lt;&gt;"",VLOOKUP(D14,'(2) Risk-Free Rates'!$D$9:$E$2002,2,1)/100,"")</f>
        <v/>
      </c>
      <c r="K14" s="79"/>
      <c r="L14" s="79" t="str">
        <f t="shared" si="6"/>
        <v/>
      </c>
      <c r="M14" s="264" t="str">
        <f t="shared" si="7"/>
        <v/>
      </c>
      <c r="N14" s="265" t="str">
        <f t="shared" si="8"/>
        <v/>
      </c>
      <c r="W14" s="248"/>
    </row>
    <row r="15" spans="2:23" x14ac:dyDescent="0.3">
      <c r="B15" s="259" t="str">
        <f>IF('(3) Options'!D19&lt;&gt;"",'(3) Options'!D19,"")</f>
        <v/>
      </c>
      <c r="C15" s="260" t="str">
        <f>IF(B15&lt;&gt;"",'(3) Options'!F19,"")</f>
        <v/>
      </c>
      <c r="D15" s="261" t="str">
        <f>IF(B15&lt;&gt;"",'(3) Options'!H19,"")</f>
        <v/>
      </c>
      <c r="E15" s="262" t="str">
        <f>IF(B15&lt;&gt;"",VLOOKUP(D15,'(1) Inputs'!$I$9:$J$58,2,1),"")</f>
        <v/>
      </c>
      <c r="F15" s="262" t="str">
        <f>IF(B15&lt;&gt;"",'(3) Options'!J19,"")</f>
        <v/>
      </c>
      <c r="G15" s="79" t="str">
        <f>IF(B15&lt;&gt;"",'(1) Inputs'!$E$12,"")</f>
        <v/>
      </c>
      <c r="H15" s="263" t="str">
        <f>IF(D15&lt;&gt;"",VLOOKUP(D15,'(1) Inputs'!$I$9:$K$104,3,1),"")</f>
        <v/>
      </c>
      <c r="I15" s="79" t="str">
        <f>IF(B15&lt;&gt;"",'(1) Inputs'!$E$11,"")</f>
        <v/>
      </c>
      <c r="J15" s="263" t="str">
        <f>IF(B15&lt;&gt;"",VLOOKUP(D15,'(2) Risk-Free Rates'!$D$9:$E$2002,2,1)/100,"")</f>
        <v/>
      </c>
      <c r="K15" s="79"/>
      <c r="L15" s="79" t="str">
        <f t="shared" si="6"/>
        <v/>
      </c>
      <c r="M15" s="264" t="str">
        <f t="shared" si="7"/>
        <v/>
      </c>
      <c r="N15" s="265" t="str">
        <f t="shared" si="8"/>
        <v/>
      </c>
    </row>
    <row r="16" spans="2:23" x14ac:dyDescent="0.3">
      <c r="B16" s="259" t="str">
        <f>IF('(3) Options'!D20&lt;&gt;"",'(3) Options'!D20,"")</f>
        <v/>
      </c>
      <c r="C16" s="260" t="str">
        <f>IF(B16&lt;&gt;"",'(3) Options'!F20,"")</f>
        <v/>
      </c>
      <c r="D16" s="261" t="str">
        <f>IF(B16&lt;&gt;"",'(3) Options'!H20,"")</f>
        <v/>
      </c>
      <c r="E16" s="262" t="str">
        <f>IF(B16&lt;&gt;"",VLOOKUP(D16,'(1) Inputs'!$I$9:$J$58,2,1),"")</f>
        <v/>
      </c>
      <c r="F16" s="262" t="str">
        <f>IF(B16&lt;&gt;"",'(3) Options'!J20,"")</f>
        <v/>
      </c>
      <c r="G16" s="79" t="str">
        <f>IF(B16&lt;&gt;"",'(1) Inputs'!$E$12,"")</f>
        <v/>
      </c>
      <c r="H16" s="263" t="str">
        <f>IF(D16&lt;&gt;"",VLOOKUP(D16,'(1) Inputs'!$I$9:$K$104,3,1),"")</f>
        <v/>
      </c>
      <c r="I16" s="79" t="str">
        <f>IF(B16&lt;&gt;"",'(1) Inputs'!$E$11,"")</f>
        <v/>
      </c>
      <c r="J16" s="263" t="str">
        <f>IF(B16&lt;&gt;"",VLOOKUP(D16,'(2) Risk-Free Rates'!$D$9:$E$2002,2,1)/100,"")</f>
        <v/>
      </c>
      <c r="K16" s="79"/>
      <c r="L16" s="79" t="str">
        <f t="shared" si="6"/>
        <v/>
      </c>
      <c r="M16" s="264" t="str">
        <f t="shared" si="7"/>
        <v/>
      </c>
      <c r="N16" s="265" t="str">
        <f t="shared" si="8"/>
        <v/>
      </c>
    </row>
    <row r="17" spans="2:22" x14ac:dyDescent="0.3">
      <c r="B17" s="259" t="str">
        <f>IF('(3) Options'!D21&lt;&gt;"",'(3) Options'!D21,"")</f>
        <v/>
      </c>
      <c r="C17" s="260" t="str">
        <f>IF(B17&lt;&gt;"",'(3) Options'!F21,"")</f>
        <v/>
      </c>
      <c r="D17" s="261" t="str">
        <f>IF(B17&lt;&gt;"",'(3) Options'!H21,"")</f>
        <v/>
      </c>
      <c r="E17" s="262" t="str">
        <f>IF(B17&lt;&gt;"",VLOOKUP(D17,'(1) Inputs'!$I$9:$J$58,2,1),"")</f>
        <v/>
      </c>
      <c r="F17" s="262" t="str">
        <f>IF(B17&lt;&gt;"",'(3) Options'!J21,"")</f>
        <v/>
      </c>
      <c r="G17" s="79" t="str">
        <f>IF(B17&lt;&gt;"",'(1) Inputs'!$E$12,"")</f>
        <v/>
      </c>
      <c r="H17" s="263" t="str">
        <f>IF(D17&lt;&gt;"",VLOOKUP(D17,'(1) Inputs'!$I$9:$K$104,3,1),"")</f>
        <v/>
      </c>
      <c r="I17" s="79" t="str">
        <f>IF(B17&lt;&gt;"",'(1) Inputs'!$E$11,"")</f>
        <v/>
      </c>
      <c r="J17" s="263" t="str">
        <f>IF(B17&lt;&gt;"",VLOOKUP(D17,'(2) Risk-Free Rates'!$D$9:$E$2002,2,1)/100,"")</f>
        <v/>
      </c>
      <c r="K17" s="79"/>
      <c r="L17" s="79" t="str">
        <f t="shared" si="6"/>
        <v/>
      </c>
      <c r="M17" s="264" t="str">
        <f t="shared" si="7"/>
        <v/>
      </c>
      <c r="N17" s="265" t="str">
        <f t="shared" si="8"/>
        <v/>
      </c>
    </row>
    <row r="18" spans="2:22" x14ac:dyDescent="0.3">
      <c r="B18" s="259" t="str">
        <f>IF('(3) Options'!D22&lt;&gt;"",'(3) Options'!D22,"")</f>
        <v/>
      </c>
      <c r="C18" s="260" t="str">
        <f>IF(B18&lt;&gt;"",'(3) Options'!F22,"")</f>
        <v/>
      </c>
      <c r="D18" s="261" t="str">
        <f>IF(B18&lt;&gt;"",'(3) Options'!H22,"")</f>
        <v/>
      </c>
      <c r="E18" s="262" t="str">
        <f>IF(B18&lt;&gt;"",VLOOKUP(D18,'(1) Inputs'!$I$9:$J$58,2,1),"")</f>
        <v/>
      </c>
      <c r="F18" s="262" t="str">
        <f>IF(B18&lt;&gt;"",'(3) Options'!J22,"")</f>
        <v/>
      </c>
      <c r="G18" s="79" t="str">
        <f>IF(B18&lt;&gt;"",'(1) Inputs'!$E$12,"")</f>
        <v/>
      </c>
      <c r="H18" s="263" t="str">
        <f>IF(D18&lt;&gt;"",VLOOKUP(D18,'(1) Inputs'!$I$9:$K$104,3,1),"")</f>
        <v/>
      </c>
      <c r="I18" s="79" t="str">
        <f>IF(B18&lt;&gt;"",'(1) Inputs'!$E$11,"")</f>
        <v/>
      </c>
      <c r="J18" s="263" t="str">
        <f>IF(B18&lt;&gt;"",VLOOKUP(D18,'(2) Risk-Free Rates'!$D$9:$E$2002,2,1)/100,"")</f>
        <v/>
      </c>
      <c r="K18" s="79"/>
      <c r="L18" s="79" t="str">
        <f t="shared" si="6"/>
        <v/>
      </c>
      <c r="M18" s="264" t="str">
        <f t="shared" si="7"/>
        <v/>
      </c>
      <c r="N18" s="265" t="str">
        <f t="shared" si="8"/>
        <v/>
      </c>
    </row>
    <row r="19" spans="2:22" x14ac:dyDescent="0.3">
      <c r="B19" s="259" t="str">
        <f>IF('(3) Options'!D23&lt;&gt;"",'(3) Options'!D23,"")</f>
        <v/>
      </c>
      <c r="C19" s="260" t="str">
        <f>IF(B19&lt;&gt;"",'(3) Options'!F23,"")</f>
        <v/>
      </c>
      <c r="D19" s="261" t="str">
        <f>IF(B19&lt;&gt;"",'(3) Options'!H23,"")</f>
        <v/>
      </c>
      <c r="E19" s="262" t="str">
        <f>IF(B19&lt;&gt;"",VLOOKUP(D19,'(1) Inputs'!$I$9:$J$58,2,1),"")</f>
        <v/>
      </c>
      <c r="F19" s="262" t="str">
        <f>IF(B19&lt;&gt;"",'(3) Options'!J23,"")</f>
        <v/>
      </c>
      <c r="G19" s="79" t="str">
        <f>IF(B19&lt;&gt;"",'(1) Inputs'!$E$12,"")</f>
        <v/>
      </c>
      <c r="H19" s="263" t="str">
        <f>IF(D19&lt;&gt;"",VLOOKUP(D19,'(1) Inputs'!$I$9:$K$104,3,1),"")</f>
        <v/>
      </c>
      <c r="I19" s="79" t="str">
        <f>IF(B19&lt;&gt;"",'(1) Inputs'!$E$11,"")</f>
        <v/>
      </c>
      <c r="J19" s="263" t="str">
        <f>IF(B19&lt;&gt;"",VLOOKUP(D19,'(2) Risk-Free Rates'!$D$9:$E$2002,2,1)/100,"")</f>
        <v/>
      </c>
      <c r="K19" s="79"/>
      <c r="L19" s="79" t="str">
        <f t="shared" si="6"/>
        <v/>
      </c>
      <c r="M19" s="264" t="str">
        <f t="shared" si="7"/>
        <v/>
      </c>
      <c r="N19" s="265" t="str">
        <f t="shared" si="8"/>
        <v/>
      </c>
    </row>
    <row r="20" spans="2:22" x14ac:dyDescent="0.3">
      <c r="B20" s="259" t="str">
        <f>IF('(3) Options'!D24&lt;&gt;"",'(3) Options'!D24,"")</f>
        <v/>
      </c>
      <c r="C20" s="260" t="str">
        <f>IF(B20&lt;&gt;"",'(3) Options'!F24,"")</f>
        <v/>
      </c>
      <c r="D20" s="261" t="str">
        <f>IF(B20&lt;&gt;"",'(3) Options'!H24,"")</f>
        <v/>
      </c>
      <c r="E20" s="262" t="str">
        <f>IF(B20&lt;&gt;"",VLOOKUP(D20,'(1) Inputs'!$I$9:$J$58,2,1),"")</f>
        <v/>
      </c>
      <c r="F20" s="262" t="str">
        <f>IF(B20&lt;&gt;"",'(3) Options'!J24,"")</f>
        <v/>
      </c>
      <c r="G20" s="79" t="str">
        <f>IF(B20&lt;&gt;"",'(1) Inputs'!$E$12,"")</f>
        <v/>
      </c>
      <c r="H20" s="263" t="str">
        <f>IF(D20&lt;&gt;"",VLOOKUP(D20,'(1) Inputs'!$I$9:$K$104,3,1),"")</f>
        <v/>
      </c>
      <c r="I20" s="79" t="str">
        <f>IF(B20&lt;&gt;"",'(1) Inputs'!$E$11,"")</f>
        <v/>
      </c>
      <c r="J20" s="263" t="str">
        <f>IF(B20&lt;&gt;"",VLOOKUP(D20,'(2) Risk-Free Rates'!$D$9:$E$2002,2,1)/100,"")</f>
        <v/>
      </c>
      <c r="K20" s="79"/>
      <c r="L20" s="79" t="str">
        <f t="shared" si="6"/>
        <v/>
      </c>
      <c r="M20" s="264" t="str">
        <f t="shared" si="7"/>
        <v/>
      </c>
      <c r="N20" s="265" t="str">
        <f t="shared" si="8"/>
        <v/>
      </c>
    </row>
    <row r="21" spans="2:22" x14ac:dyDescent="0.3">
      <c r="B21" s="259" t="str">
        <f>IF('(3) Options'!D25&lt;&gt;"",'(3) Options'!D25,"")</f>
        <v/>
      </c>
      <c r="C21" s="260" t="str">
        <f>IF(B21&lt;&gt;"",'(3) Options'!F25,"")</f>
        <v/>
      </c>
      <c r="D21" s="261" t="str">
        <f>IF(B21&lt;&gt;"",'(3) Options'!H25,"")</f>
        <v/>
      </c>
      <c r="E21" s="262" t="str">
        <f>IF(B21&lt;&gt;"",VLOOKUP(D21,'(1) Inputs'!$I$9:$J$58,2,1),"")</f>
        <v/>
      </c>
      <c r="F21" s="262" t="str">
        <f>IF(B21&lt;&gt;"",'(3) Options'!J25,"")</f>
        <v/>
      </c>
      <c r="G21" s="79" t="str">
        <f>IF(B21&lt;&gt;"",'(1) Inputs'!$E$12,"")</f>
        <v/>
      </c>
      <c r="H21" s="263" t="str">
        <f>IF(D21&lt;&gt;"",VLOOKUP(D21,'(1) Inputs'!$I$9:$K$104,3,1),"")</f>
        <v/>
      </c>
      <c r="I21" s="79" t="str">
        <f>IF(B21&lt;&gt;"",'(1) Inputs'!$E$11,"")</f>
        <v/>
      </c>
      <c r="J21" s="263" t="str">
        <f>IF(B21&lt;&gt;"",VLOOKUP(D21,'(2) Risk-Free Rates'!$D$9:$E$2002,2,1)/100,"")</f>
        <v/>
      </c>
      <c r="K21" s="79"/>
      <c r="L21" s="79" t="str">
        <f t="shared" si="6"/>
        <v/>
      </c>
      <c r="M21" s="264" t="str">
        <f t="shared" si="7"/>
        <v/>
      </c>
      <c r="N21" s="265" t="str">
        <f t="shared" si="8"/>
        <v/>
      </c>
    </row>
    <row r="22" spans="2:22" x14ac:dyDescent="0.3">
      <c r="B22" s="259" t="str">
        <f>IF('(3) Options'!D26&lt;&gt;"",'(3) Options'!D26,"")</f>
        <v/>
      </c>
      <c r="C22" s="260" t="str">
        <f>IF(B22&lt;&gt;"",'(3) Options'!F26,"")</f>
        <v/>
      </c>
      <c r="D22" s="261" t="str">
        <f>IF(B22&lt;&gt;"",'(3) Options'!H26,"")</f>
        <v/>
      </c>
      <c r="E22" s="262" t="str">
        <f>IF(B22&lt;&gt;"",VLOOKUP(D22,'(1) Inputs'!$I$9:$J$58,2,1),"")</f>
        <v/>
      </c>
      <c r="F22" s="262" t="str">
        <f>IF(B22&lt;&gt;"",'(3) Options'!J26,"")</f>
        <v/>
      </c>
      <c r="G22" s="79" t="str">
        <f>IF(B22&lt;&gt;"",'(1) Inputs'!$E$12,"")</f>
        <v/>
      </c>
      <c r="H22" s="263" t="str">
        <f>IF(D22&lt;&gt;"",VLOOKUP(D22,'(1) Inputs'!$I$9:$K$104,3,1),"")</f>
        <v/>
      </c>
      <c r="I22" s="79" t="str">
        <f>IF(B22&lt;&gt;"",'(1) Inputs'!$E$11,"")</f>
        <v/>
      </c>
      <c r="J22" s="263" t="str">
        <f>IF(B22&lt;&gt;"",VLOOKUP(D22,'(2) Risk-Free Rates'!$D$9:$E$2002,2,1)/100,"")</f>
        <v/>
      </c>
      <c r="K22" s="79"/>
      <c r="L22" s="79" t="str">
        <f t="shared" si="6"/>
        <v/>
      </c>
      <c r="M22" s="264" t="str">
        <f t="shared" si="7"/>
        <v/>
      </c>
      <c r="N22" s="265" t="str">
        <f t="shared" si="8"/>
        <v/>
      </c>
    </row>
    <row r="23" spans="2:22" x14ac:dyDescent="0.3">
      <c r="B23" s="259" t="str">
        <f>IF('(3) Options'!D27&lt;&gt;"",'(3) Options'!D27,"")</f>
        <v/>
      </c>
      <c r="C23" s="260" t="str">
        <f>IF(B23&lt;&gt;"",'(3) Options'!F27,"")</f>
        <v/>
      </c>
      <c r="D23" s="261" t="str">
        <f>IF(B23&lt;&gt;"",'(3) Options'!H27,"")</f>
        <v/>
      </c>
      <c r="E23" s="262" t="str">
        <f>IF(B23&lt;&gt;"",VLOOKUP(D23,'(1) Inputs'!$I$9:$J$58,2,1),"")</f>
        <v/>
      </c>
      <c r="F23" s="262" t="str">
        <f>IF(B23&lt;&gt;"",'(3) Options'!J27,"")</f>
        <v/>
      </c>
      <c r="G23" s="79" t="str">
        <f>IF(B23&lt;&gt;"",'(1) Inputs'!$E$12,"")</f>
        <v/>
      </c>
      <c r="H23" s="263" t="str">
        <f>IF(D23&lt;&gt;"",VLOOKUP(D23,'(1) Inputs'!$I$9:$K$104,3,1),"")</f>
        <v/>
      </c>
      <c r="I23" s="79" t="str">
        <f>IF(B23&lt;&gt;"",'(1) Inputs'!$E$11,"")</f>
        <v/>
      </c>
      <c r="J23" s="263" t="str">
        <f>IF(B23&lt;&gt;"",VLOOKUP(D23,'(2) Risk-Free Rates'!$D$9:$E$2002,2,1)/100,"")</f>
        <v/>
      </c>
      <c r="K23" s="79"/>
      <c r="L23" s="79" t="str">
        <f t="shared" si="6"/>
        <v/>
      </c>
      <c r="M23" s="264" t="str">
        <f t="shared" si="7"/>
        <v/>
      </c>
      <c r="N23" s="265" t="str">
        <f t="shared" si="8"/>
        <v/>
      </c>
    </row>
    <row r="24" spans="2:22" x14ac:dyDescent="0.3">
      <c r="B24" s="259" t="str">
        <f>IF('(3) Options'!D28&lt;&gt;"",'(3) Options'!D28,"")</f>
        <v/>
      </c>
      <c r="C24" s="260" t="str">
        <f>IF(B24&lt;&gt;"",'(3) Options'!F28,"")</f>
        <v/>
      </c>
      <c r="D24" s="261" t="str">
        <f>IF(B24&lt;&gt;"",'(3) Options'!H28,"")</f>
        <v/>
      </c>
      <c r="E24" s="262" t="str">
        <f>IF(B24&lt;&gt;"",VLOOKUP(D24,'(1) Inputs'!$I$9:$J$58,2,1),"")</f>
        <v/>
      </c>
      <c r="F24" s="262" t="str">
        <f>IF(B24&lt;&gt;"",'(3) Options'!J28,"")</f>
        <v/>
      </c>
      <c r="G24" s="79" t="str">
        <f>IF(B24&lt;&gt;"",'(1) Inputs'!$E$12,"")</f>
        <v/>
      </c>
      <c r="H24" s="263" t="str">
        <f>IF(D24&lt;&gt;"",VLOOKUP(D24,'(1) Inputs'!$I$9:$K$104,3,1),"")</f>
        <v/>
      </c>
      <c r="I24" s="79" t="str">
        <f>IF(B24&lt;&gt;"",'(1) Inputs'!$E$11,"")</f>
        <v/>
      </c>
      <c r="J24" s="263" t="str">
        <f>IF(B24&lt;&gt;"",VLOOKUP(D24,'(2) Risk-Free Rates'!$D$9:$E$2002,2,1)/100,"")</f>
        <v/>
      </c>
      <c r="K24" s="79"/>
      <c r="L24" s="79" t="str">
        <f t="shared" si="6"/>
        <v/>
      </c>
      <c r="M24" s="264" t="str">
        <f t="shared" si="7"/>
        <v/>
      </c>
      <c r="N24" s="265" t="str">
        <f t="shared" si="8"/>
        <v/>
      </c>
    </row>
    <row r="25" spans="2:22" x14ac:dyDescent="0.3">
      <c r="B25" s="259" t="str">
        <f>IF('(3) Options'!D29&lt;&gt;"",'(3) Options'!D29,"")</f>
        <v/>
      </c>
      <c r="C25" s="260" t="str">
        <f>IF(B25&lt;&gt;"",'(3) Options'!F29,"")</f>
        <v/>
      </c>
      <c r="D25" s="261" t="str">
        <f>IF(B25&lt;&gt;"",'(3) Options'!H29,"")</f>
        <v/>
      </c>
      <c r="E25" s="262" t="str">
        <f>IF(B25&lt;&gt;"",VLOOKUP(D25,'(1) Inputs'!$I$9:$J$58,2,1),"")</f>
        <v/>
      </c>
      <c r="F25" s="262" t="str">
        <f>IF(B25&lt;&gt;"",'(3) Options'!J29,"")</f>
        <v/>
      </c>
      <c r="G25" s="79" t="str">
        <f>IF(B25&lt;&gt;"",'(1) Inputs'!$E$12,"")</f>
        <v/>
      </c>
      <c r="H25" s="263" t="str">
        <f>IF(D25&lt;&gt;"",VLOOKUP(D25,'(1) Inputs'!$I$9:$K$104,3,1),"")</f>
        <v/>
      </c>
      <c r="I25" s="79" t="str">
        <f>IF(B25&lt;&gt;"",'(1) Inputs'!$E$11,"")</f>
        <v/>
      </c>
      <c r="J25" s="263" t="str">
        <f>IF(B25&lt;&gt;"",VLOOKUP(D25,'(2) Risk-Free Rates'!$D$9:$E$2002,2,1)/100,"")</f>
        <v/>
      </c>
      <c r="K25" s="79"/>
      <c r="L25" s="79" t="str">
        <f t="shared" si="6"/>
        <v/>
      </c>
      <c r="M25" s="264" t="str">
        <f t="shared" si="7"/>
        <v/>
      </c>
      <c r="N25" s="265" t="str">
        <f t="shared" si="8"/>
        <v/>
      </c>
      <c r="V25" s="248"/>
    </row>
    <row r="26" spans="2:22" x14ac:dyDescent="0.3">
      <c r="B26" s="259" t="str">
        <f>IF('(3) Options'!D30&lt;&gt;"",'(3) Options'!D30,"")</f>
        <v/>
      </c>
      <c r="C26" s="260" t="str">
        <f>IF(B26&lt;&gt;"",'(3) Options'!F30,"")</f>
        <v/>
      </c>
      <c r="D26" s="261" t="str">
        <f>IF(B26&lt;&gt;"",'(3) Options'!H30,"")</f>
        <v/>
      </c>
      <c r="E26" s="262" t="str">
        <f>IF(B26&lt;&gt;"",VLOOKUP(D26,'(1) Inputs'!$I$9:$J$58,2,1),"")</f>
        <v/>
      </c>
      <c r="F26" s="262" t="str">
        <f>IF(B26&lt;&gt;"",'(3) Options'!J30,"")</f>
        <v/>
      </c>
      <c r="G26" s="79" t="str">
        <f>IF(B26&lt;&gt;"",'(1) Inputs'!$E$12,"")</f>
        <v/>
      </c>
      <c r="H26" s="263" t="str">
        <f>IF(D26&lt;&gt;"",VLOOKUP(D26,'(1) Inputs'!$I$9:$K$104,3,1),"")</f>
        <v/>
      </c>
      <c r="I26" s="79" t="str">
        <f>IF(B26&lt;&gt;"",'(1) Inputs'!$E$11,"")</f>
        <v/>
      </c>
      <c r="J26" s="263" t="str">
        <f>IF(B26&lt;&gt;"",VLOOKUP(D26,'(2) Risk-Free Rates'!$D$9:$E$2002,2,1)/100,"")</f>
        <v/>
      </c>
      <c r="K26" s="79"/>
      <c r="L26" s="79" t="str">
        <f t="shared" si="6"/>
        <v/>
      </c>
      <c r="M26" s="264" t="str">
        <f t="shared" si="7"/>
        <v/>
      </c>
      <c r="N26" s="265" t="str">
        <f t="shared" si="8"/>
        <v/>
      </c>
      <c r="V26" s="248"/>
    </row>
    <row r="27" spans="2:22" x14ac:dyDescent="0.3">
      <c r="B27" s="259" t="str">
        <f>IF('(3) Options'!D31&lt;&gt;"",'(3) Options'!D31,"")</f>
        <v/>
      </c>
      <c r="C27" s="260" t="str">
        <f>IF(B27&lt;&gt;"",'(3) Options'!F31,"")</f>
        <v/>
      </c>
      <c r="D27" s="261" t="str">
        <f>IF(B27&lt;&gt;"",'(3) Options'!H31,"")</f>
        <v/>
      </c>
      <c r="E27" s="262" t="str">
        <f>IF(B27&lt;&gt;"",VLOOKUP(D27,'(1) Inputs'!$I$9:$J$58,2,1),"")</f>
        <v/>
      </c>
      <c r="F27" s="262" t="str">
        <f>IF(B27&lt;&gt;"",'(3) Options'!J31,"")</f>
        <v/>
      </c>
      <c r="G27" s="79" t="str">
        <f>IF(B27&lt;&gt;"",'(1) Inputs'!$E$12,"")</f>
        <v/>
      </c>
      <c r="H27" s="263" t="str">
        <f>IF(D27&lt;&gt;"",VLOOKUP(D27,'(1) Inputs'!$I$9:$K$104,3,1),"")</f>
        <v/>
      </c>
      <c r="I27" s="79" t="str">
        <f>IF(B27&lt;&gt;"",'(1) Inputs'!$E$11,"")</f>
        <v/>
      </c>
      <c r="J27" s="263" t="str">
        <f>IF(B27&lt;&gt;"",VLOOKUP(D27,'(2) Risk-Free Rates'!$D$9:$E$2002,2,1)/100,"")</f>
        <v/>
      </c>
      <c r="K27" s="79"/>
      <c r="L27" s="79" t="str">
        <f t="shared" si="6"/>
        <v/>
      </c>
      <c r="M27" s="264" t="str">
        <f t="shared" si="7"/>
        <v/>
      </c>
      <c r="N27" s="265" t="str">
        <f t="shared" si="8"/>
        <v/>
      </c>
      <c r="V27" s="248"/>
    </row>
    <row r="28" spans="2:22" x14ac:dyDescent="0.3">
      <c r="B28" s="259" t="str">
        <f>IF('(3) Options'!D32&lt;&gt;"",'(3) Options'!D32,"")</f>
        <v/>
      </c>
      <c r="C28" s="260" t="str">
        <f>IF(B28&lt;&gt;"",'(3) Options'!F32,"")</f>
        <v/>
      </c>
      <c r="D28" s="261" t="str">
        <f>IF(B28&lt;&gt;"",'(3) Options'!H32,"")</f>
        <v/>
      </c>
      <c r="E28" s="262" t="str">
        <f>IF(B28&lt;&gt;"",VLOOKUP(D28,'(1) Inputs'!$I$9:$J$58,2,1),"")</f>
        <v/>
      </c>
      <c r="F28" s="262" t="str">
        <f>IF(B28&lt;&gt;"",'(3) Options'!J32,"")</f>
        <v/>
      </c>
      <c r="G28" s="79" t="str">
        <f>IF(B28&lt;&gt;"",'(1) Inputs'!$E$12,"")</f>
        <v/>
      </c>
      <c r="H28" s="263" t="str">
        <f>IF(D28&lt;&gt;"",VLOOKUP(D28,'(1) Inputs'!$I$9:$K$104,3,1),"")</f>
        <v/>
      </c>
      <c r="I28" s="79" t="str">
        <f>IF(B28&lt;&gt;"",'(1) Inputs'!$E$11,"")</f>
        <v/>
      </c>
      <c r="J28" s="263" t="str">
        <f>IF(B28&lt;&gt;"",VLOOKUP(D28,'(2) Risk-Free Rates'!$D$9:$E$2002,2,1)/100,"")</f>
        <v/>
      </c>
      <c r="K28" s="79"/>
      <c r="L28" s="79" t="str">
        <f t="shared" si="6"/>
        <v/>
      </c>
      <c r="M28" s="264" t="str">
        <f t="shared" si="7"/>
        <v/>
      </c>
      <c r="N28" s="265" t="str">
        <f t="shared" si="8"/>
        <v/>
      </c>
    </row>
    <row r="29" spans="2:22" x14ac:dyDescent="0.3">
      <c r="B29" s="259" t="str">
        <f>IF('(3) Options'!D33&lt;&gt;"",'(3) Options'!D33,"")</f>
        <v/>
      </c>
      <c r="C29" s="260" t="str">
        <f>IF(B29&lt;&gt;"",'(3) Options'!F33,"")</f>
        <v/>
      </c>
      <c r="D29" s="261" t="str">
        <f>IF(B29&lt;&gt;"",'(3) Options'!H33,"")</f>
        <v/>
      </c>
      <c r="E29" s="262" t="str">
        <f>IF(B29&lt;&gt;"",VLOOKUP(D29,'(1) Inputs'!$I$9:$J$58,2,1),"")</f>
        <v/>
      </c>
      <c r="F29" s="262" t="str">
        <f>IF(B29&lt;&gt;"",'(3) Options'!J33,"")</f>
        <v/>
      </c>
      <c r="G29" s="79" t="str">
        <f>IF(B29&lt;&gt;"",'(1) Inputs'!$E$12,"")</f>
        <v/>
      </c>
      <c r="H29" s="263" t="str">
        <f>IF(D29&lt;&gt;"",VLOOKUP(D29,'(1) Inputs'!$I$9:$K$104,3,1),"")</f>
        <v/>
      </c>
      <c r="I29" s="79" t="str">
        <f>IF(B29&lt;&gt;"",'(1) Inputs'!$E$11,"")</f>
        <v/>
      </c>
      <c r="J29" s="263" t="str">
        <f>IF(B29&lt;&gt;"",VLOOKUP(D29,'(2) Risk-Free Rates'!$D$9:$E$2002,2,1)/100,"")</f>
        <v/>
      </c>
      <c r="K29" s="79"/>
      <c r="L29" s="79" t="str">
        <f t="shared" si="6"/>
        <v/>
      </c>
      <c r="M29" s="264" t="str">
        <f t="shared" si="7"/>
        <v/>
      </c>
      <c r="N29" s="265" t="str">
        <f t="shared" si="8"/>
        <v/>
      </c>
    </row>
    <row r="30" spans="2:22" x14ac:dyDescent="0.3">
      <c r="B30" s="259" t="str">
        <f>IF('(3) Options'!D34&lt;&gt;"",'(3) Options'!D34,"")</f>
        <v/>
      </c>
      <c r="C30" s="260" t="str">
        <f>IF(B30&lt;&gt;"",'(3) Options'!F34,"")</f>
        <v/>
      </c>
      <c r="D30" s="261" t="str">
        <f>IF(B30&lt;&gt;"",'(3) Options'!H34,"")</f>
        <v/>
      </c>
      <c r="E30" s="262" t="str">
        <f>IF(B30&lt;&gt;"",VLOOKUP(D30,'(1) Inputs'!$I$9:$J$58,2,1),"")</f>
        <v/>
      </c>
      <c r="F30" s="262" t="str">
        <f>IF(B30&lt;&gt;"",'(3) Options'!J34,"")</f>
        <v/>
      </c>
      <c r="G30" s="79" t="str">
        <f>IF(B30&lt;&gt;"",'(1) Inputs'!$E$12,"")</f>
        <v/>
      </c>
      <c r="H30" s="263" t="str">
        <f>IF(D30&lt;&gt;"",VLOOKUP(D30,'(1) Inputs'!$I$9:$K$104,3,1),"")</f>
        <v/>
      </c>
      <c r="I30" s="79" t="str">
        <f>IF(B30&lt;&gt;"",'(1) Inputs'!$E$11,"")</f>
        <v/>
      </c>
      <c r="J30" s="263" t="str">
        <f>IF(B30&lt;&gt;"",VLOOKUP(D30,'(2) Risk-Free Rates'!$D$9:$E$2002,2,1)/100,"")</f>
        <v/>
      </c>
      <c r="K30" s="79"/>
      <c r="L30" s="79" t="str">
        <f t="shared" si="6"/>
        <v/>
      </c>
      <c r="M30" s="264" t="str">
        <f t="shared" si="7"/>
        <v/>
      </c>
      <c r="N30" s="265" t="str">
        <f t="shared" si="8"/>
        <v/>
      </c>
    </row>
    <row r="31" spans="2:22" x14ac:dyDescent="0.3">
      <c r="B31" s="259" t="str">
        <f>IF('(3) Options'!D35&lt;&gt;"",'(3) Options'!D35,"")</f>
        <v/>
      </c>
      <c r="C31" s="260" t="str">
        <f>IF(B31&lt;&gt;"",'(3) Options'!F35,"")</f>
        <v/>
      </c>
      <c r="D31" s="261" t="str">
        <f>IF(B31&lt;&gt;"",'(3) Options'!H35,"")</f>
        <v/>
      </c>
      <c r="E31" s="262" t="str">
        <f>IF(B31&lt;&gt;"",VLOOKUP(D31,'(1) Inputs'!$I$9:$J$58,2,1),"")</f>
        <v/>
      </c>
      <c r="F31" s="262" t="str">
        <f>IF(B31&lt;&gt;"",'(3) Options'!J35,"")</f>
        <v/>
      </c>
      <c r="G31" s="79" t="str">
        <f>IF(B31&lt;&gt;"",'(1) Inputs'!$E$12,"")</f>
        <v/>
      </c>
      <c r="H31" s="263" t="str">
        <f>IF(D31&lt;&gt;"",VLOOKUP(D31,'(1) Inputs'!$I$9:$K$104,3,1),"")</f>
        <v/>
      </c>
      <c r="I31" s="79" t="str">
        <f>IF(B31&lt;&gt;"",'(1) Inputs'!$E$11,"")</f>
        <v/>
      </c>
      <c r="J31" s="263" t="str">
        <f>IF(B31&lt;&gt;"",VLOOKUP(D31,'(2) Risk-Free Rates'!$D$9:$E$2002,2,1)/100,"")</f>
        <v/>
      </c>
      <c r="K31" s="79"/>
      <c r="L31" s="79" t="str">
        <f t="shared" si="6"/>
        <v/>
      </c>
      <c r="M31" s="264" t="str">
        <f t="shared" si="7"/>
        <v/>
      </c>
      <c r="N31" s="265" t="str">
        <f t="shared" si="8"/>
        <v/>
      </c>
    </row>
    <row r="32" spans="2:22" ht="24.75" customHeight="1" x14ac:dyDescent="0.3">
      <c r="B32" s="259" t="str">
        <f>IF('(3) Options'!D36&lt;&gt;"",'(3) Options'!D36,"")</f>
        <v/>
      </c>
      <c r="C32" s="260" t="str">
        <f>IF(B32&lt;&gt;"",'(3) Options'!F36,"")</f>
        <v/>
      </c>
      <c r="D32" s="261" t="str">
        <f>IF(B32&lt;&gt;"",'(3) Options'!H36,"")</f>
        <v/>
      </c>
      <c r="E32" s="262" t="str">
        <f>IF(B32&lt;&gt;"",VLOOKUP(D32,'(1) Inputs'!$I$9:$J$58,2,1),"")</f>
        <v/>
      </c>
      <c r="F32" s="262" t="str">
        <f>IF(B32&lt;&gt;"",'(3) Options'!J36,"")</f>
        <v/>
      </c>
      <c r="G32" s="79" t="str">
        <f>IF(B32&lt;&gt;"",'(1) Inputs'!$E$12,"")</f>
        <v/>
      </c>
      <c r="H32" s="263" t="str">
        <f>IF(D32&lt;&gt;"",VLOOKUP(D32,'(1) Inputs'!$I$9:$K$104,3,1),"")</f>
        <v/>
      </c>
      <c r="I32" s="79" t="str">
        <f>IF(B32&lt;&gt;"",'(1) Inputs'!$E$11,"")</f>
        <v/>
      </c>
      <c r="J32" s="263" t="str">
        <f>IF(B32&lt;&gt;"",VLOOKUP(D32,'(2) Risk-Free Rates'!$D$9:$E$2002,2,1)/100,"")</f>
        <v/>
      </c>
      <c r="K32" s="79"/>
      <c r="L32" s="79" t="str">
        <f t="shared" si="6"/>
        <v/>
      </c>
      <c r="M32" s="264" t="str">
        <f t="shared" si="7"/>
        <v/>
      </c>
      <c r="N32" s="265" t="str">
        <f t="shared" si="8"/>
        <v/>
      </c>
    </row>
    <row r="33" spans="2:14" x14ac:dyDescent="0.3">
      <c r="B33" s="259" t="str">
        <f>IF('(3) Options'!D37&lt;&gt;"",'(3) Options'!D37,"")</f>
        <v/>
      </c>
      <c r="C33" s="260" t="str">
        <f>IF(B33&lt;&gt;"",'(3) Options'!F37,"")</f>
        <v/>
      </c>
      <c r="D33" s="261" t="str">
        <f>IF(B33&lt;&gt;"",'(3) Options'!H37,"")</f>
        <v/>
      </c>
      <c r="E33" s="262" t="str">
        <f>IF(B33&lt;&gt;"",VLOOKUP(D33,'(1) Inputs'!$I$9:$J$58,2,1),"")</f>
        <v/>
      </c>
      <c r="F33" s="262" t="str">
        <f>IF(B33&lt;&gt;"",'(3) Options'!J37,"")</f>
        <v/>
      </c>
      <c r="G33" s="79" t="str">
        <f>IF(B33&lt;&gt;"",'(1) Inputs'!$E$12,"")</f>
        <v/>
      </c>
      <c r="H33" s="263" t="str">
        <f>IF(D33&lt;&gt;"",VLOOKUP(D33,'(1) Inputs'!$I$9:$K$104,3,1),"")</f>
        <v/>
      </c>
      <c r="I33" s="79" t="str">
        <f>IF(B33&lt;&gt;"",'(1) Inputs'!$E$11,"")</f>
        <v/>
      </c>
      <c r="J33" s="263" t="str">
        <f>IF(B33&lt;&gt;"",VLOOKUP(D33,'(2) Risk-Free Rates'!$D$9:$E$2002,2,1)/100,"")</f>
        <v/>
      </c>
      <c r="K33" s="79"/>
      <c r="L33" s="79" t="str">
        <f t="shared" si="6"/>
        <v/>
      </c>
      <c r="M33" s="264" t="str">
        <f t="shared" si="7"/>
        <v/>
      </c>
      <c r="N33" s="265" t="str">
        <f t="shared" si="8"/>
        <v/>
      </c>
    </row>
    <row r="34" spans="2:14" x14ac:dyDescent="0.3">
      <c r="B34" s="259" t="str">
        <f>IF('(3) Options'!D38&lt;&gt;"",'(3) Options'!D38,"")</f>
        <v/>
      </c>
      <c r="C34" s="260" t="str">
        <f>IF(B34&lt;&gt;"",'(3) Options'!F38,"")</f>
        <v/>
      </c>
      <c r="D34" s="261" t="str">
        <f>IF(B34&lt;&gt;"",'(3) Options'!H38,"")</f>
        <v/>
      </c>
      <c r="E34" s="262" t="str">
        <f>IF(B34&lt;&gt;"",VLOOKUP(D34,'(1) Inputs'!$I$9:$J$58,2,1),"")</f>
        <v/>
      </c>
      <c r="F34" s="262" t="str">
        <f>IF(B34&lt;&gt;"",'(3) Options'!J38,"")</f>
        <v/>
      </c>
      <c r="G34" s="79" t="str">
        <f>IF(B34&lt;&gt;"",'(1) Inputs'!$E$12,"")</f>
        <v/>
      </c>
      <c r="H34" s="263" t="str">
        <f>IF(D34&lt;&gt;"",VLOOKUP(D34,'(1) Inputs'!$I$9:$K$104,3,1),"")</f>
        <v/>
      </c>
      <c r="I34" s="79" t="str">
        <f>IF(B34&lt;&gt;"",'(1) Inputs'!$E$11,"")</f>
        <v/>
      </c>
      <c r="J34" s="263" t="str">
        <f>IF(B34&lt;&gt;"",VLOOKUP(D34,'(2) Risk-Free Rates'!$D$9:$E$2002,2,1)/100,"")</f>
        <v/>
      </c>
      <c r="K34" s="79"/>
      <c r="L34" s="79" t="str">
        <f t="shared" si="6"/>
        <v/>
      </c>
      <c r="M34" s="264" t="str">
        <f t="shared" si="7"/>
        <v/>
      </c>
      <c r="N34" s="265" t="str">
        <f t="shared" si="8"/>
        <v/>
      </c>
    </row>
    <row r="35" spans="2:14" x14ac:dyDescent="0.3">
      <c r="B35" s="259" t="str">
        <f>IF('(3) Options'!D39&lt;&gt;"",'(3) Options'!D39,"")</f>
        <v/>
      </c>
      <c r="C35" s="260" t="str">
        <f>IF(B35&lt;&gt;"",'(3) Options'!F39,"")</f>
        <v/>
      </c>
      <c r="D35" s="261" t="str">
        <f>IF(B35&lt;&gt;"",'(3) Options'!H39,"")</f>
        <v/>
      </c>
      <c r="E35" s="262" t="str">
        <f>IF(B35&lt;&gt;"",VLOOKUP(D35,'(1) Inputs'!$I$9:$J$58,2,1),"")</f>
        <v/>
      </c>
      <c r="F35" s="262" t="str">
        <f>IF(B35&lt;&gt;"",'(3) Options'!J39,"")</f>
        <v/>
      </c>
      <c r="G35" s="79" t="str">
        <f>IF(B35&lt;&gt;"",'(1) Inputs'!$E$12,"")</f>
        <v/>
      </c>
      <c r="H35" s="263" t="str">
        <f>IF(D35&lt;&gt;"",VLOOKUP(D35,'(1) Inputs'!$I$9:$K$104,3,1),"")</f>
        <v/>
      </c>
      <c r="I35" s="79" t="str">
        <f>IF(B35&lt;&gt;"",'(1) Inputs'!$E$11,"")</f>
        <v/>
      </c>
      <c r="J35" s="263" t="str">
        <f>IF(B35&lt;&gt;"",VLOOKUP(D35,'(2) Risk-Free Rates'!$D$9:$E$2002,2,1)/100,"")</f>
        <v/>
      </c>
      <c r="K35" s="79"/>
      <c r="L35" s="79" t="str">
        <f t="shared" si="6"/>
        <v/>
      </c>
      <c r="M35" s="264" t="str">
        <f t="shared" si="7"/>
        <v/>
      </c>
      <c r="N35" s="265" t="str">
        <f t="shared" si="8"/>
        <v/>
      </c>
    </row>
    <row r="36" spans="2:14" x14ac:dyDescent="0.3">
      <c r="B36" s="259" t="str">
        <f>IF('(3) Options'!D40&lt;&gt;"",'(3) Options'!D40,"")</f>
        <v/>
      </c>
      <c r="C36" s="260" t="str">
        <f>IF(B36&lt;&gt;"",'(3) Options'!F40,"")</f>
        <v/>
      </c>
      <c r="D36" s="261" t="str">
        <f>IF(B36&lt;&gt;"",'(3) Options'!H40,"")</f>
        <v/>
      </c>
      <c r="E36" s="262" t="str">
        <f>IF(B36&lt;&gt;"",VLOOKUP(D36,'(1) Inputs'!$I$9:$J$58,2,1),"")</f>
        <v/>
      </c>
      <c r="F36" s="262" t="str">
        <f>IF(B36&lt;&gt;"",'(3) Options'!J40,"")</f>
        <v/>
      </c>
      <c r="G36" s="79" t="str">
        <f>IF(B36&lt;&gt;"",'(1) Inputs'!$E$12,"")</f>
        <v/>
      </c>
      <c r="H36" s="263" t="str">
        <f>IF(D36&lt;&gt;"",VLOOKUP(D36,'(1) Inputs'!$I$9:$K$104,3,1),"")</f>
        <v/>
      </c>
      <c r="I36" s="79" t="str">
        <f>IF(B36&lt;&gt;"",'(1) Inputs'!$E$11,"")</f>
        <v/>
      </c>
      <c r="J36" s="263" t="str">
        <f>IF(B36&lt;&gt;"",VLOOKUP(D36,'(2) Risk-Free Rates'!$D$9:$E$2002,2,1)/100,"")</f>
        <v/>
      </c>
      <c r="K36" s="79"/>
      <c r="L36" s="79" t="str">
        <f t="shared" si="6"/>
        <v/>
      </c>
      <c r="M36" s="264" t="str">
        <f t="shared" si="7"/>
        <v/>
      </c>
      <c r="N36" s="265" t="str">
        <f t="shared" si="8"/>
        <v/>
      </c>
    </row>
    <row r="37" spans="2:14" x14ac:dyDescent="0.3">
      <c r="B37" s="259" t="str">
        <f>IF('(3) Options'!D41&lt;&gt;"",'(3) Options'!D41,"")</f>
        <v/>
      </c>
      <c r="C37" s="260" t="str">
        <f>IF(B37&lt;&gt;"",'(3) Options'!F41,"")</f>
        <v/>
      </c>
      <c r="D37" s="261" t="str">
        <f>IF(B37&lt;&gt;"",'(3) Options'!H41,"")</f>
        <v/>
      </c>
      <c r="E37" s="262" t="str">
        <f>IF(B37&lt;&gt;"",VLOOKUP(D37,'(1) Inputs'!$I$9:$J$58,2,1),"")</f>
        <v/>
      </c>
      <c r="F37" s="262" t="str">
        <f>IF(B37&lt;&gt;"",'(3) Options'!J41,"")</f>
        <v/>
      </c>
      <c r="G37" s="79" t="str">
        <f>IF(B37&lt;&gt;"",'(1) Inputs'!$E$12,"")</f>
        <v/>
      </c>
      <c r="H37" s="263" t="str">
        <f>IF(D37&lt;&gt;"",VLOOKUP(D37,'(1) Inputs'!$I$9:$K$104,3,1),"")</f>
        <v/>
      </c>
      <c r="I37" s="79" t="str">
        <f>IF(B37&lt;&gt;"",'(1) Inputs'!$E$11,"")</f>
        <v/>
      </c>
      <c r="J37" s="263" t="str">
        <f>IF(B37&lt;&gt;"",VLOOKUP(D37,'(2) Risk-Free Rates'!$D$9:$E$2002,2,1)/100,"")</f>
        <v/>
      </c>
      <c r="K37" s="79"/>
      <c r="L37" s="79" t="str">
        <f t="shared" si="6"/>
        <v/>
      </c>
      <c r="M37" s="264" t="str">
        <f t="shared" si="7"/>
        <v/>
      </c>
      <c r="N37" s="265" t="str">
        <f t="shared" si="8"/>
        <v/>
      </c>
    </row>
    <row r="38" spans="2:14" x14ac:dyDescent="0.3">
      <c r="B38" s="259" t="str">
        <f>IF('(3) Options'!D42&lt;&gt;"",'(3) Options'!D42,"")</f>
        <v/>
      </c>
      <c r="C38" s="260" t="str">
        <f>IF(B38&lt;&gt;"",'(3) Options'!F42,"")</f>
        <v/>
      </c>
      <c r="D38" s="261" t="str">
        <f>IF(B38&lt;&gt;"",'(3) Options'!H42,"")</f>
        <v/>
      </c>
      <c r="E38" s="262" t="str">
        <f>IF(B38&lt;&gt;"",VLOOKUP(D38,'(1) Inputs'!$I$9:$J$58,2,1),"")</f>
        <v/>
      </c>
      <c r="F38" s="262" t="str">
        <f>IF(B38&lt;&gt;"",'(3) Options'!J42,"")</f>
        <v/>
      </c>
      <c r="G38" s="79" t="str">
        <f>IF(B38&lt;&gt;"",'(1) Inputs'!$E$12,"")</f>
        <v/>
      </c>
      <c r="H38" s="263" t="str">
        <f>IF(D38&lt;&gt;"",VLOOKUP(D38,'(1) Inputs'!$I$9:$K$104,3,1),"")</f>
        <v/>
      </c>
      <c r="I38" s="79" t="str">
        <f>IF(B38&lt;&gt;"",'(1) Inputs'!$E$11,"")</f>
        <v/>
      </c>
      <c r="J38" s="263" t="str">
        <f>IF(B38&lt;&gt;"",VLOOKUP(D38,'(2) Risk-Free Rates'!$D$9:$E$2002,2,1)/100,"")</f>
        <v/>
      </c>
      <c r="K38" s="79"/>
      <c r="L38" s="79" t="str">
        <f t="shared" si="6"/>
        <v/>
      </c>
      <c r="M38" s="264" t="str">
        <f t="shared" si="7"/>
        <v/>
      </c>
      <c r="N38" s="265" t="str">
        <f t="shared" si="8"/>
        <v/>
      </c>
    </row>
    <row r="39" spans="2:14" ht="15.75" thickBot="1" x14ac:dyDescent="0.35">
      <c r="B39" s="266" t="str">
        <f>IF('(3) Options'!D43&lt;&gt;"",'(3) Options'!D43,"")</f>
        <v/>
      </c>
      <c r="C39" s="267" t="str">
        <f>IF(B39&lt;&gt;"",'(3) Options'!F43,"")</f>
        <v/>
      </c>
      <c r="D39" s="268" t="str">
        <f>IF(B39&lt;&gt;"",'(3) Options'!H43,"")</f>
        <v/>
      </c>
      <c r="E39" s="269" t="str">
        <f>IF(B39&lt;&gt;"",VLOOKUP(D39,'(1) Inputs'!$I$9:$J$58,2,1),"")</f>
        <v/>
      </c>
      <c r="F39" s="269" t="str">
        <f>IF(B39&lt;&gt;"",'(3) Options'!J43,"")</f>
        <v/>
      </c>
      <c r="G39" s="270" t="str">
        <f>IF(B39&lt;&gt;"",'(1) Inputs'!$E$12,"")</f>
        <v/>
      </c>
      <c r="H39" s="271" t="str">
        <f>IF(D39&lt;&gt;"",VLOOKUP(D39,'(1) Inputs'!$I$9:$K$104,3,1),"")</f>
        <v/>
      </c>
      <c r="I39" s="270" t="str">
        <f>IF(B39&lt;&gt;"",'(1) Inputs'!$E$11,"")</f>
        <v/>
      </c>
      <c r="J39" s="271" t="str">
        <f>IF(B39&lt;&gt;"",VLOOKUP(D39,'(2) Risk-Free Rates'!$D$9:$E$2002,2,1)/100,"")</f>
        <v/>
      </c>
      <c r="K39" s="270"/>
      <c r="L39" s="270" t="str">
        <f t="shared" si="6"/>
        <v/>
      </c>
      <c r="M39" s="272" t="str">
        <f t="shared" si="7"/>
        <v/>
      </c>
      <c r="N39" s="273" t="str">
        <f t="shared" si="8"/>
        <v/>
      </c>
    </row>
    <row r="40" spans="2:14" x14ac:dyDescent="0.3">
      <c r="C40" s="249"/>
      <c r="D40" s="250"/>
      <c r="E40" s="251"/>
      <c r="F40" s="251"/>
      <c r="H40" s="252"/>
      <c r="J40" s="252"/>
      <c r="M40" s="253"/>
      <c r="N40" s="254"/>
    </row>
    <row r="41" spans="2:14" x14ac:dyDescent="0.3">
      <c r="C41" s="249"/>
      <c r="D41" s="250"/>
      <c r="E41" s="251"/>
      <c r="F41" s="251"/>
      <c r="H41" s="252"/>
      <c r="J41" s="252"/>
      <c r="M41" s="253"/>
      <c r="N41" s="254"/>
    </row>
    <row r="42" spans="2:14" hidden="1" x14ac:dyDescent="0.3">
      <c r="C42" s="249"/>
      <c r="D42" s="250"/>
      <c r="E42" s="251"/>
      <c r="F42" s="251"/>
      <c r="H42" s="252"/>
      <c r="J42" s="252"/>
      <c r="M42" s="253"/>
      <c r="N42" s="254"/>
    </row>
    <row r="43" spans="2:14" hidden="1" x14ac:dyDescent="0.3">
      <c r="C43" s="249"/>
      <c r="D43" s="250"/>
      <c r="E43" s="251"/>
      <c r="F43" s="251"/>
      <c r="H43" s="252"/>
      <c r="J43" s="252"/>
      <c r="M43" s="253"/>
      <c r="N43" s="254"/>
    </row>
    <row r="44" spans="2:14" hidden="1" x14ac:dyDescent="0.3">
      <c r="C44" s="249"/>
      <c r="D44" s="250"/>
      <c r="E44" s="251"/>
      <c r="F44" s="251"/>
      <c r="H44" s="252"/>
      <c r="J44" s="252"/>
      <c r="M44" s="253"/>
      <c r="N44" s="254"/>
    </row>
    <row r="45" spans="2:14" hidden="1" x14ac:dyDescent="0.3">
      <c r="C45" s="249"/>
      <c r="D45" s="250"/>
      <c r="E45" s="251"/>
      <c r="F45" s="251"/>
      <c r="H45" s="252"/>
      <c r="J45" s="252"/>
      <c r="M45" s="253"/>
      <c r="N45" s="254"/>
    </row>
    <row r="46" spans="2:14" hidden="1" x14ac:dyDescent="0.3">
      <c r="C46" s="249"/>
      <c r="D46" s="250"/>
      <c r="E46" s="251"/>
      <c r="F46" s="251"/>
      <c r="H46" s="252"/>
      <c r="J46" s="252"/>
      <c r="M46" s="253"/>
      <c r="N46" s="254"/>
    </row>
    <row r="47" spans="2:14" hidden="1" x14ac:dyDescent="0.3">
      <c r="C47" s="249"/>
      <c r="D47" s="250"/>
      <c r="E47" s="251"/>
      <c r="F47" s="251"/>
      <c r="H47" s="252"/>
      <c r="J47" s="252"/>
      <c r="M47" s="253"/>
      <c r="N47" s="254"/>
    </row>
    <row r="48" spans="2:14" hidden="1" x14ac:dyDescent="0.3">
      <c r="C48" s="249"/>
      <c r="D48" s="250"/>
      <c r="E48" s="251"/>
      <c r="F48" s="251"/>
      <c r="H48" s="252"/>
      <c r="J48" s="252"/>
      <c r="M48" s="253"/>
      <c r="N48" s="254"/>
    </row>
    <row r="49" spans="3:14" hidden="1" x14ac:dyDescent="0.3">
      <c r="C49" s="249"/>
      <c r="D49" s="250"/>
      <c r="E49" s="251"/>
      <c r="F49" s="251"/>
      <c r="H49" s="252"/>
      <c r="J49" s="252"/>
      <c r="M49" s="253"/>
      <c r="N49" s="254"/>
    </row>
    <row r="50" spans="3:14" hidden="1" x14ac:dyDescent="0.3">
      <c r="C50" s="249"/>
      <c r="D50" s="250"/>
      <c r="E50" s="251"/>
      <c r="F50" s="251"/>
      <c r="H50" s="252"/>
      <c r="J50" s="252"/>
      <c r="M50" s="253"/>
      <c r="N50" s="254"/>
    </row>
    <row r="51" spans="3:14" hidden="1" x14ac:dyDescent="0.3">
      <c r="C51" s="249"/>
      <c r="D51" s="250"/>
      <c r="E51" s="251"/>
      <c r="F51" s="251"/>
      <c r="H51" s="252"/>
      <c r="J51" s="252"/>
      <c r="M51" s="253"/>
      <c r="N51" s="254"/>
    </row>
    <row r="52" spans="3:14" hidden="1" x14ac:dyDescent="0.3">
      <c r="C52" s="249"/>
      <c r="D52" s="250"/>
      <c r="E52" s="251"/>
      <c r="F52" s="251"/>
      <c r="H52" s="252"/>
      <c r="J52" s="252"/>
      <c r="M52" s="253"/>
      <c r="N52" s="254"/>
    </row>
    <row r="53" spans="3:14" hidden="1" x14ac:dyDescent="0.3">
      <c r="C53" s="249"/>
      <c r="D53" s="250"/>
      <c r="E53" s="251"/>
      <c r="F53" s="251"/>
      <c r="H53" s="252"/>
      <c r="J53" s="252"/>
      <c r="M53" s="253"/>
      <c r="N53" s="254"/>
    </row>
    <row r="54" spans="3:14" hidden="1" x14ac:dyDescent="0.3">
      <c r="C54" s="249"/>
      <c r="D54" s="250"/>
      <c r="E54" s="251"/>
      <c r="F54" s="251"/>
      <c r="H54" s="252"/>
      <c r="J54" s="252"/>
      <c r="M54" s="253"/>
      <c r="N54" s="254"/>
    </row>
    <row r="55" spans="3:14" hidden="1" x14ac:dyDescent="0.3">
      <c r="C55" s="249"/>
      <c r="D55" s="250"/>
      <c r="E55" s="251"/>
      <c r="F55" s="251"/>
      <c r="H55" s="252"/>
      <c r="J55" s="252"/>
      <c r="M55" s="253"/>
      <c r="N55" s="254"/>
    </row>
    <row r="56" spans="3:14" hidden="1" x14ac:dyDescent="0.3">
      <c r="C56" s="249"/>
      <c r="D56" s="250"/>
      <c r="E56" s="251"/>
      <c r="F56" s="251"/>
      <c r="H56" s="252"/>
      <c r="J56" s="252"/>
      <c r="M56" s="253"/>
      <c r="N56" s="254"/>
    </row>
    <row r="57" spans="3:14" hidden="1" x14ac:dyDescent="0.3">
      <c r="C57" s="249"/>
      <c r="D57" s="250"/>
      <c r="E57" s="251"/>
      <c r="F57" s="251"/>
      <c r="H57" s="252"/>
      <c r="J57" s="252"/>
      <c r="M57" s="253"/>
      <c r="N57" s="254"/>
    </row>
    <row r="58" spans="3:14" hidden="1" x14ac:dyDescent="0.3">
      <c r="C58" s="249"/>
      <c r="D58" s="250"/>
      <c r="E58" s="251"/>
      <c r="F58" s="251"/>
      <c r="H58" s="252"/>
      <c r="J58" s="252"/>
      <c r="M58" s="253"/>
      <c r="N58" s="254"/>
    </row>
    <row r="59" spans="3:14" hidden="1" x14ac:dyDescent="0.3">
      <c r="C59" s="249"/>
      <c r="D59" s="250"/>
      <c r="E59" s="251"/>
      <c r="F59" s="251"/>
      <c r="H59" s="252"/>
      <c r="J59" s="252"/>
      <c r="M59" s="253"/>
      <c r="N59" s="254"/>
    </row>
    <row r="60" spans="3:14" hidden="1" x14ac:dyDescent="0.3">
      <c r="C60" s="249"/>
      <c r="D60" s="250"/>
      <c r="E60" s="251"/>
      <c r="F60" s="251"/>
      <c r="H60" s="252"/>
      <c r="J60" s="252"/>
      <c r="M60" s="253"/>
      <c r="N60" s="254"/>
    </row>
    <row r="61" spans="3:14" hidden="1" x14ac:dyDescent="0.3">
      <c r="C61" s="249"/>
      <c r="D61" s="250"/>
      <c r="E61" s="251"/>
      <c r="F61" s="251"/>
      <c r="H61" s="252"/>
      <c r="J61" s="252"/>
      <c r="M61" s="253"/>
      <c r="N61" s="254"/>
    </row>
    <row r="62" spans="3:14" hidden="1" x14ac:dyDescent="0.3">
      <c r="C62" s="249"/>
      <c r="D62" s="250"/>
      <c r="E62" s="251"/>
      <c r="F62" s="251"/>
      <c r="H62" s="252"/>
      <c r="J62" s="252"/>
      <c r="M62" s="253"/>
      <c r="N62" s="254"/>
    </row>
    <row r="63" spans="3:14" hidden="1" x14ac:dyDescent="0.3">
      <c r="C63" s="249"/>
      <c r="D63" s="250"/>
      <c r="E63" s="251"/>
      <c r="F63" s="251"/>
      <c r="H63" s="252"/>
      <c r="J63" s="252"/>
      <c r="M63" s="253"/>
      <c r="N63" s="254"/>
    </row>
    <row r="64" spans="3:14" hidden="1" x14ac:dyDescent="0.3">
      <c r="C64" s="249"/>
      <c r="D64" s="250"/>
      <c r="E64" s="251"/>
      <c r="F64" s="251"/>
      <c r="H64" s="252"/>
      <c r="J64" s="252"/>
      <c r="M64" s="253"/>
      <c r="N64" s="254"/>
    </row>
    <row r="65" spans="3:14" hidden="1" x14ac:dyDescent="0.3">
      <c r="C65" s="249"/>
      <c r="D65" s="250"/>
      <c r="E65" s="251"/>
      <c r="F65" s="251"/>
      <c r="H65" s="252"/>
      <c r="J65" s="252"/>
      <c r="M65" s="253"/>
      <c r="N65" s="254"/>
    </row>
    <row r="66" spans="3:14" hidden="1" x14ac:dyDescent="0.3">
      <c r="C66" s="249"/>
      <c r="D66" s="250"/>
      <c r="E66" s="251"/>
      <c r="F66" s="251"/>
      <c r="H66" s="252"/>
      <c r="J66" s="252"/>
      <c r="M66" s="253"/>
      <c r="N66" s="254"/>
    </row>
    <row r="67" spans="3:14" hidden="1" x14ac:dyDescent="0.3">
      <c r="C67" s="249"/>
      <c r="D67" s="250"/>
      <c r="E67" s="251"/>
      <c r="F67" s="251"/>
      <c r="H67" s="252"/>
      <c r="J67" s="252"/>
      <c r="M67" s="253"/>
      <c r="N67" s="254"/>
    </row>
    <row r="68" spans="3:14" hidden="1" x14ac:dyDescent="0.3">
      <c r="C68" s="249"/>
      <c r="D68" s="250"/>
      <c r="E68" s="251"/>
      <c r="F68" s="251"/>
      <c r="H68" s="252"/>
      <c r="J68" s="252"/>
      <c r="M68" s="253"/>
      <c r="N68" s="254"/>
    </row>
    <row r="69" spans="3:14" hidden="1" x14ac:dyDescent="0.3">
      <c r="C69" s="249"/>
      <c r="D69" s="250"/>
      <c r="E69" s="251"/>
      <c r="F69" s="251"/>
      <c r="H69" s="252"/>
      <c r="J69" s="252"/>
      <c r="M69" s="253"/>
      <c r="N69" s="254"/>
    </row>
    <row r="70" spans="3:14" hidden="1" x14ac:dyDescent="0.3">
      <c r="C70" s="249"/>
      <c r="D70" s="250"/>
      <c r="E70" s="251"/>
      <c r="F70" s="251"/>
      <c r="H70" s="252"/>
      <c r="J70" s="252"/>
      <c r="M70" s="253"/>
      <c r="N70" s="254"/>
    </row>
    <row r="71" spans="3:14" hidden="1" x14ac:dyDescent="0.3">
      <c r="C71" s="249"/>
      <c r="D71" s="250"/>
      <c r="E71" s="251"/>
      <c r="F71" s="251"/>
      <c r="H71" s="252"/>
      <c r="J71" s="252"/>
      <c r="M71" s="253"/>
      <c r="N71" s="254"/>
    </row>
    <row r="72" spans="3:14" hidden="1" x14ac:dyDescent="0.3">
      <c r="C72" s="249"/>
      <c r="D72" s="250"/>
      <c r="E72" s="251"/>
      <c r="F72" s="251"/>
      <c r="H72" s="252"/>
      <c r="J72" s="252"/>
      <c r="M72" s="253"/>
      <c r="N72" s="254"/>
    </row>
    <row r="73" spans="3:14" hidden="1" x14ac:dyDescent="0.3">
      <c r="C73" s="249"/>
      <c r="D73" s="250"/>
      <c r="E73" s="251"/>
      <c r="F73" s="251"/>
      <c r="H73" s="252"/>
      <c r="J73" s="252"/>
      <c r="M73" s="253"/>
      <c r="N73" s="254"/>
    </row>
    <row r="74" spans="3:14" hidden="1" x14ac:dyDescent="0.3">
      <c r="C74" s="249"/>
      <c r="D74" s="250"/>
      <c r="E74" s="251"/>
      <c r="F74" s="251"/>
      <c r="H74" s="252"/>
      <c r="J74" s="252"/>
      <c r="M74" s="253"/>
      <c r="N74" s="254"/>
    </row>
    <row r="75" spans="3:14" hidden="1" x14ac:dyDescent="0.3">
      <c r="C75" s="249"/>
      <c r="D75" s="250"/>
      <c r="E75" s="251"/>
      <c r="F75" s="251"/>
      <c r="H75" s="252"/>
      <c r="J75" s="252"/>
      <c r="M75" s="253"/>
      <c r="N75" s="254"/>
    </row>
    <row r="76" spans="3:14" hidden="1" x14ac:dyDescent="0.3">
      <c r="C76" s="249"/>
      <c r="D76" s="250"/>
      <c r="E76" s="251"/>
      <c r="F76" s="251"/>
      <c r="H76" s="252"/>
      <c r="J76" s="252"/>
      <c r="M76" s="253"/>
      <c r="N76" s="254"/>
    </row>
    <row r="77" spans="3:14" hidden="1" x14ac:dyDescent="0.3">
      <c r="C77" s="249"/>
      <c r="D77" s="250"/>
      <c r="E77" s="251"/>
      <c r="F77" s="251"/>
      <c r="H77" s="252"/>
      <c r="J77" s="252"/>
      <c r="M77" s="253"/>
      <c r="N77" s="254"/>
    </row>
    <row r="78" spans="3:14" hidden="1" x14ac:dyDescent="0.3">
      <c r="C78" s="249"/>
      <c r="D78" s="250"/>
      <c r="E78" s="251"/>
      <c r="F78" s="251"/>
      <c r="H78" s="252"/>
      <c r="J78" s="252"/>
      <c r="M78" s="253"/>
      <c r="N78" s="254"/>
    </row>
    <row r="79" spans="3:14" hidden="1" x14ac:dyDescent="0.3">
      <c r="C79" s="249"/>
      <c r="D79" s="250"/>
      <c r="E79" s="251"/>
      <c r="F79" s="251"/>
      <c r="H79" s="252"/>
      <c r="J79" s="252"/>
      <c r="M79" s="253"/>
      <c r="N79" s="254"/>
    </row>
    <row r="80" spans="3:14" hidden="1" x14ac:dyDescent="0.3">
      <c r="C80" s="249"/>
      <c r="D80" s="250"/>
      <c r="E80" s="251"/>
      <c r="F80" s="251"/>
      <c r="H80" s="252"/>
      <c r="J80" s="252"/>
      <c r="M80" s="253"/>
      <c r="N80" s="254"/>
    </row>
    <row r="81" spans="3:14" hidden="1" x14ac:dyDescent="0.3">
      <c r="C81" s="249"/>
      <c r="D81" s="250"/>
      <c r="E81" s="251"/>
      <c r="F81" s="251"/>
      <c r="H81" s="252"/>
      <c r="J81" s="252"/>
      <c r="M81" s="253"/>
      <c r="N81" s="254"/>
    </row>
    <row r="82" spans="3:14" hidden="1" x14ac:dyDescent="0.3">
      <c r="C82" s="249"/>
      <c r="D82" s="250"/>
      <c r="E82" s="251"/>
      <c r="F82" s="251"/>
      <c r="H82" s="252"/>
      <c r="J82" s="252"/>
      <c r="M82" s="253"/>
      <c r="N82" s="254"/>
    </row>
    <row r="83" spans="3:14" hidden="1" x14ac:dyDescent="0.3">
      <c r="C83" s="249"/>
      <c r="D83" s="250"/>
      <c r="E83" s="251"/>
      <c r="F83" s="251"/>
      <c r="H83" s="252"/>
      <c r="J83" s="252"/>
      <c r="M83" s="253"/>
      <c r="N83" s="254"/>
    </row>
    <row r="84" spans="3:14" hidden="1" x14ac:dyDescent="0.3">
      <c r="C84" s="249"/>
      <c r="D84" s="250"/>
      <c r="E84" s="251"/>
      <c r="F84" s="251"/>
      <c r="H84" s="252"/>
      <c r="J84" s="252"/>
      <c r="M84" s="253"/>
      <c r="N84" s="254"/>
    </row>
    <row r="85" spans="3:14" hidden="1" x14ac:dyDescent="0.3">
      <c r="C85" s="249"/>
      <c r="D85" s="250"/>
      <c r="E85" s="251"/>
      <c r="F85" s="251"/>
      <c r="H85" s="252"/>
      <c r="J85" s="252"/>
      <c r="M85" s="253"/>
      <c r="N85" s="254"/>
    </row>
    <row r="86" spans="3:14" hidden="1" x14ac:dyDescent="0.3">
      <c r="C86" s="249"/>
      <c r="D86" s="250"/>
      <c r="E86" s="251"/>
      <c r="F86" s="251"/>
      <c r="H86" s="252"/>
      <c r="J86" s="252"/>
      <c r="M86" s="253"/>
      <c r="N86" s="254"/>
    </row>
    <row r="87" spans="3:14" hidden="1" x14ac:dyDescent="0.3">
      <c r="C87" s="249"/>
      <c r="D87" s="250"/>
      <c r="E87" s="251"/>
      <c r="F87" s="251"/>
      <c r="H87" s="252"/>
      <c r="J87" s="252"/>
      <c r="M87" s="253"/>
      <c r="N87" s="254"/>
    </row>
    <row r="88" spans="3:14" hidden="1" x14ac:dyDescent="0.3">
      <c r="C88" s="249"/>
      <c r="D88" s="250"/>
      <c r="E88" s="251"/>
      <c r="F88" s="251"/>
      <c r="H88" s="252"/>
      <c r="J88" s="252"/>
      <c r="M88" s="253"/>
      <c r="N88" s="254"/>
    </row>
    <row r="89" spans="3:14" hidden="1" x14ac:dyDescent="0.3">
      <c r="C89" s="249"/>
      <c r="D89" s="250"/>
      <c r="E89" s="251"/>
      <c r="F89" s="251"/>
      <c r="H89" s="252"/>
      <c r="J89" s="252"/>
      <c r="M89" s="253"/>
      <c r="N89" s="254"/>
    </row>
    <row r="90" spans="3:14" hidden="1" x14ac:dyDescent="0.3">
      <c r="C90" s="249"/>
      <c r="D90" s="250"/>
      <c r="E90" s="251"/>
      <c r="F90" s="251"/>
      <c r="H90" s="252"/>
      <c r="J90" s="252"/>
      <c r="M90" s="253"/>
      <c r="N90" s="254"/>
    </row>
    <row r="91" spans="3:14" hidden="1" x14ac:dyDescent="0.3">
      <c r="C91" s="249"/>
      <c r="D91" s="250"/>
      <c r="E91" s="251"/>
      <c r="F91" s="251"/>
      <c r="H91" s="252"/>
      <c r="J91" s="252"/>
      <c r="M91" s="253"/>
      <c r="N91" s="254"/>
    </row>
    <row r="92" spans="3:14" hidden="1" x14ac:dyDescent="0.3">
      <c r="C92" s="249"/>
      <c r="D92" s="250"/>
      <c r="E92" s="251"/>
      <c r="F92" s="251"/>
      <c r="H92" s="252"/>
      <c r="J92" s="252"/>
      <c r="M92" s="253"/>
      <c r="N92" s="254"/>
    </row>
    <row r="93" spans="3:14" hidden="1" x14ac:dyDescent="0.3">
      <c r="C93" s="249"/>
      <c r="D93" s="250"/>
      <c r="E93" s="251"/>
      <c r="F93" s="251"/>
      <c r="H93" s="252"/>
      <c r="J93" s="252"/>
      <c r="M93" s="253"/>
      <c r="N93" s="254"/>
    </row>
    <row r="94" spans="3:14" hidden="1" x14ac:dyDescent="0.3">
      <c r="C94" s="249"/>
      <c r="D94" s="250"/>
      <c r="E94" s="251"/>
      <c r="F94" s="251"/>
      <c r="H94" s="252"/>
      <c r="J94" s="252"/>
      <c r="M94" s="253"/>
      <c r="N94" s="254"/>
    </row>
    <row r="95" spans="3:14" hidden="1" x14ac:dyDescent="0.3">
      <c r="C95" s="249"/>
      <c r="D95" s="250"/>
      <c r="E95" s="251"/>
      <c r="F95" s="251"/>
      <c r="H95" s="252"/>
      <c r="J95" s="252"/>
      <c r="M95" s="253"/>
      <c r="N95" s="254"/>
    </row>
    <row r="96" spans="3:14" hidden="1" x14ac:dyDescent="0.3">
      <c r="C96" s="249"/>
      <c r="D96" s="250"/>
      <c r="E96" s="251"/>
      <c r="F96" s="251"/>
      <c r="H96" s="252"/>
      <c r="J96" s="252"/>
      <c r="M96" s="253"/>
      <c r="N96" s="254"/>
    </row>
    <row r="97" spans="3:14" hidden="1" x14ac:dyDescent="0.3">
      <c r="C97" s="249"/>
      <c r="D97" s="250"/>
      <c r="E97" s="251"/>
      <c r="F97" s="251"/>
      <c r="H97" s="252"/>
      <c r="J97" s="252"/>
      <c r="M97" s="253"/>
      <c r="N97" s="254"/>
    </row>
    <row r="98" spans="3:14" hidden="1" x14ac:dyDescent="0.3">
      <c r="C98" s="249"/>
      <c r="D98" s="250"/>
      <c r="E98" s="251"/>
      <c r="F98" s="251"/>
      <c r="H98" s="252"/>
      <c r="J98" s="252"/>
      <c r="M98" s="253"/>
      <c r="N98" s="254"/>
    </row>
    <row r="99" spans="3:14" hidden="1" x14ac:dyDescent="0.3">
      <c r="C99" s="249"/>
      <c r="D99" s="250"/>
      <c r="E99" s="251"/>
      <c r="F99" s="251"/>
      <c r="H99" s="252"/>
      <c r="J99" s="252"/>
      <c r="M99" s="253"/>
      <c r="N99" s="254"/>
    </row>
  </sheetData>
  <sheetProtection sheet="1" objects="1" scenarios="1"/>
  <mergeCells count="2">
    <mergeCell ref="D2:H3"/>
    <mergeCell ref="J2:N5"/>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7"/>
  <sheetViews>
    <sheetView showGridLines="0" workbookViewId="0">
      <selection activeCell="A26" sqref="A26:XFD1048576"/>
    </sheetView>
  </sheetViews>
  <sheetFormatPr defaultColWidth="0" defaultRowHeight="15" zeroHeight="1" x14ac:dyDescent="0.3"/>
  <cols>
    <col min="1" max="1" width="9.140625" style="244" customWidth="1"/>
    <col min="2" max="2" width="14.28515625" style="244" customWidth="1"/>
    <col min="3" max="3" width="14.140625" style="244" customWidth="1"/>
    <col min="4" max="4" width="10.140625" style="244" bestFit="1" customWidth="1"/>
    <col min="5" max="5" width="12.42578125" style="244" customWidth="1"/>
    <col min="6" max="7" width="12" style="244" customWidth="1"/>
    <col min="8" max="8" width="9.140625" style="244" customWidth="1"/>
    <col min="9" max="16384" width="9.140625" style="244" hidden="1"/>
  </cols>
  <sheetData>
    <row r="1" spans="2:7" ht="15.75" thickBot="1" x14ac:dyDescent="0.35"/>
    <row r="2" spans="2:7" ht="15" customHeight="1" x14ac:dyDescent="0.3">
      <c r="D2" s="544" t="s">
        <v>110</v>
      </c>
      <c r="E2" s="545"/>
      <c r="F2" s="546"/>
      <c r="G2" s="543"/>
    </row>
    <row r="3" spans="2:7" ht="15" customHeight="1" x14ac:dyDescent="0.3">
      <c r="D3" s="547"/>
      <c r="E3" s="548"/>
      <c r="F3" s="549"/>
      <c r="G3" s="543"/>
    </row>
    <row r="4" spans="2:7" ht="15.75" customHeight="1" thickBot="1" x14ac:dyDescent="0.35">
      <c r="D4" s="550"/>
      <c r="E4" s="551"/>
      <c r="F4" s="552"/>
      <c r="G4" s="543"/>
    </row>
    <row r="5" spans="2:7" x14ac:dyDescent="0.3"/>
    <row r="6" spans="2:7" x14ac:dyDescent="0.3"/>
    <row r="7" spans="2:7" ht="15.75" thickBot="1" x14ac:dyDescent="0.35"/>
    <row r="8" spans="2:7" x14ac:dyDescent="0.3">
      <c r="C8" s="537"/>
      <c r="D8" s="538">
        <f>'(3) Options'!X1</f>
        <v>2014</v>
      </c>
      <c r="E8" s="538">
        <f>'(3) Options'!Y1</f>
        <v>2015</v>
      </c>
      <c r="F8" s="538">
        <f>'(3) Options'!Z1</f>
        <v>2016</v>
      </c>
      <c r="G8" s="539">
        <f>'(3) Options'!AA1</f>
        <v>2017</v>
      </c>
    </row>
    <row r="9" spans="2:7" x14ac:dyDescent="0.3">
      <c r="B9" s="480"/>
      <c r="C9" s="477" t="s">
        <v>31</v>
      </c>
      <c r="D9" s="478">
        <f>'(3) Options'!X53</f>
        <v>2207.5918654188763</v>
      </c>
      <c r="E9" s="478">
        <f>'(3) Options'!Y53</f>
        <v>3817.4397418768385</v>
      </c>
      <c r="F9" s="478">
        <f>'(3) Options'!Z53</f>
        <v>3817.4397418768385</v>
      </c>
      <c r="G9" s="540">
        <f>'(3) Options'!AA53</f>
        <v>3817.4397418768385</v>
      </c>
    </row>
    <row r="10" spans="2:7" x14ac:dyDescent="0.3">
      <c r="B10" s="480"/>
      <c r="C10" s="477" t="s">
        <v>85</v>
      </c>
      <c r="D10" s="478">
        <f>'(3) Options'!X54</f>
        <v>3850.9916533089236</v>
      </c>
      <c r="E10" s="478">
        <f>'(3) Options'!Y54</f>
        <v>5776.4874799633853</v>
      </c>
      <c r="F10" s="478">
        <f>'(3) Options'!Z54</f>
        <v>5776.4874799633853</v>
      </c>
      <c r="G10" s="540">
        <f>'(3) Options'!AA54</f>
        <v>5776.4874799633853</v>
      </c>
    </row>
    <row r="11" spans="2:7" x14ac:dyDescent="0.3">
      <c r="B11" s="480"/>
      <c r="C11" s="477" t="s">
        <v>32</v>
      </c>
      <c r="D11" s="478">
        <f>'(3) Options'!X55</f>
        <v>8433.9837344656553</v>
      </c>
      <c r="E11" s="478">
        <f>'(3) Options'!Y55</f>
        <v>9928.3437068679377</v>
      </c>
      <c r="F11" s="478">
        <f>'(3) Options'!Z55</f>
        <v>9928.3437068679377</v>
      </c>
      <c r="G11" s="540">
        <f>'(3) Options'!AA55</f>
        <v>8611.3757677816702</v>
      </c>
    </row>
    <row r="12" spans="2:7" hidden="1" x14ac:dyDescent="0.3">
      <c r="B12" s="480" t="s">
        <v>75</v>
      </c>
      <c r="C12" s="477" t="s">
        <v>31</v>
      </c>
      <c r="D12" s="478" t="e">
        <f>#REF!</f>
        <v>#REF!</v>
      </c>
      <c r="E12" s="478" t="e">
        <f>#REF!</f>
        <v>#REF!</v>
      </c>
      <c r="F12" s="478" t="e">
        <f>#REF!</f>
        <v>#REF!</v>
      </c>
      <c r="G12" s="540" t="e">
        <f>#REF!</f>
        <v>#REF!</v>
      </c>
    </row>
    <row r="13" spans="2:7" hidden="1" x14ac:dyDescent="0.3">
      <c r="B13" s="480"/>
      <c r="C13" s="477" t="s">
        <v>85</v>
      </c>
      <c r="D13" s="478" t="e">
        <f>#REF!</f>
        <v>#REF!</v>
      </c>
      <c r="E13" s="478" t="e">
        <f>#REF!</f>
        <v>#REF!</v>
      </c>
      <c r="F13" s="478" t="e">
        <f>#REF!</f>
        <v>#REF!</v>
      </c>
      <c r="G13" s="540" t="e">
        <f>#REF!</f>
        <v>#REF!</v>
      </c>
    </row>
    <row r="14" spans="2:7" hidden="1" x14ac:dyDescent="0.3">
      <c r="B14" s="480"/>
      <c r="C14" s="477" t="s">
        <v>32</v>
      </c>
      <c r="D14" s="478" t="e">
        <f>#REF!</f>
        <v>#REF!</v>
      </c>
      <c r="E14" s="478" t="e">
        <f>#REF!</f>
        <v>#REF!</v>
      </c>
      <c r="F14" s="478" t="e">
        <f>#REF!</f>
        <v>#REF!</v>
      </c>
      <c r="G14" s="540" t="e">
        <f>#REF!</f>
        <v>#REF!</v>
      </c>
    </row>
    <row r="15" spans="2:7" hidden="1" x14ac:dyDescent="0.3">
      <c r="B15" s="480" t="s">
        <v>83</v>
      </c>
      <c r="C15" s="477" t="s">
        <v>31</v>
      </c>
      <c r="D15" s="478">
        <f>'(3) Share Grants'!X52</f>
        <v>0</v>
      </c>
      <c r="E15" s="478">
        <f>'(3) Share Grants'!Y52</f>
        <v>25916.666666666664</v>
      </c>
      <c r="F15" s="478">
        <f>'(3) Share Grants'!Z52</f>
        <v>28272.727272727268</v>
      </c>
      <c r="G15" s="540">
        <f>'(3) Share Grants'!AA52</f>
        <v>28272.727272727268</v>
      </c>
    </row>
    <row r="16" spans="2:7" hidden="1" x14ac:dyDescent="0.3">
      <c r="B16" s="480"/>
      <c r="C16" s="477" t="s">
        <v>85</v>
      </c>
      <c r="D16" s="478">
        <f>'(3) Share Grants'!X53</f>
        <v>0</v>
      </c>
      <c r="E16" s="478">
        <f>'(3) Share Grants'!Y53</f>
        <v>0</v>
      </c>
      <c r="F16" s="478">
        <f>'(3) Share Grants'!Z53</f>
        <v>0</v>
      </c>
      <c r="G16" s="540">
        <f>'(3) Share Grants'!AA53</f>
        <v>0</v>
      </c>
    </row>
    <row r="17" spans="2:7" hidden="1" x14ac:dyDescent="0.3">
      <c r="C17" s="477" t="s">
        <v>32</v>
      </c>
      <c r="D17" s="478">
        <f>'(3) Share Grants'!X54</f>
        <v>0</v>
      </c>
      <c r="E17" s="478">
        <f>'(3) Share Grants'!Y54</f>
        <v>68750</v>
      </c>
      <c r="F17" s="478">
        <f>'(3) Share Grants'!Z54</f>
        <v>74999.999999999985</v>
      </c>
      <c r="G17" s="540">
        <f>'(3) Share Grants'!AA54</f>
        <v>74999.999999999985</v>
      </c>
    </row>
    <row r="18" spans="2:7" x14ac:dyDescent="0.3">
      <c r="B18" s="245"/>
      <c r="C18" s="477"/>
      <c r="D18" s="478"/>
      <c r="E18" s="478"/>
      <c r="F18" s="478"/>
      <c r="G18" s="540"/>
    </row>
    <row r="19" spans="2:7" hidden="1" x14ac:dyDescent="0.3">
      <c r="B19" s="480" t="s">
        <v>84</v>
      </c>
      <c r="C19" s="477" t="s">
        <v>31</v>
      </c>
      <c r="D19" s="478" t="e">
        <f>D9+D12+D15</f>
        <v>#REF!</v>
      </c>
      <c r="E19" s="478" t="e">
        <f>E9+E12+E15</f>
        <v>#REF!</v>
      </c>
      <c r="F19" s="478" t="e">
        <f>F9+F12+F15</f>
        <v>#REF!</v>
      </c>
      <c r="G19" s="540" t="e">
        <f>G9+G12+G15</f>
        <v>#REF!</v>
      </c>
    </row>
    <row r="20" spans="2:7" hidden="1" x14ac:dyDescent="0.3">
      <c r="C20" s="477" t="s">
        <v>85</v>
      </c>
      <c r="D20" s="478" t="e">
        <f>D10+D13+D16</f>
        <v>#REF!</v>
      </c>
      <c r="E20" s="478" t="e">
        <f t="shared" ref="E20:G20" si="0">E10+E13+E16</f>
        <v>#REF!</v>
      </c>
      <c r="F20" s="478" t="e">
        <f t="shared" si="0"/>
        <v>#REF!</v>
      </c>
      <c r="G20" s="540" t="e">
        <f t="shared" si="0"/>
        <v>#REF!</v>
      </c>
    </row>
    <row r="21" spans="2:7" hidden="1" x14ac:dyDescent="0.3">
      <c r="C21" s="477" t="s">
        <v>32</v>
      </c>
      <c r="D21" s="478" t="e">
        <f>D17+D14+D11</f>
        <v>#REF!</v>
      </c>
      <c r="E21" s="478" t="e">
        <f>E17+E14+E11</f>
        <v>#REF!</v>
      </c>
      <c r="F21" s="478" t="e">
        <f>F17+F14+F11</f>
        <v>#REF!</v>
      </c>
      <c r="G21" s="540" t="e">
        <f>G17+G14+G11</f>
        <v>#REF!</v>
      </c>
    </row>
    <row r="22" spans="2:7" hidden="1" x14ac:dyDescent="0.3">
      <c r="C22" s="477"/>
      <c r="D22" s="478"/>
      <c r="E22" s="478"/>
      <c r="F22" s="478"/>
      <c r="G22" s="540"/>
    </row>
    <row r="23" spans="2:7" ht="15.75" thickBot="1" x14ac:dyDescent="0.35">
      <c r="C23" s="541" t="s">
        <v>74</v>
      </c>
      <c r="D23" s="479">
        <f>SUM(D9:D11)</f>
        <v>14492.567253193454</v>
      </c>
      <c r="E23" s="479">
        <f t="shared" ref="E23:G23" si="1">SUM(E9:E11)</f>
        <v>19522.27092870816</v>
      </c>
      <c r="F23" s="479">
        <f t="shared" si="1"/>
        <v>19522.27092870816</v>
      </c>
      <c r="G23" s="542">
        <f t="shared" si="1"/>
        <v>18205.302989621894</v>
      </c>
    </row>
    <row r="24" spans="2:7" x14ac:dyDescent="0.3"/>
    <row r="25" spans="2:7" x14ac:dyDescent="0.3"/>
    <row r="26" spans="2:7" hidden="1" x14ac:dyDescent="0.3"/>
    <row r="27" spans="2:7" hidden="1" x14ac:dyDescent="0.3">
      <c r="F27" s="248"/>
    </row>
  </sheetData>
  <mergeCells count="1">
    <mergeCell ref="D2:F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31" sqref="N31"/>
    </sheetView>
  </sheetViews>
  <sheetFormatPr defaultRowHeight="15"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Readme</vt:lpstr>
      <vt:lpstr>(1) Inputs</vt:lpstr>
      <vt:lpstr>(2) Risk-Free Rates</vt:lpstr>
      <vt:lpstr>(3) Options</vt:lpstr>
      <vt:lpstr>(3) Share Grants</vt:lpstr>
      <vt:lpstr>(4) Black_Scholes_table</vt:lpstr>
      <vt:lpstr>(5) Summary</vt:lpstr>
      <vt:lpstr>Revision_History</vt:lpstr>
      <vt:lpstr>'(3) Options'!Print_Area</vt:lpstr>
      <vt:lpstr>'(3) Share Grants'!Print_Area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Kelly MacDonald</dc:creator>
  <cp:lastModifiedBy>bmcgowan</cp:lastModifiedBy>
  <cp:lastPrinted>2013-04-29T16:29:18Z</cp:lastPrinted>
  <dcterms:created xsi:type="dcterms:W3CDTF">2006-09-16T00:00:00Z</dcterms:created>
  <dcterms:modified xsi:type="dcterms:W3CDTF">2014-04-08T15:15:04Z</dcterms:modified>
</cp:coreProperties>
</file>