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530"/>
  <workbookPr defaultThemeVersion="166925"/>
  <mc:AlternateContent xmlns:mc="http://schemas.openxmlformats.org/markup-compatibility/2006">
    <mc:Choice Requires="x15">
      <x15ac:absPath xmlns:x15ac="http://schemas.microsoft.com/office/spreadsheetml/2010/11/ac" url="D:\NewDrive\OneDrive\BookList\"/>
    </mc:Choice>
  </mc:AlternateContent>
  <xr:revisionPtr revIDLastSave="0" documentId="8_{E9B18DFF-6681-4D7B-8AE9-1B891E522CCE}" xr6:coauthVersionLast="46" xr6:coauthVersionMax="46" xr10:uidLastSave="{00000000-0000-0000-0000-000000000000}"/>
  <bookViews>
    <workbookView xWindow="-108" yWindow="-108" windowWidth="23256" windowHeight="12576"/>
  </bookViews>
  <sheets>
    <sheet name="goodreads_library_export" sheetId="1" r:id="rId1"/>
  </sheets>
  <calcPr calcId="0"/>
</workbook>
</file>

<file path=xl/calcChain.xml><?xml version="1.0" encoding="utf-8"?>
<calcChain xmlns="http://schemas.openxmlformats.org/spreadsheetml/2006/main">
  <c r="F2" i="1" l="1"/>
  <c r="G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462" i="1"/>
  <c r="G462" i="1"/>
  <c r="F463" i="1"/>
  <c r="G463" i="1"/>
  <c r="F464" i="1"/>
  <c r="G464" i="1"/>
  <c r="F465" i="1"/>
  <c r="G465" i="1"/>
  <c r="F466" i="1"/>
  <c r="G466" i="1"/>
  <c r="F467" i="1"/>
  <c r="G467" i="1"/>
  <c r="F468" i="1"/>
  <c r="G468" i="1"/>
  <c r="F469" i="1"/>
  <c r="G469" i="1"/>
  <c r="F470" i="1"/>
  <c r="G470" i="1"/>
  <c r="F471" i="1"/>
  <c r="G471" i="1"/>
  <c r="F472" i="1"/>
  <c r="G472" i="1"/>
  <c r="F473" i="1"/>
  <c r="G473" i="1"/>
  <c r="F474" i="1"/>
  <c r="G474" i="1"/>
  <c r="F475" i="1"/>
  <c r="G475" i="1"/>
  <c r="F476" i="1"/>
  <c r="G476" i="1"/>
  <c r="F477" i="1"/>
  <c r="G477" i="1"/>
  <c r="F478" i="1"/>
  <c r="G478" i="1"/>
  <c r="F479" i="1"/>
  <c r="G479" i="1"/>
  <c r="F480" i="1"/>
  <c r="G480" i="1"/>
  <c r="F481" i="1"/>
  <c r="G481" i="1"/>
  <c r="F482" i="1"/>
  <c r="G482" i="1"/>
  <c r="F483" i="1"/>
  <c r="G483" i="1"/>
  <c r="F484" i="1"/>
  <c r="G484" i="1"/>
  <c r="F485" i="1"/>
  <c r="G485" i="1"/>
  <c r="F486" i="1"/>
  <c r="G486" i="1"/>
  <c r="F487" i="1"/>
  <c r="G487" i="1"/>
  <c r="F488" i="1"/>
  <c r="G488" i="1"/>
  <c r="F489" i="1"/>
  <c r="G489" i="1"/>
  <c r="F490" i="1"/>
  <c r="G490" i="1"/>
  <c r="F491" i="1"/>
  <c r="G491" i="1"/>
  <c r="F492" i="1"/>
  <c r="G492" i="1"/>
  <c r="F493" i="1"/>
  <c r="G493" i="1"/>
  <c r="F494" i="1"/>
  <c r="G494" i="1"/>
  <c r="F495" i="1"/>
  <c r="G495" i="1"/>
  <c r="F496" i="1"/>
  <c r="G496" i="1"/>
  <c r="F497" i="1"/>
  <c r="G497" i="1"/>
  <c r="F498" i="1"/>
  <c r="G498" i="1"/>
  <c r="F499" i="1"/>
  <c r="G499" i="1"/>
  <c r="F500" i="1"/>
  <c r="G500" i="1"/>
  <c r="F501" i="1"/>
  <c r="G501" i="1"/>
  <c r="F502" i="1"/>
  <c r="G502" i="1"/>
  <c r="F503" i="1"/>
  <c r="G503" i="1"/>
  <c r="F504" i="1"/>
  <c r="G504" i="1"/>
  <c r="F505" i="1"/>
  <c r="G505" i="1"/>
  <c r="F506" i="1"/>
  <c r="G506" i="1"/>
  <c r="F507" i="1"/>
  <c r="G507" i="1"/>
  <c r="F508" i="1"/>
  <c r="G508" i="1"/>
  <c r="F509" i="1"/>
  <c r="G509" i="1"/>
  <c r="F510" i="1"/>
  <c r="G510" i="1"/>
  <c r="F511" i="1"/>
  <c r="G511" i="1"/>
  <c r="F512" i="1"/>
  <c r="G512" i="1"/>
  <c r="F513" i="1"/>
  <c r="G513" i="1"/>
  <c r="F514" i="1"/>
  <c r="G514" i="1"/>
  <c r="F515" i="1"/>
  <c r="G515" i="1"/>
  <c r="F516" i="1"/>
  <c r="G516" i="1"/>
  <c r="F517" i="1"/>
  <c r="G517" i="1"/>
  <c r="F518" i="1"/>
  <c r="G518" i="1"/>
  <c r="F519" i="1"/>
  <c r="G519" i="1"/>
  <c r="F520" i="1"/>
  <c r="G520" i="1"/>
  <c r="F521" i="1"/>
  <c r="G521" i="1"/>
  <c r="F522" i="1"/>
  <c r="G522" i="1"/>
  <c r="F523" i="1"/>
  <c r="G523" i="1"/>
  <c r="F524" i="1"/>
  <c r="G524" i="1"/>
  <c r="F525" i="1"/>
  <c r="G525" i="1"/>
  <c r="F526" i="1"/>
  <c r="G526" i="1"/>
  <c r="F527" i="1"/>
  <c r="G527" i="1"/>
  <c r="F528" i="1"/>
  <c r="G528" i="1"/>
  <c r="F529" i="1"/>
  <c r="G529" i="1"/>
  <c r="F530" i="1"/>
  <c r="G530" i="1"/>
  <c r="F531" i="1"/>
  <c r="G531" i="1"/>
  <c r="F532" i="1"/>
  <c r="G532" i="1"/>
  <c r="F533" i="1"/>
  <c r="G533" i="1"/>
  <c r="F534" i="1"/>
  <c r="G534" i="1"/>
  <c r="F535" i="1"/>
  <c r="G535" i="1"/>
  <c r="F536" i="1"/>
  <c r="G536" i="1"/>
  <c r="F537" i="1"/>
  <c r="G537" i="1"/>
  <c r="F538" i="1"/>
  <c r="G538" i="1"/>
  <c r="F539" i="1"/>
  <c r="G539" i="1"/>
  <c r="F540" i="1"/>
  <c r="G540" i="1"/>
  <c r="F541" i="1"/>
  <c r="G541" i="1"/>
  <c r="F542" i="1"/>
  <c r="G542" i="1"/>
  <c r="F543" i="1"/>
  <c r="G543" i="1"/>
  <c r="F544" i="1"/>
  <c r="G544" i="1"/>
  <c r="F545" i="1"/>
  <c r="G545" i="1"/>
  <c r="F546" i="1"/>
  <c r="G546" i="1"/>
  <c r="F547" i="1"/>
  <c r="G547" i="1"/>
  <c r="F548" i="1"/>
  <c r="G548" i="1"/>
  <c r="F549" i="1"/>
  <c r="G549" i="1"/>
  <c r="F550" i="1"/>
  <c r="G550" i="1"/>
  <c r="F551" i="1"/>
  <c r="G551" i="1"/>
  <c r="F552" i="1"/>
  <c r="G552" i="1"/>
  <c r="F553" i="1"/>
  <c r="G553" i="1"/>
  <c r="F554" i="1"/>
  <c r="G554" i="1"/>
  <c r="F555" i="1"/>
  <c r="G555" i="1"/>
  <c r="F556" i="1"/>
  <c r="G556" i="1"/>
  <c r="F557" i="1"/>
  <c r="G557" i="1"/>
  <c r="F558" i="1"/>
  <c r="G558" i="1"/>
  <c r="F559" i="1"/>
  <c r="G559" i="1"/>
  <c r="F560" i="1"/>
  <c r="G560" i="1"/>
  <c r="F561" i="1"/>
  <c r="G561" i="1"/>
  <c r="F562" i="1"/>
  <c r="G562" i="1"/>
  <c r="F563" i="1"/>
  <c r="G563" i="1"/>
  <c r="F564" i="1"/>
  <c r="G564" i="1"/>
  <c r="F565" i="1"/>
  <c r="G565" i="1"/>
  <c r="F566" i="1"/>
  <c r="G566" i="1"/>
  <c r="F567" i="1"/>
  <c r="G567" i="1"/>
  <c r="F568" i="1"/>
  <c r="G568" i="1"/>
  <c r="F569" i="1"/>
  <c r="G569" i="1"/>
  <c r="F570" i="1"/>
  <c r="G570" i="1"/>
  <c r="F571" i="1"/>
  <c r="G571" i="1"/>
  <c r="F572" i="1"/>
  <c r="G572" i="1"/>
  <c r="F573" i="1"/>
  <c r="G573" i="1"/>
  <c r="F574" i="1"/>
  <c r="G574" i="1"/>
  <c r="F575" i="1"/>
  <c r="G575" i="1"/>
  <c r="F576" i="1"/>
  <c r="G576" i="1"/>
  <c r="F577" i="1"/>
  <c r="G577" i="1"/>
  <c r="F578" i="1"/>
  <c r="G578" i="1"/>
  <c r="F579" i="1"/>
  <c r="G579" i="1"/>
  <c r="F580" i="1"/>
  <c r="G580" i="1"/>
  <c r="F581" i="1"/>
  <c r="G581" i="1"/>
  <c r="F582" i="1"/>
  <c r="G582" i="1"/>
  <c r="F583" i="1"/>
  <c r="G583" i="1"/>
  <c r="F584" i="1"/>
  <c r="G584" i="1"/>
  <c r="F585" i="1"/>
  <c r="G585" i="1"/>
  <c r="F586" i="1"/>
  <c r="G586" i="1"/>
  <c r="F587" i="1"/>
  <c r="G587" i="1"/>
  <c r="F588" i="1"/>
  <c r="G588" i="1"/>
  <c r="F589" i="1"/>
  <c r="G589" i="1"/>
  <c r="F590" i="1"/>
  <c r="G590" i="1"/>
  <c r="F591" i="1"/>
  <c r="G591" i="1"/>
  <c r="F592" i="1"/>
  <c r="G592" i="1"/>
  <c r="F593" i="1"/>
  <c r="G593" i="1"/>
  <c r="F594" i="1"/>
  <c r="G594" i="1"/>
  <c r="F595" i="1"/>
  <c r="G595" i="1"/>
  <c r="F596" i="1"/>
  <c r="G596" i="1"/>
  <c r="F597" i="1"/>
  <c r="G597" i="1"/>
  <c r="F598" i="1"/>
  <c r="G598" i="1"/>
  <c r="F599" i="1"/>
  <c r="G599" i="1"/>
  <c r="F600" i="1"/>
  <c r="G600" i="1"/>
  <c r="F601" i="1"/>
  <c r="G601" i="1"/>
  <c r="F602" i="1"/>
  <c r="G602" i="1"/>
  <c r="F603" i="1"/>
  <c r="G603" i="1"/>
  <c r="F604" i="1"/>
  <c r="G604" i="1"/>
  <c r="F605" i="1"/>
  <c r="G605" i="1"/>
  <c r="F606" i="1"/>
  <c r="G606" i="1"/>
  <c r="F607" i="1"/>
  <c r="G607" i="1"/>
  <c r="F608" i="1"/>
  <c r="G608" i="1"/>
  <c r="F609" i="1"/>
  <c r="G609" i="1"/>
  <c r="F610" i="1"/>
  <c r="G610" i="1"/>
  <c r="F611" i="1"/>
  <c r="G611" i="1"/>
  <c r="F612" i="1"/>
  <c r="G612" i="1"/>
  <c r="F613" i="1"/>
  <c r="G613" i="1"/>
  <c r="F614" i="1"/>
  <c r="G614" i="1"/>
  <c r="F615" i="1"/>
  <c r="G615" i="1"/>
  <c r="F616" i="1"/>
  <c r="G616" i="1"/>
  <c r="F617" i="1"/>
  <c r="G617" i="1"/>
  <c r="F618" i="1"/>
  <c r="G618" i="1"/>
  <c r="F619" i="1"/>
  <c r="G619" i="1"/>
  <c r="F620" i="1"/>
  <c r="G620" i="1"/>
  <c r="F621" i="1"/>
  <c r="G621" i="1"/>
  <c r="F622" i="1"/>
  <c r="G622" i="1"/>
  <c r="F623" i="1"/>
  <c r="G623" i="1"/>
  <c r="F624" i="1"/>
  <c r="G624" i="1"/>
  <c r="F625" i="1"/>
  <c r="G625" i="1"/>
  <c r="F626" i="1"/>
  <c r="G626" i="1"/>
  <c r="F627" i="1"/>
  <c r="G627" i="1"/>
  <c r="F628" i="1"/>
  <c r="G628" i="1"/>
  <c r="F629" i="1"/>
  <c r="G629" i="1"/>
  <c r="F630" i="1"/>
  <c r="G630" i="1"/>
  <c r="F631" i="1"/>
  <c r="G631" i="1"/>
  <c r="F632" i="1"/>
  <c r="G632" i="1"/>
  <c r="F633" i="1"/>
  <c r="G633" i="1"/>
  <c r="F634" i="1"/>
  <c r="G634" i="1"/>
  <c r="F635" i="1"/>
  <c r="G635" i="1"/>
  <c r="F636" i="1"/>
  <c r="G636" i="1"/>
  <c r="F637" i="1"/>
  <c r="G637" i="1"/>
  <c r="F638" i="1"/>
  <c r="G638" i="1"/>
  <c r="F639" i="1"/>
  <c r="G639" i="1"/>
  <c r="F640" i="1"/>
  <c r="G640" i="1"/>
  <c r="F641" i="1"/>
  <c r="G641" i="1"/>
  <c r="F642" i="1"/>
  <c r="G642" i="1"/>
  <c r="F643" i="1"/>
  <c r="G643" i="1"/>
  <c r="F644" i="1"/>
  <c r="G644" i="1"/>
  <c r="F645" i="1"/>
  <c r="G645" i="1"/>
  <c r="F646" i="1"/>
  <c r="G646" i="1"/>
  <c r="F647" i="1"/>
  <c r="G647" i="1"/>
  <c r="F648" i="1"/>
  <c r="G648" i="1"/>
  <c r="F649" i="1"/>
  <c r="G649" i="1"/>
  <c r="F650" i="1"/>
  <c r="G650" i="1"/>
  <c r="F651" i="1"/>
  <c r="G651" i="1"/>
  <c r="F652" i="1"/>
  <c r="G652" i="1"/>
  <c r="F653" i="1"/>
  <c r="G653" i="1"/>
  <c r="F654" i="1"/>
  <c r="G654" i="1"/>
  <c r="F655" i="1"/>
  <c r="G655" i="1"/>
  <c r="F656" i="1"/>
  <c r="G656" i="1"/>
  <c r="F657" i="1"/>
  <c r="G657" i="1"/>
  <c r="F658" i="1"/>
  <c r="G658" i="1"/>
  <c r="F659" i="1"/>
  <c r="G659" i="1"/>
  <c r="F660" i="1"/>
  <c r="G660" i="1"/>
  <c r="F661" i="1"/>
  <c r="G661" i="1"/>
  <c r="F662" i="1"/>
  <c r="G662" i="1"/>
  <c r="F663" i="1"/>
  <c r="G663" i="1"/>
  <c r="F664" i="1"/>
  <c r="G664" i="1"/>
  <c r="F665" i="1"/>
  <c r="G665" i="1"/>
  <c r="F666" i="1"/>
  <c r="G666" i="1"/>
  <c r="F667" i="1"/>
  <c r="G667" i="1"/>
  <c r="F668" i="1"/>
  <c r="G668" i="1"/>
  <c r="F669" i="1"/>
  <c r="G669" i="1"/>
  <c r="F670" i="1"/>
  <c r="G670" i="1"/>
  <c r="F671" i="1"/>
  <c r="G671" i="1"/>
  <c r="F672" i="1"/>
  <c r="G672" i="1"/>
  <c r="F673" i="1"/>
  <c r="G673" i="1"/>
  <c r="F674" i="1"/>
  <c r="G674" i="1"/>
  <c r="F675" i="1"/>
  <c r="G675" i="1"/>
  <c r="F676" i="1"/>
  <c r="G676" i="1"/>
  <c r="F677" i="1"/>
  <c r="G677" i="1"/>
  <c r="F678" i="1"/>
  <c r="G678" i="1"/>
  <c r="F679" i="1"/>
  <c r="G679" i="1"/>
  <c r="F680" i="1"/>
  <c r="G680" i="1"/>
  <c r="F681" i="1"/>
  <c r="G681" i="1"/>
  <c r="F682" i="1"/>
  <c r="G682" i="1"/>
  <c r="F683" i="1"/>
  <c r="G683" i="1"/>
  <c r="F684" i="1"/>
  <c r="G684" i="1"/>
  <c r="F685" i="1"/>
  <c r="G685" i="1"/>
  <c r="F686" i="1"/>
  <c r="G686" i="1"/>
  <c r="F687" i="1"/>
  <c r="G687" i="1"/>
  <c r="F688" i="1"/>
  <c r="G688" i="1"/>
  <c r="F689" i="1"/>
  <c r="G689" i="1"/>
  <c r="F690" i="1"/>
  <c r="G690" i="1"/>
  <c r="F691" i="1"/>
  <c r="G691" i="1"/>
  <c r="F692" i="1"/>
  <c r="G692" i="1"/>
  <c r="F693" i="1"/>
  <c r="G693" i="1"/>
  <c r="F694" i="1"/>
  <c r="G694" i="1"/>
  <c r="F695" i="1"/>
  <c r="G695" i="1"/>
  <c r="F696" i="1"/>
  <c r="G696" i="1"/>
  <c r="F697" i="1"/>
  <c r="G697" i="1"/>
  <c r="F698" i="1"/>
  <c r="G698" i="1"/>
  <c r="F699" i="1"/>
  <c r="G699" i="1"/>
  <c r="F700" i="1"/>
  <c r="G700" i="1"/>
  <c r="F701" i="1"/>
  <c r="G701" i="1"/>
  <c r="F702" i="1"/>
  <c r="G702" i="1"/>
  <c r="F703" i="1"/>
  <c r="G703" i="1"/>
  <c r="F704" i="1"/>
  <c r="G704" i="1"/>
  <c r="F705" i="1"/>
  <c r="G705" i="1"/>
  <c r="F706" i="1"/>
  <c r="G706" i="1"/>
  <c r="F707" i="1"/>
  <c r="G707" i="1"/>
  <c r="F708" i="1"/>
  <c r="G708" i="1"/>
  <c r="F709" i="1"/>
  <c r="G709" i="1"/>
  <c r="F710" i="1"/>
  <c r="G710" i="1"/>
  <c r="F711" i="1"/>
  <c r="G711" i="1"/>
  <c r="F712" i="1"/>
  <c r="G712" i="1"/>
  <c r="F713" i="1"/>
  <c r="G713" i="1"/>
  <c r="F714" i="1"/>
  <c r="G714" i="1"/>
  <c r="F715" i="1"/>
  <c r="G715" i="1"/>
  <c r="F716" i="1"/>
  <c r="G716" i="1"/>
  <c r="F717" i="1"/>
  <c r="G717" i="1"/>
  <c r="F718" i="1"/>
  <c r="G718" i="1"/>
  <c r="F719" i="1"/>
  <c r="G719" i="1"/>
  <c r="F720" i="1"/>
  <c r="G720" i="1"/>
  <c r="F721" i="1"/>
  <c r="G721" i="1"/>
  <c r="F722" i="1"/>
  <c r="G722" i="1"/>
  <c r="F723" i="1"/>
  <c r="G723" i="1"/>
  <c r="F724" i="1"/>
  <c r="G724" i="1"/>
  <c r="F725" i="1"/>
  <c r="G725" i="1"/>
  <c r="F726" i="1"/>
  <c r="G726" i="1"/>
  <c r="F727" i="1"/>
  <c r="G727" i="1"/>
  <c r="F728" i="1"/>
  <c r="G728" i="1"/>
  <c r="F729" i="1"/>
  <c r="G729" i="1"/>
  <c r="F730" i="1"/>
  <c r="G730" i="1"/>
  <c r="F731" i="1"/>
  <c r="G731" i="1"/>
  <c r="F732" i="1"/>
  <c r="G732" i="1"/>
  <c r="F733" i="1"/>
  <c r="G733" i="1"/>
  <c r="F734" i="1"/>
  <c r="G734" i="1"/>
  <c r="F735" i="1"/>
  <c r="G735" i="1"/>
  <c r="F736" i="1"/>
  <c r="G736" i="1"/>
  <c r="F737" i="1"/>
  <c r="G737" i="1"/>
  <c r="F738" i="1"/>
  <c r="G738" i="1"/>
  <c r="F739" i="1"/>
  <c r="G739" i="1"/>
  <c r="F740" i="1"/>
  <c r="G740" i="1"/>
  <c r="F741" i="1"/>
  <c r="G741" i="1"/>
  <c r="F742" i="1"/>
  <c r="G742" i="1"/>
  <c r="F743" i="1"/>
  <c r="G743" i="1"/>
  <c r="F744" i="1"/>
  <c r="G744" i="1"/>
  <c r="F745" i="1"/>
  <c r="G745" i="1"/>
  <c r="F746" i="1"/>
  <c r="G746" i="1"/>
  <c r="F747" i="1"/>
  <c r="G747" i="1"/>
  <c r="F748" i="1"/>
  <c r="G748" i="1"/>
  <c r="F749" i="1"/>
  <c r="G749" i="1"/>
  <c r="F750" i="1"/>
  <c r="G750" i="1"/>
  <c r="F751" i="1"/>
  <c r="G751" i="1"/>
  <c r="F752" i="1"/>
  <c r="G752" i="1"/>
  <c r="F753" i="1"/>
  <c r="G753" i="1"/>
  <c r="F754" i="1"/>
  <c r="G754" i="1"/>
  <c r="F755" i="1"/>
  <c r="G755" i="1"/>
  <c r="F756" i="1"/>
  <c r="G756" i="1"/>
  <c r="F757" i="1"/>
  <c r="G757" i="1"/>
  <c r="F758" i="1"/>
  <c r="G758" i="1"/>
  <c r="F759" i="1"/>
  <c r="G759" i="1"/>
  <c r="F760" i="1"/>
  <c r="G760" i="1"/>
  <c r="F761" i="1"/>
  <c r="G761" i="1"/>
  <c r="F762" i="1"/>
  <c r="G762" i="1"/>
  <c r="F763" i="1"/>
  <c r="G763" i="1"/>
  <c r="F764" i="1"/>
  <c r="G764" i="1"/>
  <c r="F765" i="1"/>
  <c r="G765" i="1"/>
  <c r="F766" i="1"/>
  <c r="G766" i="1"/>
  <c r="F767" i="1"/>
  <c r="G767" i="1"/>
  <c r="F768" i="1"/>
  <c r="G768" i="1"/>
  <c r="F769" i="1"/>
  <c r="G769" i="1"/>
  <c r="F770" i="1"/>
  <c r="G770" i="1"/>
  <c r="F771" i="1"/>
  <c r="G771" i="1"/>
  <c r="F772" i="1"/>
  <c r="G772" i="1"/>
  <c r="F773" i="1"/>
  <c r="G773" i="1"/>
  <c r="F774" i="1"/>
  <c r="G774" i="1"/>
  <c r="F775" i="1"/>
  <c r="G775" i="1"/>
  <c r="F776" i="1"/>
  <c r="G776" i="1"/>
  <c r="F777" i="1"/>
  <c r="G777" i="1"/>
  <c r="F778" i="1"/>
  <c r="G778" i="1"/>
  <c r="F779" i="1"/>
  <c r="G779" i="1"/>
  <c r="F780" i="1"/>
  <c r="G780" i="1"/>
  <c r="F781" i="1"/>
  <c r="G781" i="1"/>
  <c r="F782" i="1"/>
  <c r="G782" i="1"/>
  <c r="F783" i="1"/>
  <c r="G783" i="1"/>
  <c r="F784" i="1"/>
  <c r="G784" i="1"/>
  <c r="F785" i="1"/>
  <c r="G785" i="1"/>
  <c r="F786" i="1"/>
  <c r="G786" i="1"/>
  <c r="F787" i="1"/>
  <c r="G787" i="1"/>
  <c r="F788" i="1"/>
  <c r="G788" i="1"/>
  <c r="F789" i="1"/>
  <c r="G789" i="1"/>
  <c r="F790" i="1"/>
  <c r="G790" i="1"/>
  <c r="F791" i="1"/>
  <c r="G791" i="1"/>
  <c r="F792" i="1"/>
  <c r="G792" i="1"/>
  <c r="F793" i="1"/>
  <c r="G793" i="1"/>
  <c r="F794" i="1"/>
  <c r="G794" i="1"/>
  <c r="F795" i="1"/>
  <c r="G795" i="1"/>
  <c r="F796" i="1"/>
  <c r="G796" i="1"/>
  <c r="F797" i="1"/>
  <c r="G797" i="1"/>
  <c r="F798" i="1"/>
  <c r="G798" i="1"/>
  <c r="F799" i="1"/>
  <c r="G799" i="1"/>
  <c r="F800" i="1"/>
  <c r="G800" i="1"/>
  <c r="F801" i="1"/>
  <c r="G801" i="1"/>
  <c r="F802" i="1"/>
  <c r="G802" i="1"/>
  <c r="F803" i="1"/>
  <c r="G803" i="1"/>
  <c r="F804" i="1"/>
  <c r="G804" i="1"/>
  <c r="F805" i="1"/>
  <c r="G805" i="1"/>
  <c r="F806" i="1"/>
  <c r="G806" i="1"/>
  <c r="F807" i="1"/>
  <c r="G807" i="1"/>
  <c r="F808" i="1"/>
  <c r="G808" i="1"/>
  <c r="F809" i="1"/>
  <c r="G809" i="1"/>
  <c r="F810" i="1"/>
  <c r="G810" i="1"/>
  <c r="F811" i="1"/>
  <c r="G811" i="1"/>
  <c r="F812" i="1"/>
  <c r="G812" i="1"/>
  <c r="F813" i="1"/>
  <c r="G813" i="1"/>
  <c r="F814" i="1"/>
  <c r="G814" i="1"/>
  <c r="F815" i="1"/>
  <c r="G815" i="1"/>
  <c r="F816" i="1"/>
  <c r="G816" i="1"/>
  <c r="F817" i="1"/>
  <c r="G817" i="1"/>
  <c r="F818" i="1"/>
  <c r="G818" i="1"/>
  <c r="F819" i="1"/>
  <c r="G819" i="1"/>
  <c r="F820" i="1"/>
  <c r="G820" i="1"/>
  <c r="F821" i="1"/>
  <c r="G821" i="1"/>
  <c r="F822" i="1"/>
  <c r="G822" i="1"/>
  <c r="F823" i="1"/>
  <c r="G823" i="1"/>
  <c r="F824" i="1"/>
  <c r="G824" i="1"/>
  <c r="F825" i="1"/>
  <c r="G825" i="1"/>
  <c r="F826" i="1"/>
  <c r="G826" i="1"/>
  <c r="F827" i="1"/>
  <c r="G827" i="1"/>
  <c r="F828" i="1"/>
  <c r="G828" i="1"/>
  <c r="F829" i="1"/>
  <c r="G829" i="1"/>
  <c r="F830" i="1"/>
  <c r="G830" i="1"/>
  <c r="F831" i="1"/>
  <c r="G831" i="1"/>
  <c r="F832" i="1"/>
  <c r="G832" i="1"/>
  <c r="F833" i="1"/>
  <c r="G833" i="1"/>
  <c r="F834" i="1"/>
  <c r="G834" i="1"/>
  <c r="F835" i="1"/>
  <c r="G835" i="1"/>
  <c r="F836" i="1"/>
  <c r="G836" i="1"/>
  <c r="F837" i="1"/>
  <c r="G837" i="1"/>
  <c r="F838" i="1"/>
  <c r="G838" i="1"/>
  <c r="F839" i="1"/>
  <c r="G839" i="1"/>
  <c r="F840" i="1"/>
  <c r="G840" i="1"/>
  <c r="F841" i="1"/>
  <c r="G841" i="1"/>
  <c r="F842" i="1"/>
  <c r="G842" i="1"/>
  <c r="F843" i="1"/>
  <c r="G843" i="1"/>
  <c r="F844" i="1"/>
  <c r="G844" i="1"/>
  <c r="F845" i="1"/>
  <c r="G845" i="1"/>
  <c r="F846" i="1"/>
  <c r="G846" i="1"/>
  <c r="F847" i="1"/>
  <c r="G847" i="1"/>
  <c r="F848" i="1"/>
  <c r="G848" i="1"/>
  <c r="F849" i="1"/>
  <c r="G849" i="1"/>
  <c r="F850" i="1"/>
  <c r="G850" i="1"/>
  <c r="F851" i="1"/>
  <c r="G851" i="1"/>
  <c r="F852" i="1"/>
  <c r="G852" i="1"/>
  <c r="F853" i="1"/>
  <c r="G853" i="1"/>
  <c r="F854" i="1"/>
  <c r="G854" i="1"/>
  <c r="F855" i="1"/>
  <c r="G855" i="1"/>
  <c r="F856" i="1"/>
  <c r="G856" i="1"/>
  <c r="F857" i="1"/>
  <c r="G857" i="1"/>
  <c r="F858" i="1"/>
  <c r="G858" i="1"/>
  <c r="F859" i="1"/>
  <c r="G859" i="1"/>
  <c r="F860" i="1"/>
  <c r="G860" i="1"/>
  <c r="F861" i="1"/>
  <c r="G861" i="1"/>
  <c r="F862" i="1"/>
  <c r="G862" i="1"/>
  <c r="F863" i="1"/>
  <c r="G863" i="1"/>
  <c r="F864" i="1"/>
  <c r="G864" i="1"/>
  <c r="F865" i="1"/>
  <c r="G865" i="1"/>
  <c r="F866" i="1"/>
  <c r="G866" i="1"/>
  <c r="F867" i="1"/>
  <c r="G867" i="1"/>
  <c r="F868" i="1"/>
  <c r="G868" i="1"/>
  <c r="F869" i="1"/>
  <c r="G869" i="1"/>
  <c r="F870" i="1"/>
  <c r="G870" i="1"/>
  <c r="F871" i="1"/>
  <c r="G871" i="1"/>
  <c r="F872" i="1"/>
  <c r="G872" i="1"/>
  <c r="F873" i="1"/>
  <c r="G873" i="1"/>
  <c r="F874" i="1"/>
  <c r="G874" i="1"/>
  <c r="F875" i="1"/>
  <c r="G875" i="1"/>
  <c r="F876" i="1"/>
  <c r="G876" i="1"/>
  <c r="F877" i="1"/>
  <c r="G877" i="1"/>
  <c r="F878" i="1"/>
  <c r="G878" i="1"/>
  <c r="F879" i="1"/>
  <c r="G879" i="1"/>
  <c r="F880" i="1"/>
  <c r="G880" i="1"/>
  <c r="F881" i="1"/>
  <c r="G881" i="1"/>
  <c r="F882" i="1"/>
  <c r="G882" i="1"/>
  <c r="F883" i="1"/>
  <c r="G883" i="1"/>
  <c r="F884" i="1"/>
  <c r="G884" i="1"/>
  <c r="F885" i="1"/>
  <c r="G885" i="1"/>
  <c r="F886" i="1"/>
  <c r="G886" i="1"/>
  <c r="F887" i="1"/>
  <c r="G887" i="1"/>
  <c r="F888" i="1"/>
  <c r="G888" i="1"/>
  <c r="F889" i="1"/>
  <c r="G889" i="1"/>
  <c r="F890" i="1"/>
  <c r="G890" i="1"/>
  <c r="F891" i="1"/>
  <c r="G891" i="1"/>
  <c r="F892" i="1"/>
  <c r="G892" i="1"/>
  <c r="F893" i="1"/>
  <c r="G893" i="1"/>
  <c r="F894" i="1"/>
  <c r="G894" i="1"/>
  <c r="F895" i="1"/>
  <c r="G895" i="1"/>
  <c r="F896" i="1"/>
  <c r="G896" i="1"/>
  <c r="F897" i="1"/>
  <c r="G897" i="1"/>
  <c r="F898" i="1"/>
  <c r="G898" i="1"/>
  <c r="F899" i="1"/>
  <c r="G899" i="1"/>
  <c r="F900" i="1"/>
  <c r="G900" i="1"/>
  <c r="F901" i="1"/>
  <c r="G901" i="1"/>
  <c r="F902" i="1"/>
  <c r="G902" i="1"/>
  <c r="F903" i="1"/>
  <c r="G903" i="1"/>
  <c r="F904" i="1"/>
  <c r="G904" i="1"/>
  <c r="F905" i="1"/>
  <c r="G905" i="1"/>
  <c r="F906" i="1"/>
  <c r="G906" i="1"/>
  <c r="F907" i="1"/>
  <c r="G907" i="1"/>
  <c r="F908" i="1"/>
  <c r="G908" i="1"/>
  <c r="F909" i="1"/>
  <c r="G909" i="1"/>
  <c r="F910" i="1"/>
  <c r="G910" i="1"/>
  <c r="F911" i="1"/>
  <c r="G911" i="1"/>
  <c r="F912" i="1"/>
  <c r="G912" i="1"/>
  <c r="F913" i="1"/>
  <c r="G913" i="1"/>
  <c r="F914" i="1"/>
  <c r="G914" i="1"/>
  <c r="F915" i="1"/>
  <c r="G915" i="1"/>
  <c r="F916" i="1"/>
  <c r="G916" i="1"/>
  <c r="F917" i="1"/>
  <c r="G917" i="1"/>
  <c r="F918" i="1"/>
  <c r="G918" i="1"/>
  <c r="F919" i="1"/>
  <c r="G919" i="1"/>
  <c r="F920" i="1"/>
  <c r="G920" i="1"/>
  <c r="F921" i="1"/>
  <c r="G921" i="1"/>
  <c r="F922" i="1"/>
  <c r="G922" i="1"/>
  <c r="F923" i="1"/>
  <c r="G923" i="1"/>
</calcChain>
</file>

<file path=xl/sharedStrings.xml><?xml version="1.0" encoding="utf-8"?>
<sst xmlns="http://schemas.openxmlformats.org/spreadsheetml/2006/main" count="7247" uniqueCount="3653">
  <si>
    <t>Book Id</t>
  </si>
  <si>
    <t>Title</t>
  </si>
  <si>
    <t>Author</t>
  </si>
  <si>
    <t>Author l-f</t>
  </si>
  <si>
    <t>Additional Authors</t>
  </si>
  <si>
    <t>ISBN</t>
  </si>
  <si>
    <t>ISBN13</t>
  </si>
  <si>
    <t>My Rating</t>
  </si>
  <si>
    <t>Average Rating</t>
  </si>
  <si>
    <t>Publisher</t>
  </si>
  <si>
    <t>Binding</t>
  </si>
  <si>
    <t>Number of Pages</t>
  </si>
  <si>
    <t>Year Published</t>
  </si>
  <si>
    <t>Original Publication Year</t>
  </si>
  <si>
    <t>Date Read</t>
  </si>
  <si>
    <t>Date Added</t>
  </si>
  <si>
    <t>Bookshelves</t>
  </si>
  <si>
    <t>Bookshelves with positions</t>
  </si>
  <si>
    <t>Exclusive Shelf</t>
  </si>
  <si>
    <t>My Review</t>
  </si>
  <si>
    <t>Spoiler</t>
  </si>
  <si>
    <t>Private Notes</t>
  </si>
  <si>
    <t>Read Count</t>
  </si>
  <si>
    <t>Recommended For</t>
  </si>
  <si>
    <t>Recommended By</t>
  </si>
  <si>
    <t>Owned Copies</t>
  </si>
  <si>
    <t>Original Purchase Date</t>
  </si>
  <si>
    <t>Original Purchase Location</t>
  </si>
  <si>
    <t>Condition</t>
  </si>
  <si>
    <t>Condition Description</t>
  </si>
  <si>
    <t>BCID</t>
  </si>
  <si>
    <t>Promise of Blood (Powder Mage, #1)</t>
  </si>
  <si>
    <t>Brian  McClellan</t>
  </si>
  <si>
    <t>McClellan, Brian</t>
  </si>
  <si>
    <t>Orbit</t>
  </si>
  <si>
    <t>Hardcover</t>
  </si>
  <si>
    <t>to-read</t>
  </si>
  <si>
    <t>to-read (#756)</t>
  </si>
  <si>
    <t>Ship of Magic (Liveship Traders, #1)</t>
  </si>
  <si>
    <t>Robin Hobb</t>
  </si>
  <si>
    <t>Hobb, Robin</t>
  </si>
  <si>
    <t>Voyager</t>
  </si>
  <si>
    <t>Mass Market Paperback</t>
  </si>
  <si>
    <t>to-read (#755)</t>
  </si>
  <si>
    <t>Akata Witch (Akata Witch, #1)</t>
  </si>
  <si>
    <t>Nnedi Okorafor</t>
  </si>
  <si>
    <t>Okorafor, Nnedi</t>
  </si>
  <si>
    <t>Viking Children's</t>
  </si>
  <si>
    <t>to-read (#754)</t>
  </si>
  <si>
    <t>Who Fears Death (Who Fears Death, #1)</t>
  </si>
  <si>
    <t>DAW Hardcover</t>
  </si>
  <si>
    <t>to-read (#753)</t>
  </si>
  <si>
    <t>Acacia: The War with the Mein (Acacia, #1)</t>
  </si>
  <si>
    <t>David Anthony Durham</t>
  </si>
  <si>
    <t>Durham, David Anthony</t>
  </si>
  <si>
    <t>Doubleday</t>
  </si>
  <si>
    <t>to-read (#752)</t>
  </si>
  <si>
    <t>Kings of the Wyld (The Band, #1)</t>
  </si>
  <si>
    <t>Nicholas Eames</t>
  </si>
  <si>
    <t>Eames, Nicholas</t>
  </si>
  <si>
    <t>Paperback</t>
  </si>
  <si>
    <t>to-read (#751)</t>
  </si>
  <si>
    <t>Red Sister (Book of the Ancestor, #1)</t>
  </si>
  <si>
    <t>Mark  Lawrence</t>
  </si>
  <si>
    <t>Lawrence, Mark</t>
  </si>
  <si>
    <t>Ace</t>
  </si>
  <si>
    <t>to-read (#750)</t>
  </si>
  <si>
    <t>Fool's Assassin (The Fitz and The Fool Trilogy, #1)</t>
  </si>
  <si>
    <t>Del Rey</t>
  </si>
  <si>
    <t>Kindle Edition</t>
  </si>
  <si>
    <t>to-read (#749)</t>
  </si>
  <si>
    <t>The Fifth Season (The Broken Earth, #1)</t>
  </si>
  <si>
    <t>N.K. Jemisin</t>
  </si>
  <si>
    <t>Jemisin, N.K.</t>
  </si>
  <si>
    <t>to-read (#748)</t>
  </si>
  <si>
    <t>Prince of Thorns (The Broken Empire, #1)</t>
  </si>
  <si>
    <t>to-read (#747)</t>
  </si>
  <si>
    <t>Prince of Fools (The Red Queen's War, #1)</t>
  </si>
  <si>
    <t>to-read (#746)</t>
  </si>
  <si>
    <t>Age of Myth (The Legends of the First Empire, #1)</t>
  </si>
  <si>
    <t>Michael J. Sullivan</t>
  </si>
  <si>
    <t>Sullivan, Michael J.</t>
  </si>
  <si>
    <t>to-read (#745)</t>
  </si>
  <si>
    <t>City of Stairs (The Divine Cities, #1)</t>
  </si>
  <si>
    <t>Robert Jackson Bennett</t>
  </si>
  <si>
    <t>Bennett, Robert Jackson</t>
  </si>
  <si>
    <t>Broadway Books</t>
  </si>
  <si>
    <t>to-read (#744)</t>
  </si>
  <si>
    <t>The Black Prism (Lightbringer, #1)</t>
  </si>
  <si>
    <t>Brent Weeks</t>
  </si>
  <si>
    <t>Weeks, Brent</t>
  </si>
  <si>
    <t>to-read (#743)</t>
  </si>
  <si>
    <t>A Little Hatred (The Age of Madness, #1)</t>
  </si>
  <si>
    <t>Joe Abercrombie</t>
  </si>
  <si>
    <t>Abercrombie, Joe</t>
  </si>
  <si>
    <t>to-read (#742)</t>
  </si>
  <si>
    <t>The Tyranny of Merit: Whatâ€™s Become of the Common Good?</t>
  </si>
  <si>
    <t>Michael J. Sandel</t>
  </si>
  <si>
    <t>Sandel, Michael J.</t>
  </si>
  <si>
    <t>Allen Lane</t>
  </si>
  <si>
    <t>to-read (#741)</t>
  </si>
  <si>
    <t>The Year of Our Lord 1943: Christian Humanism in an Age of Crisis</t>
  </si>
  <si>
    <t>Alan Jacobs</t>
  </si>
  <si>
    <t>Jacobs, Alan</t>
  </si>
  <si>
    <t>Oxford University Press, USA</t>
  </si>
  <si>
    <t>to-read (#740)</t>
  </si>
  <si>
    <t>The Once and Future Liberal: After Identity Politics</t>
  </si>
  <si>
    <t>Mark Lilla</t>
  </si>
  <si>
    <t>Lilla, Mark</t>
  </si>
  <si>
    <t>Harper</t>
  </si>
  <si>
    <t>to-read (#739)</t>
  </si>
  <si>
    <t>The Demon in Democracy: Totalitarian Temptations in Free Societies</t>
  </si>
  <si>
    <t>Ryszard Legutko</t>
  </si>
  <si>
    <t>Legutko, Ryszard</t>
  </si>
  <si>
    <t>Encounter Books</t>
  </si>
  <si>
    <t>to-read (#738)</t>
  </si>
  <si>
    <t>Why Not Capitalism?</t>
  </si>
  <si>
    <t>Jason Brennan</t>
  </si>
  <si>
    <t>Brennan, Jason</t>
  </si>
  <si>
    <t>Routledge</t>
  </si>
  <si>
    <t>to-read (#737)</t>
  </si>
  <si>
    <t>Live Not by Lies: A Manual for Christian Dissidents</t>
  </si>
  <si>
    <t>Rod Dreher</t>
  </si>
  <si>
    <t>Dreher, Rod</t>
  </si>
  <si>
    <t>Sentinel</t>
  </si>
  <si>
    <t>to-read (#736)</t>
  </si>
  <si>
    <t>The Great Debate: Edmund Burke, Thomas Paine, and the Birth of Right and Left</t>
  </si>
  <si>
    <t>Yuval Levin</t>
  </si>
  <si>
    <t>Levin, Yuval</t>
  </si>
  <si>
    <t>Basic Books</t>
  </si>
  <si>
    <t>to-read (#735)</t>
  </si>
  <si>
    <t>The New Class War: Saving Democracy from the Managerial Elite</t>
  </si>
  <si>
    <t>Michael Lind</t>
  </si>
  <si>
    <t>Lind, Michael</t>
  </si>
  <si>
    <t>Portfolio</t>
  </si>
  <si>
    <t>to-read (#734)</t>
  </si>
  <si>
    <t>The Age of Entitlement: America Since the Sixties</t>
  </si>
  <si>
    <t>Christopher Caldwell</t>
  </si>
  <si>
    <t>Caldwell, Christopher</t>
  </si>
  <si>
    <t>Simon  Schuster</t>
  </si>
  <si>
    <t>to-read (#733)</t>
  </si>
  <si>
    <t>The Revolt of the Elites and the Betrayal of Democracy</t>
  </si>
  <si>
    <t>Christopher Lasch</t>
  </si>
  <si>
    <t>Lasch, Christopher</t>
  </si>
  <si>
    <t>W. W. Norton  Company</t>
  </si>
  <si>
    <t>to-read (#732)</t>
  </si>
  <si>
    <t>Party Time: Raving Arizona (English Shaun Trilogy Book 1)</t>
  </si>
  <si>
    <t>Shaun Attwood</t>
  </si>
  <si>
    <t>Attwood, Shaun</t>
  </si>
  <si>
    <t>Gadfly Press</t>
  </si>
  <si>
    <t>currently-reading</t>
  </si>
  <si>
    <t>currently-reading (#8)</t>
  </si>
  <si>
    <t>Taking Rights Seriously: With a New Appendix, a Response to Critics</t>
  </si>
  <si>
    <t>Ronald Dworkin</t>
  </si>
  <si>
    <t>Dworkin, Ronald</t>
  </si>
  <si>
    <t>Harvard University Press</t>
  </si>
  <si>
    <t>to-read (#731)</t>
  </si>
  <si>
    <t>A Life on Our Planet: My Witness Statement and a Vision for the Future</t>
  </si>
  <si>
    <t>David Attenborough</t>
  </si>
  <si>
    <t>Attenborough, David</t>
  </si>
  <si>
    <t>Jonnie Hughes</t>
  </si>
  <si>
    <t>Grand Central Publishing</t>
  </si>
  <si>
    <t>to-read (#730)</t>
  </si>
  <si>
    <t>A Promised Land</t>
  </si>
  <si>
    <t>Barack Obama</t>
  </si>
  <si>
    <t>Obama, Barack</t>
  </si>
  <si>
    <t>Crown Publishing Group</t>
  </si>
  <si>
    <t>to-read (#729)</t>
  </si>
  <si>
    <t>The Origins of Yahwism</t>
  </si>
  <si>
    <t>Jurgen Van Oorschot</t>
  </si>
  <si>
    <t>Oorschot, Jurgen Van</t>
  </si>
  <si>
    <t>Markus Witte</t>
  </si>
  <si>
    <t>de Gruyter</t>
  </si>
  <si>
    <t>ebook</t>
  </si>
  <si>
    <t>read</t>
  </si>
  <si>
    <t>You Shall Have No Other Gods: Israelite Religion in the Light of Hebrew Inscriptions</t>
  </si>
  <si>
    <t>Jeffrey H. Tigay</t>
  </si>
  <si>
    <t>Tigay, Jeffrey H.</t>
  </si>
  <si>
    <t>Brill</t>
  </si>
  <si>
    <t>to-read (#728)</t>
  </si>
  <si>
    <t>Scribal Culture and the Making of the Hebrew Bible</t>
  </si>
  <si>
    <t>Karel van der Toorn</t>
  </si>
  <si>
    <t>Toorn, Karel van der</t>
  </si>
  <si>
    <t>to-read (#727)</t>
  </si>
  <si>
    <t>Family Religion in Babylonia, Syria and Israel: Continuity and Change in the Forms of Religious Life</t>
  </si>
  <si>
    <t>The Human Animal: A Personal View of the Human Species</t>
  </si>
  <si>
    <t>Desmond Morris</t>
  </si>
  <si>
    <t>Morris, Desmond</t>
  </si>
  <si>
    <t>Crown</t>
  </si>
  <si>
    <t>to-read (#726)</t>
  </si>
  <si>
    <t>Religious Diversity in Ancient Israel and Judah</t>
  </si>
  <si>
    <t>Francesca Stavrakopoulou</t>
  </si>
  <si>
    <t>Stavrakopoulou, Francesca</t>
  </si>
  <si>
    <t>John Barton</t>
  </si>
  <si>
    <t>Bloomsbury T&amp;T Clark</t>
  </si>
  <si>
    <t>to-read (#725)</t>
  </si>
  <si>
    <t>The Rational Male</t>
  </si>
  <si>
    <t>Rollo Tomassi</t>
  </si>
  <si>
    <t>Tomassi, Rollo</t>
  </si>
  <si>
    <t xml:space="preserve"> CreateSpace</t>
  </si>
  <si>
    <t>to-read (#724)</t>
  </si>
  <si>
    <t>No More Mr. Nice Guy</t>
  </si>
  <si>
    <t>Robert A. Glover</t>
  </si>
  <si>
    <t>Glover, Robert A.</t>
  </si>
  <si>
    <t>Running Press Adult</t>
  </si>
  <si>
    <t>to-read (#723)</t>
  </si>
  <si>
    <t>The Book of Pook</t>
  </si>
  <si>
    <t>Pook</t>
  </si>
  <si>
    <t>Pook, Pook</t>
  </si>
  <si>
    <t>Gubby</t>
  </si>
  <si>
    <t>to-read (#722)</t>
  </si>
  <si>
    <t>The Manipulated Man</t>
  </si>
  <si>
    <t>Esther Vilar</t>
  </si>
  <si>
    <t>Vilar, Esther</t>
  </si>
  <si>
    <t>Pinter &amp; Martin Ltd</t>
  </si>
  <si>
    <t>to-read (#721)</t>
  </si>
  <si>
    <t>Is There Anything Good about Men?: How Cultures Flourish by Exploiting Men</t>
  </si>
  <si>
    <t>Roy F. Baumeister</t>
  </si>
  <si>
    <t>Baumeister, Roy F.</t>
  </si>
  <si>
    <t>to-read (#720)</t>
  </si>
  <si>
    <t>Henry: Virtuous Prince</t>
  </si>
  <si>
    <t>David Starkey</t>
  </si>
  <si>
    <t>Starkey, David</t>
  </si>
  <si>
    <t>HarperCollins Publishers</t>
  </si>
  <si>
    <t>to-read (#719)</t>
  </si>
  <si>
    <t>The Last Messiah (Nihilistic Buddhism, Antinatalism, Pessimism)</t>
  </si>
  <si>
    <t>Peter Wessel Zapffe</t>
  </si>
  <si>
    <t>Zapffe, Peter Wessel</t>
  </si>
  <si>
    <t>Gisle Tangenes</t>
  </si>
  <si>
    <t>to-read (#718)</t>
  </si>
  <si>
    <t>The Conspiracy Against the Human Race</t>
  </si>
  <si>
    <t>Thomas Ligotti</t>
  </si>
  <si>
    <t>Ligotti, Thomas</t>
  </si>
  <si>
    <t>Ray Brassier</t>
  </si>
  <si>
    <t>Hippocampus Press</t>
  </si>
  <si>
    <t>to-read (#717)</t>
  </si>
  <si>
    <t>Readerâ€™s Block</t>
  </si>
  <si>
    <t>David Markson</t>
  </si>
  <si>
    <t>Markson, David</t>
  </si>
  <si>
    <t>Dalkey Archive Press</t>
  </si>
  <si>
    <t>to-read (#716)</t>
  </si>
  <si>
    <t>Straw Dogs: Thoughts on Humans and Other Animals</t>
  </si>
  <si>
    <t>John N. Gray</t>
  </si>
  <si>
    <t>Gray, John N.</t>
  </si>
  <si>
    <t>Granta Books</t>
  </si>
  <si>
    <t>Winter King: Henry VII and the Dawn of Tudor England</t>
  </si>
  <si>
    <t>Thomas Penn</t>
  </si>
  <si>
    <t>Penn, Thomas</t>
  </si>
  <si>
    <t>to-read (#715)</t>
  </si>
  <si>
    <t>Cosmopolis</t>
  </si>
  <si>
    <t>Don DeLillo</t>
  </si>
  <si>
    <t>DeLillo, Don</t>
  </si>
  <si>
    <t>Picador</t>
  </si>
  <si>
    <t>to-read (#714)</t>
  </si>
  <si>
    <t>Cosmopolitanism: Ethics in a World of Strangers</t>
  </si>
  <si>
    <t>Kwame Anthony Appiah</t>
  </si>
  <si>
    <t>Appiah, Kwame Anthony</t>
  </si>
  <si>
    <t>Norton</t>
  </si>
  <si>
    <t>The Origins of American Social Science (Ideas in Context)</t>
  </si>
  <si>
    <t>Dorothy Ross</t>
  </si>
  <si>
    <t>Ross, Dorothy</t>
  </si>
  <si>
    <t>Cambridge University Press</t>
  </si>
  <si>
    <t>to-read (#713)</t>
  </si>
  <si>
    <t>Meghan and Harry: The Real Story</t>
  </si>
  <si>
    <t>Lady Colin Campbell</t>
  </si>
  <si>
    <t>Campbell, Lady Colin</t>
  </si>
  <si>
    <t>Dynasty Press</t>
  </si>
  <si>
    <t>to-read (#712)</t>
  </si>
  <si>
    <t>Finding Freedom: Harry and Meghan and the Making of a Modern Royal Family</t>
  </si>
  <si>
    <t>Omid Scobie</t>
  </si>
  <si>
    <t>Scobie, Omid</t>
  </si>
  <si>
    <t>Carolyn Durand</t>
  </si>
  <si>
    <t>Dey Street Books</t>
  </si>
  <si>
    <t>to-read (#711)</t>
  </si>
  <si>
    <t>Battle of Brothers: William and Harryâ€“The Inside Story of a Family in Tumult</t>
  </si>
  <si>
    <t>Robert Lacey</t>
  </si>
  <si>
    <t>Lacey, Robert</t>
  </si>
  <si>
    <t>Why not parliamentarism?</t>
  </si>
  <si>
    <t>Tiago Ribeiro dos Santos</t>
  </si>
  <si>
    <t>Santos, Tiago Ribeiro dos</t>
  </si>
  <si>
    <t>to-read (#710)</t>
  </si>
  <si>
    <t>How Innovation Works: Serendipity, Energy and the Saving of Time</t>
  </si>
  <si>
    <t>Matt Ridley</t>
  </si>
  <si>
    <t>Ridley, Matt</t>
  </si>
  <si>
    <t>to-read (#709)</t>
  </si>
  <si>
    <t>The Decadent Society: How We Became the Victims of Our Own Success</t>
  </si>
  <si>
    <t>Ross Douthat</t>
  </si>
  <si>
    <t>Douthat, Ross</t>
  </si>
  <si>
    <t>Avid Reader Press / Simon  Schuster</t>
  </si>
  <si>
    <t>to-read (#708)</t>
  </si>
  <si>
    <t>10% Less Democracy: Why You Should Trust Elites a Little More and the Masses a Little Less</t>
  </si>
  <si>
    <t>Garett Jones</t>
  </si>
  <si>
    <t>Jones, Garett</t>
  </si>
  <si>
    <t>Stanford University Press</t>
  </si>
  <si>
    <t>to-read (#707)</t>
  </si>
  <si>
    <t>Islam and the Future of Tolerance: A Dialogue</t>
  </si>
  <si>
    <t>Sam Harris</t>
  </si>
  <si>
    <t>Harris, Sam</t>
  </si>
  <si>
    <t>Maajid Nawaz</t>
  </si>
  <si>
    <t xml:space="preserve">Harvard University Press </t>
  </si>
  <si>
    <t>Ordinary Men: Reserve Police Battalion 101 and the Final Solution in Poland</t>
  </si>
  <si>
    <t>Christopher R. Browning</t>
  </si>
  <si>
    <t>Browning, Christopher R.</t>
  </si>
  <si>
    <t>Harper Perennial</t>
  </si>
  <si>
    <t>to-read (#706)</t>
  </si>
  <si>
    <t>Europe: A Natural History</t>
  </si>
  <si>
    <t>Tim Flannery</t>
  </si>
  <si>
    <t>Flannery, Tim</t>
  </si>
  <si>
    <t>Atlantic Monthly Press</t>
  </si>
  <si>
    <t>currently-reading (#7)</t>
  </si>
  <si>
    <t>This Life: Secular Faith and Spiritual Freedom</t>
  </si>
  <si>
    <t>Martin HÃ¤gglund</t>
  </si>
  <si>
    <t>HÃ¤gglund, Martin</t>
  </si>
  <si>
    <t>Pantheon</t>
  </si>
  <si>
    <t>currently-reading (#6)</t>
  </si>
  <si>
    <t>The Age of Augustus</t>
  </si>
  <si>
    <t>Werner Eck</t>
  </si>
  <si>
    <t>Eck, Werner</t>
  </si>
  <si>
    <t>Deborah Lucas Schneider</t>
  </si>
  <si>
    <t>Wiley-Blackwell</t>
  </si>
  <si>
    <t>Barbarian Migrations and the Roman West, 376-568</t>
  </si>
  <si>
    <t>Guy Halsall</t>
  </si>
  <si>
    <t>Halsall, Guy</t>
  </si>
  <si>
    <t>to-read (#705)</t>
  </si>
  <si>
    <t>Coming Out Christian in the Roman World: How the Followers of Jesus Made a Place in Caesarâ€™s Empire</t>
  </si>
  <si>
    <t>Douglas Boin</t>
  </si>
  <si>
    <t>Boin, Douglas</t>
  </si>
  <si>
    <t>Bloomsbury Press</t>
  </si>
  <si>
    <t>to-read (#704)</t>
  </si>
  <si>
    <t>Alaric the Goth: An Outsider's History of the Fall of Rome</t>
  </si>
  <si>
    <t>to-read (#703)</t>
  </si>
  <si>
    <t>Havana Nocturne: How the Mob Owned Cuba &amp; Then Lost it to the Revolution</t>
  </si>
  <si>
    <t>T.J. English</t>
  </si>
  <si>
    <t>English, T.J.</t>
  </si>
  <si>
    <t>William Morrow/HarperCollins (NY)</t>
  </si>
  <si>
    <t>to-read (#702)</t>
  </si>
  <si>
    <t>The Crisis of Islam: Holy War and Unholy Terror</t>
  </si>
  <si>
    <t>Bernard Lewis</t>
  </si>
  <si>
    <t>Lewis, Bernard</t>
  </si>
  <si>
    <t>The Anatomy of Fascism</t>
  </si>
  <si>
    <t>Robert O. Paxton</t>
  </si>
  <si>
    <t>Paxton, Robert O.</t>
  </si>
  <si>
    <t>Vintage</t>
  </si>
  <si>
    <t>to-read (#701)</t>
  </si>
  <si>
    <t>How Everything Became War and the Military Became Everything: Tales from the Pentagon</t>
  </si>
  <si>
    <t>Rosa Brooks</t>
  </si>
  <si>
    <t>Brooks, Rosa</t>
  </si>
  <si>
    <t>to-read (#700)</t>
  </si>
  <si>
    <t>The Hell of Good Intentions: America's Foreign Policy Elite and the Decline of U.S. Primacy</t>
  </si>
  <si>
    <t>Stephen M. Walt</t>
  </si>
  <si>
    <t>Walt, Stephen M.</t>
  </si>
  <si>
    <t>Farrar, Straus and Giroux</t>
  </si>
  <si>
    <t>to-read (#699)</t>
  </si>
  <si>
    <t>Great Delusion: Liberal Dreams and International Realities</t>
  </si>
  <si>
    <t>John J. Mearsheimer</t>
  </si>
  <si>
    <t>Mearsheimer, John J.</t>
  </si>
  <si>
    <t>Yale University Press</t>
  </si>
  <si>
    <t>Plato at the Googleplex: Why Philosophy Won't Go Away</t>
  </si>
  <si>
    <t>Rebecca Goldstein</t>
  </si>
  <si>
    <t>Goldstein, Rebecca</t>
  </si>
  <si>
    <t>to-read (#698)</t>
  </si>
  <si>
    <t>How to Talk to Anyone: 92 Little Tricks for Big Success in Relationships</t>
  </si>
  <si>
    <t>Leil Lowndes</t>
  </si>
  <si>
    <t>Lowndes, Leil</t>
  </si>
  <si>
    <t>Contemporary Books</t>
  </si>
  <si>
    <t>to-read (#697)</t>
  </si>
  <si>
    <t>The Myth of Sisyphus and Other Essays</t>
  </si>
  <si>
    <t>Albert Camus</t>
  </si>
  <si>
    <t>Camus, Albert</t>
  </si>
  <si>
    <t>Stories from Ancient Canaan</t>
  </si>
  <si>
    <t>Mark S. Smith</t>
  </si>
  <si>
    <t>Smith, Mark S.</t>
  </si>
  <si>
    <t>Michael D. Coogan</t>
  </si>
  <si>
    <t>Westminster John Knox Press</t>
  </si>
  <si>
    <t>The Fate of Rome: Climate, Disease, and the End of an Empire (The Princeton History of the Ancient World)</t>
  </si>
  <si>
    <t>Kyle Harper</t>
  </si>
  <si>
    <t>Harper, Kyle</t>
  </si>
  <si>
    <t>Princeton University Press</t>
  </si>
  <si>
    <t>The Fall of Carthage</t>
  </si>
  <si>
    <t>Adrian Goldsworthy</t>
  </si>
  <si>
    <t>Goldsworthy, Adrian</t>
  </si>
  <si>
    <t>Orion Publishing Co.</t>
  </si>
  <si>
    <t>Pax Romana</t>
  </si>
  <si>
    <t>W&amp;N</t>
  </si>
  <si>
    <t>Brigantia (Vindolanda #3)</t>
  </si>
  <si>
    <t>Head of Zeus</t>
  </si>
  <si>
    <t>The Land: Founding (Chaos Seeds, #1)</t>
  </si>
  <si>
    <t>Aleron Kong</t>
  </si>
  <si>
    <t>Kong, Aleron</t>
  </si>
  <si>
    <t>CreateSpace Independent Publishing Platform</t>
  </si>
  <si>
    <t>to-read (#696)</t>
  </si>
  <si>
    <t>The Qur'an and its Biblical Subtext (Routledge Studies in the Qur'an)</t>
  </si>
  <si>
    <t>Gabriel Said Reynolds</t>
  </si>
  <si>
    <t>Reynolds, Gabriel Said</t>
  </si>
  <si>
    <t>Atheism and Agnosticism</t>
  </si>
  <si>
    <t>Graham Oppy</t>
  </si>
  <si>
    <t>Oppy, Graham</t>
  </si>
  <si>
    <t>to-read (#695)</t>
  </si>
  <si>
    <t>Out of Our Heads: Why You Are Not Your Brain, and Other Lessons from the Biology of Consciousness</t>
  </si>
  <si>
    <t>Alva NoÃ«</t>
  </si>
  <si>
    <t>NoÃ«, Alva</t>
  </si>
  <si>
    <t>currently-reading (#5)</t>
  </si>
  <si>
    <t>The Great Escape: Health, Wealth, and the Origins of Inequality</t>
  </si>
  <si>
    <t>Angus Deaton</t>
  </si>
  <si>
    <t>Deaton, Angus</t>
  </si>
  <si>
    <t>Eichmann in Jerusalem: A Report on the Banality of Evil</t>
  </si>
  <si>
    <t>Hannah Arendt</t>
  </si>
  <si>
    <t>Arendt, Hannah</t>
  </si>
  <si>
    <t>Amos Elon</t>
  </si>
  <si>
    <t>Penguin Classics</t>
  </si>
  <si>
    <t>The Revenge of Geography: What the Map Tells Us About Coming Conflicts and the Battle Against Fate</t>
  </si>
  <si>
    <t>Robert D. Kaplan</t>
  </si>
  <si>
    <t>Kaplan, Robert D.</t>
  </si>
  <si>
    <t xml:space="preserve">Random House </t>
  </si>
  <si>
    <t>The Horse, the Wheel, and Language: How Bronze-Age Riders from the Eurasian Steppes Shaped the Modern World</t>
  </si>
  <si>
    <t>David W. Anthony</t>
  </si>
  <si>
    <t>Anthony, David W.</t>
  </si>
  <si>
    <t>to-read (#694)</t>
  </si>
  <si>
    <t>Children of Paradise: The Struggle for the Soul of Iran</t>
  </si>
  <si>
    <t>Laura Secor</t>
  </si>
  <si>
    <t>Secor, Laura</t>
  </si>
  <si>
    <t>Riverhead Books</t>
  </si>
  <si>
    <t>to-read (#693)</t>
  </si>
  <si>
    <t>Return of the Strong Gods: Nationalism, Populism, and the Future of the West</t>
  </si>
  <si>
    <t>R.R. Reno</t>
  </si>
  <si>
    <t>Reno, R.R.</t>
  </si>
  <si>
    <t>Gateway Editions</t>
  </si>
  <si>
    <t>to-read (#692)</t>
  </si>
  <si>
    <t>Whiteshift: Populism, Immigration and the Future of White Majorities</t>
  </si>
  <si>
    <t>Eric Kaufmann</t>
  </si>
  <si>
    <t>Kaufmann, Eric</t>
  </si>
  <si>
    <t>to-read (#691)</t>
  </si>
  <si>
    <t>The Virtue of Nationalism</t>
  </si>
  <si>
    <t>Yoram Hazony</t>
  </si>
  <si>
    <t>Hazony, Yoram</t>
  </si>
  <si>
    <t>to-read (#690)</t>
  </si>
  <si>
    <t>Why Liberalism Failed</t>
  </si>
  <si>
    <t>Patrick J. Deneen</t>
  </si>
  <si>
    <t>Deneen, Patrick J.</t>
  </si>
  <si>
    <t>A World in Disarray: American Foreign Policy and the Crisis of the Old Order</t>
  </si>
  <si>
    <t>Richard N. Haass</t>
  </si>
  <si>
    <t>Haass, Richard N.</t>
  </si>
  <si>
    <t>Penguin Press</t>
  </si>
  <si>
    <t>council-on-foreign-relations, to-read</t>
  </si>
  <si>
    <t>council-on-foreign-relations (#6), to-read (#685)</t>
  </si>
  <si>
    <t>Sea Power: The History and Geopolitics of the World's Oceans</t>
  </si>
  <si>
    <t>James G. Stavridis</t>
  </si>
  <si>
    <t>Stavridis, James G.</t>
  </si>
  <si>
    <t>to-read (#689)</t>
  </si>
  <si>
    <t>The Big One</t>
  </si>
  <si>
    <t>Stuart Slade</t>
  </si>
  <si>
    <t>Slade, Stuart</t>
  </si>
  <si>
    <t>LULU</t>
  </si>
  <si>
    <t>to-read (#688)</t>
  </si>
  <si>
    <t>The Birth of the Modern: World Society 1815-1830</t>
  </si>
  <si>
    <t>Paul  Johnson</t>
  </si>
  <si>
    <t>Johnson, Paul</t>
  </si>
  <si>
    <t>to-read (#687)</t>
  </si>
  <si>
    <t>Hitler</t>
  </si>
  <si>
    <t>Ian Kershaw</t>
  </si>
  <si>
    <t>Kershaw, Ian</t>
  </si>
  <si>
    <t>to-read (#686)</t>
  </si>
  <si>
    <t>Tragedy and Hope: A History of the World in Our Time</t>
  </si>
  <si>
    <t>Carroll Quigley</t>
  </si>
  <si>
    <t>Quigley, Carroll</t>
  </si>
  <si>
    <t>G. S. G. &amp; Associates, Incorporated</t>
  </si>
  <si>
    <t>to-read (#684)</t>
  </si>
  <si>
    <t>Embracing Defeat: Japan in the Wake of World War II</t>
  </si>
  <si>
    <t>John W. Dower</t>
  </si>
  <si>
    <t>Dower, John W.</t>
  </si>
  <si>
    <t>to-read (#683)</t>
  </si>
  <si>
    <t>The Culture of Narcissism: American Life in An Age of Diminishing Expectations</t>
  </si>
  <si>
    <t>to-read (#682)</t>
  </si>
  <si>
    <t>God and Gold: Britain, America, and the Making of the Modern World</t>
  </si>
  <si>
    <t>Walter Russell Mead</t>
  </si>
  <si>
    <t>Mead, Walter Russell</t>
  </si>
  <si>
    <t>Knopf</t>
  </si>
  <si>
    <t>to-read (#681)</t>
  </si>
  <si>
    <t>Civilization: The West and the Rest</t>
  </si>
  <si>
    <t>Niall Ferguson</t>
  </si>
  <si>
    <t>Ferguson, Niall</t>
  </si>
  <si>
    <t>to-read (#680)</t>
  </si>
  <si>
    <t>The Future of Power</t>
  </si>
  <si>
    <t>Joseph S. Nye Jr.</t>
  </si>
  <si>
    <t>Jr., Joseph S. Nye</t>
  </si>
  <si>
    <t>to-read (#679)</t>
  </si>
  <si>
    <t>Soft Power: The Means to Success in World Politics</t>
  </si>
  <si>
    <t>PublicAffairs</t>
  </si>
  <si>
    <t>The Wealthy Barber Returns</t>
  </si>
  <si>
    <t>David Chilton</t>
  </si>
  <si>
    <t>Chilton, David</t>
  </si>
  <si>
    <t>Financial Awareness Corporation</t>
  </si>
  <si>
    <t>Thus Spoke Zarathustra</t>
  </si>
  <si>
    <t>Friedrich Nietzsche</t>
  </si>
  <si>
    <t>Nietzsche, Friedrich</t>
  </si>
  <si>
    <t>Walter Kaufmann</t>
  </si>
  <si>
    <t>Penguin Books</t>
  </si>
  <si>
    <t>What We Owe Iraq: War and the Ethics of Nation Building</t>
  </si>
  <si>
    <t>Noah Feldman</t>
  </si>
  <si>
    <t>Feldman, Noah</t>
  </si>
  <si>
    <t>to-read (#678)</t>
  </si>
  <si>
    <t>The Arab Winter: A Tragedy</t>
  </si>
  <si>
    <t>to-read (#677)</t>
  </si>
  <si>
    <t>The Fall and Rise of the Islamic State</t>
  </si>
  <si>
    <t>to-read (#676)</t>
  </si>
  <si>
    <t>After Jihad: America and the Struggle for Islamic Democracy</t>
  </si>
  <si>
    <t>to-read (#675)</t>
  </si>
  <si>
    <t>How to Stubbornly Refuse to Make Yourself Miserable About Anything: Yes, Anything</t>
  </si>
  <si>
    <t>Albert Ellis</t>
  </si>
  <si>
    <t>Ellis, Albert</t>
  </si>
  <si>
    <t>Lyle Stuart</t>
  </si>
  <si>
    <t>Roman Law in European History</t>
  </si>
  <si>
    <t>Peter G. Stein</t>
  </si>
  <si>
    <t>Stein, Peter G.</t>
  </si>
  <si>
    <t>to-read (#674)</t>
  </si>
  <si>
    <t>Human Compatible: Artificial Intelligence and the Problem of Control</t>
  </si>
  <si>
    <t>Stuart Russell</t>
  </si>
  <si>
    <t>Russell, Stuart</t>
  </si>
  <si>
    <t>Viking</t>
  </si>
  <si>
    <t>to-read (#673)</t>
  </si>
  <si>
    <t>Capital in the Twenty-First Century</t>
  </si>
  <si>
    <t>Thomas Piketty</t>
  </si>
  <si>
    <t>Piketty, Thomas</t>
  </si>
  <si>
    <t>Arthur Goldhammer</t>
  </si>
  <si>
    <t>Belknap Press</t>
  </si>
  <si>
    <t>to-read (#672)</t>
  </si>
  <si>
    <t>Revolting Prostitutes: The Fight for Sex Workersâ€™ Rights</t>
  </si>
  <si>
    <t>Molly  Smith</t>
  </si>
  <si>
    <t>Smith, Molly</t>
  </si>
  <si>
    <t>Juno Mac</t>
  </si>
  <si>
    <t>Verso</t>
  </si>
  <si>
    <t>to-read (#671)</t>
  </si>
  <si>
    <t>The Drunkard's Walk: How Randomness Rules Our Lives</t>
  </si>
  <si>
    <t>Leonard Mlodinow</t>
  </si>
  <si>
    <t>Mlodinow, Leonard</t>
  </si>
  <si>
    <t>Pantheon Books</t>
  </si>
  <si>
    <t>to-read (#670)</t>
  </si>
  <si>
    <t>Against Democracy</t>
  </si>
  <si>
    <t>to-read (#669)</t>
  </si>
  <si>
    <t>Stillness Is the Key</t>
  </si>
  <si>
    <t>Ryan Holiday</t>
  </si>
  <si>
    <t>Holiday, Ryan</t>
  </si>
  <si>
    <t>to-read (#668)</t>
  </si>
  <si>
    <t>Indistractable: How to Control Your Attention and Choose Your Life</t>
  </si>
  <si>
    <t>Nir Eyal</t>
  </si>
  <si>
    <t>Eyal, Nir</t>
  </si>
  <si>
    <t>Julie Li</t>
  </si>
  <si>
    <t>Benbella Books</t>
  </si>
  <si>
    <t>to-read (#667)</t>
  </si>
  <si>
    <t>Big Gods: How Religion Transformed Cooperation and Conflict</t>
  </si>
  <si>
    <t>Ara Norenzayan</t>
  </si>
  <si>
    <t>Norenzayan, Ara</t>
  </si>
  <si>
    <t>Reconsidering the Concept of Revolutionary Monotheism</t>
  </si>
  <si>
    <t>Beate Pongratz-Leisten</t>
  </si>
  <si>
    <t>Pongratz-Leisten, Beate</t>
  </si>
  <si>
    <t>Eisenbrauns</t>
  </si>
  <si>
    <t>Mohammed and Charlemagne</t>
  </si>
  <si>
    <t>Henri Pirenne</t>
  </si>
  <si>
    <t>Pirenne, Henri</t>
  </si>
  <si>
    <t>Dover Publications</t>
  </si>
  <si>
    <t>to-read (#666)</t>
  </si>
  <si>
    <t>A History of Rome</t>
  </si>
  <si>
    <t>Max Cary</t>
  </si>
  <si>
    <t>Cary, Max</t>
  </si>
  <si>
    <t>H.H. Scullard</t>
  </si>
  <si>
    <t>Bedford/St. Martin's</t>
  </si>
  <si>
    <t>to-read (#665)</t>
  </si>
  <si>
    <t>Ancient Rome</t>
  </si>
  <si>
    <t>Christopher S. Mackay</t>
  </si>
  <si>
    <t>Mackay, Christopher S.</t>
  </si>
  <si>
    <t>to-read (#664)</t>
  </si>
  <si>
    <t>Ancient Rome: From the Early Republic to the Death of Augustus</t>
  </si>
  <si>
    <t>Matthew Dillon</t>
  </si>
  <si>
    <t>Dillon, Matthew</t>
  </si>
  <si>
    <t>Lynda Garland</t>
  </si>
  <si>
    <t>to-read (#663)</t>
  </si>
  <si>
    <t>Mediterranean Anarchy, Interstate War, and the Rise of Rome</t>
  </si>
  <si>
    <t>Arthur M. Eckstein</t>
  </si>
  <si>
    <t>Eckstein, Arthur M.</t>
  </si>
  <si>
    <t>University of California Press</t>
  </si>
  <si>
    <t>to-read (#662)</t>
  </si>
  <si>
    <t>The Jews Under Roman Rule: From Pompey To Diocletian: A Study In Political Relations</t>
  </si>
  <si>
    <t>E. Mary Smallwood</t>
  </si>
  <si>
    <t>Smallwood, E. Mary</t>
  </si>
  <si>
    <t>Brill Academic Publishers</t>
  </si>
  <si>
    <t>to-read (#661)</t>
  </si>
  <si>
    <t>The Fall of Rome and the End of Civilization</t>
  </si>
  <si>
    <t>Bryan Ward-Perkins</t>
  </si>
  <si>
    <t>Ward-Perkins, Bryan</t>
  </si>
  <si>
    <t>Why Religion Is Natural and Science Is Not</t>
  </si>
  <si>
    <t>Robert N. McCauley</t>
  </si>
  <si>
    <t>McCauley, Robert N.</t>
  </si>
  <si>
    <t>to-read (#660)</t>
  </si>
  <si>
    <t>The Belief Instinct: The Psychology of Souls, Destiny, and the Meaning of Life</t>
  </si>
  <si>
    <t>Jesse Bering</t>
  </si>
  <si>
    <t>Bering, Jesse</t>
  </si>
  <si>
    <t>to-read (#659)</t>
  </si>
  <si>
    <t>Empires of the Weak: The Real Story of European Expansion and the Creation of the New World Order</t>
  </si>
  <si>
    <t>J.C. Sharman</t>
  </si>
  <si>
    <t>Sharman, J.C.</t>
  </si>
  <si>
    <t>Christianity In Early Modern Japan: Kirishitan Belief And Practice</t>
  </si>
  <si>
    <t>Ikuo Higashibaba</t>
  </si>
  <si>
    <t>Higashibaba, Ikuo</t>
  </si>
  <si>
    <t>to-read (#658)</t>
  </si>
  <si>
    <t>In Search of Japan's Hidden Christians: A Story of Suppression, Secrecy and Survival</t>
  </si>
  <si>
    <t>John Dougill</t>
  </si>
  <si>
    <t>Dougill, John</t>
  </si>
  <si>
    <t>Tuttle Publishing</t>
  </si>
  <si>
    <t>to-read (#657)</t>
  </si>
  <si>
    <t>Ancestor Worship</t>
  </si>
  <si>
    <t>Choon-Sup Bae</t>
  </si>
  <si>
    <t>Bae, Choon-Sup</t>
  </si>
  <si>
    <t>VDM Verlag Dr. Mueller E.K.</t>
  </si>
  <si>
    <t>to-read (#656)</t>
  </si>
  <si>
    <t>How (Not) to Be Secular: Reading Charles Taylor</t>
  </si>
  <si>
    <t>James K.A. Smith</t>
  </si>
  <si>
    <t>Smith, James K.A.</t>
  </si>
  <si>
    <t>Eerdmans</t>
  </si>
  <si>
    <t>to-read (#655)</t>
  </si>
  <si>
    <t>Our Secular Age: Ten Years of Reading and Applying Charles Taylor</t>
  </si>
  <si>
    <t>Collin Hansen</t>
  </si>
  <si>
    <t>Hansen, Collin</t>
  </si>
  <si>
    <t>Gospel Coalition</t>
  </si>
  <si>
    <t>The Twilight of Atheism: The Rise and Fall of Disbelief in the Modern World</t>
  </si>
  <si>
    <t>Alister E. McGrath</t>
  </si>
  <si>
    <t>McGrath, Alister E.</t>
  </si>
  <si>
    <t>WaterBrook</t>
  </si>
  <si>
    <t>to-read (#654)</t>
  </si>
  <si>
    <t>The New Testament and the People of God (Christian Origins and the Question of God, #1)</t>
  </si>
  <si>
    <t>N.T. Wright</t>
  </si>
  <si>
    <t>Wright, N.T.</t>
  </si>
  <si>
    <t>Fortress Press</t>
  </si>
  <si>
    <t>to-read (#653)</t>
  </si>
  <si>
    <t>The Good Man Jesus and the Scoundrel Christ</t>
  </si>
  <si>
    <t>Philip Pullman</t>
  </si>
  <si>
    <t>Pullman, Philip</t>
  </si>
  <si>
    <t>Canongate Books</t>
  </si>
  <si>
    <t>to-read (#652)</t>
  </si>
  <si>
    <t>Ways of Heaven: An Introduction to Chinese Thought</t>
  </si>
  <si>
    <t>Roel Sterckx</t>
  </si>
  <si>
    <t>Sterckx, Roel</t>
  </si>
  <si>
    <t>to-read (#651)</t>
  </si>
  <si>
    <t>Dominion: How the Christian Revolution Remade the World</t>
  </si>
  <si>
    <t>Tom Holland</t>
  </si>
  <si>
    <t>Holland, Tom</t>
  </si>
  <si>
    <t>From Jesus to Christianity: How Four Generations of Visionaries and Storytellers Created the New Testament and Christian Faith</t>
  </si>
  <si>
    <t>L. Michael White</t>
  </si>
  <si>
    <t>White, L. Michael</t>
  </si>
  <si>
    <t>HarperOne</t>
  </si>
  <si>
    <t>to-read (#650)</t>
  </si>
  <si>
    <t>Among the Gentiles: Greco-Roman Religion and Christianity</t>
  </si>
  <si>
    <t>Luke Timothy Johnson</t>
  </si>
  <si>
    <t>Johnson, Luke Timothy</t>
  </si>
  <si>
    <t>to-read (#649)</t>
  </si>
  <si>
    <t>Deus Destroyed: The Image of Christianity in Early Modern Japan</t>
  </si>
  <si>
    <t>George Elison</t>
  </si>
  <si>
    <t>Elison, George</t>
  </si>
  <si>
    <t>to-read (#648)</t>
  </si>
  <si>
    <t>All Things Made New: The Reformation and Its Legacy</t>
  </si>
  <si>
    <t>Diarmaid MacCulloch</t>
  </si>
  <si>
    <t>MacCulloch, Diarmaid</t>
  </si>
  <si>
    <t>to-read (#647)</t>
  </si>
  <si>
    <t>The Invention of Science: The Scientific Revolution from 1500 to 1750</t>
  </si>
  <si>
    <t>David Wootton</t>
  </si>
  <si>
    <t>Wootton, David</t>
  </si>
  <si>
    <t>to-read (#646)</t>
  </si>
  <si>
    <t>Paul: A Very Short Introduction</t>
  </si>
  <si>
    <t>E.P. Sanders</t>
  </si>
  <si>
    <t>Sanders, E.P.</t>
  </si>
  <si>
    <t>to-read (#645)</t>
  </si>
  <si>
    <t>The Triumph of Christianity: How the Jesus Movement Became the World's Largest Religion</t>
  </si>
  <si>
    <t>Rodney Stark</t>
  </si>
  <si>
    <t>Stark, Rodney</t>
  </si>
  <si>
    <t>HarperCollins Publishers (NYC)</t>
  </si>
  <si>
    <t>to-read (#644)</t>
  </si>
  <si>
    <t>God Against the Gods: The History of the War Between Monotheism and Polytheism</t>
  </si>
  <si>
    <t>Jonathan Kirsch</t>
  </si>
  <si>
    <t>Kirsch, Jonathan</t>
  </si>
  <si>
    <t>Penguin Group</t>
  </si>
  <si>
    <t>to-read (#643)</t>
  </si>
  <si>
    <t>Marxism and Christianity</t>
  </si>
  <si>
    <t>Alasdair MacIntyre</t>
  </si>
  <si>
    <t>MacIntyre, Alasdair</t>
  </si>
  <si>
    <t>Bristol Classical Press</t>
  </si>
  <si>
    <t>to-read (#642)</t>
  </si>
  <si>
    <t>Medieval Europe</t>
  </si>
  <si>
    <t>Chris Wickham</t>
  </si>
  <si>
    <t>Wickham, Chris</t>
  </si>
  <si>
    <t>to-read (#641)</t>
  </si>
  <si>
    <t>The Rise of Rome: From the Iron Age to the Punic Wars</t>
  </si>
  <si>
    <t>Kathryn Lomas</t>
  </si>
  <si>
    <t>Lomas, Kathryn</t>
  </si>
  <si>
    <t>to-read (#640)</t>
  </si>
  <si>
    <t>Crucible of Faith: The Ancient Revolution That Made Our Modern Religious World</t>
  </si>
  <si>
    <t>Philip Jenkins</t>
  </si>
  <si>
    <t>Jenkins, Philip</t>
  </si>
  <si>
    <t>to-read (#639)</t>
  </si>
  <si>
    <t>Plagues and Peoples</t>
  </si>
  <si>
    <t>William H. McNeill</t>
  </si>
  <si>
    <t>McNeill, William H.</t>
  </si>
  <si>
    <t>Anchor</t>
  </si>
  <si>
    <t>to-read (#638)</t>
  </si>
  <si>
    <t>Iced</t>
  </si>
  <si>
    <t>Ray Shell</t>
  </si>
  <si>
    <t>Shell, Ray</t>
  </si>
  <si>
    <t>to-read (#637)</t>
  </si>
  <si>
    <t>A Radical Jew: Paul and the Politics of Identity</t>
  </si>
  <si>
    <t>Daniel Boyarin</t>
  </si>
  <si>
    <t>Boyarin, Daniel</t>
  </si>
  <si>
    <t>to-read (#636)</t>
  </si>
  <si>
    <t>Where the Conflict Really Lies: Science, Religion, and Naturalism</t>
  </si>
  <si>
    <t>Alvin Plantinga</t>
  </si>
  <si>
    <t>Plantinga, Alvin</t>
  </si>
  <si>
    <t>to-read (#635)</t>
  </si>
  <si>
    <t>Going Clear: Scientology, Hollywood, and the Prison of Belief</t>
  </si>
  <si>
    <t>Lawrence Wright</t>
  </si>
  <si>
    <t>Wright, Lawrence</t>
  </si>
  <si>
    <t>to-read (#634)</t>
  </si>
  <si>
    <t>The Five Ways: St Thomas Aquinas' Proofs of God's Existence</t>
  </si>
  <si>
    <t>Anthony Kenny</t>
  </si>
  <si>
    <t>Kenny, Anthony</t>
  </si>
  <si>
    <t>to-read (#633)</t>
  </si>
  <si>
    <t>Three Rival Versions of Moral Inquiry: Encyclopedia, Genealogy, and Tradition</t>
  </si>
  <si>
    <t>University of Notre Dame Press</t>
  </si>
  <si>
    <t>to-read (#632)</t>
  </si>
  <si>
    <t>Moral Value and Human Diversity</t>
  </si>
  <si>
    <t>Robert Audi</t>
  </si>
  <si>
    <t>Audi, Robert</t>
  </si>
  <si>
    <t>to-read (#631)</t>
  </si>
  <si>
    <t>Taking Morality Seriously: A Defense Of Robust Realism</t>
  </si>
  <si>
    <t>David Enoch</t>
  </si>
  <si>
    <t>Enoch, David</t>
  </si>
  <si>
    <t>to-read (#630)</t>
  </si>
  <si>
    <t>The Moral Problem</t>
  </si>
  <si>
    <t>Michael Andrew Smith</t>
  </si>
  <si>
    <t>Smith, Michael Andrew</t>
  </si>
  <si>
    <t>to-read (#629)</t>
  </si>
  <si>
    <t>Ethics: Inventing Right and Wrong</t>
  </si>
  <si>
    <t>John Leslie Mackie</t>
  </si>
  <si>
    <t>Mackie, John Leslie</t>
  </si>
  <si>
    <t>Penguin</t>
  </si>
  <si>
    <t>to-read (#628)</t>
  </si>
  <si>
    <t>The Death and Life of Great American Cities</t>
  </si>
  <si>
    <t>Jane Jacobs</t>
  </si>
  <si>
    <t>Jacobs, Jane</t>
  </si>
  <si>
    <t>Random House</t>
  </si>
  <si>
    <t>to-read (#627)</t>
  </si>
  <si>
    <t>Triumph of the City: How Our Greatest Invention Makes Us Richer, Smarter, Greener, Healthier and Happier</t>
  </si>
  <si>
    <t>Edward L. Glaeser</t>
  </si>
  <si>
    <t>Glaeser, Edward L.</t>
  </si>
  <si>
    <t>to-read (#626)</t>
  </si>
  <si>
    <t>On What Matters, Volume One</t>
  </si>
  <si>
    <t>Derek Parfit</t>
  </si>
  <si>
    <t>Parfit, Derek</t>
  </si>
  <si>
    <t>to-read (#625)</t>
  </si>
  <si>
    <t>Reasons and Persons</t>
  </si>
  <si>
    <t>Oxford University Press</t>
  </si>
  <si>
    <t>to-read (#624)</t>
  </si>
  <si>
    <t>Slavery and Islam</t>
  </si>
  <si>
    <t>Jonathan A.C. Brown</t>
  </si>
  <si>
    <t>Brown, Jonathan A.C.</t>
  </si>
  <si>
    <t>Oneworld Publications</t>
  </si>
  <si>
    <t>to-read (#623)</t>
  </si>
  <si>
    <t>The Tenth Parallel: Dispatches from the Fault Line Between Christianity and Islam</t>
  </si>
  <si>
    <t>Eliza Griswold</t>
  </si>
  <si>
    <t>Griswold, Eliza</t>
  </si>
  <si>
    <t>to-read (#622)</t>
  </si>
  <si>
    <t>The Best Argument Against God</t>
  </si>
  <si>
    <t>Palgrave Pivot</t>
  </si>
  <si>
    <t>Cynical Theories: How Activist Scholarship Made Everything about Race, Gender, and Identityâ€”and Why This Harms Everybody</t>
  </si>
  <si>
    <t>Helen Pluckrose</t>
  </si>
  <si>
    <t>Pluckrose, Helen</t>
  </si>
  <si>
    <t>James A. Lindsay</t>
  </si>
  <si>
    <t>Pitchstone Publishing</t>
  </si>
  <si>
    <t>to-read (#621)</t>
  </si>
  <si>
    <t>The Walking Qur'an: Islamic Education, Embodied Knowledge, and History in West Africa</t>
  </si>
  <si>
    <t>Rudolph T. Ware</t>
  </si>
  <si>
    <t>Ware, Rudolph T.</t>
  </si>
  <si>
    <t>University of North Carolina Press</t>
  </si>
  <si>
    <t>to-read (#620)</t>
  </si>
  <si>
    <t>Fluent Python: Clear, Concise, and Effective Programming</t>
  </si>
  <si>
    <t>Luciano Ramalho</t>
  </si>
  <si>
    <t>Ramalho, Luciano</t>
  </si>
  <si>
    <t>O'Reilly Media</t>
  </si>
  <si>
    <t>to-read (#619)</t>
  </si>
  <si>
    <t>Effective Python: 59 Specific Ways to Write Better Python</t>
  </si>
  <si>
    <t>Brett Slatkin</t>
  </si>
  <si>
    <t>Slatkin, Brett</t>
  </si>
  <si>
    <t>Addison-Wesley Professional</t>
  </si>
  <si>
    <t>to-read (#618)</t>
  </si>
  <si>
    <t>Python Tricks</t>
  </si>
  <si>
    <t>Dan Bader</t>
  </si>
  <si>
    <t>Bader, Dan</t>
  </si>
  <si>
    <t>to-read (#617)</t>
  </si>
  <si>
    <t>Python Cookbook</t>
  </si>
  <si>
    <t>David Beazley</t>
  </si>
  <si>
    <t>Beazley, David</t>
  </si>
  <si>
    <t>Brian K. Jones</t>
  </si>
  <si>
    <t>to-read (#616)</t>
  </si>
  <si>
    <t>Secularism and State Policies toward Religion: The United States, France, and Turkey</t>
  </si>
  <si>
    <t>Ahmet T. Kuru</t>
  </si>
  <si>
    <t>Kuru, Ahmet T.</t>
  </si>
  <si>
    <t>to-read (#435)</t>
  </si>
  <si>
    <t>The Disaster Artist: My Life Inside The Room, the Greatest Bad Movie Ever Made</t>
  </si>
  <si>
    <t>Greg Sestero</t>
  </si>
  <si>
    <t>Sestero, Greg</t>
  </si>
  <si>
    <t>Tom Bissell</t>
  </si>
  <si>
    <t>Simon &amp; Schuster</t>
  </si>
  <si>
    <t>Inventing Reality: The Politics of News Media</t>
  </si>
  <si>
    <t>Michael Parenti</t>
  </si>
  <si>
    <t>Parenti, Michael</t>
  </si>
  <si>
    <t>Cengage Learning</t>
  </si>
  <si>
    <t>to-read (#615)</t>
  </si>
  <si>
    <t>Capitalist Realism: Is There No Alternative?</t>
  </si>
  <si>
    <t>Mark Fisher</t>
  </si>
  <si>
    <t>Fisher, Mark</t>
  </si>
  <si>
    <t>Zero Books</t>
  </si>
  <si>
    <t>to-read (#614)</t>
  </si>
  <si>
    <t>The Qur'an in Its Historical Context</t>
  </si>
  <si>
    <t>Taylor &amp; Francis Group</t>
  </si>
  <si>
    <t>Ordinary Vices</t>
  </si>
  <si>
    <t>Judith N. Shklar</t>
  </si>
  <si>
    <t>Shklar, Judith N.</t>
  </si>
  <si>
    <t>to-read (#613)</t>
  </si>
  <si>
    <t>The God of the Bible and the God of the Philosophers</t>
  </si>
  <si>
    <t>Eleonore Stump</t>
  </si>
  <si>
    <t>Stump, Eleonore</t>
  </si>
  <si>
    <t>Marquette University Press</t>
  </si>
  <si>
    <t>to-read (#612)</t>
  </si>
  <si>
    <t>Unreasonable Faith: How William Lane Craig Overstates the Case for Christianity</t>
  </si>
  <si>
    <t>James Fodor</t>
  </si>
  <si>
    <t>Fodor, James</t>
  </si>
  <si>
    <t>David G. McAfee</t>
  </si>
  <si>
    <t>Hypatia Press</t>
  </si>
  <si>
    <t>to-read (#611)</t>
  </si>
  <si>
    <t>Grokking Algorithms An Illustrated Guide For Programmers and Other Curious People</t>
  </si>
  <si>
    <t>Aditya Y. Bhargava</t>
  </si>
  <si>
    <t>Bhargava, Aditya Y.</t>
  </si>
  <si>
    <t>Manning Publications Co</t>
  </si>
  <si>
    <t>Only One God? Monotheism in Ancient Israel and the Veneration of the Goddess Asherah</t>
  </si>
  <si>
    <t>Bob Becking</t>
  </si>
  <si>
    <t>Becking, Bob</t>
  </si>
  <si>
    <t>Marjo C.A. Korpel</t>
  </si>
  <si>
    <t>Inventing the Individual: The Origins of Western Liberalism</t>
  </si>
  <si>
    <t>Larry Siedentop</t>
  </si>
  <si>
    <t>Siedentop, Larry</t>
  </si>
  <si>
    <t>to-read (#610)</t>
  </si>
  <si>
    <t>A Secular Age</t>
  </si>
  <si>
    <t>Charles Taylor</t>
  </si>
  <si>
    <t>Taylor, Charles</t>
  </si>
  <si>
    <t>Meditations</t>
  </si>
  <si>
    <t>Marcus Aurelius</t>
  </si>
  <si>
    <t>Aurelius, Marcus</t>
  </si>
  <si>
    <t>Martin Hammond, Albert Wittstock, Simone Mooij-Valk, Diskin Clay</t>
  </si>
  <si>
    <t>Assyrian Prophecies (State Archives of Assyria, published by the Neo-Assyrian Text Crrpus Project of the University of Helsinki in co-operation with Deutsche Orient-Gesellschaft)</t>
  </si>
  <si>
    <t>Simo Parpola</t>
  </si>
  <si>
    <t>Parpola, Simo</t>
  </si>
  <si>
    <t>Helsinka University Press</t>
  </si>
  <si>
    <t>Unknown Binding</t>
  </si>
  <si>
    <t>to-read (#609)</t>
  </si>
  <si>
    <t>Home (Binti, #2)</t>
  </si>
  <si>
    <t>Carla Battaller Estruch</t>
  </si>
  <si>
    <t>Tor.com</t>
  </si>
  <si>
    <t>Why We're Polarized</t>
  </si>
  <si>
    <t>Ezra Klein</t>
  </si>
  <si>
    <t>Klein, Ezra</t>
  </si>
  <si>
    <t>Simon  Schuster Audio</t>
  </si>
  <si>
    <t>Audio CD</t>
  </si>
  <si>
    <t>Arguing with Zombies: Economics, Politics, and the Fight for a Better Future</t>
  </si>
  <si>
    <t>Paul Krugman</t>
  </si>
  <si>
    <t>Krugman, Paul</t>
  </si>
  <si>
    <t>Monotheism and Yahweh's Appropriation of Baal</t>
  </si>
  <si>
    <t>James S. Anderson</t>
  </si>
  <si>
    <t>Anderson, James S.</t>
  </si>
  <si>
    <t>Sacred Time, Sacred Place: Archaeology And The Religion Of Israel</t>
  </si>
  <si>
    <t>Barry M. Gittlen</t>
  </si>
  <si>
    <t>Gittlen, Barry M.</t>
  </si>
  <si>
    <t>Unlimited Memory: How to Use Advanced Learning Strategies to Learn Faster, Remember More and be More Productive (Mental Mastery Book 1)</t>
  </si>
  <si>
    <t>Kevin Horsley</t>
  </si>
  <si>
    <t>Horsley, Kevin</t>
  </si>
  <si>
    <t>TCK Publishing</t>
  </si>
  <si>
    <t>The Triumph of Elohim: From Yahwisms to Judaisms</t>
  </si>
  <si>
    <t>Diana Vikander Edelman</t>
  </si>
  <si>
    <t>Edelman, Diana Vikander</t>
  </si>
  <si>
    <t>William B. Eerdmans Publishing Company</t>
  </si>
  <si>
    <t>to-read (#608)</t>
  </si>
  <si>
    <t>The Invention of God</t>
  </si>
  <si>
    <t>Thomas RÃ¶mer</t>
  </si>
  <si>
    <t>RÃ¶mer, Thomas</t>
  </si>
  <si>
    <t>Raymond Geuss</t>
  </si>
  <si>
    <t>Superhuman by Habit: A Guide to Becoming the Best Possible Version of Yourself, One Tiny Habit at a Time</t>
  </si>
  <si>
    <t>Tynan</t>
  </si>
  <si>
    <t>Tynan, Tynan</t>
  </si>
  <si>
    <t>Speed Reading: How to Double (or Triple) Your Reading Speed in Just 1 Hour!</t>
  </si>
  <si>
    <t>Justin Hammond</t>
  </si>
  <si>
    <t>Hammond, Justin</t>
  </si>
  <si>
    <t>Inspire3 Publishing</t>
  </si>
  <si>
    <t>to-read (#607)</t>
  </si>
  <si>
    <t>Binti (Binti, #1)</t>
  </si>
  <si>
    <t>New Perspectives on the Qur'an: The Qur'an in Its Historical Context 2</t>
  </si>
  <si>
    <t>to-read (#606)</t>
  </si>
  <si>
    <t>Biblical Prose Prayer: As a Window to the Popular Religion of Ancient Israel</t>
  </si>
  <si>
    <t>Moshe Greenberg</t>
  </si>
  <si>
    <t>Greenberg, Moshe</t>
  </si>
  <si>
    <t>to-read (#605)</t>
  </si>
  <si>
    <t>The Social Roots Of Biblical Yahwism (Studies in Biblical Literature) (Studies in Biblical Literature)</t>
  </si>
  <si>
    <t>Stephen L. Cook</t>
  </si>
  <si>
    <t>Cook, Stephen L.</t>
  </si>
  <si>
    <t>Society of Biblical Literature</t>
  </si>
  <si>
    <t>to-read (#604)</t>
  </si>
  <si>
    <t>Beyond the Texts: An Archaeological Portrait of Ancient Israel and Judah</t>
  </si>
  <si>
    <t>William G. Dever</t>
  </si>
  <si>
    <t>Dever, William G.</t>
  </si>
  <si>
    <t>SBL Press</t>
  </si>
  <si>
    <t>Martyrdom in Islam</t>
  </si>
  <si>
    <t>David     Cook</t>
  </si>
  <si>
    <t>Cook, David</t>
  </si>
  <si>
    <t>to-read (#603)</t>
  </si>
  <si>
    <t>Caesar: A Biography</t>
  </si>
  <si>
    <t>Christian Meier</t>
  </si>
  <si>
    <t>Meier, Christian</t>
  </si>
  <si>
    <t>to-read (#602)</t>
  </si>
  <si>
    <t>Ecological Imperialism: The Biological Expansion of Europe, 900-1900 (Studies in Environment and History)</t>
  </si>
  <si>
    <t>Alfred W. Crosby</t>
  </si>
  <si>
    <t>Crosby, Alfred W.</t>
  </si>
  <si>
    <t>to-read (#601)</t>
  </si>
  <si>
    <t>The Last Days of the Incas</t>
  </si>
  <si>
    <t>Kim MacQuarrie</t>
  </si>
  <si>
    <t>MacQuarrie, Kim</t>
  </si>
  <si>
    <t>to-read (#600)</t>
  </si>
  <si>
    <t>Seven Myths of the Spanish Conquest</t>
  </si>
  <si>
    <t>Matthew Restall</t>
  </si>
  <si>
    <t>Restall, Matthew</t>
  </si>
  <si>
    <t>to-read (#599)</t>
  </si>
  <si>
    <t>A World History of Christianity</t>
  </si>
  <si>
    <t>Adrian Hastings</t>
  </si>
  <si>
    <t>Hastings, Adrian</t>
  </si>
  <si>
    <t>currently-reading (#4)</t>
  </si>
  <si>
    <t>The Narrow Corridor: States, Societies, and the Fate of Liberty</t>
  </si>
  <si>
    <t>Daron AcemoÄŸlu</t>
  </si>
  <si>
    <t>AcemoÄŸlu, Daron</t>
  </si>
  <si>
    <t>James A. Robinson</t>
  </si>
  <si>
    <t>to-read (#575)</t>
  </si>
  <si>
    <t>Escape from Rome: The Failure of Empire and the Road to Prosperity</t>
  </si>
  <si>
    <t>Walter Scheidel</t>
  </si>
  <si>
    <t>Scheidel, Walter</t>
  </si>
  <si>
    <t>to-read (#598)</t>
  </si>
  <si>
    <t>On Universals: An Essay in Ontology</t>
  </si>
  <si>
    <t>Nicholas Wolterstorff</t>
  </si>
  <si>
    <t>Wolterstorff, Nicholas</t>
  </si>
  <si>
    <t>University of Chicago Press</t>
  </si>
  <si>
    <t>to-read (#597)</t>
  </si>
  <si>
    <t>Philip and Alexander: Kings and Conquerors</t>
  </si>
  <si>
    <t>to-read (#595)</t>
  </si>
  <si>
    <t>Alexander to Actium: The Historical Evolution of the Hellenistic Age</t>
  </si>
  <si>
    <t>Peter   Green</t>
  </si>
  <si>
    <t>Green, Peter</t>
  </si>
  <si>
    <t>to-read (#596)</t>
  </si>
  <si>
    <t>Ten Caesars: Roman Emperors from Augustus to Constantine</t>
  </si>
  <si>
    <t>Barry S. Strauss</t>
  </si>
  <si>
    <t>Strauss, Barry S.</t>
  </si>
  <si>
    <t>to-read (#594)</t>
  </si>
  <si>
    <t>The Storm Before the Storm: The Beginning of the End of the Roman Republic</t>
  </si>
  <si>
    <t>Mike Duncan</t>
  </si>
  <si>
    <t>Duncan, Mike</t>
  </si>
  <si>
    <t>to-read (#593)</t>
  </si>
  <si>
    <t>The Final Pagan Generation: Rome's Unexpected Path to Christianity</t>
  </si>
  <si>
    <t>Edward J. Watts</t>
  </si>
  <si>
    <t>Watts, Edward J.</t>
  </si>
  <si>
    <t>to-read (#592)</t>
  </si>
  <si>
    <t>Mortal Republic: How Rome Fell into Tyranny</t>
  </si>
  <si>
    <t>The Fall of the Pagans and the Origins of Medieval Christianity</t>
  </si>
  <si>
    <t>Kenneth W. Harl</t>
  </si>
  <si>
    <t>Harl, Kenneth W.</t>
  </si>
  <si>
    <t>The Teaching Company</t>
  </si>
  <si>
    <t>China's Economy: What Everyone Needs to Know</t>
  </si>
  <si>
    <t>Arthur R. Kroeber</t>
  </si>
  <si>
    <t>Kroeber, Arthur R.</t>
  </si>
  <si>
    <t>The Malaise of Modernity</t>
  </si>
  <si>
    <t>House of Anansi Press</t>
  </si>
  <si>
    <t>to-read (#410)</t>
  </si>
  <si>
    <t>Getting the Reformation Wrong: Correcting Some Misunderstandings</t>
  </si>
  <si>
    <t>James R. Payton Jr.</t>
  </si>
  <si>
    <t>Jr., James R. Payton</t>
  </si>
  <si>
    <t>IVP Academic</t>
  </si>
  <si>
    <t>to-read (#591)</t>
  </si>
  <si>
    <t>On China</t>
  </si>
  <si>
    <t>Henry Kissinger</t>
  </si>
  <si>
    <t>Kissinger, Henry</t>
  </si>
  <si>
    <t>Penguin Press HC, The</t>
  </si>
  <si>
    <t>The Bible and Archaeology</t>
  </si>
  <si>
    <t>Matthieu Richelle</t>
  </si>
  <si>
    <t>Richelle, Matthieu</t>
  </si>
  <si>
    <t>Hendrickson Publishers, Inc.</t>
  </si>
  <si>
    <t>currently-reading (#3)</t>
  </si>
  <si>
    <t>The Third Revolution: Xi Jinping and the New Chinese State</t>
  </si>
  <si>
    <t>Elizabeth C. Economy</t>
  </si>
  <si>
    <t>Economy, Elizabeth C.</t>
  </si>
  <si>
    <t>to-read (#590)</t>
  </si>
  <si>
    <t>Dealing with China: An Insider Unmasks the New Economic Superpower</t>
  </si>
  <si>
    <t>Henry M. Paulson Jr.</t>
  </si>
  <si>
    <t>Jr., Henry M. Paulson</t>
  </si>
  <si>
    <t>Michael K. Carroll</t>
  </si>
  <si>
    <t>Twelve</t>
  </si>
  <si>
    <t>to-read (#589)</t>
  </si>
  <si>
    <t>Korea Old and New: A History</t>
  </si>
  <si>
    <t>Carter J. Eckert</t>
  </si>
  <si>
    <t>Eckert, Carter J.</t>
  </si>
  <si>
    <t>Ki-Baik Lee</t>
  </si>
  <si>
    <t>Harvard Korea Institute</t>
  </si>
  <si>
    <t>to-read (#588)</t>
  </si>
  <si>
    <t>Korea's Place in the Sun: A Modern History</t>
  </si>
  <si>
    <t>Bruce Cumings</t>
  </si>
  <si>
    <t>Cumings, Bruce</t>
  </si>
  <si>
    <t>to-read (#587)</t>
  </si>
  <si>
    <t>The Birth of Korean Cool: How One Nation is Conquering the World Through Pop Culture</t>
  </si>
  <si>
    <t>Euny Hong</t>
  </si>
  <si>
    <t>Hong, Euny</t>
  </si>
  <si>
    <t>to-read (#586)</t>
  </si>
  <si>
    <t>Korea: The Impossible Country</t>
  </si>
  <si>
    <t>Daniel Tudor</t>
  </si>
  <si>
    <t>Tudor, Daniel</t>
  </si>
  <si>
    <t>to-read (#585)</t>
  </si>
  <si>
    <t>Africa and the West: A Documentary History, Volume 2: From Colonialism to Independence, 1875 to the Present</t>
  </si>
  <si>
    <t>William H. Worger</t>
  </si>
  <si>
    <t>Worger, William H.</t>
  </si>
  <si>
    <t>Nancy L. Clark, Edward A. Alpers</t>
  </si>
  <si>
    <t>to-read (#584)</t>
  </si>
  <si>
    <t>Tightrope: Americans Reaching for Hope</t>
  </si>
  <si>
    <t>Nicholas D. Kristof</t>
  </si>
  <si>
    <t>Kristof, Nicholas D.</t>
  </si>
  <si>
    <t>Sheryl WuDunn</t>
  </si>
  <si>
    <t>Knopf Publishing Group</t>
  </si>
  <si>
    <t>to-read (#583)</t>
  </si>
  <si>
    <t>Understanding Socialism</t>
  </si>
  <si>
    <t>Richard D. Wolff</t>
  </si>
  <si>
    <t>Wolff, Richard D.</t>
  </si>
  <si>
    <t>Democracy at Work</t>
  </si>
  <si>
    <t>to-read (#582)</t>
  </si>
  <si>
    <t>When Montezuma Met CortÃ©s: The True Story of the Meeting that Changed History</t>
  </si>
  <si>
    <t>Ecco</t>
  </si>
  <si>
    <t>to-read (#581)</t>
  </si>
  <si>
    <t>Against Nature</t>
  </si>
  <si>
    <t>Lorraine Daston</t>
  </si>
  <si>
    <t>Daston, Lorraine</t>
  </si>
  <si>
    <t>MIT Press</t>
  </si>
  <si>
    <t>to-read (#580)</t>
  </si>
  <si>
    <t>The Moral Authority of Nature</t>
  </si>
  <si>
    <t>to-read (#579)</t>
  </si>
  <si>
    <t>Hiking with Nietzsche: On Becoming Who You Are</t>
  </si>
  <si>
    <t>John Kaag</t>
  </si>
  <si>
    <t>Kaag, John</t>
  </si>
  <si>
    <t>to-read (#578)</t>
  </si>
  <si>
    <t>The Man Who Solved the Market: How Jim Simons Launched the Quant Revolution</t>
  </si>
  <si>
    <t>Gregory Zuckerman</t>
  </si>
  <si>
    <t>Zuckerman, Gregory</t>
  </si>
  <si>
    <t>Portfolio Penguin</t>
  </si>
  <si>
    <t>to-read (#577)</t>
  </si>
  <si>
    <t>The Triumph of Injustice: How the Rich Dodge Taxes and How to Make Them Pay</t>
  </si>
  <si>
    <t>Emmanuel Saez</t>
  </si>
  <si>
    <t>Saez, Emmanuel</t>
  </si>
  <si>
    <t>Gabriel Zucman</t>
  </si>
  <si>
    <t>to-read (#576)</t>
  </si>
  <si>
    <t>The Anarchy: The East India Company, Corporate Violence, and the Pillage of an Empire</t>
  </si>
  <si>
    <t>William Dalrymple</t>
  </si>
  <si>
    <t>Dalrymple, William</t>
  </si>
  <si>
    <t>Bloomsbury Publishing</t>
  </si>
  <si>
    <t>to-read (#574)</t>
  </si>
  <si>
    <t>How Europe Underdeveloped Africa</t>
  </si>
  <si>
    <t>Walter Rodney</t>
  </si>
  <si>
    <t>Rodney, Walter</t>
  </si>
  <si>
    <t>Vincent Harding</t>
  </si>
  <si>
    <t>Howard University Press</t>
  </si>
  <si>
    <t>to-read (#573)</t>
  </si>
  <si>
    <t>Fateful Triangle: How China Shaped U.S.-India Relations During the Cold War</t>
  </si>
  <si>
    <t>Tanvi Madan</t>
  </si>
  <si>
    <t>Madan, Tanvi</t>
  </si>
  <si>
    <t>Brookings Institution Press</t>
  </si>
  <si>
    <t>to-read (#572)</t>
  </si>
  <si>
    <t>Fateful Triangle: The United States, Israel and the Palestinians</t>
  </si>
  <si>
    <t>Noam Chomsky</t>
  </si>
  <si>
    <t>Chomsky, Noam</t>
  </si>
  <si>
    <t>Pluto Press</t>
  </si>
  <si>
    <t>to-read (#571)</t>
  </si>
  <si>
    <t>Shi'i Cosmopolitanisms in Africa: Lebanese Migration and Religious Conversion in Senegal</t>
  </si>
  <si>
    <t>Mara A Leichtman</t>
  </si>
  <si>
    <t>Leichtman, Mara A</t>
  </si>
  <si>
    <t>Indiana University Press</t>
  </si>
  <si>
    <t>to-read (#570)</t>
  </si>
  <si>
    <t>What We Owe to Each Other (Revised)</t>
  </si>
  <si>
    <t>T.M. Scanlon</t>
  </si>
  <si>
    <t>Scanlon, T.M.</t>
  </si>
  <si>
    <t>Belknap</t>
  </si>
  <si>
    <t>to-read (#569)</t>
  </si>
  <si>
    <t>Good Economics for Hard Times: Better Answers to Our Biggest Problems</t>
  </si>
  <si>
    <t>Abhijit V. Banerjee</t>
  </si>
  <si>
    <t>Banerjee, Abhijit V.</t>
  </si>
  <si>
    <t>Esther Duflo</t>
  </si>
  <si>
    <t>Breakout Nations: In Pursuit of the Next Economic Miracles</t>
  </si>
  <si>
    <t>Ruchir Sharma</t>
  </si>
  <si>
    <t>Sharma, Ruchir</t>
  </si>
  <si>
    <t>to-read (#568)</t>
  </si>
  <si>
    <t>Multiculturalism: Examining the Politics of Recognition</t>
  </si>
  <si>
    <t>to-read (#567)</t>
  </si>
  <si>
    <t>Varieties of Secularism in a Secular Age</t>
  </si>
  <si>
    <t>Michael Warner</t>
  </si>
  <si>
    <t>Warner, Michael</t>
  </si>
  <si>
    <t>Craig J. Calhoun, Jonathan VanAntwerpen</t>
  </si>
  <si>
    <t>to-read (#566)</t>
  </si>
  <si>
    <t>Look to Windward (Culture, #7)</t>
  </si>
  <si>
    <t>Iain M. Banks</t>
  </si>
  <si>
    <t>Banks, Iain M.</t>
  </si>
  <si>
    <t>Pocket Books/Simon &amp; Schuster (NY)</t>
  </si>
  <si>
    <t>Protestants: The Faith That Made the Modern World</t>
  </si>
  <si>
    <t>Alec Ryrie</t>
  </si>
  <si>
    <t>Ryrie, Alec</t>
  </si>
  <si>
    <t>to-read (#565)</t>
  </si>
  <si>
    <t>Islamic Imperialism: A History</t>
  </si>
  <si>
    <t>Efraim Karsh</t>
  </si>
  <si>
    <t>Karsh, Efraim</t>
  </si>
  <si>
    <t>to-read (#564)</t>
  </si>
  <si>
    <t>Europe's Angry Muslims: The Revolt of the Second Generation</t>
  </si>
  <si>
    <t>Robert S. Leiken</t>
  </si>
  <si>
    <t>Leiken, Robert S.</t>
  </si>
  <si>
    <t>to-read (#563)</t>
  </si>
  <si>
    <t>Global Political Islam</t>
  </si>
  <si>
    <t>Peter Mandaville</t>
  </si>
  <si>
    <t>Mandaville, Peter</t>
  </si>
  <si>
    <t>to-read (#562)</t>
  </si>
  <si>
    <t>Eerdmans Commentary on the Bible: Deuteronomy</t>
  </si>
  <si>
    <t>John W. Rogerson</t>
  </si>
  <si>
    <t>Rogerson, John W.</t>
  </si>
  <si>
    <t>James D.G. Dunn</t>
  </si>
  <si>
    <t>currently-reading (#2)</t>
  </si>
  <si>
    <t>L'ordine del tempo</t>
  </si>
  <si>
    <t>Carlo Rovelli</t>
  </si>
  <si>
    <t>Rovelli, Carlo</t>
  </si>
  <si>
    <t>Adelphi</t>
  </si>
  <si>
    <t>to-read (#561)</t>
  </si>
  <si>
    <t>The Rise and Fall of American Growth: The U.S. Standard of Living Since the Civil War</t>
  </si>
  <si>
    <t>Robert J. Gordon</t>
  </si>
  <si>
    <t>Gordon, Robert J.</t>
  </si>
  <si>
    <t>to-read (#560)</t>
  </si>
  <si>
    <t>Why Did Europe Conquer the World?</t>
  </si>
  <si>
    <t>Philip T. Hoffman</t>
  </si>
  <si>
    <t>Hoffman, Philip T.</t>
  </si>
  <si>
    <t>to-read (#559)</t>
  </si>
  <si>
    <t>The Son Also Rises: Surnames and the History of Social Mobility</t>
  </si>
  <si>
    <t>Gregory Clark</t>
  </si>
  <si>
    <t>Clark, Gregory</t>
  </si>
  <si>
    <t>to-read (#558)</t>
  </si>
  <si>
    <t>The Roman Market Economy</t>
  </si>
  <si>
    <t>Peter Temin</t>
  </si>
  <si>
    <t>Temin, Peter</t>
  </si>
  <si>
    <t>to-read (#557)</t>
  </si>
  <si>
    <t>Power Over Peoples: Technology, Environments, and Western Imperialism, 1400 to the Present</t>
  </si>
  <si>
    <t>Daniel R. Headrick</t>
  </si>
  <si>
    <t>Headrick, Daniel R.</t>
  </si>
  <si>
    <t>to-read (#556)</t>
  </si>
  <si>
    <t>A Farewell to Alms: A Brief Economic History of the World</t>
  </si>
  <si>
    <t>to-read (#555)</t>
  </si>
  <si>
    <t>The Big Problem of Small Change</t>
  </si>
  <si>
    <t>Thomas J. Sargent</t>
  </si>
  <si>
    <t>Sargent, Thomas J.</t>
  </si>
  <si>
    <t>Francois R. Velde</t>
  </si>
  <si>
    <t>to-read (#554)</t>
  </si>
  <si>
    <t>The Entrepreneurial State: Debunking Public vs. Private Sector Myths</t>
  </si>
  <si>
    <t>Mariana Mazzucato</t>
  </si>
  <si>
    <t>Mazzucato, Mariana</t>
  </si>
  <si>
    <t>Carlota PÃ©rez</t>
  </si>
  <si>
    <t>Anthem Press</t>
  </si>
  <si>
    <t>to-read (#553)</t>
  </si>
  <si>
    <t>The Globalization Paradox: Democracy and the Future of the World Economy</t>
  </si>
  <si>
    <t>Dani Rodrik</t>
  </si>
  <si>
    <t>Rodrik, Dani</t>
  </si>
  <si>
    <t>to-read (#552)</t>
  </si>
  <si>
    <t>Global Inequality: A New Approach for the Age of Globalization</t>
  </si>
  <si>
    <t>Branko MilanoviÄ‡</t>
  </si>
  <si>
    <t>MilanoviÄ‡, Branko</t>
  </si>
  <si>
    <t>to-read (#551)</t>
  </si>
  <si>
    <t>Weapons of the Weak: Everyday Forms of Peasant Resistance</t>
  </si>
  <si>
    <t>James C. Scott</t>
  </si>
  <si>
    <t>Scott, James C.</t>
  </si>
  <si>
    <t>to-read (#550)</t>
  </si>
  <si>
    <t>The Art of Not Being Governed: An Anarchist History of Upland Southeast Asia</t>
  </si>
  <si>
    <t>to-read (#549)</t>
  </si>
  <si>
    <t>Asia's Reckoning: China, Japan, and the Fate of U.S. Power in the Pacific Century</t>
  </si>
  <si>
    <t>Richard McGregor</t>
  </si>
  <si>
    <t>McGregor, Richard</t>
  </si>
  <si>
    <t>to-read (#548)</t>
  </si>
  <si>
    <t>The Hundred-Year Marathon: China's Secret Strategy to Replace America as the Global Superpower</t>
  </si>
  <si>
    <t>Michael Pillsbury</t>
  </si>
  <si>
    <t>Pillsbury, Michael</t>
  </si>
  <si>
    <t>Henry Holt and Co.</t>
  </si>
  <si>
    <t>to-read (#547)</t>
  </si>
  <si>
    <t>A Fistful of Shells: West Africa from the Rise of the Slave Trade to the Age of Revolution</t>
  </si>
  <si>
    <t>Toby Green</t>
  </si>
  <si>
    <t>Green, Toby</t>
  </si>
  <si>
    <t>to-read (#546)</t>
  </si>
  <si>
    <t>Chaucer's People: Everyday Lives in Medieval England</t>
  </si>
  <si>
    <t>Liza Picard</t>
  </si>
  <si>
    <t>Picard, Liza</t>
  </si>
  <si>
    <t>Weidenfeld &amp; Nicolson</t>
  </si>
  <si>
    <t>to-read (#545)</t>
  </si>
  <si>
    <t>Destined for War: Can America and China Escape Thucydidesâ€™s Trap?</t>
  </si>
  <si>
    <t>Graham Allison</t>
  </si>
  <si>
    <t>Allison, Graham</t>
  </si>
  <si>
    <t>Houghton Mifflin Harcourt</t>
  </si>
  <si>
    <t>to-read (#544)</t>
  </si>
  <si>
    <t>Before European Hegemony: The World System A.D. 1250-1350</t>
  </si>
  <si>
    <t>Janet L. Abu-Lughod</t>
  </si>
  <si>
    <t>Abu-Lughod, Janet L.</t>
  </si>
  <si>
    <t>to-read (#543)</t>
  </si>
  <si>
    <t>End of an Era: How China's Authoritarian Revival Is Undermining Its Rise</t>
  </si>
  <si>
    <t>Carl Minzner</t>
  </si>
  <si>
    <t>Minzner, Carl</t>
  </si>
  <si>
    <t>to-read (#542)</t>
  </si>
  <si>
    <t>How the Gospels Became History: Jesus and Mediterranean Myths</t>
  </si>
  <si>
    <t>M. David Litwa</t>
  </si>
  <si>
    <t>Litwa, M. David</t>
  </si>
  <si>
    <t>The Tenacity of Unreasonable Beliefs: Fundamentalism and the Fear of Truth</t>
  </si>
  <si>
    <t>Solomon Schimmel</t>
  </si>
  <si>
    <t>Schimmel, Solomon</t>
  </si>
  <si>
    <t>The Power Broker: Robert Moses and the Fall of New York</t>
  </si>
  <si>
    <t>Robert A. Caro</t>
  </si>
  <si>
    <t>Caro, Robert A.</t>
  </si>
  <si>
    <t>Vintage Books</t>
  </si>
  <si>
    <t>to-read (#541)</t>
  </si>
  <si>
    <t>The Death of a Prophet: The End of Muhammad's Life and the Beginnings of Islam</t>
  </si>
  <si>
    <t>Stephen J. Shoemaker</t>
  </si>
  <si>
    <t>Shoemaker, Stephen J.</t>
  </si>
  <si>
    <t>University of Pennsylvania Press</t>
  </si>
  <si>
    <t>Muhammad</t>
  </si>
  <si>
    <t>Michael A. Cook</t>
  </si>
  <si>
    <t>Cook, Michael A.</t>
  </si>
  <si>
    <t>to-read (#540)</t>
  </si>
  <si>
    <t>Meccan Trade and the Rise of Islam</t>
  </si>
  <si>
    <t>Patricia Crone</t>
  </si>
  <si>
    <t>Crone, Patricia</t>
  </si>
  <si>
    <t>Gorgias Press</t>
  </si>
  <si>
    <t>to-read (#539)</t>
  </si>
  <si>
    <t>The House Of Wisdom</t>
  </si>
  <si>
    <t>Jonathan Lyons</t>
  </si>
  <si>
    <t>Lyons, Jonathan</t>
  </si>
  <si>
    <t>Bloomsbury Publishing PLC</t>
  </si>
  <si>
    <t>to-read (#538)</t>
  </si>
  <si>
    <t>The Apocalyptic Jesus: A Debate</t>
  </si>
  <si>
    <t>Dale C. Allison Jr.</t>
  </si>
  <si>
    <t>Jr., Dale C. Allison</t>
  </si>
  <si>
    <t>Marcus J. Borg, John Dominic Crossan, Stephen J. Patterson, Robert J. Miller</t>
  </si>
  <si>
    <t>Polebridge Press</t>
  </si>
  <si>
    <t>to-read (#537)</t>
  </si>
  <si>
    <t>The Historical Christ and the Theological Jesus</t>
  </si>
  <si>
    <t>In Gods We Trust: The Evolutionary Landscape of Religion</t>
  </si>
  <si>
    <t>Scott Atran</t>
  </si>
  <si>
    <t>Atran, Scott</t>
  </si>
  <si>
    <t>to-read (#536)</t>
  </si>
  <si>
    <t>Dialogues Concerning Natural Religion</t>
  </si>
  <si>
    <t>David Hume</t>
  </si>
  <si>
    <t>Hume, David</t>
  </si>
  <si>
    <t>Richard H. Popkin</t>
  </si>
  <si>
    <t>Hackett Publishing Company</t>
  </si>
  <si>
    <t>to-read (#535)</t>
  </si>
  <si>
    <t>Hume's Dialogues Concerning Natural Religion</t>
  </si>
  <si>
    <t>David Mills Daniel</t>
  </si>
  <si>
    <t>Daniel, David Mills</t>
  </si>
  <si>
    <t>SCM Press</t>
  </si>
  <si>
    <t>to-read (#534)</t>
  </si>
  <si>
    <t>The Miracle of Theism: Arguments for and Against the Existence of God</t>
  </si>
  <si>
    <t>to-read (#533)</t>
  </si>
  <si>
    <t>Testament: Memoir of the Thoughts and Sentiments of Jean Meslier</t>
  </si>
  <si>
    <t>Jean Meslier</t>
  </si>
  <si>
    <t>Meslier, Jean</t>
  </si>
  <si>
    <t>Michael Shreve</t>
  </si>
  <si>
    <t>Prometheus Books</t>
  </si>
  <si>
    <t>to-read (#532)</t>
  </si>
  <si>
    <t>Aspects of Monotheism: How God is One: Symposium at the Smithsonian Institution, October 19, 1996, Sponsored by the Resident Associate Program</t>
  </si>
  <si>
    <t>Donald B. Redford</t>
  </si>
  <si>
    <t>Redford, Donald B.</t>
  </si>
  <si>
    <t>William G. Dever, P. Kyle McCarter Jr.</t>
  </si>
  <si>
    <t>Biblical Archaeology Society</t>
  </si>
  <si>
    <t>to-read (#531)</t>
  </si>
  <si>
    <t>From Slave to Pharaoh: The Black Experience of Ancient Egypt</t>
  </si>
  <si>
    <t>Johns Hopkins University Press</t>
  </si>
  <si>
    <t>to-read (#530)</t>
  </si>
  <si>
    <t>The Oxford Encyclopedia of Ancient Egypt</t>
  </si>
  <si>
    <t>to-read (#529)</t>
  </si>
  <si>
    <t>The Ancient Gods Speak: A Guide to Egyptian Religion</t>
  </si>
  <si>
    <t>to-read (#528)</t>
  </si>
  <si>
    <t>Egypt, Israel, and the Ancient Mediterranean World: Studies in Honor of Donald B. Redford</t>
  </si>
  <si>
    <t>Gary N. Knoppers</t>
  </si>
  <si>
    <t>Knoppers, Gary N.</t>
  </si>
  <si>
    <t>to-read (#527)</t>
  </si>
  <si>
    <t>Akhenaten: The Heretic King</t>
  </si>
  <si>
    <t>to-read (#526)</t>
  </si>
  <si>
    <t>Egypt, Canaan, and Israel in Ancient Times</t>
  </si>
  <si>
    <t>The Myth of an Afterlife: The Case against Life After Death</t>
  </si>
  <si>
    <t>Michael Martin</t>
  </si>
  <si>
    <t>Martin, Michael</t>
  </si>
  <si>
    <t>Keith Augustine</t>
  </si>
  <si>
    <t>Rowman &amp; Littlefield Publishers</t>
  </si>
  <si>
    <t>to-read (#525)</t>
  </si>
  <si>
    <t>Destroyer of the gods: Early Christian Distinctiveness in the Roman World</t>
  </si>
  <si>
    <t>Larry W. Hurtado</t>
  </si>
  <si>
    <t>Hurtado, Larry W.</t>
  </si>
  <si>
    <t>Baylor University Press</t>
  </si>
  <si>
    <t>Through the Eye of a Needle: Wealth, the Fall of Rome &amp; the Making of Christianity in the West, 350-550 AD</t>
  </si>
  <si>
    <t>Peter R.L. Brown</t>
  </si>
  <si>
    <t>Brown, Peter R.L.</t>
  </si>
  <si>
    <t>Princeton University Press (NJ/Oxford)</t>
  </si>
  <si>
    <t>to-read (#524)</t>
  </si>
  <si>
    <t>Authority &amp; the Sacred: Aspects of the Christianisation of the Roman World</t>
  </si>
  <si>
    <t>to-read (#523)</t>
  </si>
  <si>
    <t>Power and Persuasion in Late Antiquity: Towards a Christian Empire</t>
  </si>
  <si>
    <t>University of Wisconsin Press</t>
  </si>
  <si>
    <t>paper</t>
  </si>
  <si>
    <t>to-read (#522)</t>
  </si>
  <si>
    <t>The World of Late Antiquity 150-750</t>
  </si>
  <si>
    <t>W.W. Norton &amp; Company</t>
  </si>
  <si>
    <t>to-read (#521)</t>
  </si>
  <si>
    <t>Dividing the Spoils: The War for Alexander the Great's Empire</t>
  </si>
  <si>
    <t>Robin Waterfield</t>
  </si>
  <si>
    <t>Waterfield, Robin</t>
  </si>
  <si>
    <t>to-read (#520)</t>
  </si>
  <si>
    <t>Rome Resurgent: War and Empire in the Age of Justinian</t>
  </si>
  <si>
    <t>Peter Heather</t>
  </si>
  <si>
    <t>Heather, Peter</t>
  </si>
  <si>
    <t>to-read (#519)</t>
  </si>
  <si>
    <t>The Fall of the Roman Empire: A New History of Rome and the Barbarians</t>
  </si>
  <si>
    <t>Who Were the Early Israelites and Where Did They Come From?</t>
  </si>
  <si>
    <t>Muhammad and the Believers: At the Origins of Islam</t>
  </si>
  <si>
    <t>Fred M. Donner</t>
  </si>
  <si>
    <t>Donner, Fred M.</t>
  </si>
  <si>
    <t>to-read (#518)</t>
  </si>
  <si>
    <t>The So-Called Deuteronomistic History: A Sociological, Historical and Literary Introduction</t>
  </si>
  <si>
    <t>to-read (#517)</t>
  </si>
  <si>
    <t>The Rise of Ancient Israel</t>
  </si>
  <si>
    <t>Adam Zertal, Norman K. Gottwald, Israel Finkelstein, P. Kyle McCarter Jr., Bruce Halpern, Hershel Shanks</t>
  </si>
  <si>
    <t>What Every Christian Needs to Know about the Qur'an</t>
  </si>
  <si>
    <t>James R. White</t>
  </si>
  <si>
    <t>White, James R.</t>
  </si>
  <si>
    <t>Bethany House Publishers</t>
  </si>
  <si>
    <t>Canaan And Israel In Antiquity: An Introduction (The Biblical Seminar, 83)</t>
  </si>
  <si>
    <t>K.L. Noll</t>
  </si>
  <si>
    <t>Noll, K.L.</t>
  </si>
  <si>
    <t>T&amp;t Clark Int'l</t>
  </si>
  <si>
    <t>to-read (#516)</t>
  </si>
  <si>
    <t>Canaanites</t>
  </si>
  <si>
    <t>Jonathan N. Tubb</t>
  </si>
  <si>
    <t>Tubb, Jonathan N.</t>
  </si>
  <si>
    <t>University of Oklahoma Press</t>
  </si>
  <si>
    <t>to-read (#515)</t>
  </si>
  <si>
    <t>Paul and Palestinian Judaism: 40th Anniversary Edition</t>
  </si>
  <si>
    <t>E P Sanders</t>
  </si>
  <si>
    <t>Sanders, E P</t>
  </si>
  <si>
    <t>With Reverence for the Word: Medieval Scriptural Exegesis in Judaism, Christianity, and Islam</t>
  </si>
  <si>
    <t>Jane Dammen McAuliffe</t>
  </si>
  <si>
    <t>McAuliffe, Jane Dammen</t>
  </si>
  <si>
    <t>to-read (#514)</t>
  </si>
  <si>
    <t>The Norton Anthology of World Religions: Islam</t>
  </si>
  <si>
    <t>Jack Miles</t>
  </si>
  <si>
    <t>Miles, Jack</t>
  </si>
  <si>
    <t>W. W. Norton &amp; Company</t>
  </si>
  <si>
    <t>to-read (#513)</t>
  </si>
  <si>
    <t>The Cambridge Companion to the Qur'Än</t>
  </si>
  <si>
    <t>to-read (#512)</t>
  </si>
  <si>
    <t>Encyclopaedia of the QurÊ¾Än, Volume 1: A-D</t>
  </si>
  <si>
    <t>to-read (#511)</t>
  </si>
  <si>
    <t>Paul and the Gift</t>
  </si>
  <si>
    <t>John M.G. Barclay</t>
  </si>
  <si>
    <t>Barclay, John M.G.</t>
  </si>
  <si>
    <t>to-read (#510)</t>
  </si>
  <si>
    <t>IQ (IQ, #1)</t>
  </si>
  <si>
    <t>Joe Ide</t>
  </si>
  <si>
    <t>Ide, Joe</t>
  </si>
  <si>
    <t>Mulholland Books</t>
  </si>
  <si>
    <t>to-read (#509)</t>
  </si>
  <si>
    <t>Worlds at War: The 2,500-Year Struggle Between East and West</t>
  </si>
  <si>
    <t>Anthony Pagden</t>
  </si>
  <si>
    <t>Pagden, Anthony</t>
  </si>
  <si>
    <t>to-read (#508)</t>
  </si>
  <si>
    <t>From Philosophy To Philology: Intellectual And Social Aspects Of Change In Late Imperial China</t>
  </si>
  <si>
    <t>Benjamin A. Elman</t>
  </si>
  <si>
    <t>Elman, Benjamin A.</t>
  </si>
  <si>
    <t>UCLA</t>
  </si>
  <si>
    <t>to-read (#507)</t>
  </si>
  <si>
    <t>On Their Own Terms: Science in China, 1550-1900</t>
  </si>
  <si>
    <t>to-read (#506)</t>
  </si>
  <si>
    <t>Africa and Africans in the Making of the Atlantic World, 1400-1800</t>
  </si>
  <si>
    <t>John K. Thornton</t>
  </si>
  <si>
    <t>Thornton, John K.</t>
  </si>
  <si>
    <t>to-read (#505)</t>
  </si>
  <si>
    <t>""Portuguese"" Style and Luso-African Identity: Precolonial Senegambia, Sixteenth - Nineteenth Centuries</t>
  </si>
  <si>
    <t>Peter A. Mark</t>
  </si>
  <si>
    <t>Mark, Peter A.</t>
  </si>
  <si>
    <t>to-read (#504)</t>
  </si>
  <si>
    <t>By Steppe, Desert, and Ocean: The Birth of Eurasia</t>
  </si>
  <si>
    <t>Barry W. Cunliffe</t>
  </si>
  <si>
    <t>Cunliffe, Barry W.</t>
  </si>
  <si>
    <t>OUP Oxford</t>
  </si>
  <si>
    <t>to-read (#503)</t>
  </si>
  <si>
    <t>Europe Between the Oceans: 9000 BC-AD 1000</t>
  </si>
  <si>
    <t>to-read (#502)</t>
  </si>
  <si>
    <t>A History of Islamic Societies</t>
  </si>
  <si>
    <t>Ira M. Lapidus</t>
  </si>
  <si>
    <t>Lapidus, Ira M.</t>
  </si>
  <si>
    <t>to-read (#501)</t>
  </si>
  <si>
    <t>Islamic Science and the Making of the European Renaissance</t>
  </si>
  <si>
    <t>George Saliba</t>
  </si>
  <si>
    <t>Saliba, George</t>
  </si>
  <si>
    <t>MIT Press (MA)</t>
  </si>
  <si>
    <t>to-read (#500)</t>
  </si>
  <si>
    <t>The Great Divergence: China, Europe, and the Making of the Modern World Economy</t>
  </si>
  <si>
    <t>Kenneth Pomeranz</t>
  </si>
  <si>
    <t>Pomeranz, Kenneth</t>
  </si>
  <si>
    <t>to-read (#499)</t>
  </si>
  <si>
    <t>The Birth of the Modern World, 1780-1914: Global Connections and Comparisons</t>
  </si>
  <si>
    <t>C.A. Bayly</t>
  </si>
  <si>
    <t>Bayly, C.A.</t>
  </si>
  <si>
    <t>to-read (#498)</t>
  </si>
  <si>
    <t>War! What Is It Good For?: Conflict and the Progress of Civilization from Primates to Robots</t>
  </si>
  <si>
    <t>Ian Morris</t>
  </si>
  <si>
    <t>Morris, Ian</t>
  </si>
  <si>
    <t>to-read (#497)</t>
  </si>
  <si>
    <t>Why the West Rulesâ€”for Now: The Patterns of History, and What They Reveal About the Future</t>
  </si>
  <si>
    <t>The Ruin of the Roman Empire: A New History</t>
  </si>
  <si>
    <t>James J. O'Donnell</t>
  </si>
  <si>
    <t>O'Donnell, James J.</t>
  </si>
  <si>
    <t>to-read (#496)</t>
  </si>
  <si>
    <t>Rome and Jerusalem: The Clash of Ancient Civilizations</t>
  </si>
  <si>
    <t>Martin Goodman</t>
  </si>
  <si>
    <t>Goodman, Martin</t>
  </si>
  <si>
    <t>to-read (#495)</t>
  </si>
  <si>
    <t>Strange Parallels: Southeast Asia in Global Context, c. 800-1830. Volume 1, Integration on the Mainland</t>
  </si>
  <si>
    <t>Victor B. Lieberman</t>
  </si>
  <si>
    <t>Lieberman, Victor B.</t>
  </si>
  <si>
    <t>to-read (#494)</t>
  </si>
  <si>
    <t>Strange Parallels: Southeast Asia in Global Context, c. 800-1830. Volume 2, Mainland Mirrors: Europe, Japan, China, South Asia, and the Islands</t>
  </si>
  <si>
    <t>to-read (#493)</t>
  </si>
  <si>
    <t>The Bible Unearthed: Archaeology's New Vision of Ancient Israel and the Origin of Its Sacred Texts</t>
  </si>
  <si>
    <t>Israel Finkelstein</t>
  </si>
  <si>
    <t>Finkelstein, Israel</t>
  </si>
  <si>
    <t>Neil Asher Silberman</t>
  </si>
  <si>
    <t>Free Press</t>
  </si>
  <si>
    <t>Knowledge Triumphant: The Concept of Knowledge in Medieval Islam</t>
  </si>
  <si>
    <t>Franz Rosenthal</t>
  </si>
  <si>
    <t>Rosenthal, Franz</t>
  </si>
  <si>
    <t>to-read (#492)</t>
  </si>
  <si>
    <t>The Golden Age of Persia</t>
  </si>
  <si>
    <t>Richard N. Frye</t>
  </si>
  <si>
    <t>Frye, Richard N.</t>
  </si>
  <si>
    <t>Phoenix</t>
  </si>
  <si>
    <t>to-read (#491)</t>
  </si>
  <si>
    <t>Efficient Society</t>
  </si>
  <si>
    <t>Joseph Heath</t>
  </si>
  <si>
    <t>Heath, Joseph</t>
  </si>
  <si>
    <t>Pintail</t>
  </si>
  <si>
    <t>China Goes Global: The Partial Power</t>
  </si>
  <si>
    <t>David Shambaugh</t>
  </si>
  <si>
    <t>Shambaugh, David</t>
  </si>
  <si>
    <t>to-read (#490)</t>
  </si>
  <si>
    <t>Multiculturalism</t>
  </si>
  <si>
    <t>Amy Gutmann, Michael Walzer, Susan R. Wolf, Shierry Weber Nicholsen, Kwame Anthony Appiah, JÃ¼rgen Habermas, Steven C. Rockefeller</t>
  </si>
  <si>
    <t>to-read (#489)</t>
  </si>
  <si>
    <t>On Thermonuclear War</t>
  </si>
  <si>
    <t>Herman Kahn</t>
  </si>
  <si>
    <t>Kahn, Herman</t>
  </si>
  <si>
    <t>to-read (#488)</t>
  </si>
  <si>
    <t>Poor Economics: A Radical Rethinking of the Way to Fight Global Poverty</t>
  </si>
  <si>
    <t>MITI and the Japanese Miracle: The Growth of Industrial Policy, 1925-1975</t>
  </si>
  <si>
    <t>Chalmers Johnson</t>
  </si>
  <si>
    <t>Johnson, Chalmers</t>
  </si>
  <si>
    <t>to-read (#487)</t>
  </si>
  <si>
    <t>Money and Government: A Challenge to Mainstream Economics</t>
  </si>
  <si>
    <t>Robert Skidelsky</t>
  </si>
  <si>
    <t>Skidelsky, Robert</t>
  </si>
  <si>
    <t>to-read (#486)</t>
  </si>
  <si>
    <t>Adam Smith: What He Thought, and Why it Matters</t>
  </si>
  <si>
    <t>Jesse Norman</t>
  </si>
  <si>
    <t>Norman, Jesse</t>
  </si>
  <si>
    <t>to-read (#485)</t>
  </si>
  <si>
    <t>Red Flags: Why Xi's China Is in Jeopardy</t>
  </si>
  <si>
    <t>George Magnus</t>
  </si>
  <si>
    <t>Magnus, George</t>
  </si>
  <si>
    <t>to-read (#484)</t>
  </si>
  <si>
    <t>The Willing World</t>
  </si>
  <si>
    <t>Jim Bacchus</t>
  </si>
  <si>
    <t>Bacchus, Jim</t>
  </si>
  <si>
    <t>to-read (#483)</t>
  </si>
  <si>
    <t>The Myth of Capitalism: Monopolies and the Death of Competition</t>
  </si>
  <si>
    <t>Jonathan Tepper</t>
  </si>
  <si>
    <t>Tepper, Jonathan</t>
  </si>
  <si>
    <t>Denise Hearn</t>
  </si>
  <si>
    <t>Wiley</t>
  </si>
  <si>
    <t>to-read (#482)</t>
  </si>
  <si>
    <t>Are Chief Executives Overpaid?</t>
  </si>
  <si>
    <t>Deborah Hargreaves</t>
  </si>
  <si>
    <t>Hargreaves, Deborah</t>
  </si>
  <si>
    <t>Polity Press</t>
  </si>
  <si>
    <t>to-read (#481)</t>
  </si>
  <si>
    <t>The Future of Capitalism: Facing the New Anxieties</t>
  </si>
  <si>
    <t>Paul Collier</t>
  </si>
  <si>
    <t>Collier, Paul</t>
  </si>
  <si>
    <t>to-read (#480)</t>
  </si>
  <si>
    <t>Why Growth Matters: How Economic Growth in India Reduced Poverty and the Lessons for Other Developing Countries</t>
  </si>
  <si>
    <t>Jagdish N. Bhagwati</t>
  </si>
  <si>
    <t>Bhagwati, Jagdish N.</t>
  </si>
  <si>
    <t>Arvind Panagariya</t>
  </si>
  <si>
    <t>to-read (#479)</t>
  </si>
  <si>
    <t>The Mystery of Capital: Why Capitalism Triumphs in the West and Fails Everywhere Else</t>
  </si>
  <si>
    <t>Hernando de Soto</t>
  </si>
  <si>
    <t>Soto, Hernando de</t>
  </si>
  <si>
    <t>Loving to Survive: Sexual Terror, Men's Violence and Women's Lives</t>
  </si>
  <si>
    <t>Dee L.R. Graham</t>
  </si>
  <si>
    <t>Graham, Dee L.R.</t>
  </si>
  <si>
    <t>Edna I. Rawlings, Roberta K. Rigsby</t>
  </si>
  <si>
    <t>New York University Press</t>
  </si>
  <si>
    <t>to-read (#478)</t>
  </si>
  <si>
    <t>Scruples</t>
  </si>
  <si>
    <t>Judith Krantz</t>
  </si>
  <si>
    <t>Krantz, Judith</t>
  </si>
  <si>
    <t>Littlehampton Book Services Ltd</t>
  </si>
  <si>
    <t>to-read (#477)</t>
  </si>
  <si>
    <t>Selling the Invisible: A Field Guide to Modern Marketing</t>
  </si>
  <si>
    <t>Harry Beckwith</t>
  </si>
  <si>
    <t>Beckwith, Harry</t>
  </si>
  <si>
    <t>Warner Books (NY)</t>
  </si>
  <si>
    <t>to-read, persuasion-influence</t>
  </si>
  <si>
    <t>to-read (#476), persuasion-influence (#17)</t>
  </si>
  <si>
    <t>Getting to Yes: Negotiating Agreement Without Giving In</t>
  </si>
  <si>
    <t>Roger Fisher</t>
  </si>
  <si>
    <t>Fisher, Roger</t>
  </si>
  <si>
    <t>William Ury, Bruce Patton</t>
  </si>
  <si>
    <t>to-read (#474), persuasion-influence (#15)</t>
  </si>
  <si>
    <t>Methods of Persuasion: How to Use Psychology to Influence Human Behavior</t>
  </si>
  <si>
    <t>Nick Kolenda</t>
  </si>
  <si>
    <t>Kolenda, Nick</t>
  </si>
  <si>
    <t>Kolenda Entertainment, LLC</t>
  </si>
  <si>
    <t>to-read (#472), persuasion-influence (#13)</t>
  </si>
  <si>
    <t>Sleights of Mind: What the Neuroscience of Magic Reveals about Our Everyday Deceptions</t>
  </si>
  <si>
    <t>Stephen L. Macknik</t>
  </si>
  <si>
    <t>Macknik, Stephen L.</t>
  </si>
  <si>
    <t>Susana Martinez-Conde, Sandra Blakeslee</t>
  </si>
  <si>
    <t>to-read (#471), persuasion-influence (#12)</t>
  </si>
  <si>
    <t>The Art of the Pitch: Persuasion and Presentation Skills that Win Business</t>
  </si>
  <si>
    <t>Peter Coughter</t>
  </si>
  <si>
    <t>Coughter, Peter</t>
  </si>
  <si>
    <t>Palgrave Macmillan</t>
  </si>
  <si>
    <t>to-read (#475), persuasion-influence (#16)</t>
  </si>
  <si>
    <t>The Silent Language of Leaders: How Body Language Can Help - Or Hurt - How You Lead</t>
  </si>
  <si>
    <t>Carol Kinsey Goman</t>
  </si>
  <si>
    <t>Goman, Carol Kinsey</t>
  </si>
  <si>
    <t>Jossey-Bass</t>
  </si>
  <si>
    <t>to-read (#473), persuasion-influence (#14)</t>
  </si>
  <si>
    <t>Out of Character: Surprising Truths About the Liar, Cheat, Sinner (and Saint) Lurking in All of Us</t>
  </si>
  <si>
    <t>David DeSteno</t>
  </si>
  <si>
    <t>DeSteno, David</t>
  </si>
  <si>
    <t>Piercarlo Valdesolo</t>
  </si>
  <si>
    <t>Harmony</t>
  </si>
  <si>
    <t>to-read (#469), persuasion-influence (#10)</t>
  </si>
  <si>
    <t>Brandwashed</t>
  </si>
  <si>
    <t>Martin Lindstrom</t>
  </si>
  <si>
    <t>Lindstrom, Martin</t>
  </si>
  <si>
    <t>Crown Business</t>
  </si>
  <si>
    <t>to-read (#467), persuasion-influence (#8)</t>
  </si>
  <si>
    <t>Obedience to Authority</t>
  </si>
  <si>
    <t>Stanley Milgram</t>
  </si>
  <si>
    <t>Milgram, Stanley</t>
  </si>
  <si>
    <t>to-read (#468), persuasion-influence (#9)</t>
  </si>
  <si>
    <t>Strangers to Ourselves: Discovering the Adaptive Unconscious</t>
  </si>
  <si>
    <t>Timothy D. Wilson</t>
  </si>
  <si>
    <t>Wilson, Timothy D.</t>
  </si>
  <si>
    <t>to-read (#470), persuasion-influence (#11)</t>
  </si>
  <si>
    <t>Fascinate: Unlocking the Secret Triggers of Influence, Persuasion, and Captivation</t>
  </si>
  <si>
    <t>Sally Hogshead</t>
  </si>
  <si>
    <t>Hogshead, Sally</t>
  </si>
  <si>
    <t>HarperBusiness</t>
  </si>
  <si>
    <t>to-read (#464), persuasion-influence (#5)</t>
  </si>
  <si>
    <t>The Advertised Mind: Ground-Breaking Insights Into How Our Brains Respond to Advertising</t>
  </si>
  <si>
    <t>Erik Du Plessis</t>
  </si>
  <si>
    <t>Plessis, Erik Du</t>
  </si>
  <si>
    <t>Kogan Page</t>
  </si>
  <si>
    <t>to-read (#466), persuasion-influence (#7)</t>
  </si>
  <si>
    <t>The Psychology of Attitude Change and Social Influence</t>
  </si>
  <si>
    <t>Philip G. Zimbardo</t>
  </si>
  <si>
    <t>Zimbardo, Philip G.</t>
  </si>
  <si>
    <t>Michael R. Leippe</t>
  </si>
  <si>
    <t>McGraw-Hill Humanities/Social Sciences/Languages</t>
  </si>
  <si>
    <t>to-read (#463), persuasion-influence (#4)</t>
  </si>
  <si>
    <t>Numbers Rule Your World: The Hidden Influence of Probabilities and Statistics on Everything You Do</t>
  </si>
  <si>
    <t>Kaiser Fung</t>
  </si>
  <si>
    <t>Fung, Kaiser</t>
  </si>
  <si>
    <t>McGraw-Hill Education</t>
  </si>
  <si>
    <t>to-read (#465), persuasion-influence (#6)</t>
  </si>
  <si>
    <t>Yes!: 50 Scientifically Proven Ways to Be Persuasive</t>
  </si>
  <si>
    <t>Noah J. Goldstein</t>
  </si>
  <si>
    <t>Goldstein, Noah J.</t>
  </si>
  <si>
    <t>Robert B. Cialdini, Steve J. Martin</t>
  </si>
  <si>
    <t>to-read (#461), persuasion-influence (#2)</t>
  </si>
  <si>
    <t>The Person and the Situation: Perspectives of Social Psychology</t>
  </si>
  <si>
    <t>Lee Ross</t>
  </si>
  <si>
    <t>Ross, Lee</t>
  </si>
  <si>
    <t>Richard E. Nisbett, Malcolm Gladwell</t>
  </si>
  <si>
    <t>to-read (#460), persuasion-influence (#1)</t>
  </si>
  <si>
    <t>Social Engineering: The Art of Human Hacking</t>
  </si>
  <si>
    <t>Christopher Hadnagy</t>
  </si>
  <si>
    <t>Hadnagy, Christopher</t>
  </si>
  <si>
    <t>Paul Wilson</t>
  </si>
  <si>
    <t>to-read (#462), persuasion-influence (#3)</t>
  </si>
  <si>
    <t>A General Theory of Love</t>
  </si>
  <si>
    <t>Thomas Lewis</t>
  </si>
  <si>
    <t>Lewis, Thomas</t>
  </si>
  <si>
    <t>Fari Amini, Richard Lannon</t>
  </si>
  <si>
    <t>to-read, on-love</t>
  </si>
  <si>
    <t>to-read (#459), on-love (#5)</t>
  </si>
  <si>
    <t>Falling in Love: Why We Choose the Lovers We Choose</t>
  </si>
  <si>
    <t>Ayala Malach Pines</t>
  </si>
  <si>
    <t>Pines, Ayala Malach</t>
  </si>
  <si>
    <t>to-read (#458), on-love (#4)</t>
  </si>
  <si>
    <t>The Psychology of Love</t>
  </si>
  <si>
    <t>Robert J. Sternberg</t>
  </si>
  <si>
    <t>Sternberg, Robert J.</t>
  </si>
  <si>
    <t>to-read (#457), on-love (#3)</t>
  </si>
  <si>
    <t>Why We Love: The Nature and Chemistry of Romantic Love</t>
  </si>
  <si>
    <t>Helen Fisher</t>
  </si>
  <si>
    <t>Fisher, Helen</t>
  </si>
  <si>
    <t>Holt Paperbacks</t>
  </si>
  <si>
    <t>to-read (#456), on-love (#2)</t>
  </si>
  <si>
    <t>On Love</t>
  </si>
  <si>
    <t>Alain de Botton</t>
  </si>
  <si>
    <t>Botton, Alain de</t>
  </si>
  <si>
    <t>Grove Press</t>
  </si>
  <si>
    <t>to-read (#455), on-love (#1)</t>
  </si>
  <si>
    <t>The Two-Income Trap: Why Middle-Class Mothers and Fathers Are Going Broke</t>
  </si>
  <si>
    <t>Elizabeth Warren</t>
  </si>
  <si>
    <t>Warren, Elizabeth</t>
  </si>
  <si>
    <t>Amelia Warren Tyagi</t>
  </si>
  <si>
    <t>to-read (#454)</t>
  </si>
  <si>
    <t>Christology in the Making: A New Testament Inquiry into the Origins of the Doctrine of the Incarnation</t>
  </si>
  <si>
    <t>Dunn, James D.G.</t>
  </si>
  <si>
    <t>to-read (#453)</t>
  </si>
  <si>
    <t>From Jewish Prophet To Gentile God: The Origins And Development Of New Testament Christology</t>
  </si>
  <si>
    <t>Maurice Casey</t>
  </si>
  <si>
    <t>Casey, Maurice</t>
  </si>
  <si>
    <t>to-read (#452)</t>
  </si>
  <si>
    <t>God Crucified: Monotheism and Christology in the New Testament</t>
  </si>
  <si>
    <t>Richard Bauckham</t>
  </si>
  <si>
    <t>Bauckham, Richard</t>
  </si>
  <si>
    <t>to-read (#451)</t>
  </si>
  <si>
    <t>Lord Jesus Christ: Devotion to Jesus in Earliest Christianity</t>
  </si>
  <si>
    <t>to-read (#450)</t>
  </si>
  <si>
    <t>A Short History Of Ethics: A History Of Moral Philosophy From The Homeric Age To The Twentieth Century</t>
  </si>
  <si>
    <t>to-read (#449)</t>
  </si>
  <si>
    <t>The Logic of Collective Action: Public Goods and the Theory of Groups</t>
  </si>
  <si>
    <t>Mancur Olson</t>
  </si>
  <si>
    <t>Olson, Mancur</t>
  </si>
  <si>
    <t>to-read (#448)</t>
  </si>
  <si>
    <t>The Rise and Fall of Communism</t>
  </si>
  <si>
    <t>Archie Brown</t>
  </si>
  <si>
    <t>Brown, Archie</t>
  </si>
  <si>
    <t>to-read (#447)</t>
  </si>
  <si>
    <t>Europe: The Struggle for Supremacy from 1453 to the Present</t>
  </si>
  <si>
    <t>Brendan Simms</t>
  </si>
  <si>
    <t>Simms, Brendan</t>
  </si>
  <si>
    <t>to-read (#446)</t>
  </si>
  <si>
    <t>The Four Cardinal Virtues</t>
  </si>
  <si>
    <t>Josef Pieper</t>
  </si>
  <si>
    <t>Pieper, Josef</t>
  </si>
  <si>
    <t>to-read (#445)</t>
  </si>
  <si>
    <t>The Barbarian Conversion: From Paganism to Christianity</t>
  </si>
  <si>
    <t>Richard Fletcher</t>
  </si>
  <si>
    <t>Fletcher, Richard</t>
  </si>
  <si>
    <t>to-read (#444)</t>
  </si>
  <si>
    <t>The Prophet and the Age of the Caliphates: The Islamic Near East from the 6th to the 11th Century</t>
  </si>
  <si>
    <t>Hugh Kennedy</t>
  </si>
  <si>
    <t>Kennedy, Hugh</t>
  </si>
  <si>
    <t>to-read (#443)</t>
  </si>
  <si>
    <t>In God's Path: The Arab Conquests and the Creation of an Islamic Empire</t>
  </si>
  <si>
    <t>Robert G. Hoyland</t>
  </si>
  <si>
    <t>Hoyland, Robert G.</t>
  </si>
  <si>
    <t>to-read (#442)</t>
  </si>
  <si>
    <t>The Bottom Billion: Why the Poorest Countries Are Failing and What Can Be Done About It</t>
  </si>
  <si>
    <t>Ù‡ÙŠØ«Ù… Ù†Ø´ÙˆØ§ØªÙŠ</t>
  </si>
  <si>
    <t>The Prince</t>
  </si>
  <si>
    <t>NiccolÃ² Machiavelli</t>
  </si>
  <si>
    <t>Machiavelli, NiccolÃ²</t>
  </si>
  <si>
    <t>Rufus Goodwin, Benjamin Martinez</t>
  </si>
  <si>
    <t>Dante University of America Press</t>
  </si>
  <si>
    <t>Machines as the Measure of Men: Science, Technology and Ideologies of Western Dominance</t>
  </si>
  <si>
    <t>Michael B. Adas</t>
  </si>
  <si>
    <t>Adas, Michael B.</t>
  </si>
  <si>
    <t>Cornell University Press</t>
  </si>
  <si>
    <t>to-read (#441)</t>
  </si>
  <si>
    <t>The Wheel: Inventions and Reinventions</t>
  </si>
  <si>
    <t>Richard W. Bulliet</t>
  </si>
  <si>
    <t>Bulliet, Richard W.</t>
  </si>
  <si>
    <t>Columbia University Press</t>
  </si>
  <si>
    <t>to-read (#440)</t>
  </si>
  <si>
    <t>Empire of Cotton: A Global History</t>
  </si>
  <si>
    <t>Sven Beckert</t>
  </si>
  <si>
    <t>Beckert, Sven</t>
  </si>
  <si>
    <t>to-read (#439)</t>
  </si>
  <si>
    <t>The Discoverers: A History of Man's Search to Know His World and Himself</t>
  </si>
  <si>
    <t>Daniel J. Boorstin</t>
  </si>
  <si>
    <t>Boorstin, Daniel J.</t>
  </si>
  <si>
    <t>to-read (#438)</t>
  </si>
  <si>
    <t>The Decline of the West</t>
  </si>
  <si>
    <t>Oswald Spengler</t>
  </si>
  <si>
    <t>Spengler, Oswald</t>
  </si>
  <si>
    <t>H. Stuart Hughes</t>
  </si>
  <si>
    <t>to-read (#437)</t>
  </si>
  <si>
    <t xml:space="preserve">Islam, Secularism, and Liberal Democracy:   Toward a Democratic Theory for Muslim Societies  </t>
  </si>
  <si>
    <t>Nader Hashemi</t>
  </si>
  <si>
    <t>Hashemi, Nader</t>
  </si>
  <si>
    <t>to-read (#436)</t>
  </si>
  <si>
    <t>Democracy, Islam, and Secularism in Turkey</t>
  </si>
  <si>
    <t>Alfred Stepan</t>
  </si>
  <si>
    <t>to-read (#434)</t>
  </si>
  <si>
    <t>Islam, Authoritarianism, and Underdevelopment: A Global and Historical Comparison</t>
  </si>
  <si>
    <t>to-read (#433)</t>
  </si>
  <si>
    <t>Kicking Away the Ladder: Development Strategy in Historical Perspective</t>
  </si>
  <si>
    <t>Ha-Joon Chang</t>
  </si>
  <si>
    <t>Chang, Ha-Joon</t>
  </si>
  <si>
    <t>to-read (#432)</t>
  </si>
  <si>
    <t>Why the French Don't Like Headscarves: Islam, the State, and Public Space</t>
  </si>
  <si>
    <t>John R. Bowen</t>
  </si>
  <si>
    <t>Bowen, John R.</t>
  </si>
  <si>
    <t>to-read (#431)</t>
  </si>
  <si>
    <t>Shuri, Vol. 1: The Search For Black Panther</t>
  </si>
  <si>
    <t>Leonardo Romero, Jordie Bellaire</t>
  </si>
  <si>
    <t>Marvel</t>
  </si>
  <si>
    <t>to-read (#430)</t>
  </si>
  <si>
    <t>African Dominion: A New History of Empire in Early and Medieval West Africa</t>
  </si>
  <si>
    <t>Michael A. Gomez</t>
  </si>
  <si>
    <t>Gomez, Michael A.</t>
  </si>
  <si>
    <t>currently-reading (#1)</t>
  </si>
  <si>
    <t>African Religions: A Very Short Introduction</t>
  </si>
  <si>
    <t>Jacob K. Olupona</t>
  </si>
  <si>
    <t>Olupona, Jacob K.</t>
  </si>
  <si>
    <t>to-read (#429)</t>
  </si>
  <si>
    <t>Slaves and Slavery in Africa: Volume One: Islam and the Ideology of Enslavement</t>
  </si>
  <si>
    <t>John Ralph Willis</t>
  </si>
  <si>
    <t>Willis, John Ralph</t>
  </si>
  <si>
    <t>to-read (#428)</t>
  </si>
  <si>
    <t>A History of the Church in Africa</t>
  </si>
  <si>
    <t>Bengt Sundkler</t>
  </si>
  <si>
    <t>Sundkler, Bengt</t>
  </si>
  <si>
    <t>Christopher Steed</t>
  </si>
  <si>
    <t>to-read (#427)</t>
  </si>
  <si>
    <t>A History of Christianity in Africa: From Antiquity to the Present</t>
  </si>
  <si>
    <t>Elizabeth Allo Isichei</t>
  </si>
  <si>
    <t>Isichei, Elizabeth Allo</t>
  </si>
  <si>
    <t>to-read (#426)</t>
  </si>
  <si>
    <t>Christianity in South Africa: A Political, Social, and Cultural History</t>
  </si>
  <si>
    <t>Richard Elphick</t>
  </si>
  <si>
    <t>Elphick, Richard</t>
  </si>
  <si>
    <t>to-read (#425)</t>
  </si>
  <si>
    <t>The Kongolese Saint Anthony: Dona Beatriz Kimpa Vita and the Antonian Movement, 1684-1706</t>
  </si>
  <si>
    <t>to-read (#424)</t>
  </si>
  <si>
    <t>Religious Encounter and the Making of the Yoruba</t>
  </si>
  <si>
    <t>J.D.Y. Peel</t>
  </si>
  <si>
    <t>Peel, J.D.Y.</t>
  </si>
  <si>
    <t>to-read (#423)</t>
  </si>
  <si>
    <t>The Civilizations of Africa: A History to 1800</t>
  </si>
  <si>
    <t>Christopher Ehret</t>
  </si>
  <si>
    <t>Ehret, Christopher</t>
  </si>
  <si>
    <t>University of Virginia Press</t>
  </si>
  <si>
    <t>to-read (#422)</t>
  </si>
  <si>
    <t>African Civilizations: An Archaeological Perspective</t>
  </si>
  <si>
    <t>Graham Connah</t>
  </si>
  <si>
    <t>Connah, Graham</t>
  </si>
  <si>
    <t>Douglas Hobbs</t>
  </si>
  <si>
    <t>to-read (#421)</t>
  </si>
  <si>
    <t>Women in Sub-Saharan Africa: Restoring Women to History</t>
  </si>
  <si>
    <t>Iris Berger</t>
  </si>
  <si>
    <t>Berger, Iris</t>
  </si>
  <si>
    <t>E. Frances White</t>
  </si>
  <si>
    <t>to-read (#420)</t>
  </si>
  <si>
    <t>A Cultural History of the Atlantic World, 1250-1820</t>
  </si>
  <si>
    <t>to-read (#419)</t>
  </si>
  <si>
    <t>How Asia Works: Success and Failure in the World's Most Dynamic Region</t>
  </si>
  <si>
    <t>Joe Studwell</t>
  </si>
  <si>
    <t>Studwell, Joe</t>
  </si>
  <si>
    <t>Make Your Bed: Little Things That Can Change Your Life...And Maybe the World</t>
  </si>
  <si>
    <t>William H. McRaven</t>
  </si>
  <si>
    <t>McRaven, William H.</t>
  </si>
  <si>
    <t>Audiobook</t>
  </si>
  <si>
    <t>Black Leopard, Red Wolf (The Dark Star Trilogy #1)</t>
  </si>
  <si>
    <t>Marlon James</t>
  </si>
  <si>
    <t>James, Marlon</t>
  </si>
  <si>
    <t>to-read (#418)</t>
  </si>
  <si>
    <t>The Thorn of Emberlain (Gentleman Bastard, #4)</t>
  </si>
  <si>
    <t>Scott Lynch</t>
  </si>
  <si>
    <t>Lynch, Scott</t>
  </si>
  <si>
    <t>Gollancz</t>
  </si>
  <si>
    <t>to-read (#417)</t>
  </si>
  <si>
    <t>Thomism and Aristotelianism: A Study of the Commentary by Thomas Aquinas on the Nicomachean Ethics</t>
  </si>
  <si>
    <t>Harry V. Jaffa</t>
  </si>
  <si>
    <t>Jaffa, Harry V.</t>
  </si>
  <si>
    <t>Praeger</t>
  </si>
  <si>
    <t>to-read (#416)</t>
  </si>
  <si>
    <t>Whose Justice? Which Rationality?</t>
  </si>
  <si>
    <t>to-read (#415)</t>
  </si>
  <si>
    <t>After Virtue: A Study in Moral Theory</t>
  </si>
  <si>
    <t>Beginning to Pray</t>
  </si>
  <si>
    <t>Anthony Bloom</t>
  </si>
  <si>
    <t>Bloom, Anthony</t>
  </si>
  <si>
    <t>Paulist Press</t>
  </si>
  <si>
    <t>to-read (#414)</t>
  </si>
  <si>
    <t>The Doors of the Sea: Where Was God in the Tsunami?</t>
  </si>
  <si>
    <t>David Bentley Hart</t>
  </si>
  <si>
    <t>Hart, David Bentley</t>
  </si>
  <si>
    <t>to-read (#413)</t>
  </si>
  <si>
    <t>The Anthropocene Project: Virtue in the Age of Climate Change</t>
  </si>
  <si>
    <t>Byron Williston</t>
  </si>
  <si>
    <t>Williston, Byron</t>
  </si>
  <si>
    <t>to-read (#412)</t>
  </si>
  <si>
    <t>Dependent Rational Animals: Why Human Beings Need the Virtues (The Paul Carus Lectures)</t>
  </si>
  <si>
    <t>Open Court</t>
  </si>
  <si>
    <t>to-read (#411)</t>
  </si>
  <si>
    <t>Modern Social Imaginaries</t>
  </si>
  <si>
    <t>Dilip Parameshwargaonkar</t>
  </si>
  <si>
    <t>Duke University Press Books</t>
  </si>
  <si>
    <t>to-read (#409)</t>
  </si>
  <si>
    <t>Why Marx Was Right</t>
  </si>
  <si>
    <t>Terry Eagleton</t>
  </si>
  <si>
    <t>Eagleton, Terry</t>
  </si>
  <si>
    <t>The History Of Islam In Africa</t>
  </si>
  <si>
    <t>Nehemia Levtzion</t>
  </si>
  <si>
    <t>Levtzion, Nehemia</t>
  </si>
  <si>
    <t>Randall L. Pouwels</t>
  </si>
  <si>
    <t>Ohio University Press</t>
  </si>
  <si>
    <t>to-read (#408)</t>
  </si>
  <si>
    <t>The Archaeology Of Islam In Sub Saharan Africa</t>
  </si>
  <si>
    <t>Timothy Insoll</t>
  </si>
  <si>
    <t>Insoll, Timothy</t>
  </si>
  <si>
    <t>to-read (#407)</t>
  </si>
  <si>
    <t>Warfare in Atlantic Africa, 1500-1800</t>
  </si>
  <si>
    <t>Taylor and Francis</t>
  </si>
  <si>
    <t>to-read (#406)</t>
  </si>
  <si>
    <t>Kingdoms of the Yoruba</t>
  </si>
  <si>
    <t>Robert Sydney Smith</t>
  </si>
  <si>
    <t>Smith, Robert Sydney</t>
  </si>
  <si>
    <t>to-read (#405)</t>
  </si>
  <si>
    <t>Warfare and Diplomacy in Pre-Colonial West Africa</t>
  </si>
  <si>
    <t>to-read (#404)</t>
  </si>
  <si>
    <t>Africa Since Independence: A Comparative History</t>
  </si>
  <si>
    <t>Paul Nugent</t>
  </si>
  <si>
    <t>Nugent, Paul</t>
  </si>
  <si>
    <t>Palgrave MacMillan</t>
  </si>
  <si>
    <t>to-read (#403)</t>
  </si>
  <si>
    <t>Africa Since 1940: The Past of the Present</t>
  </si>
  <si>
    <t>Frederick Cooper</t>
  </si>
  <si>
    <t>Cooper, Frederick</t>
  </si>
  <si>
    <t>Martin Klein</t>
  </si>
  <si>
    <t>to-read (#402)</t>
  </si>
  <si>
    <t>The Jungle Grows Back: America and Our Imperiled World</t>
  </si>
  <si>
    <t>Robert Kagan</t>
  </si>
  <si>
    <t>Kagan, Robert</t>
  </si>
  <si>
    <t>The Invention of Religion: Faith and Covenant in the Book of Exodus</t>
  </si>
  <si>
    <t>Jan Assmann</t>
  </si>
  <si>
    <t>Assmann, Jan</t>
  </si>
  <si>
    <t>Robert Savage</t>
  </si>
  <si>
    <t>Religious Freedom in Islam: The Fate of a Universal Human Right in the Muslim World Today</t>
  </si>
  <si>
    <t>Daniel Philpott</t>
  </si>
  <si>
    <t>Philpott, Daniel</t>
  </si>
  <si>
    <t>to-read (#401)</t>
  </si>
  <si>
    <t>Culture and the Death of God</t>
  </si>
  <si>
    <t>to-read (#400)</t>
  </si>
  <si>
    <t>Dying to Kill: The Allure of Suicide Terror</t>
  </si>
  <si>
    <t>Mia Bloom</t>
  </si>
  <si>
    <t>Bloom, Mia</t>
  </si>
  <si>
    <t>to-read (#399)</t>
  </si>
  <si>
    <t>Pseudepigraphy and Ethical Argument in the Pastoral Epistles</t>
  </si>
  <si>
    <t>Lewis R. Donelson</t>
  </si>
  <si>
    <t>Donelson, Lewis R.</t>
  </si>
  <si>
    <t>J.C.B. Mohr (P. Siebeck)</t>
  </si>
  <si>
    <t>to-read (#398)</t>
  </si>
  <si>
    <t>Early Muslim Dogma: A Source-Critical Study</t>
  </si>
  <si>
    <t>to-read (#397)</t>
  </si>
  <si>
    <t>Africa: Why Economists Get It Wrong (African Arguments)</t>
  </si>
  <si>
    <t>Morten Jerven</t>
  </si>
  <si>
    <t>Jerven, Morten</t>
  </si>
  <si>
    <t>Zed Books</t>
  </si>
  <si>
    <t>to-read (#396)</t>
  </si>
  <si>
    <t>The Imperial Cult in the Latin West: Studies in the Ruler Cult of the Western Provinces of the Roman Empire, Volume 2, Part 1 (Religions in the Graeco-Roman World)</t>
  </si>
  <si>
    <t>Duncan Fishwick</t>
  </si>
  <si>
    <t>Fishwick, Duncan</t>
  </si>
  <si>
    <t>to-read (#395)</t>
  </si>
  <si>
    <t>Emperor Worship and Roman Religion</t>
  </si>
  <si>
    <t>Ittai Gradel</t>
  </si>
  <si>
    <t>Gradel, Ittai</t>
  </si>
  <si>
    <t>to-read (#394)</t>
  </si>
  <si>
    <t>The Roman Revolution</t>
  </si>
  <si>
    <t>Ronald Syme</t>
  </si>
  <si>
    <t>Syme, Ronald</t>
  </si>
  <si>
    <t>to-read (#1)</t>
  </si>
  <si>
    <t>Goddesses, Whores, Wives and Slaves: Women in Classical Antiquity</t>
  </si>
  <si>
    <t>Sarah B. Pomeroy</t>
  </si>
  <si>
    <t>Pomeroy, Sarah B.</t>
  </si>
  <si>
    <t>Schocken Books</t>
  </si>
  <si>
    <t>to-read (#393)</t>
  </si>
  <si>
    <t>Did God Have a Wife? Archaeology and Folk Religion in Ancient Israel</t>
  </si>
  <si>
    <t>to-read (#392)</t>
  </si>
  <si>
    <t>The Promise to the Patriarchs</t>
  </si>
  <si>
    <t>Joel S. Baden</t>
  </si>
  <si>
    <t>Baden, Joel S.</t>
  </si>
  <si>
    <t>to-read (#391)</t>
  </si>
  <si>
    <t>Mark A. Chancey</t>
  </si>
  <si>
    <t>to-read (#390)</t>
  </si>
  <si>
    <t>A Young Muslim's Guide to the Modern World</t>
  </si>
  <si>
    <t>Seyyed Hossein Nasr</t>
  </si>
  <si>
    <t>Nasr, Seyyed Hossein</t>
  </si>
  <si>
    <t>Kazi Publications</t>
  </si>
  <si>
    <t>to-read (#389)</t>
  </si>
  <si>
    <t>The Slave Trade: The Story of the Atlantic Slave Trade, 1440-1870</t>
  </si>
  <si>
    <t>Hugh Thomas</t>
  </si>
  <si>
    <t>Thomas, Hugh</t>
  </si>
  <si>
    <t>to-read (#388)</t>
  </si>
  <si>
    <t>Africa: Altered States, Ordinary Miracles</t>
  </si>
  <si>
    <t>Richard Dowden</t>
  </si>
  <si>
    <t>Dowden, Richard</t>
  </si>
  <si>
    <t>Portobello Books</t>
  </si>
  <si>
    <t>to-read (#387)</t>
  </si>
  <si>
    <t>Helping Jesus Fulfill Prophecy</t>
  </si>
  <si>
    <t>Robert J. Miller</t>
  </si>
  <si>
    <t>Miller, Robert J.</t>
  </si>
  <si>
    <t>Cascade Books, an Imprint of Wipf and Stock Publishers</t>
  </si>
  <si>
    <t>Sources of the Self: The Making of the Modern Identity</t>
  </si>
  <si>
    <t>to-read (#386)</t>
  </si>
  <si>
    <t>The Oxford History Of The Biblical World</t>
  </si>
  <si>
    <t>Coogan, Michael D.</t>
  </si>
  <si>
    <t>to-read (#385)</t>
  </si>
  <si>
    <t>Ancient Near Eastern Thought and the Old Testament: Introducing the Conceptual World of the Hebrew Bible</t>
  </si>
  <si>
    <t>John H. Walton</t>
  </si>
  <si>
    <t>Walton, John H.</t>
  </si>
  <si>
    <t>Baker Academic</t>
  </si>
  <si>
    <t>to-read (#384)</t>
  </si>
  <si>
    <t>Old Testament Parallels: Laws and Stories from the Ancient Near East</t>
  </si>
  <si>
    <t>Victor H. Matthews</t>
  </si>
  <si>
    <t>Matthews, Victor H.</t>
  </si>
  <si>
    <t>Don C. Benjamin</t>
  </si>
  <si>
    <t>to-read (#383)</t>
  </si>
  <si>
    <t>Secular Cycles</t>
  </si>
  <si>
    <t>Peter Turchin</t>
  </si>
  <si>
    <t>Turchin, Peter</t>
  </si>
  <si>
    <t>Sergey A. Nefedov</t>
  </si>
  <si>
    <t>to-read (#382)</t>
  </si>
  <si>
    <t>Iesus Deus: The Early Christian Depiction of Jesus as a Mediterranean God</t>
  </si>
  <si>
    <t>M David Litwa</t>
  </si>
  <si>
    <t>Litwa, M David</t>
  </si>
  <si>
    <t>Augsburg Fortress Publishing</t>
  </si>
  <si>
    <t>The Great Shift: Encountering God in Biblical Times</t>
  </si>
  <si>
    <t>James L. Kugel</t>
  </si>
  <si>
    <t>Kugel, James L.</t>
  </si>
  <si>
    <t>Ellen Geiger</t>
  </si>
  <si>
    <t>The Viking Spirit: An Introduction to Norse Mythology and Religion</t>
  </si>
  <si>
    <t>Daniel McCoy</t>
  </si>
  <si>
    <t>McCoy, Daniel</t>
  </si>
  <si>
    <t>to-read (#381)</t>
  </si>
  <si>
    <t>Religion in Human Evolution: From the Paleolithic to the Axial Age</t>
  </si>
  <si>
    <t>Robert N. Bellah</t>
  </si>
  <si>
    <t>Bellah, Robert N.</t>
  </si>
  <si>
    <t>Belknap Press of Harvard University Press</t>
  </si>
  <si>
    <t>to-read (#380)</t>
  </si>
  <si>
    <t>The Looting Machine: Warlords, Oligarchs, Corporations, Smugglers, and the Theft of Africa's Wealth</t>
  </si>
  <si>
    <t>Tom Burgis</t>
  </si>
  <si>
    <t>Burgis, Tom</t>
  </si>
  <si>
    <t>Norse Mythology</t>
  </si>
  <si>
    <t>Neil Gaiman</t>
  </si>
  <si>
    <t>Gaiman, Neil</t>
  </si>
  <si>
    <t>One Bullet Away: The Making of a Marine Officer</t>
  </si>
  <si>
    <t>Nathaniel Fick</t>
  </si>
  <si>
    <t>Fick, Nathaniel</t>
  </si>
  <si>
    <t>Mariner Books</t>
  </si>
  <si>
    <t>to-read (#379)</t>
  </si>
  <si>
    <t>The Norse Myths</t>
  </si>
  <si>
    <t>Kevin Crossley-Holland</t>
  </si>
  <si>
    <t>Crossley-Holland, Kevin</t>
  </si>
  <si>
    <t>to-read (#378)</t>
  </si>
  <si>
    <t>Strategy: A History</t>
  </si>
  <si>
    <t>Lawrence Freedman</t>
  </si>
  <si>
    <t>Freedman, Lawrence</t>
  </si>
  <si>
    <t>to-read (#377)</t>
  </si>
  <si>
    <t>Why Nations Fail: The Origins of Power, Prosperity, and Poverty</t>
  </si>
  <si>
    <t>to-read (#376)</t>
  </si>
  <si>
    <t>Tamed: Ten Species That Changed Our World</t>
  </si>
  <si>
    <t>Alice  Roberts</t>
  </si>
  <si>
    <t>Roberts, Alice</t>
  </si>
  <si>
    <t>Hutchinson</t>
  </si>
  <si>
    <t>to-read (#375)</t>
  </si>
  <si>
    <t>The Great Leveler: Violence and the History of Inequality from the Stone Age to the Twenty-First Century</t>
  </si>
  <si>
    <t>to-read (#374)</t>
  </si>
  <si>
    <t>The Retreat of Western Liberalism</t>
  </si>
  <si>
    <t>Edward Luce</t>
  </si>
  <si>
    <t>Luce, Edward</t>
  </si>
  <si>
    <t>to-read (#373)</t>
  </si>
  <si>
    <t>Crashed: How a Decade of Financial Crises Changed the World</t>
  </si>
  <si>
    <t>Adam Tooze</t>
  </si>
  <si>
    <t>Tooze, Adam</t>
  </si>
  <si>
    <t>to-read (#372)</t>
  </si>
  <si>
    <t>AI Superpowers: China, Silicon Valley, and the New World Order</t>
  </si>
  <si>
    <t>Kai-Fu Lee</t>
  </si>
  <si>
    <t>Lee, Kai-Fu</t>
  </si>
  <si>
    <t>to-read (#371)</t>
  </si>
  <si>
    <t>One Man's View of the World</t>
  </si>
  <si>
    <t>Lee Kuan Yew</t>
  </si>
  <si>
    <t>Yew, Lee Kuan</t>
  </si>
  <si>
    <t>Straits Times Press Books</t>
  </si>
  <si>
    <t>to-read (#370)</t>
  </si>
  <si>
    <t>The Discovery of France: A Historical Geography from the Revolution to the First World War</t>
  </si>
  <si>
    <t>Graham Robb</t>
  </si>
  <si>
    <t>Robb, Graham</t>
  </si>
  <si>
    <t>W.W. Norton &amp; Company, Inc.</t>
  </si>
  <si>
    <t>to-read (#369)</t>
  </si>
  <si>
    <t>China's Second Continent: How a Million Migrants Are Building a New Empire in Africa</t>
  </si>
  <si>
    <t>Howard W. French</t>
  </si>
  <si>
    <t>French, Howard W.</t>
  </si>
  <si>
    <t>The Encircling Sea (Vindolanda #2)</t>
  </si>
  <si>
    <t>World Order</t>
  </si>
  <si>
    <t>The Pursuit of Power: Europe 1815-1914</t>
  </si>
  <si>
    <t>Richard J. Evans</t>
  </si>
  <si>
    <t>Evans, Richard J.</t>
  </si>
  <si>
    <t>to-read (#368)</t>
  </si>
  <si>
    <t>The Rise and Decline of Nations: Economic Growth, Stagflation, and Social Rigidities</t>
  </si>
  <si>
    <t>to-read (#367)</t>
  </si>
  <si>
    <t>Beyond the Green Zone: Dispatches from an Unembedded Journalist in Occupied Iraq</t>
  </si>
  <si>
    <t>Dahr Jamail</t>
  </si>
  <si>
    <t>Jamail, Dahr</t>
  </si>
  <si>
    <t>Amy Goodman</t>
  </si>
  <si>
    <t>Haymarket Books</t>
  </si>
  <si>
    <t>to-read (#366)</t>
  </si>
  <si>
    <t>Defeat: Why America and Britain Lost Iraq</t>
  </si>
  <si>
    <t>Jonathan Steele</t>
  </si>
  <si>
    <t>Steele, Jonathan</t>
  </si>
  <si>
    <t>Counterpoint</t>
  </si>
  <si>
    <t>to-read (#365)</t>
  </si>
  <si>
    <t>A Thousand Years of Nonlinear History</t>
  </si>
  <si>
    <t>Manuel DeLanda</t>
  </si>
  <si>
    <t>DeLanda, Manuel</t>
  </si>
  <si>
    <t>Zone Books</t>
  </si>
  <si>
    <t>to-read (#364)</t>
  </si>
  <si>
    <t>Seven Types of Atheism</t>
  </si>
  <si>
    <t>Political Order and Political Decay: From the Industrial Revolution to the Globalization of Democracy</t>
  </si>
  <si>
    <t>Francis Fukuyama</t>
  </si>
  <si>
    <t>Fukuyama, Francis</t>
  </si>
  <si>
    <t>Nations and Nationalism</t>
  </si>
  <si>
    <t>Ernest Gellner</t>
  </si>
  <si>
    <t>Gellner, Ernest</t>
  </si>
  <si>
    <t>Simten CoÅŸar, Saltuk Ã–zertÃ¼rk, Nalan SoyarÄ±k</t>
  </si>
  <si>
    <t>to-read (#363)</t>
  </si>
  <si>
    <t>The Fire That Consumes: A Biblical and Historical Study of the Doctrine of Final Punishment, Third Edition</t>
  </si>
  <si>
    <t>Edward William Fudge</t>
  </si>
  <si>
    <t>Fudge, Edward William</t>
  </si>
  <si>
    <t>Cascade Books, an imprint of Wipf and Stock Publishers</t>
  </si>
  <si>
    <t>to-read (#362)</t>
  </si>
  <si>
    <t>The Naked Public Square: Religion and Democracy in America</t>
  </si>
  <si>
    <t>Richard John Neuhaus</t>
  </si>
  <si>
    <t>Neuhaus, Richard John</t>
  </si>
  <si>
    <t>to-read (#361)</t>
  </si>
  <si>
    <t>Religion and the Demise of Liberal Rationalism: The Foundational Crisis of the Separation of Church and State</t>
  </si>
  <si>
    <t>J. Judd Owen</t>
  </si>
  <si>
    <t>Owen, J. Judd</t>
  </si>
  <si>
    <t>to-read (#360)</t>
  </si>
  <si>
    <t>An Intellectual History of Liberalism</t>
  </si>
  <si>
    <t>Pierre Manent</t>
  </si>
  <si>
    <t>Manent, Pierre</t>
  </si>
  <si>
    <t>to-read (#359)</t>
  </si>
  <si>
    <t>Misquoting Muhammad: The Challenge and Choices of Interpreting the Prophet's Legacy</t>
  </si>
  <si>
    <t>to-read (#358)</t>
  </si>
  <si>
    <t>What Is Islam?: The Importance of Being Islamic</t>
  </si>
  <si>
    <t>Shahab Ahmed</t>
  </si>
  <si>
    <t>Ahmed, Shahab</t>
  </si>
  <si>
    <t>to-read (#357)</t>
  </si>
  <si>
    <t>Religious Difference in a Secular Age: A Minority Report</t>
  </si>
  <si>
    <t>Saba Mahmood</t>
  </si>
  <si>
    <t>Mahmood, Saba</t>
  </si>
  <si>
    <t>to-read (#356)</t>
  </si>
  <si>
    <t>Islam and Liberal Citizenship: The Search for an Overlapping Consensus</t>
  </si>
  <si>
    <t>Andrew F. March</t>
  </si>
  <si>
    <t>March, Andrew F.</t>
  </si>
  <si>
    <t>to-read (#355)</t>
  </si>
  <si>
    <t>Shari'a: Theory, Practice, Transformations</t>
  </si>
  <si>
    <t>Wael B. Hallaq</t>
  </si>
  <si>
    <t>Hallaq, Wael B.</t>
  </si>
  <si>
    <t>to-read (#354)</t>
  </si>
  <si>
    <t>Speaking in God's Name: Islamic Law, Authority and Women</t>
  </si>
  <si>
    <t>Khaled Abou El Fadl</t>
  </si>
  <si>
    <t>Fadl, Khaled Abou El</t>
  </si>
  <si>
    <t>to-read (#9)</t>
  </si>
  <si>
    <t>Against the Grain: A Deep History of the Earliest States</t>
  </si>
  <si>
    <t>The World As It Is: Inside the Obama White House</t>
  </si>
  <si>
    <t>Ben  Rhodes</t>
  </si>
  <si>
    <t>Rhodes, Ben</t>
  </si>
  <si>
    <t>Bodley Head</t>
  </si>
  <si>
    <t>to-read (#353)</t>
  </si>
  <si>
    <t>The Composition of the Pentateuch: Renewing the Documentary Hypothesis</t>
  </si>
  <si>
    <t>Politics of Piety: The Islamic Revival and the Feminist Subject</t>
  </si>
  <si>
    <t>to-read (#352)</t>
  </si>
  <si>
    <t>The Elephant in the Brain: Hidden Motives in Everyday Life</t>
  </si>
  <si>
    <t>Kevin Simler</t>
  </si>
  <si>
    <t>Simler, Kevin</t>
  </si>
  <si>
    <t>Robin Hanson</t>
  </si>
  <si>
    <t>to-read (#351)</t>
  </si>
  <si>
    <t>The Future of Work (Cato Unbound)</t>
  </si>
  <si>
    <t>Hanson, Robin</t>
  </si>
  <si>
    <t>Edward E. Leamer, Frank Levy, Richard Florida, Will Wilkinson</t>
  </si>
  <si>
    <t>Cato Institute</t>
  </si>
  <si>
    <t>to-read (#350)</t>
  </si>
  <si>
    <t>What's Wrong with Expert Predictions? (Cato Unbound Book 72011)</t>
  </si>
  <si>
    <t>Philip E. Tetlock, Dan Gardner, Bruce Bueno de Mesquita, John Cochrane, Jason Kuznicki</t>
  </si>
  <si>
    <t>to-read (#349)</t>
  </si>
  <si>
    <t>Madness and Civilization: A History of Insanity in the Age of Reason</t>
  </si>
  <si>
    <t>Michel Foucault</t>
  </si>
  <si>
    <t>Foucault, Michel</t>
  </si>
  <si>
    <t>Richard Howard</t>
  </si>
  <si>
    <t>to-read (#348)</t>
  </si>
  <si>
    <t>Mastering the Core Teachings of the Buddha: An Unusually Hardcore Dharma Book</t>
  </si>
  <si>
    <t>Daniel M. Ingram</t>
  </si>
  <si>
    <t>Ingram, Daniel M.</t>
  </si>
  <si>
    <t>AEON Books</t>
  </si>
  <si>
    <t>to-read (#347)</t>
  </si>
  <si>
    <t>Surfing Uncertainty: Prediction, Action, and the Embodied Mind</t>
  </si>
  <si>
    <t>Andy  Clark</t>
  </si>
  <si>
    <t>Clark, Andy</t>
  </si>
  <si>
    <t>to-read (#346)</t>
  </si>
  <si>
    <t>The House of God</t>
  </si>
  <si>
    <t>Samuel Shem</t>
  </si>
  <si>
    <t>Shem, Samuel</t>
  </si>
  <si>
    <t>John Updike</t>
  </si>
  <si>
    <t>Dell</t>
  </si>
  <si>
    <t>to-read (#345)</t>
  </si>
  <si>
    <t>The Age of Em: Work, Love and Life When Robots Rule the Earth</t>
  </si>
  <si>
    <t>to-read (#344)</t>
  </si>
  <si>
    <t>The Machinery of Freedom: Guide to a Radical Capitalism</t>
  </si>
  <si>
    <t>David D. Friedman</t>
  </si>
  <si>
    <t>Friedman, David D.</t>
  </si>
  <si>
    <t>to-read (#343)</t>
  </si>
  <si>
    <t>Red Plenty: Inside the Fifties' Soviet Dream</t>
  </si>
  <si>
    <t>Francis Spufford</t>
  </si>
  <si>
    <t>Spufford, Francis</t>
  </si>
  <si>
    <t>Faber and Faber</t>
  </si>
  <si>
    <t>to-read (#342)</t>
  </si>
  <si>
    <t>Seeing Like a State: How Certain Schemes to Improve the Human Condition Have Failed</t>
  </si>
  <si>
    <t>Conquest and Empire: The Reign of Alexander the Great</t>
  </si>
  <si>
    <t>Albert Brian Bosworth</t>
  </si>
  <si>
    <t>Bosworth, Albert Brian</t>
  </si>
  <si>
    <t>to-read (#341)</t>
  </si>
  <si>
    <t>The Origins of Political Order: From Prehuman Times to the French Revolution</t>
  </si>
  <si>
    <t>Farrar Straus Giroux</t>
  </si>
  <si>
    <t>Al Qaeda and What It Means to Be Modern</t>
  </si>
  <si>
    <t>The New Press</t>
  </si>
  <si>
    <t>to-read (#340)</t>
  </si>
  <si>
    <t>False Dawn: The Delusions of Global Capitalism</t>
  </si>
  <si>
    <t>to-read (#339)</t>
  </si>
  <si>
    <t>The Soul of the Marionette: A Short Inquiry into Human Freedom</t>
  </si>
  <si>
    <t>to-read (#338)</t>
  </si>
  <si>
    <t>Black Mass: Apocalyptic Religion and the Death of Utopia</t>
  </si>
  <si>
    <t>to-read (#337)</t>
  </si>
  <si>
    <t>Replay</t>
  </si>
  <si>
    <t>Ken Grimwood</t>
  </si>
  <si>
    <t>Grimwood, Ken</t>
  </si>
  <si>
    <t>William Morrow Paperbacks</t>
  </si>
  <si>
    <t>to-read (#336)</t>
  </si>
  <si>
    <t>The Self Illusion: How the Social Brain Creates Identity</t>
  </si>
  <si>
    <t>Bruce M. Hood</t>
  </si>
  <si>
    <t>Hood, Bruce M.</t>
  </si>
  <si>
    <t>HarperCollins</t>
  </si>
  <si>
    <t>American Nations: A History of the Eleven Rival Regional Cultures of North America</t>
  </si>
  <si>
    <t>Colin Woodard</t>
  </si>
  <si>
    <t>Woodard, Colin</t>
  </si>
  <si>
    <t>to-read (#335)</t>
  </si>
  <si>
    <t>The Nine Nations of North America</t>
  </si>
  <si>
    <t>Joel Garreau</t>
  </si>
  <si>
    <t>Garreau, Joel</t>
  </si>
  <si>
    <t>Avon Books</t>
  </si>
  <si>
    <t>to-read (#334)</t>
  </si>
  <si>
    <t>A Scandalous Man</t>
  </si>
  <si>
    <t>Gavin Esler</t>
  </si>
  <si>
    <t>Esler, Gavin</t>
  </si>
  <si>
    <t>to-read (#333)</t>
  </si>
  <si>
    <t>Sexual Ethics and Islam: Feminist Reflections on Qur'an, Hadith, and Jurisprudence</t>
  </si>
  <si>
    <t>Kecia Ali</t>
  </si>
  <si>
    <t>Ali, Kecia</t>
  </si>
  <si>
    <t>to-read (#332)</t>
  </si>
  <si>
    <t>Description of Paradise in the Glorious Qur'an</t>
  </si>
  <si>
    <t>Abdul Halim Ibn Muhammad Nassae As-Salafi</t>
  </si>
  <si>
    <t>As-Salafi, Abdul Halim Ibn Muhammad Nassae</t>
  </si>
  <si>
    <t>Darussalam</t>
  </si>
  <si>
    <t>Darussalam Publishers</t>
  </si>
  <si>
    <t>to-read (#331)</t>
  </si>
  <si>
    <t>Muhammad: His Life Based on the Earliest Sources</t>
  </si>
  <si>
    <t>Martin Lings</t>
  </si>
  <si>
    <t>Lings, Martin</t>
  </si>
  <si>
    <t>Inner Traditions</t>
  </si>
  <si>
    <t>to-read (#330)</t>
  </si>
  <si>
    <t>"Believing Women" in Islam: Unreading Patriarchal Interpretations of the Qur'an</t>
  </si>
  <si>
    <t>Asma Barlas</t>
  </si>
  <si>
    <t>Barlas, Asma</t>
  </si>
  <si>
    <t>University of Texas Press</t>
  </si>
  <si>
    <t>to-read (#329)</t>
  </si>
  <si>
    <t>A World Without Islam</t>
  </si>
  <si>
    <t>Graham E. Fuller</t>
  </si>
  <si>
    <t>Fuller, Graham E.</t>
  </si>
  <si>
    <t>Little, Brown and Company</t>
  </si>
  <si>
    <t>to-read (#328)</t>
  </si>
  <si>
    <t>Understanding the Four Madhhabs</t>
  </si>
  <si>
    <t>Abdal Hakim Murad</t>
  </si>
  <si>
    <t>Murad, Abdal Hakim</t>
  </si>
  <si>
    <t>Muslim Academic Trust</t>
  </si>
  <si>
    <t>to-read (#327)</t>
  </si>
  <si>
    <t>The Great Theft: Wrestling Islam from the Extremists</t>
  </si>
  <si>
    <t>to-read (#326)</t>
  </si>
  <si>
    <t>The Myth of the Muslim Tide: Do Immigrants Threaten the West?</t>
  </si>
  <si>
    <t>Doug Saunders</t>
  </si>
  <si>
    <t>Saunders, Doug</t>
  </si>
  <si>
    <t>to-read (#325)</t>
  </si>
  <si>
    <t>Islam without Extremes: A Muslim Case for Liberty</t>
  </si>
  <si>
    <t>Mustafa Akyol</t>
  </si>
  <si>
    <t>Akyol, Mustafa</t>
  </si>
  <si>
    <t>Ancient Religions, Modern Politics: The Islamic Case in Comparative Perspective</t>
  </si>
  <si>
    <t>The Mythic Past: Biblical Archaeology And The Myth Of Israel</t>
  </si>
  <si>
    <t>Thomas L. Thompson</t>
  </si>
  <si>
    <t>Thompson, Thomas L.</t>
  </si>
  <si>
    <t>to-read (#324)</t>
  </si>
  <si>
    <t>The Bible and Radiocarbon Dating: Archaeology, Text and Science</t>
  </si>
  <si>
    <t>Thomas E.  Levy</t>
  </si>
  <si>
    <t>Levy, Thomas E.</t>
  </si>
  <si>
    <t>Equinox Publishing (UK)</t>
  </si>
  <si>
    <t>to-read (#323)</t>
  </si>
  <si>
    <t>The Historicity of the Patriarchal Narratives: The Quest for the Historical Abraham</t>
  </si>
  <si>
    <t>to-read (#322)</t>
  </si>
  <si>
    <t>Africa in History</t>
  </si>
  <si>
    <t>Basil Davidson</t>
  </si>
  <si>
    <t>Davidson, Basil</t>
  </si>
  <si>
    <t>Orion</t>
  </si>
  <si>
    <t>to-read (#321)</t>
  </si>
  <si>
    <t>Warfare in African History</t>
  </si>
  <si>
    <t>Richard J. Reid</t>
  </si>
  <si>
    <t>Reid, Richard J.</t>
  </si>
  <si>
    <t>to-read (#8)</t>
  </si>
  <si>
    <t>Muslim Societies in Africa: A Historical Anthropology</t>
  </si>
  <si>
    <t>Roman Loimeier</t>
  </si>
  <si>
    <t>Loimeier, Roman</t>
  </si>
  <si>
    <t>to-read (#4)</t>
  </si>
  <si>
    <t>Muslim Societies in African History</t>
  </si>
  <si>
    <t>David Robinson</t>
  </si>
  <si>
    <t>Robinson, David</t>
  </si>
  <si>
    <t>to-read (#5)</t>
  </si>
  <si>
    <t>A History of Modern Africa: 1800 to the Present</t>
  </si>
  <si>
    <t>to-read (#320)</t>
  </si>
  <si>
    <t>The Fate of Africa: A History of Fifty Years of Independence</t>
  </si>
  <si>
    <t>Martin Meredith</t>
  </si>
  <si>
    <t>Meredith, Martin</t>
  </si>
  <si>
    <t>to-read (#319)</t>
  </si>
  <si>
    <t>Africans: The History of a Continent</t>
  </si>
  <si>
    <t>John Iliffe</t>
  </si>
  <si>
    <t>Iliffe, John</t>
  </si>
  <si>
    <t>to-read (#3)</t>
  </si>
  <si>
    <t>Drink, Power, and Cultural Change: A Social History of Alcohol in Ghana, C. 1800 to Recent Times</t>
  </si>
  <si>
    <t>Emmanuel Kwaku Akyeampong</t>
  </si>
  <si>
    <t>Akyeampong, Emmanuel Kwaku</t>
  </si>
  <si>
    <t>Heinemann Educational Books</t>
  </si>
  <si>
    <t>to-read (#7)</t>
  </si>
  <si>
    <t>Cloth in West African History</t>
  </si>
  <si>
    <t>Colleen E. Kriger</t>
  </si>
  <si>
    <t>Kriger, Colleen E.</t>
  </si>
  <si>
    <t>to-read (#318)</t>
  </si>
  <si>
    <t>World Eras: West African Kingdoms 500-1590</t>
  </si>
  <si>
    <t>Pierre-Damien Mvuyekure</t>
  </si>
  <si>
    <t>Mvuyekure, Pierre-Damien</t>
  </si>
  <si>
    <t>Gale</t>
  </si>
  <si>
    <t>to-read (#6)</t>
  </si>
  <si>
    <t>A History of Nigeria</t>
  </si>
  <si>
    <t>Toyin Falola</t>
  </si>
  <si>
    <t>Falola, Toyin</t>
  </si>
  <si>
    <t>Matthew M. Heaton</t>
  </si>
  <si>
    <t>to-read (#317)</t>
  </si>
  <si>
    <t>The Great Lakes of Africa: Two Thousand Years of History</t>
  </si>
  <si>
    <t>Jean-Pierre ChrÃ©tien</t>
  </si>
  <si>
    <t>ChrÃ©tien, Jean-Pierre</t>
  </si>
  <si>
    <t>Scott Straus</t>
  </si>
  <si>
    <t>Zone Books (NY)</t>
  </si>
  <si>
    <t>to-read (#316)</t>
  </si>
  <si>
    <t>Wanderings in West Africa</t>
  </si>
  <si>
    <t>Richard Francis Burton</t>
  </si>
  <si>
    <t>Burton, Richard Francis</t>
  </si>
  <si>
    <t>to-read (#2)</t>
  </si>
  <si>
    <t>Ancient Israel: What Do We Know and How Do We Know It?</t>
  </si>
  <si>
    <t>Lester L. Grabbe</t>
  </si>
  <si>
    <t>Grabbe, Lester L.</t>
  </si>
  <si>
    <t>to-read (#315)</t>
  </si>
  <si>
    <t>Law and Life: The Interpretation of Leviticus 18:5 in Early Judaism and in Paul</t>
  </si>
  <si>
    <t>Preston M. Sprinkle</t>
  </si>
  <si>
    <t>Sprinkle, Preston M.</t>
  </si>
  <si>
    <t>Mohr Siebeck</t>
  </si>
  <si>
    <t>to-read (#314)</t>
  </si>
  <si>
    <t>The Meaning of Righteousness in Paul: A Linguistic and Theological Enquiry</t>
  </si>
  <si>
    <t>J.A. Ziesler</t>
  </si>
  <si>
    <t>Ziesler, J.A.</t>
  </si>
  <si>
    <t>to-read (#313)</t>
  </si>
  <si>
    <t>Torah in the Ethics of Paul</t>
  </si>
  <si>
    <t>Martin Meiser</t>
  </si>
  <si>
    <t>Meiser, Martin</t>
  </si>
  <si>
    <t>to-read (#312)</t>
  </si>
  <si>
    <t>The Reverse Of The Curse: Paul, Wisdom, And The Law (Wissenshaftliche Untersuchungen Zum Neuen Testament Reihe, 114)</t>
  </si>
  <si>
    <t>C. Marvin Pate</t>
  </si>
  <si>
    <t>Pate, C. Marvin</t>
  </si>
  <si>
    <t>Marvin C. Pate</t>
  </si>
  <si>
    <t>to-read (#311)</t>
  </si>
  <si>
    <t>The Law in Galatians</t>
  </si>
  <si>
    <t>In-Gyu Hong</t>
  </si>
  <si>
    <t>Hong, In-Gyu</t>
  </si>
  <si>
    <t>Sheffield Academic Press</t>
  </si>
  <si>
    <t>to-read (#310)</t>
  </si>
  <si>
    <t>Anti-Judaism in Galatians?: Exegetical Studies on a Polemical Letter and on Paul's Theology</t>
  </si>
  <si>
    <t>Michael Bachmann</t>
  </si>
  <si>
    <t>Bachmann, Michael</t>
  </si>
  <si>
    <t>Robert L. Brawley</t>
  </si>
  <si>
    <t>to-read (#309)</t>
  </si>
  <si>
    <t>Abrahamic Descent, Testamentary Adoption, and the Law in Galatians: Differentiating Abraham S Sons, Seed, and Children of Promise</t>
  </si>
  <si>
    <t>Bradley Trick</t>
  </si>
  <si>
    <t>Trick, Bradley</t>
  </si>
  <si>
    <t>to-read (#308)</t>
  </si>
  <si>
    <t>The Curse of the Law and the Crisis in Galatia: Reassessing the Purpose of Galatians</t>
  </si>
  <si>
    <t>Todd A. Wilson</t>
  </si>
  <si>
    <t>Wilson, Todd A.</t>
  </si>
  <si>
    <t>to-read (#307)</t>
  </si>
  <si>
    <t>The Plato Papers</t>
  </si>
  <si>
    <t>Peter Ackroyd</t>
  </si>
  <si>
    <t>Ackroyd, Peter</t>
  </si>
  <si>
    <t>to-read (#306)</t>
  </si>
  <si>
    <t>God's War: A New History of the Crusades</t>
  </si>
  <si>
    <t>Christopher Tyerman</t>
  </si>
  <si>
    <t>Tyerman, Christopher</t>
  </si>
  <si>
    <t>to-read (#305)</t>
  </si>
  <si>
    <t>The Crusades</t>
  </si>
  <si>
    <t>Hans Eberhard Mayer</t>
  </si>
  <si>
    <t>Mayer, Hans Eberhard</t>
  </si>
  <si>
    <t>to-read (#304)</t>
  </si>
  <si>
    <t>The Qur'an and Its Biblical Subtext</t>
  </si>
  <si>
    <t>to-read (#303)</t>
  </si>
  <si>
    <t>The Qur'an: A Historical-Critical Introduction</t>
  </si>
  <si>
    <t>Nicolai Sinai</t>
  </si>
  <si>
    <t>Sinai, Nicolai</t>
  </si>
  <si>
    <t>Edinburgh University Press</t>
  </si>
  <si>
    <t>to-read (#302)</t>
  </si>
  <si>
    <t>Hermeneutics: Facts and Interpretation in the Age of Information</t>
  </si>
  <si>
    <t>John D. Caputo</t>
  </si>
  <si>
    <t>Caputo, John D.</t>
  </si>
  <si>
    <t xml:space="preserve">Pelican </t>
  </si>
  <si>
    <t>to-read (#301)</t>
  </si>
  <si>
    <t>Paul and the Law</t>
  </si>
  <si>
    <t>Heikki Raisanen</t>
  </si>
  <si>
    <t>Raisanen, Heikki</t>
  </si>
  <si>
    <t>Wipf &amp; Stock Publishers</t>
  </si>
  <si>
    <t>Marcion, Muhammad and Mahatma: Exegetical Perspectives on the Encounter of Cultures and Faith</t>
  </si>
  <si>
    <t>to-read (#300)</t>
  </si>
  <si>
    <t>Paul and the Mosaic Law</t>
  </si>
  <si>
    <t>to-read (#299)</t>
  </si>
  <si>
    <t>Evicted: Poverty and Profit in the American City</t>
  </si>
  <si>
    <t>Matthew Desmond</t>
  </si>
  <si>
    <t>Desmond, Matthew</t>
  </si>
  <si>
    <t>Crown Publishers</t>
  </si>
  <si>
    <t>to-read (#298)</t>
  </si>
  <si>
    <t>Honoring the Son: Jesus in Earliest Christian Devotional Practice</t>
  </si>
  <si>
    <t>Lexham Press</t>
  </si>
  <si>
    <t>Christian Hospitality and Muslim Immigration in an Age of Fear</t>
  </si>
  <si>
    <t>Matthew Kaemingk</t>
  </si>
  <si>
    <t>Kaemingk, Matthew</t>
  </si>
  <si>
    <t>to-read (#297)</t>
  </si>
  <si>
    <t>Reading Capital</t>
  </si>
  <si>
    <t>Louis Althusser</t>
  </si>
  <si>
    <t>Althusser, Louis</t>
  </si>
  <si>
    <t>Ã‰tienne Balibar</t>
  </si>
  <si>
    <t>to-read (#296)</t>
  </si>
  <si>
    <t>Hegemony and Socialist Strategy: Towards a Radical Democratic Politics</t>
  </si>
  <si>
    <t>Ernesto Laclau</t>
  </si>
  <si>
    <t>Laclau, Ernesto</t>
  </si>
  <si>
    <t>Chantal Mouffe</t>
  </si>
  <si>
    <t>to-read (#295)</t>
  </si>
  <si>
    <t>Holy Resilience: The Bible's Traumatic Origins</t>
  </si>
  <si>
    <t>David M. Carr</t>
  </si>
  <si>
    <t>Carr, David M.</t>
  </si>
  <si>
    <t>to-read (#294)</t>
  </si>
  <si>
    <t>Blaming Jesus for Jehovah: Rethinking the Righteousness of Christianity</t>
  </si>
  <si>
    <t>Robert M. Price</t>
  </si>
  <si>
    <t>Price, Robert M.</t>
  </si>
  <si>
    <t>Valerie Tarico</t>
  </si>
  <si>
    <t>Tellectual Press</t>
  </si>
  <si>
    <t>to-read (#293)</t>
  </si>
  <si>
    <t>Hillbilly Elegy: A Memoir of a Family and Culture in Crisis</t>
  </si>
  <si>
    <t>J.D. Vance</t>
  </si>
  <si>
    <t>Vance, J.D.</t>
  </si>
  <si>
    <t>Forbidding Wrong in Islam: An Introduction</t>
  </si>
  <si>
    <t>The Origins of Biblical Monotheism: Israel's Polytheistic Background and the Ugaritic Texts</t>
  </si>
  <si>
    <t>Understanding Jihad</t>
  </si>
  <si>
    <t>The Princeton Encyclopedia of Islamic Political Thought</t>
  </si>
  <si>
    <t>Gerhard Bowering</t>
  </si>
  <si>
    <t>Bowering, Gerhard</t>
  </si>
  <si>
    <t>Muhammad Qasim Zaman, Mahan Mirza, Wadad Kadi, Devin J. Stewart, Richard W. Bulliet, David Cook, Roxanne L. Euben, Khaled Fahmy, Frank Griffel, Bernard Haykel, Robert W. Hefner, Timur Kuran, Ebrahim Moosa, Jane Dammen McAuliffe</t>
  </si>
  <si>
    <t>to-read (#292)</t>
  </si>
  <si>
    <t>Reading the New Nietzsche: The Birth of Tragedy, the Gay Science, Thus Spoken Zarathustra, and on the Genealogy of Morals</t>
  </si>
  <si>
    <t>David B. Allison</t>
  </si>
  <si>
    <t>Allison, David B.</t>
  </si>
  <si>
    <t>Nietzsche on Morality (Routledge Philosophy Guidebooks)</t>
  </si>
  <si>
    <t>Brian Leiter</t>
  </si>
  <si>
    <t>Leiter, Brian</t>
  </si>
  <si>
    <t>Myths from Mesopotamia: Creation, the Flood, Gilgamesh, and Others</t>
  </si>
  <si>
    <t>Anonymous</t>
  </si>
  <si>
    <t>Anonymous, Anonymous</t>
  </si>
  <si>
    <t>Stephanie Dalley</t>
  </si>
  <si>
    <t>to-read (#291)</t>
  </si>
  <si>
    <t>The Antichrist</t>
  </si>
  <si>
    <t>H.L. Mencken</t>
  </si>
  <si>
    <t>Digireads.com</t>
  </si>
  <si>
    <t>The Godfather Effect: Changing Hollywood, America, and Me</t>
  </si>
  <si>
    <t>Tom Santopietro</t>
  </si>
  <si>
    <t>Santopietro, Tom</t>
  </si>
  <si>
    <t>Thomas Dunne Books</t>
  </si>
  <si>
    <t>to-read (#290)</t>
  </si>
  <si>
    <t>On the Genealogy of Morals</t>
  </si>
  <si>
    <t>Douglas Smith</t>
  </si>
  <si>
    <t>Three Philosophers: Aristotle, Aquinas, Frege</t>
  </si>
  <si>
    <t>G.E.M. Anscombe</t>
  </si>
  <si>
    <t>Anscombe, G.E.M.</t>
  </si>
  <si>
    <t>Peter T. Geach</t>
  </si>
  <si>
    <t>to-read (#289)</t>
  </si>
  <si>
    <t>Modern Moral Philosophy</t>
  </si>
  <si>
    <t>Royal Institute of Philosophy</t>
  </si>
  <si>
    <t>to-read (#288)</t>
  </si>
  <si>
    <t>From Plato to Wittgenstein: Essays by GEM Anscombe</t>
  </si>
  <si>
    <t>Mary Geach, Luke Gormally</t>
  </si>
  <si>
    <t>Imprint Academic</t>
  </si>
  <si>
    <t>to-read (#287)</t>
  </si>
  <si>
    <t>Intention</t>
  </si>
  <si>
    <t>to-read (#286)</t>
  </si>
  <si>
    <t>The Bad Jesus: The Ethics of New Testament Ethics</t>
  </si>
  <si>
    <t>Hector Avalos</t>
  </si>
  <si>
    <t>Avalos, Hector</t>
  </si>
  <si>
    <t>Sheffield Phoenix Press</t>
  </si>
  <si>
    <t>to-read (#285)</t>
  </si>
  <si>
    <t>The Early History of God: Yahweh and the Other Deities in Ancient Israel</t>
  </si>
  <si>
    <t>Patrick D. Miller</t>
  </si>
  <si>
    <t>The Price of Monotheism</t>
  </si>
  <si>
    <t>Jesus, Interrupted: Revealing the Hidden Contradictions in the Bible &amp; Why We Don't Know About Them</t>
  </si>
  <si>
    <t>Bart D. Ehrman</t>
  </si>
  <si>
    <t>Ehrman, Bart D.</t>
  </si>
  <si>
    <t>HarperCollins (NY)</t>
  </si>
  <si>
    <t>The Last Man in Russia: The Struggle to Save a Dying Nation</t>
  </si>
  <si>
    <t>Oliver Bullough</t>
  </si>
  <si>
    <t>Bullough, Oliver</t>
  </si>
  <si>
    <t>to-read (#284)</t>
  </si>
  <si>
    <t>Beyond Good and Evil</t>
  </si>
  <si>
    <t>R.J. Hollingdale, Michael Tanner</t>
  </si>
  <si>
    <t>Natural Goodness</t>
  </si>
  <si>
    <t>Philippa Foot</t>
  </si>
  <si>
    <t>Foot, Philippa</t>
  </si>
  <si>
    <t>Superpower: Three Choices for America's Role in the World</t>
  </si>
  <si>
    <t>Ian Bremmer</t>
  </si>
  <si>
    <t>Bremmer, Ian</t>
  </si>
  <si>
    <t>to-read (#282)</t>
  </si>
  <si>
    <t>Strategic Vision: America and the Crisis of Global Power</t>
  </si>
  <si>
    <t>Zbigniew BrzeziÅ„ski</t>
  </si>
  <si>
    <t>BrzeziÅ„ski, Zbigniew</t>
  </si>
  <si>
    <t>The Grand Chessboard: American Primacy and its Geostrategic Imperatives</t>
  </si>
  <si>
    <t>HarperCollins Study Bible: Fully Revised &amp; Updated</t>
  </si>
  <si>
    <t>Harold W. Attridge</t>
  </si>
  <si>
    <t>Attridge, Harold W.</t>
  </si>
  <si>
    <t>Society Of Biblical Literature</t>
  </si>
  <si>
    <t>to-read (#171)</t>
  </si>
  <si>
    <t>America in Retreat: The New Isolationism and the Coming Global Disorder</t>
  </si>
  <si>
    <t>Bret Stephens</t>
  </si>
  <si>
    <t>Stephens, Bret</t>
  </si>
  <si>
    <t>to-read (#283)</t>
  </si>
  <si>
    <t>Nothing Is True and Everything Is Possible: The Surreal Heart of the New Russia</t>
  </si>
  <si>
    <t>Peter Pomerantsev</t>
  </si>
  <si>
    <t>Pomerantsev, Peter</t>
  </si>
  <si>
    <t>The Triumph of Christianity: How a Small Band of Outcasts Conquered an Empire</t>
  </si>
  <si>
    <t>George Newburn</t>
  </si>
  <si>
    <t>Homicide: A Year on the Killing Streets</t>
  </si>
  <si>
    <t>David Simon</t>
  </si>
  <si>
    <t>Simon, David</t>
  </si>
  <si>
    <t>Picador USA</t>
  </si>
  <si>
    <t>The Stranger</t>
  </si>
  <si>
    <t>Matthew  Ward</t>
  </si>
  <si>
    <t>Vintage International</t>
  </si>
  <si>
    <t>All the Kremlin's Men: Inside the Court of Vladimir Putin</t>
  </si>
  <si>
    <t>Mikhail Zygar</t>
  </si>
  <si>
    <t>Zygar, Mikhail</t>
  </si>
  <si>
    <t>Restoring the Balance: A Middle East Strategy for the Next President</t>
  </si>
  <si>
    <t>Martin S. Indyk</t>
  </si>
  <si>
    <t>Indyk, Martin S.</t>
  </si>
  <si>
    <t>council-on-foreign-relations (#50), to-read (#281)</t>
  </si>
  <si>
    <t xml:space="preserve">Ruling but Not Governing: The Military and Political Development in Egypt, Algeria, and Turkey  </t>
  </si>
  <si>
    <t>Steven A. Cook</t>
  </si>
  <si>
    <t>Cook, Steven A.</t>
  </si>
  <si>
    <t>council-on-foreign-relations (#49), to-read (#280)</t>
  </si>
  <si>
    <t>The New Digital Age: Reshaping the Future of People, Nations and Business</t>
  </si>
  <si>
    <t>Eric Schmidt</t>
  </si>
  <si>
    <t>Schmidt, Eric</t>
  </si>
  <si>
    <t>Jared Cohen</t>
  </si>
  <si>
    <t>Hodder And Stoughton Limited</t>
  </si>
  <si>
    <t>council-on-foreign-relations (#48), to-read (#279)</t>
  </si>
  <si>
    <t>Children of Jihad: A Young American's Travels Among the Youth of the Middle East</t>
  </si>
  <si>
    <t>Cohen, Jared</t>
  </si>
  <si>
    <t>Ø¬Ø§Ø±ÙŠØ¯ ÙƒÙˆÙ‡Ù†</t>
  </si>
  <si>
    <t>Gotham</t>
  </si>
  <si>
    <t>council-on-foreign-relations (#46), to-read (#277)</t>
  </si>
  <si>
    <t>One Hundred Days of Silence: America and the Rwanda Genocide</t>
  </si>
  <si>
    <t>council-on-foreign-relations (#47), to-read (#278)</t>
  </si>
  <si>
    <t>War Made New: Technology, Warfare, and the Course of History: 1500 to Today</t>
  </si>
  <si>
    <t>Max Boot</t>
  </si>
  <si>
    <t>Boot, Max</t>
  </si>
  <si>
    <t>council-on-foreign-relations (#45), to-read (#276)</t>
  </si>
  <si>
    <t>The Savage Wars of Peace: Small Wars and the Rise of American Power</t>
  </si>
  <si>
    <t>council-on-foreign-relations (#43), to-read (#274)</t>
  </si>
  <si>
    <t>Invisible Armies: An Epic History of Guerrilla Warfare from Ancient Times to the Present</t>
  </si>
  <si>
    <t>Liveright Publishing Corporation/W.W. Norton &amp; Company, Inc.</t>
  </si>
  <si>
    <t>council-on-foreign-relations (#44), to-read (#275)</t>
  </si>
  <si>
    <t>America's Asian Alliances</t>
  </si>
  <si>
    <t>Robert D. Blackwill</t>
  </si>
  <si>
    <t>Blackwill, Robert D.</t>
  </si>
  <si>
    <t>council-on-foreign-relations (#41), to-read (#272)</t>
  </si>
  <si>
    <t>Revising U.S. Grand Strategy Toward China</t>
  </si>
  <si>
    <t>Ashley J. Tellis</t>
  </si>
  <si>
    <t>Council on Foreign Relations Press</t>
  </si>
  <si>
    <t>council-on-foreign-relations (#42), to-read (#273)</t>
  </si>
  <si>
    <t>Lee Kuan Yew: The Grand Master's Insights on China, the United States, and the World</t>
  </si>
  <si>
    <t>Graham Allison, Robert D. Blackwill, Ali Wyne, Henry Kissinger</t>
  </si>
  <si>
    <t>council-on-foreign-relations (#40), to-read (#271)</t>
  </si>
  <si>
    <t>Iran: The Nuclear Challenge</t>
  </si>
  <si>
    <t>Elliot Abrams, Robert M. Danin, Richar A. Falkenrath, Matthew Kroenig, Meghan O'Sullivan, Ray Takeyh</t>
  </si>
  <si>
    <t xml:space="preserve"> Council on Foreign Relations Press</t>
  </si>
  <si>
    <t>council-on-foreign-relations (#37), to-read (#268)</t>
  </si>
  <si>
    <t>War by Other Means: Geoeconomics and Statecraft</t>
  </si>
  <si>
    <t>Jennifer M. Harris</t>
  </si>
  <si>
    <t>council-on-foreign-relations (#38), to-read (#269)</t>
  </si>
  <si>
    <t>Xi Jinping on the Global Stage: Chinese Foreign Policy Under a Powerful but Exposed Leader</t>
  </si>
  <si>
    <t>Kurt Campbell</t>
  </si>
  <si>
    <t>council-on-foreign-relations (#39), to-read (#270)</t>
  </si>
  <si>
    <t>The 2006 Lebanon Campaign And The Future Of Warfare: Implications For Army And Defense Policy</t>
  </si>
  <si>
    <t>Stephen D. Biddle</t>
  </si>
  <si>
    <t>Biddle, Stephen D.</t>
  </si>
  <si>
    <t>Jeffrey A. Friedman</t>
  </si>
  <si>
    <t>Strategic Studies Institute/U.S. Army War College</t>
  </si>
  <si>
    <t>council-on-foreign-relations (#34), to-read (#265)</t>
  </si>
  <si>
    <t>American Grand Strategy After 9/11: An Assessment</t>
  </si>
  <si>
    <t>council-on-foreign-relations (#35), to-read (#266)</t>
  </si>
  <si>
    <t>Debating Ends, not Just Means, in the War on Terror</t>
  </si>
  <si>
    <t>Anthony Hall</t>
  </si>
  <si>
    <t>Nook</t>
  </si>
  <si>
    <t>council-on-foreign-relations (#36), to-read (#267)</t>
  </si>
  <si>
    <t>Afghanistan and the Future of Warfare: Implications for Army and Defense Policy</t>
  </si>
  <si>
    <t>University Press of the Pacific</t>
  </si>
  <si>
    <t>council-on-foreign-relations (#33), to-read (#264)</t>
  </si>
  <si>
    <t>Military Power: Explaining Victory and Defeat in Modern Battle</t>
  </si>
  <si>
    <t>council-on-foreign-relations (#32), to-read (#263)</t>
  </si>
  <si>
    <t>Turkey's Kurdish Question</t>
  </si>
  <si>
    <t>Henri J. Barkey</t>
  </si>
  <si>
    <t>Barkey, Henri J.</t>
  </si>
  <si>
    <t>Graham E. Fuller, Morton I. Abramowitz, Carnegie Commission on Preventing Deadly Conflict</t>
  </si>
  <si>
    <t>council-on-foreign-relations (#30), to-read (#261)</t>
  </si>
  <si>
    <t>The State And The Industrialization Crisis In Turkey</t>
  </si>
  <si>
    <t>Westview Press</t>
  </si>
  <si>
    <t>council-on-foreign-relations (#31), to-read (#262)</t>
  </si>
  <si>
    <t>Iraq, Its Neighbors, and the United States: Competition, Crisis, and the Reordering of Power</t>
  </si>
  <si>
    <t>Scott B. Lasensky, Phebe Marr</t>
  </si>
  <si>
    <t>United States Institute of Peace Press</t>
  </si>
  <si>
    <t>council-on-foreign-relations (#29), to-read (#260)</t>
  </si>
  <si>
    <t>Speaking Like a State</t>
  </si>
  <si>
    <t>Alyssa Ayres</t>
  </si>
  <si>
    <t>Ayres, Alyssa</t>
  </si>
  <si>
    <t>council-on-foreign-relations (#27), to-read (#258)</t>
  </si>
  <si>
    <t>Power Realignments in Asia: China, India, and the United States</t>
  </si>
  <si>
    <t>C. Raja Mohan</t>
  </si>
  <si>
    <t>Sage Publications (CA)</t>
  </si>
  <si>
    <t>council-on-foreign-relations (#28), to-read (#259)</t>
  </si>
  <si>
    <t>Economic Sanctions and American Diplomacy</t>
  </si>
  <si>
    <t>council-on-foreign-relations (#24), to-read (#255)</t>
  </si>
  <si>
    <t>The Closing of the American Border: Terrorism, Immigration, and Security Since 9/11</t>
  </si>
  <si>
    <t>Edward Alden</t>
  </si>
  <si>
    <t>Alden, Edward</t>
  </si>
  <si>
    <t>council-on-foreign-relations (#25), to-read (#256)</t>
  </si>
  <si>
    <t>How America Stacks Up: Economic Competitiveness and U.S. Policy</t>
  </si>
  <si>
    <t>Rebecca Strauss</t>
  </si>
  <si>
    <t>council-on-foreign-relations (#26), to-read (#257)</t>
  </si>
  <si>
    <t>Trans-Atlantic Tensions: The United States, Europe, and Problem Countries</t>
  </si>
  <si>
    <t>council-on-foreign-relations (#23), to-read (#254)</t>
  </si>
  <si>
    <t>Conflicts Unending: The United States and Regional Disputes</t>
  </si>
  <si>
    <t>council-on-foreign-relations (#22), to-read (#253)</t>
  </si>
  <si>
    <t>Honey and Vinegar: Incentives, Sanctions, and Foreign Policy</t>
  </si>
  <si>
    <t>council-on-foreign-relations (#20), to-read (#251)</t>
  </si>
  <si>
    <t>The Power to Persuade</t>
  </si>
  <si>
    <t>Houghton Mifflin</t>
  </si>
  <si>
    <t>council-on-foreign-relations (#21), to-read (#252)</t>
  </si>
  <si>
    <t>The Bureaucratic Entrepreneur: How to Be Effective in Any Unruly Organization</t>
  </si>
  <si>
    <t>council-on-foreign-relations (#17), to-read (#248)</t>
  </si>
  <si>
    <t>The Reluctant Sheriff: The United States After the Cold War</t>
  </si>
  <si>
    <t>council-on-foreign-relations (#18), to-read (#249)</t>
  </si>
  <si>
    <t>Intervention: The Use of American Military Force in the Post-Cold War World</t>
  </si>
  <si>
    <t>Carnegie Endowment for Int'l Peace</t>
  </si>
  <si>
    <t>council-on-foreign-relations (#19), to-read (#250)</t>
  </si>
  <si>
    <t>War of Necessity, War of Choice: A Memoir of Two Iraq Wars</t>
  </si>
  <si>
    <t>council-on-foreign-relations (#15), to-read (#246)</t>
  </si>
  <si>
    <t>The Opportunity</t>
  </si>
  <si>
    <t>council-on-foreign-relations (#16), to-read (#247)</t>
  </si>
  <si>
    <t>Foreign Policy Begins at Home: The Case for Putting America's House in Order</t>
  </si>
  <si>
    <t>council-on-foreign-relations (#14), to-read (#245)</t>
  </si>
  <si>
    <t>Taming the Sun: Innovations to Harness Solar Energy and Power the Planet</t>
  </si>
  <si>
    <t>Varun Sivaram</t>
  </si>
  <si>
    <t>Sivaram, Varun</t>
  </si>
  <si>
    <t>council-on-foreign-relations (#13), to-read (#244)</t>
  </si>
  <si>
    <t>The Road Not Taken: Edward Lansdale and the American Tragedy in Vietnam</t>
  </si>
  <si>
    <t>council-on-foreign-relations (#11), to-read (#242)</t>
  </si>
  <si>
    <t>The Marshall Plan: Dawn of the Cold War</t>
  </si>
  <si>
    <t>Benn Steil</t>
  </si>
  <si>
    <t>Steil, Benn</t>
  </si>
  <si>
    <t>council-on-foreign-relations (#12), to-read (#243)</t>
  </si>
  <si>
    <t>South Korea at the Crossroads: Autonomy and Alliance in an Era of Rival Powers</t>
  </si>
  <si>
    <t>Scott A. Snyder</t>
  </si>
  <si>
    <t>Snyder, Scott A.</t>
  </si>
  <si>
    <t>council-on-foreign-relations (#10), to-read (#241)</t>
  </si>
  <si>
    <t>Our Time Has Come: How India Is Making Its Place in the World</t>
  </si>
  <si>
    <t>council-on-foreign-relations (#9), to-read (#240)</t>
  </si>
  <si>
    <t>Failure to Adjust: How Americans Got Left Behind in the Global Economy (A Council on Foreign Relations Book)</t>
  </si>
  <si>
    <t>council-on-foreign-relations (#7), to-read (#238)</t>
  </si>
  <si>
    <t>The Man Who Knew: The Life and Times of Alan Greenspan</t>
  </si>
  <si>
    <t>Sebastian Mallaby</t>
  </si>
  <si>
    <t>Mallaby, Sebastian</t>
  </si>
  <si>
    <t>council-on-foreign-relations (#8), to-read (#239)</t>
  </si>
  <si>
    <t>False Dawn: Protest, Democracy, and Violence in the New Middle East</t>
  </si>
  <si>
    <t>council-on-foreign-relations (#4), to-read (#236)</t>
  </si>
  <si>
    <t>A Great Place To Have A War: America in Laos and the Birth of a Military CIA</t>
  </si>
  <si>
    <t>Joshua Kurlantzick</t>
  </si>
  <si>
    <t>Kurlantzick, Joshua</t>
  </si>
  <si>
    <t>Simon &amp; Schuster, Inc.</t>
  </si>
  <si>
    <t>council-on-foreign-relations (#5), to-read (#237)</t>
  </si>
  <si>
    <t>Realism and Democracy: American Foreign Policy After the Arab Spring</t>
  </si>
  <si>
    <t>Elliott Abrams</t>
  </si>
  <si>
    <t>Abrams, Elliott</t>
  </si>
  <si>
    <t>council-on-foreign-relations (#3), to-read (#235)</t>
  </si>
  <si>
    <t>The Sovereignty Wars: Reconciling America with the World</t>
  </si>
  <si>
    <t>Stewart Patrick</t>
  </si>
  <si>
    <t>Patrick, Stewart</t>
  </si>
  <si>
    <t>council-on-foreign-relations (#2), to-read (#234)</t>
  </si>
  <si>
    <t>Preventive Engagement: How America Can Avoid War, Stay Strong, and Keep the Peace</t>
  </si>
  <si>
    <t>Paul B Stares</t>
  </si>
  <si>
    <t>Stares, Paul B</t>
  </si>
  <si>
    <t>council-on-foreign-relations (#1), to-read (#233)</t>
  </si>
  <si>
    <t>The Son of God in the Roman World: Divine Sonship in Its Social and Political Context</t>
  </si>
  <si>
    <t>Michael Peppard</t>
  </si>
  <si>
    <t>Peppard, Michael</t>
  </si>
  <si>
    <t>to-read (#232)</t>
  </si>
  <si>
    <t>A Man Attested by God: The Human Jesus of the Synoptic Gospels</t>
  </si>
  <si>
    <t>J.R. Daniel Kirk</t>
  </si>
  <si>
    <t>Kirk, J.R. Daniel</t>
  </si>
  <si>
    <t>to-read (#231)</t>
  </si>
  <si>
    <t>Jesus Monotheism</t>
  </si>
  <si>
    <t>Crispin Fletcher-Louis</t>
  </si>
  <si>
    <t>Fletcher-Louis, Crispin</t>
  </si>
  <si>
    <t>Cascade Books</t>
  </si>
  <si>
    <t>to-read (#230)</t>
  </si>
  <si>
    <t>The World Turned Upside Down: Maintaining American Leadership in a Dangerous Age</t>
  </si>
  <si>
    <t>R. Nicholas Burns</t>
  </si>
  <si>
    <t>Burns, R. Nicholas</t>
  </si>
  <si>
    <t>Joseph S. Nye Jr., Condoleezza Rice, Philip D. Zelikow, Michael Froman, Stephen E. Biegun, Carla Anne Robbins, David E. Sanger, Christopher Kirchhoff, Richard Danzig, John Deutch, Anja Manuel, David Shambaugh, John Dowdy, Dov S. Zakheim, MichÃ¨le Flournoy, Stephen Hadley, Leah Bitounis, Madeleine K. Albright, Jonathon Price</t>
  </si>
  <si>
    <t>BookBaby</t>
  </si>
  <si>
    <t>to-read (#229)</t>
  </si>
  <si>
    <t>Confront and Conceal: Obama's Secret Wars and Surprising Use of American Power</t>
  </si>
  <si>
    <t>David E. Sanger</t>
  </si>
  <si>
    <t>Sanger, David E.</t>
  </si>
  <si>
    <t>to-read (#228)</t>
  </si>
  <si>
    <t>Raven Rock: The Story of the U.S. Governmentâ€™s Secret Plan to Save Itself -- While the Rest of Us Die</t>
  </si>
  <si>
    <t>Garrett M. Graff</t>
  </si>
  <si>
    <t>Graff, Garrett M.</t>
  </si>
  <si>
    <t>to-read (#227)</t>
  </si>
  <si>
    <t>Jihadi Culture</t>
  </si>
  <si>
    <t>Thomas Hegghammer</t>
  </si>
  <si>
    <t>Hegghammer, Thomas</t>
  </si>
  <si>
    <t>to-read (#226)</t>
  </si>
  <si>
    <t>Putin's Kleptocracy: Who Owns Russia?</t>
  </si>
  <si>
    <t>Karen Dawisha</t>
  </si>
  <si>
    <t>Dawisha, Karen</t>
  </si>
  <si>
    <t>to-read (#225)</t>
  </si>
  <si>
    <t>The Future of War: A History</t>
  </si>
  <si>
    <t>to-read (#224)</t>
  </si>
  <si>
    <t>When the World Seemed New: George H. W. Bush and the End of the Cold War</t>
  </si>
  <si>
    <t>Jeffrey A. Engel</t>
  </si>
  <si>
    <t>Engel, Jeffrey A.</t>
  </si>
  <si>
    <t>to-read (#223)</t>
  </si>
  <si>
    <t>Inside Terrorism</t>
  </si>
  <si>
    <t>Bruce Hoffman</t>
  </si>
  <si>
    <t>Hoffman, Bruce</t>
  </si>
  <si>
    <t>to-read (#222)</t>
  </si>
  <si>
    <t>The Future of Strategy</t>
  </si>
  <si>
    <t>Colin S. Gray</t>
  </si>
  <si>
    <t>Gray, Colin S.</t>
  </si>
  <si>
    <t>to-read (#221)</t>
  </si>
  <si>
    <t>The Limits of Partnership: U.S.-Russian Relations in the Twenty-First Century</t>
  </si>
  <si>
    <t>Angela Stent</t>
  </si>
  <si>
    <t>Stent, Angela</t>
  </si>
  <si>
    <t>to-read (#220)</t>
  </si>
  <si>
    <t>Violence and Restraint in Civil War</t>
  </si>
  <si>
    <t>Jessica Stanton</t>
  </si>
  <si>
    <t>Stanton, Jessica</t>
  </si>
  <si>
    <t>to-read (#219)</t>
  </si>
  <si>
    <t>Over the Horizon: Time, Uncertainty, and the Rise of Great Powers</t>
  </si>
  <si>
    <t>David M Edelstein</t>
  </si>
  <si>
    <t>Edelstein, David M</t>
  </si>
  <si>
    <t>to-read (#218)</t>
  </si>
  <si>
    <t>A Peace to End All Peace: The Fall of the Ottoman Empire and The Creation of the Modern Middle East</t>
  </si>
  <si>
    <t>David Fromkin</t>
  </si>
  <si>
    <t>Fromkin, David</t>
  </si>
  <si>
    <t>Owl Books</t>
  </si>
  <si>
    <t>to-read (#217)</t>
  </si>
  <si>
    <t>In Defence of War</t>
  </si>
  <si>
    <t>Nigel Biggar</t>
  </si>
  <si>
    <t>Biggar, Nigel</t>
  </si>
  <si>
    <t>to-read (#216)</t>
  </si>
  <si>
    <t>The Art of Creating Power: Freedman on Strategy</t>
  </si>
  <si>
    <t>Benedict Wilkinson</t>
  </si>
  <si>
    <t>Wilkinson, Benedict</t>
  </si>
  <si>
    <t>James Gow</t>
  </si>
  <si>
    <t>to-read (#215)</t>
  </si>
  <si>
    <t>The Despot's Accomplice: How the West Is Aiding and Abetting the Decline of Democracy</t>
  </si>
  <si>
    <t>Brian Klaas</t>
  </si>
  <si>
    <t>Klaas, Brian</t>
  </si>
  <si>
    <t>to-read (#214)</t>
  </si>
  <si>
    <t>The Tragedy of American Diplomacy</t>
  </si>
  <si>
    <t>William Appleman Williams</t>
  </si>
  <si>
    <t>Williams, William Appleman</t>
  </si>
  <si>
    <t>to-read (#213)</t>
  </si>
  <si>
    <t>The Last Ottoman Generation and the Making of the Modern Middle East</t>
  </si>
  <si>
    <t>Michael Provence</t>
  </si>
  <si>
    <t>Provence, Michael</t>
  </si>
  <si>
    <t>to-read (#212)</t>
  </si>
  <si>
    <t>A History of the Future: Prophets of Progress from H.G. Wells to Isaac Asimov</t>
  </si>
  <si>
    <t>Peter J. Bowler</t>
  </si>
  <si>
    <t>Bowler, Peter J.</t>
  </si>
  <si>
    <t>to-read (#211)</t>
  </si>
  <si>
    <t>Dictators and Their Secret Police: Coercive Institutions and State Violence</t>
  </si>
  <si>
    <t>Sheena Chestnut Greitens</t>
  </si>
  <si>
    <t>Greitens, Sheena Chestnut</t>
  </si>
  <si>
    <t>to-read (#210)</t>
  </si>
  <si>
    <t>All Measures Short of War: The Contest for the Twenty-First Century and the Future of American Power</t>
  </si>
  <si>
    <t>Thomas J. Wright</t>
  </si>
  <si>
    <t>Wright, Thomas J.</t>
  </si>
  <si>
    <t>to-read (#209)</t>
  </si>
  <si>
    <t>Power Wars: Inside Obama's Post-9/11 Presidency</t>
  </si>
  <si>
    <t>Charlie Savage</t>
  </si>
  <si>
    <t>Savage, Charlie</t>
  </si>
  <si>
    <t>Little, Brown &amp; Company</t>
  </si>
  <si>
    <t>to-read (#208)</t>
  </si>
  <si>
    <t>When China Rules the World: The End of the Western World and the Birth of a New Global Order</t>
  </si>
  <si>
    <t>Martin Jacques</t>
  </si>
  <si>
    <t>Jacques, Martin</t>
  </si>
  <si>
    <t>to-read (#207)</t>
  </si>
  <si>
    <t>China: Fragile Superpower</t>
  </si>
  <si>
    <t>Susan L. Shirk</t>
  </si>
  <si>
    <t>Shirk, Susan L.</t>
  </si>
  <si>
    <t>to-read (#206)</t>
  </si>
  <si>
    <t>Capitalist Development and Democracy</t>
  </si>
  <si>
    <t>Dietrich Rueschemeyer</t>
  </si>
  <si>
    <t>Rueschemeyer, Dietrich</t>
  </si>
  <si>
    <t>John D. Stephens, Evelyne Huber Stephens</t>
  </si>
  <si>
    <t>University Of Chicago Press</t>
  </si>
  <si>
    <t>to-read (#205)</t>
  </si>
  <si>
    <t>The Rational Peasant: The Political Economy of Rural Society in Vietnam</t>
  </si>
  <si>
    <t>Samuel L. Popkin</t>
  </si>
  <si>
    <t>Popkin, Samuel L.</t>
  </si>
  <si>
    <t>to-read (#204)</t>
  </si>
  <si>
    <t>Strong Societies and Weak States: State-Society Relations and State Capabilities in the Third World</t>
  </si>
  <si>
    <t>Joel Samuel Migdal</t>
  </si>
  <si>
    <t>Migdal, Joel Samuel</t>
  </si>
  <si>
    <t>to-read (#203)</t>
  </si>
  <si>
    <t>Sudden Justice: America's Secret Drone Wars</t>
  </si>
  <si>
    <t>Chris Woods</t>
  </si>
  <si>
    <t>Woods, Chris</t>
  </si>
  <si>
    <t>to-read (#202)</t>
  </si>
  <si>
    <t>The Next 100 Years: A Forecast for the 21st Century</t>
  </si>
  <si>
    <t>George Friedman</t>
  </si>
  <si>
    <t>Friedman, George</t>
  </si>
  <si>
    <t>to-read (#201)</t>
  </si>
  <si>
    <t>North Korea: State of Paranoia: A Modern History</t>
  </si>
  <si>
    <t>Paul   French</t>
  </si>
  <si>
    <t>French, Paul</t>
  </si>
  <si>
    <t>to-read (#200)</t>
  </si>
  <si>
    <t>HIV Exceptionalism: Development through Disease in Sierra Leone</t>
  </si>
  <si>
    <t>Adia Benton</t>
  </si>
  <si>
    <t>Benton, Adia</t>
  </si>
  <si>
    <t>Univ Of Minnesota Press</t>
  </si>
  <si>
    <t>to-read (#199)</t>
  </si>
  <si>
    <t>How Long Will South Africa Survive?: The Looming Crisis</t>
  </si>
  <si>
    <t>R.W. Johnson</t>
  </si>
  <si>
    <t>Johnson, R.W.</t>
  </si>
  <si>
    <t>Jonathan Ball Publishers</t>
  </si>
  <si>
    <t>to-read (#198)</t>
  </si>
  <si>
    <t>All Necessary Measures: The United Nations and Humanitarian Intervention</t>
  </si>
  <si>
    <t>Carrie Booth Walling</t>
  </si>
  <si>
    <t>Walling, Carrie Booth</t>
  </si>
  <si>
    <t>to-read (#197)</t>
  </si>
  <si>
    <t>The Psychology of Strategy: Exploring Rationality in the Vietnam War</t>
  </si>
  <si>
    <t>Kenneth Payne</t>
  </si>
  <si>
    <t>Payne, Kenneth</t>
  </si>
  <si>
    <t>to-read (#196)</t>
  </si>
  <si>
    <t>Legions of Peace: UN Peacekeepers from the Global South</t>
  </si>
  <si>
    <t>Philip Cunliffe</t>
  </si>
  <si>
    <t>Cunliffe, Philip</t>
  </si>
  <si>
    <t>Hurst &amp; Co.</t>
  </si>
  <si>
    <t>to-read (#195)</t>
  </si>
  <si>
    <t>The Logic of Violence in Civil War</t>
  </si>
  <si>
    <t>Stathis N. Kalyvas</t>
  </si>
  <si>
    <t>Kalyvas, Stathis N.</t>
  </si>
  <si>
    <t>to-read (#194)</t>
  </si>
  <si>
    <t>Bounding Power: Republican Security Theory from the Polis to the Global Village</t>
  </si>
  <si>
    <t>Daniel H. Deudney</t>
  </si>
  <si>
    <t>Deudney, Daniel H.</t>
  </si>
  <si>
    <t>to-read (#193)</t>
  </si>
  <si>
    <t>Beyond Mothers, Monsters, Whores: Thinking about Women's Violence in Global Politics</t>
  </si>
  <si>
    <t>Caron E. Gentry</t>
  </si>
  <si>
    <t>Gentry, Caron E.</t>
  </si>
  <si>
    <t>Laura Sjoberg</t>
  </si>
  <si>
    <t>to-read (#192)</t>
  </si>
  <si>
    <t>Mothers, Monsters, Whores: Women's Violence in Global Politics</t>
  </si>
  <si>
    <t>Sjoberg, Laura</t>
  </si>
  <si>
    <t>to-read (#191)</t>
  </si>
  <si>
    <t>After Victory: Order and Power in International Politics</t>
  </si>
  <si>
    <t>G. John Ikenberry</t>
  </si>
  <si>
    <t>Ikenberry, G. John</t>
  </si>
  <si>
    <t>to-read (#190)</t>
  </si>
  <si>
    <t>Yahweh and the Gods and Goddesses of Canaan</t>
  </si>
  <si>
    <t>John Day</t>
  </si>
  <si>
    <t>Day, John</t>
  </si>
  <si>
    <t>Fragile Empire: How Russia Fell In and Out of Love with Vladimir Putin</t>
  </si>
  <si>
    <t>Ben Judah</t>
  </si>
  <si>
    <t>Judah, Ben</t>
  </si>
  <si>
    <t>to-read (#189)</t>
  </si>
  <si>
    <t>Pragmatism: A New Name for Some Old Ways of Thinking</t>
  </si>
  <si>
    <t>William  James</t>
  </si>
  <si>
    <t>James, William</t>
  </si>
  <si>
    <t>to-read (#188)</t>
  </si>
  <si>
    <t>Value, Reality, and Desire</t>
  </si>
  <si>
    <t>Graham Oddie</t>
  </si>
  <si>
    <t>Oddie, Graham</t>
  </si>
  <si>
    <t>Clarendon Press</t>
  </si>
  <si>
    <t>to-read (#187)</t>
  </si>
  <si>
    <t>Jesus of Nazareth: Millenarian Prophet</t>
  </si>
  <si>
    <t>Jesus: Apocalyptic Prophet of the New Millennium</t>
  </si>
  <si>
    <t>to-read (#186)</t>
  </si>
  <si>
    <t>Son of the Night (Banners of Blood, #2)</t>
  </si>
  <si>
    <t>Mark Alder</t>
  </si>
  <si>
    <t>Alder, Mark</t>
  </si>
  <si>
    <t>Special Providence: American Foreign Policy and How It Changed the World</t>
  </si>
  <si>
    <t>to-read (#185)</t>
  </si>
  <si>
    <t>The Accidental Superpower: The Next Generation of American Preeminence and the Coming Global Disorder</t>
  </si>
  <si>
    <t>Peter Zeihan</t>
  </si>
  <si>
    <t>Zeihan, Peter</t>
  </si>
  <si>
    <t>The Absent Superpower: The Shale Revolution and a World Without America</t>
  </si>
  <si>
    <t>Zeihan on Geopolitics</t>
  </si>
  <si>
    <t>The Origin of Satan: How Christians Demonized Jews, Pagans and Heretics</t>
  </si>
  <si>
    <t>Elaine Pagels</t>
  </si>
  <si>
    <t>Pagels, Elaine</t>
  </si>
  <si>
    <t>The Arab Uprising: The Wave of Protest that Toppled the Status Quo and the Struggle for a New Middle East</t>
  </si>
  <si>
    <t>Marc Lynch</t>
  </si>
  <si>
    <t>Lynch, Marc</t>
  </si>
  <si>
    <t>to-read (#184)</t>
  </si>
  <si>
    <t>How to Rule the World: A Handbook for the Aspiring Dictator</t>
  </si>
  <si>
    <t>AndrÃ© de Guillaume</t>
  </si>
  <si>
    <t>Guillaume, AndrÃ© de</t>
  </si>
  <si>
    <t>Chicago Review Press</t>
  </si>
  <si>
    <t>to-read (#183)</t>
  </si>
  <si>
    <t>War and Change in World Politics</t>
  </si>
  <si>
    <t>Robert Gilpin</t>
  </si>
  <si>
    <t>Gilpin, Robert</t>
  </si>
  <si>
    <t>to-read (#182)</t>
  </si>
  <si>
    <t>Social Theory of International Politics</t>
  </si>
  <si>
    <t>Alexander Wendt</t>
  </si>
  <si>
    <t>Wendt, Alexander</t>
  </si>
  <si>
    <t>to-read (#181)</t>
  </si>
  <si>
    <t>Theory of International Politics</t>
  </si>
  <si>
    <t>Kenneth N. Waltz</t>
  </si>
  <si>
    <t>Waltz, Kenneth N.</t>
  </si>
  <si>
    <t>McGraw-Hill Higher Education</t>
  </si>
  <si>
    <t>to-read (#180)</t>
  </si>
  <si>
    <t>Fairness and Freedom: A History of Two Open Societies: New Zealand and the United States</t>
  </si>
  <si>
    <t>David Hackett Fischer</t>
  </si>
  <si>
    <t>Fischer, David Hackett</t>
  </si>
  <si>
    <t>to-read (#179)</t>
  </si>
  <si>
    <t>Is the American Century Over? (Global Futures)</t>
  </si>
  <si>
    <t>Polity</t>
  </si>
  <si>
    <t>to-read (#178)</t>
  </si>
  <si>
    <t>Apocalypse in Islam</t>
  </si>
  <si>
    <t>Jean-Pierre Filiu</t>
  </si>
  <si>
    <t>Filiu, Jean-Pierre</t>
  </si>
  <si>
    <t>Malcolm DeBevoise</t>
  </si>
  <si>
    <t>to-read (#177)</t>
  </si>
  <si>
    <t>Memoirs of God</t>
  </si>
  <si>
    <t>The Islamic Enlightenment: The Struggle Between Faith and Reason, 1798 to Modern Times</t>
  </si>
  <si>
    <t>Christopher de Bellaigue</t>
  </si>
  <si>
    <t>Bellaigue, Christopher de</t>
  </si>
  <si>
    <t>Liveright</t>
  </si>
  <si>
    <t>to-read (#176)</t>
  </si>
  <si>
    <t>The Dictator's Handbook: Why Bad Behavior is Almost Always Good Politics</t>
  </si>
  <si>
    <t>Bruce Bueno de Mesquita</t>
  </si>
  <si>
    <t>Mesquita, Bruce Bueno de</t>
  </si>
  <si>
    <t>Alastair      Smith</t>
  </si>
  <si>
    <t>After Hegemony: Cooperation and Discord in the World Political Economy</t>
  </si>
  <si>
    <t>Robert O. Keohane</t>
  </si>
  <si>
    <t>Keohane, Robert O.</t>
  </si>
  <si>
    <t>to-read (#175)</t>
  </si>
  <si>
    <t>Politics Among Nations</t>
  </si>
  <si>
    <t>Hans J. Morgenthau</t>
  </si>
  <si>
    <t>Morgenthau, Hans J.</t>
  </si>
  <si>
    <t>Kenneth W. Thompson, David Clinton</t>
  </si>
  <si>
    <t>to-read (#174)</t>
  </si>
  <si>
    <t>Arms and Influence</t>
  </si>
  <si>
    <t>Thomas C. Schelling</t>
  </si>
  <si>
    <t>Schelling, Thomas C.</t>
  </si>
  <si>
    <t>to-read (#173)</t>
  </si>
  <si>
    <t>Perception and Misperception in International Politics</t>
  </si>
  <si>
    <t>Robert Jervis</t>
  </si>
  <si>
    <t>Jervis, Robert</t>
  </si>
  <si>
    <t>to-read (#172)</t>
  </si>
  <si>
    <t>The Essential Rumi</t>
  </si>
  <si>
    <t>Rumi</t>
  </si>
  <si>
    <t>Rumi, Rumi</t>
  </si>
  <si>
    <t>Coleman Barks, John Moyne</t>
  </si>
  <si>
    <t>HarperCollins e-books</t>
  </si>
  <si>
    <t>to-read (#170)</t>
  </si>
  <si>
    <t>Flow: The Psychology of Optimal Experience</t>
  </si>
  <si>
    <t>Mihaly Csikszentmihalyi</t>
  </si>
  <si>
    <t>Csikszentmihalyi, Mihaly</t>
  </si>
  <si>
    <t>to-read (#169)</t>
  </si>
  <si>
    <t>The Big Stick: The Limits of Soft Power and the Necessity of Military Force</t>
  </si>
  <si>
    <t>Eliot A. Cohen</t>
  </si>
  <si>
    <t>Cohen, Eliot A.</t>
  </si>
  <si>
    <t>to-read (#168)</t>
  </si>
  <si>
    <t>The Jesus Seminar and Its Critics</t>
  </si>
  <si>
    <t>to-read (#167)</t>
  </si>
  <si>
    <t>Forgery and Counter-forgery: The Use of Literary Deceit in Early Christian Polemics</t>
  </si>
  <si>
    <t>to-read (#166)</t>
  </si>
  <si>
    <t>The Orthodox Corruption of Scripture: The Effect of Early Christological Controversies on the Text of the New Testament</t>
  </si>
  <si>
    <t>to-read (#165)</t>
  </si>
  <si>
    <t>The Complete Gospels: Annotated Scholar's Version</t>
  </si>
  <si>
    <t>to-read (#164)</t>
  </si>
  <si>
    <t>The Five Gospels: What Did Jesus Really Say? The Search for the Authentic Words of Jesus</t>
  </si>
  <si>
    <t>Robert W. Funk</t>
  </si>
  <si>
    <t>Funk, Robert W.</t>
  </si>
  <si>
    <t>Roy W. Hoover</t>
  </si>
  <si>
    <t>to-read (#163)</t>
  </si>
  <si>
    <t>Ike's Gamble: America's Rise to Dominance in the Middle East</t>
  </si>
  <si>
    <t>Michael Doran</t>
  </si>
  <si>
    <t>Doran, Michael</t>
  </si>
  <si>
    <t>to-read (#11)</t>
  </si>
  <si>
    <t>How to Read the Bible: A Guide to Scripture, Then and Now</t>
  </si>
  <si>
    <t>to-read (#162)</t>
  </si>
  <si>
    <t>The Gnostic Discoveries: The Impact of the Nag Hammadi Library</t>
  </si>
  <si>
    <t>Marvin W. Meyer</t>
  </si>
  <si>
    <t>Meyer, Marvin W.</t>
  </si>
  <si>
    <t>HarperSanFrancisco</t>
  </si>
  <si>
    <t>to-read (#161)</t>
  </si>
  <si>
    <t>The Jesus Dynasty: The Hidden History of Jesus, His Royal Family, and the Birth of Christianity</t>
  </si>
  <si>
    <t>James D. Tabor</t>
  </si>
  <si>
    <t>Tabor, James D.</t>
  </si>
  <si>
    <t>to-read (#160)</t>
  </si>
  <si>
    <t>A Survey of the Old Testament</t>
  </si>
  <si>
    <t>Andrew E. Hill</t>
  </si>
  <si>
    <t>Hill, Andrew E.</t>
  </si>
  <si>
    <t>Zondervan Academic</t>
  </si>
  <si>
    <t>to-read (#159)</t>
  </si>
  <si>
    <t>The Acts of Jesus: The Search for the Authentic Deeds of Jesus</t>
  </si>
  <si>
    <t>to-read (#158)</t>
  </si>
  <si>
    <t>The Bible with Sources Revealed</t>
  </si>
  <si>
    <t>Richard Elliott Friedman</t>
  </si>
  <si>
    <t>Friedman, Richard Elliott</t>
  </si>
  <si>
    <t>to-read (#157)</t>
  </si>
  <si>
    <t>The Historical Jesus: The Life of a Mediterranean Jewish Peasant</t>
  </si>
  <si>
    <t>John Dominic Crossan</t>
  </si>
  <si>
    <t>Crossan, John Dominic</t>
  </si>
  <si>
    <t>to-read (#156)</t>
  </si>
  <si>
    <t>Prisoners of Geography: Ten Maps That Tell You Everything You Need to Know About Global Politics</t>
  </si>
  <si>
    <t>Tim Marshall</t>
  </si>
  <si>
    <t>Marshall, Tim</t>
  </si>
  <si>
    <t>Elliott &amp; Thompson</t>
  </si>
  <si>
    <t>The Myth of the Andalusian Paradise: Muslims, Christians, and Jews under Islamic Rule in Medieval Spain</t>
  </si>
  <si>
    <t>DarÃ­o FernÃ¡ndez-Morera</t>
  </si>
  <si>
    <t>FernÃ¡ndez-Morera, DarÃ­o</t>
  </si>
  <si>
    <t>Intercollegiate Studies Institute</t>
  </si>
  <si>
    <t>Pagans: The End of Traditional Religion and the Rise of Christianity</t>
  </si>
  <si>
    <t>Battling the Gods: Atheism in the Ancient World</t>
  </si>
  <si>
    <t>Tim Whitmarsh</t>
  </si>
  <si>
    <t>Whitmarsh, Tim</t>
  </si>
  <si>
    <t>Sapiens: A Brief History of Humankind</t>
  </si>
  <si>
    <t>Yuval Noah Harari</t>
  </si>
  <si>
    <t>Harari, Yuval Noah</t>
  </si>
  <si>
    <t>The Last Pagans of Rome</t>
  </si>
  <si>
    <t>Alan Cameron</t>
  </si>
  <si>
    <t>Cameron, Alan</t>
  </si>
  <si>
    <t>to-read (#155)</t>
  </si>
  <si>
    <t>The Tragedy of Great Power Politics</t>
  </si>
  <si>
    <t>Why Leaders Lie: The Truth about Lying in International Politics</t>
  </si>
  <si>
    <t>The Quantum Thief (Jean le Flambeur, #1)</t>
  </si>
  <si>
    <t>Hannu Rajaniemi</t>
  </si>
  <si>
    <t>Rajaniemi, Hannu</t>
  </si>
  <si>
    <t>to-read (#154)</t>
  </si>
  <si>
    <t>Failed States: The Abuse of Power and the Assault on Democracy</t>
  </si>
  <si>
    <t>Owl Books (NY)</t>
  </si>
  <si>
    <t>to-read (#153)</t>
  </si>
  <si>
    <t>Screwed: The Undeclared War Against the Middle Class - And What We Can Do about It</t>
  </si>
  <si>
    <t>Thom Hartmann</t>
  </si>
  <si>
    <t>Hartmann, Thom</t>
  </si>
  <si>
    <t>Greg Palast, Mark Crispin Miller</t>
  </si>
  <si>
    <t>Berrett-Koehler Publishers</t>
  </si>
  <si>
    <t>to-read (#152)</t>
  </si>
  <si>
    <t>The Best Democracy Money Can Buy</t>
  </si>
  <si>
    <t>Greg Palast</t>
  </si>
  <si>
    <t>Palast, Greg</t>
  </si>
  <si>
    <t>Al Franken, Janeane Garofalo</t>
  </si>
  <si>
    <t>Plume Books</t>
  </si>
  <si>
    <t>to-read (#151)</t>
  </si>
  <si>
    <t>The Conscience of a Liberal: Reclaiming the Compassionate Agenda</t>
  </si>
  <si>
    <t>Paul Wellstone</t>
  </si>
  <si>
    <t>Wellstone, Paul</t>
  </si>
  <si>
    <t>to-read (#150)</t>
  </si>
  <si>
    <t>Manufacturing Consent: The Political Economy of the Mass Media</t>
  </si>
  <si>
    <t>Edward S. Herman</t>
  </si>
  <si>
    <t>Herman, Edward S.</t>
  </si>
  <si>
    <t>to-read (#149)</t>
  </si>
  <si>
    <t>Confessions of an Economic Hit Man</t>
  </si>
  <si>
    <t>John Perkins</t>
  </si>
  <si>
    <t>Perkins, John</t>
  </si>
  <si>
    <t>Plume</t>
  </si>
  <si>
    <t>to-read (#148)</t>
  </si>
  <si>
    <t>Rules for Radicals: A Pragmatic Primer for Realistic Radicals</t>
  </si>
  <si>
    <t>Saul D. Alinsky</t>
  </si>
  <si>
    <t>Alinsky, Saul D.</t>
  </si>
  <si>
    <t>to-read (#147)</t>
  </si>
  <si>
    <t>Anti-Intellectualism in American Life</t>
  </si>
  <si>
    <t>Richard Hofstadter</t>
  </si>
  <si>
    <t>Hofstadter, Richard</t>
  </si>
  <si>
    <t>to-read (#146)</t>
  </si>
  <si>
    <t>Unlikeable: The Problem with Hillary</t>
  </si>
  <si>
    <t>Edward Klein</t>
  </si>
  <si>
    <t>Klein, Edward</t>
  </si>
  <si>
    <t>Regnery Publishing</t>
  </si>
  <si>
    <t>to-read (#145)</t>
  </si>
  <si>
    <t>Whatâ€²s the Matter with White People? Why We Long for a Golden Age That Never Was</t>
  </si>
  <si>
    <t>Joan Walsh</t>
  </si>
  <si>
    <t>Walsh, Joan</t>
  </si>
  <si>
    <t>John Wiley &amp; Sons</t>
  </si>
  <si>
    <t>to-read (#144)</t>
  </si>
  <si>
    <t>The Oath: The Obama White House and The Supreme Court</t>
  </si>
  <si>
    <t>Jeffrey Toobin</t>
  </si>
  <si>
    <t>Toobin, Jeffrey</t>
  </si>
  <si>
    <t>Random House Audio</t>
  </si>
  <si>
    <t>to-read (#143)</t>
  </si>
  <si>
    <t>Showdown: The Inside Story of How Obama Fought Back Against Boehner, Cantor, and the Tea Party</t>
  </si>
  <si>
    <t>David Corn</t>
  </si>
  <si>
    <t>Corn, David</t>
  </si>
  <si>
    <t>William Morrow</t>
  </si>
  <si>
    <t>to-read (#142)</t>
  </si>
  <si>
    <t xml:space="preserve">It's Even Worse Than It Looks: How the American Constitutional System Collided With the Politics of Extremism </t>
  </si>
  <si>
    <t>Thomas E. Mann</t>
  </si>
  <si>
    <t>Mann, Thomas E.</t>
  </si>
  <si>
    <t>Norman J. Ornstein</t>
  </si>
  <si>
    <t>to-read (#10)</t>
  </si>
  <si>
    <t>Our Divided Political Heart: The Battle for the American Idea in an Age of Discontent</t>
  </si>
  <si>
    <t>E.J. Dionne Jr.</t>
  </si>
  <si>
    <t>Jr., E.J. Dionne</t>
  </si>
  <si>
    <t>Scott P. Smiley</t>
  </si>
  <si>
    <t>Bloomsbury USA</t>
  </si>
  <si>
    <t>to-read (#141)</t>
  </si>
  <si>
    <t>Twilight of the Elites: America After Meritocracy</t>
  </si>
  <si>
    <t>Christopher L. Hayes</t>
  </si>
  <si>
    <t>Hayes, Christopher L.</t>
  </si>
  <si>
    <t>to-read (#140)</t>
  </si>
  <si>
    <t>Drift: The Unmooring of American Military Power</t>
  </si>
  <si>
    <t>Rachel  Maddow</t>
  </si>
  <si>
    <t>Maddow, Rachel</t>
  </si>
  <si>
    <t>to-read (#139)</t>
  </si>
  <si>
    <t>The Age of Jihad: Islamic State and the Great War for the Middle East</t>
  </si>
  <si>
    <t>Patrick Cockburn</t>
  </si>
  <si>
    <t>Cockburn, Patrick</t>
  </si>
  <si>
    <t>to-read (#138)</t>
  </si>
  <si>
    <t>Chaos and Caliphate: Jihadis and the West in the Struggle for the Middle East</t>
  </si>
  <si>
    <t>OR Books</t>
  </si>
  <si>
    <t>to-read (#137)</t>
  </si>
  <si>
    <t>The Rise of Islamic State</t>
  </si>
  <si>
    <t>LeftWord</t>
  </si>
  <si>
    <t>to-read (#136)</t>
  </si>
  <si>
    <t>The Jihadis Return: ISIS and the New Sunni Uprising</t>
  </si>
  <si>
    <t>to-read (#135)</t>
  </si>
  <si>
    <t>Chain of Command: The Road from 9/11 to Abu Ghraib</t>
  </si>
  <si>
    <t>Seymour M. Hersh</t>
  </si>
  <si>
    <t>Hersh, Seymour M.</t>
  </si>
  <si>
    <t>to-read (#134)</t>
  </si>
  <si>
    <t>Hope Is Not a Plan: The War in Iraq from Inside the Green Zone</t>
  </si>
  <si>
    <t>Thomas Mowle</t>
  </si>
  <si>
    <t>Mowle, Thomas</t>
  </si>
  <si>
    <t>to-read (#133)</t>
  </si>
  <si>
    <t>American Diplomacy: A History</t>
  </si>
  <si>
    <t>Robert H. Ferrell</t>
  </si>
  <si>
    <t>Ferrell, Robert H.</t>
  </si>
  <si>
    <t>to-read (#132)</t>
  </si>
  <si>
    <t>The Bin Ladens: An Arabian Family in the American Century</t>
  </si>
  <si>
    <t>Steve Coll</t>
  </si>
  <si>
    <t>Coll, Steve</t>
  </si>
  <si>
    <t>to-read (#131)</t>
  </si>
  <si>
    <t>The Price of Power: Kissinger in the Nixon White House</t>
  </si>
  <si>
    <t>Summit Books</t>
  </si>
  <si>
    <t>to-read (#130)</t>
  </si>
  <si>
    <t>America and the World: Conversations on the Future of American Foreign Policy</t>
  </si>
  <si>
    <t>David Ignatius, Brent Scowcroft</t>
  </si>
  <si>
    <t>to-read (#129)</t>
  </si>
  <si>
    <t>From Colony to Superpower: U.S. Foreign Relations Since 1776</t>
  </si>
  <si>
    <t>George C. Herring</t>
  </si>
  <si>
    <t>Herring, George C.</t>
  </si>
  <si>
    <t>to-read (#128)</t>
  </si>
  <si>
    <t>Imperial Ambitions: Conversations on the Post-9/11 World</t>
  </si>
  <si>
    <t>David Barsamian</t>
  </si>
  <si>
    <t>Metropolitan Books/Henry Holt &amp; Co. (NY)</t>
  </si>
  <si>
    <t>to-read (#127)</t>
  </si>
  <si>
    <t>Globalization and its Discontents</t>
  </si>
  <si>
    <t>Joseph E. Stiglitz</t>
  </si>
  <si>
    <t>Stiglitz, Joseph E.</t>
  </si>
  <si>
    <t>W. W. Norton</t>
  </si>
  <si>
    <t>to-read (#126)</t>
  </si>
  <si>
    <t>Imperial Life in the Emerald City: Inside Iraq's Green Zone</t>
  </si>
  <si>
    <t>Rajiv Chandrasekaran</t>
  </si>
  <si>
    <t>Chandrasekaran, Rajiv</t>
  </si>
  <si>
    <t>to-read (#125)</t>
  </si>
  <si>
    <t>The Israel Lobby and U.S. Foreign Policy</t>
  </si>
  <si>
    <t>to-read (#124)</t>
  </si>
  <si>
    <t>Overthrow: America's Century of Regime Change from Hawaii to Iraq</t>
  </si>
  <si>
    <t>Stephen Kinzer</t>
  </si>
  <si>
    <t>Kinzer, Stephen</t>
  </si>
  <si>
    <t>Times Books</t>
  </si>
  <si>
    <t>to-read (#123)</t>
  </si>
  <si>
    <t>All the Shah's Men: An American Coup and the Roots of Middle East Terror</t>
  </si>
  <si>
    <t>John Wiley &amp; Sons (Hoboken, NJ)</t>
  </si>
  <si>
    <t>to-read (#122)</t>
  </si>
  <si>
    <t>Blowback: The Costs and Consequences of American Empire</t>
  </si>
  <si>
    <t>Henry Holt and Company, Inc.</t>
  </si>
  <si>
    <t>to-read (#121)</t>
  </si>
  <si>
    <t>The Post-American World</t>
  </si>
  <si>
    <t>Fareed Zakaria</t>
  </si>
  <si>
    <t>Zakaria, Fareed</t>
  </si>
  <si>
    <t>to-read (#120)</t>
  </si>
  <si>
    <t>Legacy of Ashes: The History of the CIA</t>
  </si>
  <si>
    <t>Tim Weiner</t>
  </si>
  <si>
    <t>Weiner, Tim</t>
  </si>
  <si>
    <t>Doubleday Books</t>
  </si>
  <si>
    <t>to-read (#119)</t>
  </si>
  <si>
    <t>The Looming Tower: Al-Qaeda and the Road to 9/11</t>
  </si>
  <si>
    <t>to-read (#118)</t>
  </si>
  <si>
    <t>The Triumph of Improvisation: Gorbachev's Adaptability, Reagan's Engagement, and the End of the Cold War</t>
  </si>
  <si>
    <t>James Graham Wilson</t>
  </si>
  <si>
    <t>Wilson, James Graham</t>
  </si>
  <si>
    <t>to-read (#117)</t>
  </si>
  <si>
    <t>The Cold War: A New History</t>
  </si>
  <si>
    <t>John Lewis Gaddis</t>
  </si>
  <si>
    <t>Gaddis, John Lewis</t>
  </si>
  <si>
    <t>to-read (#116)</t>
  </si>
  <si>
    <t>Diplomacy</t>
  </si>
  <si>
    <t>Î“Î¹Î¿ÏÏÎ¹ ÎšÎ¿Î²Î±Î»Î­Î½ÎºÎ¿</t>
  </si>
  <si>
    <t>to-read (#115)</t>
  </si>
  <si>
    <t>The ISIS Apocalypse: The History, Strategy, and Doomsday Vision of the Islamic State</t>
  </si>
  <si>
    <t>William McCants</t>
  </si>
  <si>
    <t>McCants, William</t>
  </si>
  <si>
    <t>Macmillan</t>
  </si>
  <si>
    <t>How Rome Fell: Death of a Superpower</t>
  </si>
  <si>
    <t>Moral Tribes: Emotion, Reason, and the Gap Between Us and Them</t>
  </si>
  <si>
    <t>Joshua D. Greene</t>
  </si>
  <si>
    <t>Greene, Joshua D.</t>
  </si>
  <si>
    <t>Caesar: Life of a Colossus</t>
  </si>
  <si>
    <t>Privilege: The Making of an Adolescent Elite at St. Paul's School</t>
  </si>
  <si>
    <t>Shamus Rahman Khan</t>
  </si>
  <si>
    <t>Khan, Shamus Rahman</t>
  </si>
  <si>
    <t>The Children of Abraham: Judaism, Christianity, Islam - New Edition</t>
  </si>
  <si>
    <t>F.E. Peters</t>
  </si>
  <si>
    <t>Peters, F.E.</t>
  </si>
  <si>
    <t>to-read (#114)</t>
  </si>
  <si>
    <t>Educating Elites: Class Privilege and Educational Advantage</t>
  </si>
  <si>
    <t>Adam Howard</t>
  </si>
  <si>
    <t>Howard, Adam</t>
  </si>
  <si>
    <t>RubÃ©n Gaztambide-FernÃ¡ndez</t>
  </si>
  <si>
    <t>Rowman &amp; Littlefield Education</t>
  </si>
  <si>
    <t>to-read (#113)</t>
  </si>
  <si>
    <t>Lawrence in Arabia: War, Deceit, Imperial Folly, and the Making of the Modern Middle East</t>
  </si>
  <si>
    <t>Scott Anderson</t>
  </si>
  <si>
    <t>Anderson, Scott</t>
  </si>
  <si>
    <t>Learn More, Study Less</t>
  </si>
  <si>
    <t>Scott H. Young</t>
  </si>
  <si>
    <t>Young, Scott H.</t>
  </si>
  <si>
    <t>to-read (#112)</t>
  </si>
  <si>
    <t>The Righteous Mind: Why Good People are Divided by Politics and Religion</t>
  </si>
  <si>
    <t>Jonathan Haidt</t>
  </si>
  <si>
    <t>Haidt, Jonathan</t>
  </si>
  <si>
    <t>Hierarchy in the Forest: The Evolution of Egalitarian Behavior</t>
  </si>
  <si>
    <t>Christopher Boehm</t>
  </si>
  <si>
    <t>Boehm, Christopher</t>
  </si>
  <si>
    <t>to-read (#111)</t>
  </si>
  <si>
    <t>Moral Origins: The Evolution of Virtue, Altruism, and Shame</t>
  </si>
  <si>
    <t>to-read (#110)</t>
  </si>
  <si>
    <t>Thinking, Fast and Slow</t>
  </si>
  <si>
    <t>Daniel Kahneman</t>
  </si>
  <si>
    <t>Kahneman, Daniel</t>
  </si>
  <si>
    <t>Teatro Grottesco</t>
  </si>
  <si>
    <t>Mythos Books LLC</t>
  </si>
  <si>
    <t>to-read (#109)</t>
  </si>
  <si>
    <t>The Power of Habit: Why We Do What We Do in Life and Business</t>
  </si>
  <si>
    <t>Charles Duhigg</t>
  </si>
  <si>
    <t>Duhigg, Charles</t>
  </si>
  <si>
    <t>Mike Chamberlain</t>
  </si>
  <si>
    <t xml:space="preserve">Too much filler, not enough "how" apart from the focus on corporate stories that are of minimal interest to me. </t>
  </si>
  <si>
    <t>Son of the Morning (Banners of Blood, #1)</t>
  </si>
  <si>
    <t>Orion Publishing Group</t>
  </si>
  <si>
    <t>The Happiness Hypothesis: Finding Modern Truth in Ancient Wisdom</t>
  </si>
  <si>
    <t>The Willpower Instinct: How Self-Control Works, Why It Matters, and What You Can Do to Get More of It</t>
  </si>
  <si>
    <t>Kelly McGonigal</t>
  </si>
  <si>
    <t>McGonigal, Kelly</t>
  </si>
  <si>
    <t>Avery</t>
  </si>
  <si>
    <t>to-read (#108)</t>
  </si>
  <si>
    <t>Switch: How to Change Things When Change Is Hard</t>
  </si>
  <si>
    <t>Chip Heath</t>
  </si>
  <si>
    <t>Heath, Chip</t>
  </si>
  <si>
    <t>Dan Heath</t>
  </si>
  <si>
    <t>Currency</t>
  </si>
  <si>
    <t>to-read (#107)</t>
  </si>
  <si>
    <t>Influence: The Psychology of Persuasion</t>
  </si>
  <si>
    <t>Robert B. Cialdini</t>
  </si>
  <si>
    <t>Cialdini, Robert B.</t>
  </si>
  <si>
    <t>Harper Business</t>
  </si>
  <si>
    <t>The Grim Company (The Grim Company, #1)</t>
  </si>
  <si>
    <t>Luke Scull</t>
  </si>
  <si>
    <t>Scull, Luke</t>
  </si>
  <si>
    <t>Roc</t>
  </si>
  <si>
    <t>The Authenticity Hoax: How We Get Lost Finding Ourselves</t>
  </si>
  <si>
    <t>Andrew Potter</t>
  </si>
  <si>
    <t>Potter, Andrew</t>
  </si>
  <si>
    <t>The Invisible Gorilla: And Other Ways Our Intuitions Deceive Us</t>
  </si>
  <si>
    <t>Christopher Chabris</t>
  </si>
  <si>
    <t>Chabris, Christopher</t>
  </si>
  <si>
    <t>Daniel Simons</t>
  </si>
  <si>
    <t>to-read (#106)</t>
  </si>
  <si>
    <t>Freakonomics: A Rogue Economist Explores the Hidden Side of Everything</t>
  </si>
  <si>
    <t>Steven D. Levitt</t>
  </si>
  <si>
    <t>Levitt, Steven D.</t>
  </si>
  <si>
    <t>Stephen J. Dubner</t>
  </si>
  <si>
    <t>Beyond Winning: Negotiating to Create Value in Deals and Disputes</t>
  </si>
  <si>
    <t>Robert Mnookin</t>
  </si>
  <si>
    <t>Mnookin, Robert</t>
  </si>
  <si>
    <t>Scott R. Peppet</t>
  </si>
  <si>
    <t>to-read (#105)</t>
  </si>
  <si>
    <t>Nonzero: The Logic of Human Destiny</t>
  </si>
  <si>
    <t>Robert Wright</t>
  </si>
  <si>
    <t>Wright, Robert</t>
  </si>
  <si>
    <t>to-read (#104)</t>
  </si>
  <si>
    <t>The Irrational Bundle: Predictably Irrational, The Upside of Irrationality, and The Honest Truth About Dishonesty</t>
  </si>
  <si>
    <t>Dan Ariely</t>
  </si>
  <si>
    <t>Ariely, Dan</t>
  </si>
  <si>
    <t>The Moral Animal: Why We Are the Way We Are - The New Science of Evolutionary Psychology</t>
  </si>
  <si>
    <t>to-read (#103)</t>
  </si>
  <si>
    <t>Conversations on Consciousness: What the Best Minds Think about the Brain, Free Will, and What It Means to Be Human</t>
  </si>
  <si>
    <t>Susan Blackmore</t>
  </si>
  <si>
    <t>Blackmore, Susan</t>
  </si>
  <si>
    <t>Das Kapital</t>
  </si>
  <si>
    <t>Karl Marx</t>
  </si>
  <si>
    <t>Marx, Karl</t>
  </si>
  <si>
    <t>Friedrich Engels, Serge L. Levitsky</t>
  </si>
  <si>
    <t>to-read (#49)</t>
  </si>
  <si>
    <t>Opening Skinner's Box: Great Psychological Experiments of the Twentieth Century</t>
  </si>
  <si>
    <t>Lauren Slater</t>
  </si>
  <si>
    <t>Slater, Lauren</t>
  </si>
  <si>
    <t>to-read (#102)</t>
  </si>
  <si>
    <t>Julian</t>
  </si>
  <si>
    <t>Gore Vidal</t>
  </si>
  <si>
    <t>Vidal, Gore</t>
  </si>
  <si>
    <t>Z-APOC: When John Met Sarah</t>
  </si>
  <si>
    <t>Joe Ducie</t>
  </si>
  <si>
    <t>Ducie, Joe</t>
  </si>
  <si>
    <t>Cedar Sky Publishing</t>
  </si>
  <si>
    <t>to-read (#101)</t>
  </si>
  <si>
    <t>Unbowed, Unbroken, Unrelenting (DLP Anthology, #1)</t>
  </si>
  <si>
    <t>Mic Byrd, Matt Silver, Mark Grondin, Aivaras Ziukas, C.M. Carter, Brandon Bundy, Brian James, Trevor Jones, Greg Redlawsk, David Ryan, Jeremy Fogelman, Jonathan Leung, Shaquille A. Clarke, Bartlomiej Forys, Blair Everingham</t>
  </si>
  <si>
    <t>Dark Lord Publishing</t>
  </si>
  <si>
    <t>to-read (#100)</t>
  </si>
  <si>
    <t>The Forgetful Library</t>
  </si>
  <si>
    <t>KDP</t>
  </si>
  <si>
    <t>to-read (#99)</t>
  </si>
  <si>
    <t>Distant Star (The Reminiscent Exile, #1)</t>
  </si>
  <si>
    <t>to-read (#97)</t>
  </si>
  <si>
    <t>Broken Quill (The Reminiscent Exile, #2)</t>
  </si>
  <si>
    <t>to-read (#98)</t>
  </si>
  <si>
    <t>The Rig (The Rig, #1)</t>
  </si>
  <si>
    <t>Hot Key Books</t>
  </si>
  <si>
    <t>to-read (#96)</t>
  </si>
  <si>
    <t>A Telling of Stars</t>
  </si>
  <si>
    <t>Caitlin Sweet</t>
  </si>
  <si>
    <t>Sweet, Caitlin</t>
  </si>
  <si>
    <t>Penguin Global</t>
  </si>
  <si>
    <t>to-read (#95)</t>
  </si>
  <si>
    <t>The Pattern Scars</t>
  </si>
  <si>
    <t>ChiZine Publications</t>
  </si>
  <si>
    <t>to-read (#94)</t>
  </si>
  <si>
    <t>Why Calories Count: From Science to Politics</t>
  </si>
  <si>
    <t>Marion Nestle</t>
  </si>
  <si>
    <t>Nestle, Marion</t>
  </si>
  <si>
    <t>Malden Nesheim</t>
  </si>
  <si>
    <t>to-read (#93)</t>
  </si>
  <si>
    <t>The Wisdom of Psychopaths: What Saints, Spies, and Serial Killers Can Teach Us About Success</t>
  </si>
  <si>
    <t>Kevin Dutton</t>
  </si>
  <si>
    <t>Dutton, Kevin</t>
  </si>
  <si>
    <t>Scientific American / Farrar, Straus and Giroux</t>
  </si>
  <si>
    <t>Neuropath</t>
  </si>
  <si>
    <t>R. Scott Bakker</t>
  </si>
  <si>
    <t>Bakker, R. Scott</t>
  </si>
  <si>
    <t>Disciple of the Dog</t>
  </si>
  <si>
    <t>The White Luck Warrior (Aspect-Emperor, #2)</t>
  </si>
  <si>
    <t>Trade Paperback</t>
  </si>
  <si>
    <t>The Judging Eye (Aspect-Emperor, #1)</t>
  </si>
  <si>
    <t>The Overlook Press</t>
  </si>
  <si>
    <t>The Thousandfold Thought (The Prince of Nothing, #3)</t>
  </si>
  <si>
    <t>Harry N. Abrams</t>
  </si>
  <si>
    <t>The Warrior Prophet (The Prince of Nothing, #2)</t>
  </si>
  <si>
    <t>Harry N. Abrams/Overlook Press</t>
  </si>
  <si>
    <t>The Darkness That Comes Before (The Prince of Nothing, #1)</t>
  </si>
  <si>
    <t>How We Decide</t>
  </si>
  <si>
    <t>Jonah Lehrer</t>
  </si>
  <si>
    <t>Lehrer, Jonah</t>
  </si>
  <si>
    <t>Houghton Mifflin Company</t>
  </si>
  <si>
    <t>to-read (#91)</t>
  </si>
  <si>
    <t>Predictably Irrational: The Hidden Forces That Shape Our Decisions</t>
  </si>
  <si>
    <t xml:space="preserve">HarperCollins Canada </t>
  </si>
  <si>
    <t>to-read (#90)</t>
  </si>
  <si>
    <t>The Enough Moment: Fighting to End Africa's Worst Human Rights Crimes</t>
  </si>
  <si>
    <t>John Prendergast</t>
  </si>
  <si>
    <t>Prendergast, John</t>
  </si>
  <si>
    <t>Don Cheadle</t>
  </si>
  <si>
    <t>Crown Publishing Group (NY)</t>
  </si>
  <si>
    <t>to-read (#89)</t>
  </si>
  <si>
    <t>13 Bankers: The Wall Street Takeover and the Next Financial Meltdown</t>
  </si>
  <si>
    <t>Simon Johnson</t>
  </si>
  <si>
    <t>Johnson, Simon</t>
  </si>
  <si>
    <t>James Kwak</t>
  </si>
  <si>
    <t>to-read (#88)</t>
  </si>
  <si>
    <t>The Advanced Genius Theory: Are They Out of Their Minds or Ahead of Their Time?</t>
  </si>
  <si>
    <t>Jason Hartley</t>
  </si>
  <si>
    <t>Hartley, Jason</t>
  </si>
  <si>
    <t>Chuck Klosterman</t>
  </si>
  <si>
    <t>Scribner</t>
  </si>
  <si>
    <t>to-read (#87)</t>
  </si>
  <si>
    <t>Shake Hands with the Devil: The Failure of Humanity in Rwanda</t>
  </si>
  <si>
    <t>RomÃ©o Dallaire</t>
  </si>
  <si>
    <t>Dallaire, RomÃ©o</t>
  </si>
  <si>
    <t>Samantha Power</t>
  </si>
  <si>
    <t>Da Capo Press</t>
  </si>
  <si>
    <t>to-read (#86)</t>
  </si>
  <si>
    <t>The Social Contract</t>
  </si>
  <si>
    <t>Jean-Jacques Rousseau</t>
  </si>
  <si>
    <t>Rousseau, Jean-Jacques</t>
  </si>
  <si>
    <t>Maurice Cranston</t>
  </si>
  <si>
    <t>to-read (#85)</t>
  </si>
  <si>
    <t>Bones, Rocks and Stars: The Science of When Things Happened</t>
  </si>
  <si>
    <t>Chris Turney</t>
  </si>
  <si>
    <t>Turney, Chris</t>
  </si>
  <si>
    <t>to-read (#84)</t>
  </si>
  <si>
    <t>Chemistry of Space</t>
  </si>
  <si>
    <t>David E. Newton</t>
  </si>
  <si>
    <t>Newton, David E.</t>
  </si>
  <si>
    <t>Facts on File</t>
  </si>
  <si>
    <t>to-read (#83)</t>
  </si>
  <si>
    <t>Astrochemistry: From Astronomy to Astrobiology</t>
  </si>
  <si>
    <t>Andrew M. Shaw</t>
  </si>
  <si>
    <t>Shaw, Andrew M.</t>
  </si>
  <si>
    <t>to-read (#82)</t>
  </si>
  <si>
    <t>Nudge: Improving Decisions About Health, Wealth, and Happiness</t>
  </si>
  <si>
    <t>Richard H. Thaler</t>
  </si>
  <si>
    <t>Thaler, Richard H.</t>
  </si>
  <si>
    <t>Cass R. Sunstein</t>
  </si>
  <si>
    <t>to-read (#92)</t>
  </si>
  <si>
    <t>The Book of Nothing: Vacuums, Voids, and the Latest Ideas about the Origins of the Universe</t>
  </si>
  <si>
    <t>John D. Barrow</t>
  </si>
  <si>
    <t>Barrow, John D.</t>
  </si>
  <si>
    <t>to-read (#81)</t>
  </si>
  <si>
    <t>Big Bang: The Origin of the Universe</t>
  </si>
  <si>
    <t>Simon Singh</t>
  </si>
  <si>
    <t>Singh, Simon</t>
  </si>
  <si>
    <t>to-read (#80)</t>
  </si>
  <si>
    <t>The Inflationary Universe: The Quest for a New Theory of Cosmic Origins</t>
  </si>
  <si>
    <t>Alan Guth</t>
  </si>
  <si>
    <t>Guth, Alan</t>
  </si>
  <si>
    <t>to-read (#79)</t>
  </si>
  <si>
    <t>Origins: Fourteen Billion Years of Cosmic Evolution</t>
  </si>
  <si>
    <t>Neil deGrasse Tyson</t>
  </si>
  <si>
    <t>Tyson, Neil deGrasse</t>
  </si>
  <si>
    <t>Donald Goldsmith</t>
  </si>
  <si>
    <t>to-read (#78)</t>
  </si>
  <si>
    <t>Stellar Alchemy: The Celestial Origin of Atoms</t>
  </si>
  <si>
    <t>Michel CassÃ©</t>
  </si>
  <si>
    <t>CassÃ©, Michel</t>
  </si>
  <si>
    <t>to-read (#77)</t>
  </si>
  <si>
    <t>Earth: An Intimate History</t>
  </si>
  <si>
    <t>Richard Fortey</t>
  </si>
  <si>
    <t>Fortey, Richard</t>
  </si>
  <si>
    <t>to-read (#76)</t>
  </si>
  <si>
    <t>Trilobite: Eyewitness to Evolution</t>
  </si>
  <si>
    <t>to-read (#75)</t>
  </si>
  <si>
    <t>The Search for Superstrings, Symmetry, and the Theory of Everything</t>
  </si>
  <si>
    <t>John Gribbin</t>
  </si>
  <si>
    <t>Gribbin, John</t>
  </si>
  <si>
    <t>Back Bay Books</t>
  </si>
  <si>
    <t>to-read (#74)</t>
  </si>
  <si>
    <t>100 Billion Suns: The Birth, Life, and Death of the Stars</t>
  </si>
  <si>
    <t>Rudolf Kippenhahn</t>
  </si>
  <si>
    <t>Kippenhahn, Rudolf</t>
  </si>
  <si>
    <t>to-read (#73)</t>
  </si>
  <si>
    <t>Supercontinent: Ten Billion Years in the Life of Our Planet</t>
  </si>
  <si>
    <t>Ted Nield</t>
  </si>
  <si>
    <t>Nield, Ted</t>
  </si>
  <si>
    <t>to-read (#72)</t>
  </si>
  <si>
    <t>Microcosmos: Four Billion Years of Microbial Evolution</t>
  </si>
  <si>
    <t>Lynn Margulis</t>
  </si>
  <si>
    <t>Margulis, Lynn</t>
  </si>
  <si>
    <t>Dorion Sagan</t>
  </si>
  <si>
    <t>to-read (#71)</t>
  </si>
  <si>
    <t>Life: A Natural History of the First Four Billion Years of Life on Earth</t>
  </si>
  <si>
    <t>to-read (#70)</t>
  </si>
  <si>
    <t>Collapse: How Societies Choose to Fail or Succeed</t>
  </si>
  <si>
    <t>Jared Diamond</t>
  </si>
  <si>
    <t>Diamond, Jared</t>
  </si>
  <si>
    <t>Penguin Books Ltd. (London)</t>
  </si>
  <si>
    <t>to-read (#69)</t>
  </si>
  <si>
    <t>In Search of SchrÃ¶dinger's Cat: Quantum Physics and Reality</t>
  </si>
  <si>
    <t>Bantam Books</t>
  </si>
  <si>
    <t>to-read (#68)</t>
  </si>
  <si>
    <t>The Better Angels of Our Nature: Why Violence Has Declined</t>
  </si>
  <si>
    <t>Steven Pinker</t>
  </si>
  <si>
    <t>Pinker, Steven</t>
  </si>
  <si>
    <t>to-read (#67)</t>
  </si>
  <si>
    <t>The Compass of Pleasure: How Our Brains Make Fatty Foods, Orgasm, Exercise, Marijuana, Generosity, Vodka, Learning, and Gambling Feel So Good</t>
  </si>
  <si>
    <t>David J. Linden</t>
  </si>
  <si>
    <t>Linden, David J.</t>
  </si>
  <si>
    <t>to-read (#66)</t>
  </si>
  <si>
    <t>Supercooperators: The Mathematics of Evolution, Altruism and Human Behaviour {Or, Why We Need Each Other to Succeed}</t>
  </si>
  <si>
    <t>M.A. Nowak</t>
  </si>
  <si>
    <t>Nowak, M.A.</t>
  </si>
  <si>
    <t>Roger Highfield</t>
  </si>
  <si>
    <t>to-read (#65)</t>
  </si>
  <si>
    <t>Who's in Charge? Free Will and the Science of the Brain</t>
  </si>
  <si>
    <t>Michael S. Gazzaniga</t>
  </si>
  <si>
    <t>Gazzaniga, Michael S.</t>
  </si>
  <si>
    <t>to-read (#64)</t>
  </si>
  <si>
    <t>Eclipse of Reason</t>
  </si>
  <si>
    <t>Max Horkheimer</t>
  </si>
  <si>
    <t>Horkheimer, Max</t>
  </si>
  <si>
    <t>Bloomsbury Academic</t>
  </si>
  <si>
    <t>to-read (#63)</t>
  </si>
  <si>
    <t>Ideology: An Introduction</t>
  </si>
  <si>
    <t>to-read (#62)</t>
  </si>
  <si>
    <t>The Way We Never Were: American Families &amp; the Nostalgia Trap</t>
  </si>
  <si>
    <t>Stephanie Coontz</t>
  </si>
  <si>
    <t>Coontz, Stephanie</t>
  </si>
  <si>
    <t>Basic Books Inc. (NY)</t>
  </si>
  <si>
    <t>to-read (#61)</t>
  </si>
  <si>
    <t>The Overachievers: The Secret Lives of Driven Kids</t>
  </si>
  <si>
    <t>Alexandra Robbins</t>
  </si>
  <si>
    <t>Robbins, Alexandra</t>
  </si>
  <si>
    <t>Hachette Books</t>
  </si>
  <si>
    <t>to-read (#60)</t>
  </si>
  <si>
    <t>Stigma: Notes on the Management of Spoiled Identity</t>
  </si>
  <si>
    <t>Erving Goffman</t>
  </si>
  <si>
    <t>Goffman, Erving</t>
  </si>
  <si>
    <t>Touchstone</t>
  </si>
  <si>
    <t>to-read (#59)</t>
  </si>
  <si>
    <t>Stripped: Inside the Lives of Exotic Dancers</t>
  </si>
  <si>
    <t>Bernadette C. Barton</t>
  </si>
  <si>
    <t>Barton, Bernadette C.</t>
  </si>
  <si>
    <t>to-read (#58)</t>
  </si>
  <si>
    <t>Sway: The Irresistible Pull of Irrational Behavior</t>
  </si>
  <si>
    <t>Ori Brafman</t>
  </si>
  <si>
    <t>Brafman, Ori</t>
  </si>
  <si>
    <t>Rom Brafman</t>
  </si>
  <si>
    <t>to-read (#57)</t>
  </si>
  <si>
    <t>Nudge: Improving Decisions About Health, Wealth and Happiness</t>
  </si>
  <si>
    <t>to-read (#56)</t>
  </si>
  <si>
    <t>The Logic of Practice</t>
  </si>
  <si>
    <t>Pierre Bourdieu</t>
  </si>
  <si>
    <t>Bourdieu, Pierre</t>
  </si>
  <si>
    <t>Richard Nice</t>
  </si>
  <si>
    <t>to-read (#55)</t>
  </si>
  <si>
    <t>For Marx</t>
  </si>
  <si>
    <t>Ben Brewster</t>
  </si>
  <si>
    <t>to-read (#54)</t>
  </si>
  <si>
    <t>Generation Me: Why Today's Young Americans Are More Confident, Assertive, Entitled--and More Miserable Than Ever Before</t>
  </si>
  <si>
    <t>Jean M. Twenge</t>
  </si>
  <si>
    <t>Twenge, Jean M.</t>
  </si>
  <si>
    <t>Atria Books</t>
  </si>
  <si>
    <t>to-read (#53)</t>
  </si>
  <si>
    <t>Status Anxiety</t>
  </si>
  <si>
    <t>to-read (#52)</t>
  </si>
  <si>
    <t>What the Dog Saw and Other Adventures</t>
  </si>
  <si>
    <t>Malcolm Gladwell</t>
  </si>
  <si>
    <t>Gladwell, Malcolm</t>
  </si>
  <si>
    <t>to-read (#51)</t>
  </si>
  <si>
    <t>The Presentation of Self in Everyday Life</t>
  </si>
  <si>
    <t>Sven BergstrÃ¶m</t>
  </si>
  <si>
    <t>Anchor Books</t>
  </si>
  <si>
    <t>to-read (#48)</t>
  </si>
  <si>
    <t>The Black Swan: The Impact of the Highly Improbable</t>
  </si>
  <si>
    <t>Nassim Nicholas Taleb</t>
  </si>
  <si>
    <t>Taleb, Nassim Nicholas</t>
  </si>
  <si>
    <t>to-read (#47)</t>
  </si>
  <si>
    <t>The Paradox of Choice: Why More Is Less</t>
  </si>
  <si>
    <t>Barry Schwartz</t>
  </si>
  <si>
    <t>Schwartz, Barry</t>
  </si>
  <si>
    <t>to-read (#46)</t>
  </si>
  <si>
    <t>to-read (#45)</t>
  </si>
  <si>
    <t>Outliers: The Story of Success</t>
  </si>
  <si>
    <t>to-read (#43)</t>
  </si>
  <si>
    <t>Blink: The Power of Thinking Without Thinking</t>
  </si>
  <si>
    <t>to-read (#44)</t>
  </si>
  <si>
    <t>The Tipping Point: How Little Things Can Make a Big Difference</t>
  </si>
  <si>
    <t>to-read (#42)</t>
  </si>
  <si>
    <t>The Social Construction of Reality: A Treatise in the Sociology of Knowledge</t>
  </si>
  <si>
    <t>Peter L. Berger</t>
  </si>
  <si>
    <t>Berger, Peter L.</t>
  </si>
  <si>
    <t>Thomas Luckmann</t>
  </si>
  <si>
    <t>to-read (#50)</t>
  </si>
  <si>
    <t>The Culture of Make Believe</t>
  </si>
  <si>
    <t>Derrick Jensen</t>
  </si>
  <si>
    <t>Jensen, Derrick</t>
  </si>
  <si>
    <t>Chelsea Green Publishing Company</t>
  </si>
  <si>
    <t>to-read (#41)</t>
  </si>
  <si>
    <t>The Communist Manifesto and Other Revolutionary Writings: Marx, Marat, Paine, Mao, Gandhi, and Others</t>
  </si>
  <si>
    <t>Bob Blaisdell</t>
  </si>
  <si>
    <t>Blaisdell, Bob</t>
  </si>
  <si>
    <t>Karl Marx, Jean-Paul Marat, Tom Paine, Mao Zedong, Mahatma Gandhi</t>
  </si>
  <si>
    <t>to-read (#40)</t>
  </si>
  <si>
    <t>Voices of a People's History of the United States</t>
  </si>
  <si>
    <t>Howard Zinn</t>
  </si>
  <si>
    <t>Zinn, Howard</t>
  </si>
  <si>
    <t>Anthony Arnove</t>
  </si>
  <si>
    <t>Seven Stories Press</t>
  </si>
  <si>
    <t>to-read (#39)</t>
  </si>
  <si>
    <t>Yes Means Yes!: Visions of Female Sexual Power and A World Without Rape</t>
  </si>
  <si>
    <t>Jaclyn Friedman</t>
  </si>
  <si>
    <t>Friedman, Jaclyn</t>
  </si>
  <si>
    <t>Jessica Valenti, Margaret Cho</t>
  </si>
  <si>
    <t>Seal Press</t>
  </si>
  <si>
    <t>to-read (#37)</t>
  </si>
  <si>
    <t>"Why Are All The Black Kids Sitting Together in the Cafeteria?": A Psychologist Explains the Development of Racial Identity</t>
  </si>
  <si>
    <t>Beverly Daniel Tatum</t>
  </si>
  <si>
    <t>Tatum, Beverly Daniel</t>
  </si>
  <si>
    <t>to-read (#35)</t>
  </si>
  <si>
    <t>Where We Stand: Class Matters</t>
  </si>
  <si>
    <t>Bell Hooks</t>
  </si>
  <si>
    <t>Hooks, Bell</t>
  </si>
  <si>
    <t>to-read (#36)</t>
  </si>
  <si>
    <t>The Shock Doctrine: The Rise of Disaster Capitalism</t>
  </si>
  <si>
    <t>Naomi Klein</t>
  </si>
  <si>
    <t>Klein, Naomi</t>
  </si>
  <si>
    <t>Metropolitan Books</t>
  </si>
  <si>
    <t>to-read (#34)</t>
  </si>
  <si>
    <t>A People's History of the United States</t>
  </si>
  <si>
    <t>to-read (#33)</t>
  </si>
  <si>
    <t>Middlesex</t>
  </si>
  <si>
    <t>Jeffrey Eugenides</t>
  </si>
  <si>
    <t>Eugenides, Jeffrey</t>
  </si>
  <si>
    <t>to-read (#38)</t>
  </si>
  <si>
    <t>The Merovingian Kingdoms 450 â€“ 751</t>
  </si>
  <si>
    <t>Ian N. Wood</t>
  </si>
  <si>
    <t>Wood, Ian N.</t>
  </si>
  <si>
    <t>to-read (#32)</t>
  </si>
  <si>
    <t>Anglo-Saxon England</t>
  </si>
  <si>
    <t>F.M. Stenton</t>
  </si>
  <si>
    <t>Stenton, F.M.</t>
  </si>
  <si>
    <t>to-read (#31)</t>
  </si>
  <si>
    <t>Aladdin's Lamp: How Greek Science Came to Europe Through the Islamic World</t>
  </si>
  <si>
    <t>John Freely</t>
  </si>
  <si>
    <t>Freely, John</t>
  </si>
  <si>
    <t>to-read (#30)</t>
  </si>
  <si>
    <t>A Medieval Family: The Pastons of Fifteenth-Century England</t>
  </si>
  <si>
    <t>Frances Gies</t>
  </si>
  <si>
    <t>Gies, Frances</t>
  </si>
  <si>
    <t>Joseph Gies</t>
  </si>
  <si>
    <t>to-read (#29)</t>
  </si>
  <si>
    <t>A Great and Terrible King: Edward I and the Forging of Britain</t>
  </si>
  <si>
    <t>Marc Morris</t>
  </si>
  <si>
    <t>Morris, Marc</t>
  </si>
  <si>
    <t>to-read (#28)</t>
  </si>
  <si>
    <t>Warriors of God: Richard the Lionheart and Saladin in the Third Crusade</t>
  </si>
  <si>
    <t>James Reston Jr.</t>
  </si>
  <si>
    <t>Jr., James Reston</t>
  </si>
  <si>
    <t>to-read (#27)</t>
  </si>
  <si>
    <t>Women in the Middle Ages</t>
  </si>
  <si>
    <t>to-read (#26)</t>
  </si>
  <si>
    <t>In the Wake of the Plague: The Black Death and the World It Made</t>
  </si>
  <si>
    <t>Norman F. Cantor</t>
  </si>
  <si>
    <t>Cantor, Norman F.</t>
  </si>
  <si>
    <t>to-read (#25)</t>
  </si>
  <si>
    <t>Cathedral, Forge, and Waterwheel: Technology and Invention in the Middle Ages</t>
  </si>
  <si>
    <t>to-read (#24)</t>
  </si>
  <si>
    <t>1215: The Year of Magna Carta</t>
  </si>
  <si>
    <t>Danny Danziger</t>
  </si>
  <si>
    <t>Danziger, Danny</t>
  </si>
  <si>
    <t>John Gillingham</t>
  </si>
  <si>
    <t>Coronet</t>
  </si>
  <si>
    <t>to-read (#23)</t>
  </si>
  <si>
    <t>1453: The Holy War for Constantinople and the Clash of Islam and the West</t>
  </si>
  <si>
    <t>Roger Crowley</t>
  </si>
  <si>
    <t>Crowley, Roger</t>
  </si>
  <si>
    <t>to-read (#22)</t>
  </si>
  <si>
    <t>Mastery</t>
  </si>
  <si>
    <t>Robert Greene</t>
  </si>
  <si>
    <t>Greene, Robert</t>
  </si>
  <si>
    <t>to-read (#20)</t>
  </si>
  <si>
    <t>The Mystery Method: How to Get Beautiful Women Into Bed</t>
  </si>
  <si>
    <t>Mystery</t>
  </si>
  <si>
    <t>Mystery, Mystery</t>
  </si>
  <si>
    <t>Neil Strauss</t>
  </si>
  <si>
    <t>St. Martin's Press</t>
  </si>
  <si>
    <t>to-read (#19)</t>
  </si>
  <si>
    <t>The 50th Law</t>
  </si>
  <si>
    <t>50 Cent</t>
  </si>
  <si>
    <t>Cent, 50</t>
  </si>
  <si>
    <t>HarperStudio</t>
  </si>
  <si>
    <t>to-read (#21)</t>
  </si>
  <si>
    <t>Woman: An Intimate Geography</t>
  </si>
  <si>
    <t>Natalie Angier</t>
  </si>
  <si>
    <t>Angier, Natalie</t>
  </si>
  <si>
    <t>to-read (#18)</t>
  </si>
  <si>
    <t>The Basque History of the World: The Story of a Nation</t>
  </si>
  <si>
    <t>Mark Kurlansky</t>
  </si>
  <si>
    <t>Kurlansky, Mark</t>
  </si>
  <si>
    <t>to-read (#16)</t>
  </si>
  <si>
    <t>Batavia's Graveyard: The True Story of the Mad Heretic Who Led History's Bloodiest Mutiny</t>
  </si>
  <si>
    <t>Mike Dash</t>
  </si>
  <si>
    <t>Dash, Mike</t>
  </si>
  <si>
    <t>to-read (#14)</t>
  </si>
  <si>
    <t>Marriage, a History: From Obedience to Intimacy or How Love Conquered Marriage</t>
  </si>
  <si>
    <t>Viking Books</t>
  </si>
  <si>
    <t>to-read (#13)</t>
  </si>
  <si>
    <t>A Short History of Rudeness: Manners, Morals, and Misbehavior in Modern America</t>
  </si>
  <si>
    <t>Mark Caldwell</t>
  </si>
  <si>
    <t>Caldwell, Mark</t>
  </si>
  <si>
    <t>to-read (#12)</t>
  </si>
  <si>
    <t>Ghost Wars: The Secret History of the CIA, Afghanistan, and Bin Laden from the Soviet Invasion to September 10, 2001</t>
  </si>
  <si>
    <t>Penguin Books (London)</t>
  </si>
  <si>
    <t>to-read (#17)</t>
  </si>
  <si>
    <t>The Year 1000: What Life Was Like at the Turn of the First Millennium</t>
  </si>
  <si>
    <t>to-read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</si>
</sst>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23"/>
  <sheetViews>
    <sheetView tabSelected="1" workbookViewId="0">
      <selection activeCell="B106" sqref="B106"/>
    </sheetView>
  </sheetViews>
  <sheetFormatPr defaultRowHeight="14.4" x14ac:dyDescent="0.3"/>
  <cols>
    <col min="15" max="15" width="25.6640625" customWidth="1"/>
    <col min="17" max="17" width="25" customWidth="1"/>
    <col min="18" max="18" width="32.109375" customWidth="1"/>
  </cols>
  <sheetData>
    <row r="1" spans="1:3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x14ac:dyDescent="0.3">
      <c r="A2">
        <v>15790883</v>
      </c>
      <c r="B2" t="s">
        <v>31</v>
      </c>
      <c r="C2" t="s">
        <v>32</v>
      </c>
      <c r="D2" t="s">
        <v>33</v>
      </c>
      <c r="F2" t="str">
        <f>"0316219037"</f>
        <v>0316219037</v>
      </c>
      <c r="G2" t="str">
        <f>"9780316219037"</f>
        <v>9780316219037</v>
      </c>
      <c r="H2">
        <v>0</v>
      </c>
      <c r="I2">
        <v>4.0999999999999996</v>
      </c>
      <c r="J2" t="s">
        <v>34</v>
      </c>
      <c r="K2" t="s">
        <v>35</v>
      </c>
      <c r="L2">
        <v>545</v>
      </c>
      <c r="M2">
        <v>2013</v>
      </c>
      <c r="N2">
        <v>2013</v>
      </c>
      <c r="P2" s="1">
        <v>44208</v>
      </c>
      <c r="Q2" t="s">
        <v>36</v>
      </c>
      <c r="R2" t="s">
        <v>37</v>
      </c>
      <c r="S2" t="s">
        <v>36</v>
      </c>
      <c r="W2">
        <v>0</v>
      </c>
      <c r="Z2">
        <v>0</v>
      </c>
    </row>
    <row r="3" spans="1:31" x14ac:dyDescent="0.3">
      <c r="A3">
        <v>45100</v>
      </c>
      <c r="B3" t="s">
        <v>38</v>
      </c>
      <c r="C3" t="s">
        <v>39</v>
      </c>
      <c r="D3" t="s">
        <v>40</v>
      </c>
      <c r="F3" t="str">
        <f>"000649885X"</f>
        <v>000649885X</v>
      </c>
      <c r="G3" t="str">
        <f>"9780006498858"</f>
        <v>9780006498858</v>
      </c>
      <c r="H3">
        <v>0</v>
      </c>
      <c r="I3">
        <v>4.13</v>
      </c>
      <c r="J3" t="s">
        <v>41</v>
      </c>
      <c r="K3" t="s">
        <v>42</v>
      </c>
      <c r="L3">
        <v>880</v>
      </c>
      <c r="M3">
        <v>1999</v>
      </c>
      <c r="N3">
        <v>1998</v>
      </c>
      <c r="P3" s="1">
        <v>44205</v>
      </c>
      <c r="Q3" t="s">
        <v>36</v>
      </c>
      <c r="R3" t="s">
        <v>43</v>
      </c>
      <c r="S3" t="s">
        <v>36</v>
      </c>
      <c r="W3">
        <v>0</v>
      </c>
      <c r="Z3">
        <v>0</v>
      </c>
    </row>
    <row r="4" spans="1:31" x14ac:dyDescent="0.3">
      <c r="A4">
        <v>7507944</v>
      </c>
      <c r="B4" t="s">
        <v>44</v>
      </c>
      <c r="C4" t="s">
        <v>45</v>
      </c>
      <c r="D4" t="s">
        <v>46</v>
      </c>
      <c r="F4" t="str">
        <f>"0670011967"</f>
        <v>0670011967</v>
      </c>
      <c r="G4" t="str">
        <f>"9780670011964"</f>
        <v>9780670011964</v>
      </c>
      <c r="H4">
        <v>0</v>
      </c>
      <c r="I4">
        <v>4.0599999999999996</v>
      </c>
      <c r="J4" t="s">
        <v>47</v>
      </c>
      <c r="K4" t="s">
        <v>35</v>
      </c>
      <c r="L4">
        <v>349</v>
      </c>
      <c r="M4">
        <v>2011</v>
      </c>
      <c r="N4">
        <v>2011</v>
      </c>
      <c r="P4" s="1">
        <v>44205</v>
      </c>
      <c r="Q4" t="s">
        <v>36</v>
      </c>
      <c r="R4" t="s">
        <v>48</v>
      </c>
      <c r="S4" t="s">
        <v>36</v>
      </c>
      <c r="W4">
        <v>0</v>
      </c>
      <c r="Z4">
        <v>0</v>
      </c>
    </row>
    <row r="5" spans="1:31" x14ac:dyDescent="0.3">
      <c r="A5">
        <v>7767021</v>
      </c>
      <c r="B5" t="s">
        <v>49</v>
      </c>
      <c r="C5" t="s">
        <v>45</v>
      </c>
      <c r="D5" t="s">
        <v>46</v>
      </c>
      <c r="F5" t="str">
        <f>"075640617X"</f>
        <v>075640617X</v>
      </c>
      <c r="G5" t="str">
        <f>"9780756406172"</f>
        <v>9780756406172</v>
      </c>
      <c r="H5">
        <v>0</v>
      </c>
      <c r="I5">
        <v>3.96</v>
      </c>
      <c r="J5" t="s">
        <v>50</v>
      </c>
      <c r="K5" t="s">
        <v>35</v>
      </c>
      <c r="L5">
        <v>386</v>
      </c>
      <c r="M5">
        <v>2010</v>
      </c>
      <c r="N5">
        <v>2010</v>
      </c>
      <c r="P5" s="1">
        <v>44202</v>
      </c>
      <c r="Q5" t="s">
        <v>36</v>
      </c>
      <c r="R5" t="s">
        <v>51</v>
      </c>
      <c r="S5" t="s">
        <v>36</v>
      </c>
      <c r="W5">
        <v>0</v>
      </c>
      <c r="Z5">
        <v>0</v>
      </c>
    </row>
    <row r="6" spans="1:31" x14ac:dyDescent="0.3">
      <c r="A6">
        <v>565335</v>
      </c>
      <c r="B6" t="s">
        <v>52</v>
      </c>
      <c r="C6" t="s">
        <v>53</v>
      </c>
      <c r="D6" t="s">
        <v>54</v>
      </c>
      <c r="F6" t="str">
        <f>"0385506066"</f>
        <v>0385506066</v>
      </c>
      <c r="G6" t="str">
        <f>"9780385506069"</f>
        <v>9780385506069</v>
      </c>
      <c r="H6">
        <v>0</v>
      </c>
      <c r="I6">
        <v>3.57</v>
      </c>
      <c r="J6" t="s">
        <v>55</v>
      </c>
      <c r="K6" t="s">
        <v>35</v>
      </c>
      <c r="L6">
        <v>576</v>
      </c>
      <c r="M6">
        <v>2007</v>
      </c>
      <c r="N6">
        <v>2007</v>
      </c>
      <c r="P6" s="1">
        <v>44202</v>
      </c>
      <c r="Q6" t="s">
        <v>36</v>
      </c>
      <c r="R6" t="s">
        <v>56</v>
      </c>
      <c r="S6" t="s">
        <v>36</v>
      </c>
      <c r="W6">
        <v>0</v>
      </c>
      <c r="Z6">
        <v>0</v>
      </c>
    </row>
    <row r="7" spans="1:31" x14ac:dyDescent="0.3">
      <c r="A7">
        <v>30841984</v>
      </c>
      <c r="B7" t="s">
        <v>57</v>
      </c>
      <c r="C7" t="s">
        <v>58</v>
      </c>
      <c r="D7" t="s">
        <v>59</v>
      </c>
      <c r="F7" t="str">
        <f>"0316362476"</f>
        <v>0316362476</v>
      </c>
      <c r="G7" t="str">
        <f>"9780316362474"</f>
        <v>9780316362474</v>
      </c>
      <c r="H7">
        <v>0</v>
      </c>
      <c r="I7">
        <v>4.3099999999999996</v>
      </c>
      <c r="J7" t="s">
        <v>34</v>
      </c>
      <c r="K7" t="s">
        <v>60</v>
      </c>
      <c r="L7">
        <v>502</v>
      </c>
      <c r="M7">
        <v>2017</v>
      </c>
      <c r="N7">
        <v>2017</v>
      </c>
      <c r="P7" s="1">
        <v>44202</v>
      </c>
      <c r="Q7" t="s">
        <v>36</v>
      </c>
      <c r="R7" t="s">
        <v>61</v>
      </c>
      <c r="S7" t="s">
        <v>36</v>
      </c>
      <c r="W7">
        <v>0</v>
      </c>
      <c r="Z7">
        <v>0</v>
      </c>
    </row>
    <row r="8" spans="1:31" x14ac:dyDescent="0.3">
      <c r="A8">
        <v>25895524</v>
      </c>
      <c r="B8" t="s">
        <v>62</v>
      </c>
      <c r="C8" t="s">
        <v>63</v>
      </c>
      <c r="D8" t="s">
        <v>64</v>
      </c>
      <c r="F8" t="str">
        <f>"1101988851"</f>
        <v>1101988851</v>
      </c>
      <c r="G8" t="str">
        <f>"9781101988855"</f>
        <v>9781101988855</v>
      </c>
      <c r="H8">
        <v>0</v>
      </c>
      <c r="I8">
        <v>4.1500000000000004</v>
      </c>
      <c r="J8" t="s">
        <v>65</v>
      </c>
      <c r="K8" t="s">
        <v>35</v>
      </c>
      <c r="L8">
        <v>469</v>
      </c>
      <c r="M8">
        <v>2017</v>
      </c>
      <c r="N8">
        <v>2017</v>
      </c>
      <c r="P8" s="1">
        <v>44202</v>
      </c>
      <c r="Q8" t="s">
        <v>36</v>
      </c>
      <c r="R8" t="s">
        <v>66</v>
      </c>
      <c r="S8" t="s">
        <v>36</v>
      </c>
      <c r="W8">
        <v>0</v>
      </c>
      <c r="Z8">
        <v>0</v>
      </c>
    </row>
    <row r="9" spans="1:31" x14ac:dyDescent="0.3">
      <c r="A9">
        <v>41021196</v>
      </c>
      <c r="B9" t="s">
        <v>67</v>
      </c>
      <c r="C9" t="s">
        <v>39</v>
      </c>
      <c r="D9" t="s">
        <v>40</v>
      </c>
      <c r="F9" t="str">
        <f>""</f>
        <v/>
      </c>
      <c r="G9" t="str">
        <f>""</f>
        <v/>
      </c>
      <c r="H9">
        <v>0</v>
      </c>
      <c r="I9">
        <v>4.38</v>
      </c>
      <c r="J9" t="s">
        <v>68</v>
      </c>
      <c r="K9" t="s">
        <v>69</v>
      </c>
      <c r="L9">
        <v>706</v>
      </c>
      <c r="M9">
        <v>2014</v>
      </c>
      <c r="N9">
        <v>2014</v>
      </c>
      <c r="P9" s="1">
        <v>44202</v>
      </c>
      <c r="Q9" t="s">
        <v>36</v>
      </c>
      <c r="R9" t="s">
        <v>70</v>
      </c>
      <c r="S9" t="s">
        <v>36</v>
      </c>
      <c r="W9">
        <v>0</v>
      </c>
      <c r="Z9">
        <v>0</v>
      </c>
    </row>
    <row r="10" spans="1:31" x14ac:dyDescent="0.3">
      <c r="A10">
        <v>19161852</v>
      </c>
      <c r="B10" t="s">
        <v>71</v>
      </c>
      <c r="C10" t="s">
        <v>72</v>
      </c>
      <c r="D10" t="s">
        <v>73</v>
      </c>
      <c r="F10" t="str">
        <f>""</f>
        <v/>
      </c>
      <c r="G10" t="str">
        <f>""</f>
        <v/>
      </c>
      <c r="H10">
        <v>0</v>
      </c>
      <c r="I10">
        <v>4.28</v>
      </c>
      <c r="J10" t="s">
        <v>34</v>
      </c>
      <c r="K10" t="s">
        <v>60</v>
      </c>
      <c r="L10">
        <v>468</v>
      </c>
      <c r="M10">
        <v>2015</v>
      </c>
      <c r="N10">
        <v>2015</v>
      </c>
      <c r="P10" s="1">
        <v>44202</v>
      </c>
      <c r="Q10" t="s">
        <v>36</v>
      </c>
      <c r="R10" t="s">
        <v>74</v>
      </c>
      <c r="S10" t="s">
        <v>36</v>
      </c>
      <c r="W10">
        <v>0</v>
      </c>
      <c r="Z10">
        <v>0</v>
      </c>
    </row>
    <row r="11" spans="1:31" x14ac:dyDescent="0.3">
      <c r="A11">
        <v>9579634</v>
      </c>
      <c r="B11" t="s">
        <v>75</v>
      </c>
      <c r="C11" t="s">
        <v>63</v>
      </c>
      <c r="D11" t="s">
        <v>64</v>
      </c>
      <c r="F11" t="str">
        <f>"0007423292"</f>
        <v>0007423292</v>
      </c>
      <c r="G11" t="str">
        <f>"9780007423293"</f>
        <v>9780007423293</v>
      </c>
      <c r="H11">
        <v>0</v>
      </c>
      <c r="I11">
        <v>3.85</v>
      </c>
      <c r="J11" t="s">
        <v>41</v>
      </c>
      <c r="K11" t="s">
        <v>35</v>
      </c>
      <c r="L11">
        <v>373</v>
      </c>
      <c r="M11">
        <v>2011</v>
      </c>
      <c r="N11">
        <v>2011</v>
      </c>
      <c r="P11" s="1">
        <v>44202</v>
      </c>
      <c r="Q11" t="s">
        <v>36</v>
      </c>
      <c r="R11" t="s">
        <v>76</v>
      </c>
      <c r="S11" t="s">
        <v>36</v>
      </c>
      <c r="W11">
        <v>0</v>
      </c>
      <c r="Z11">
        <v>0</v>
      </c>
    </row>
    <row r="12" spans="1:31" x14ac:dyDescent="0.3">
      <c r="A12">
        <v>18693743</v>
      </c>
      <c r="B12" t="s">
        <v>77</v>
      </c>
      <c r="C12" t="s">
        <v>63</v>
      </c>
      <c r="D12" t="s">
        <v>64</v>
      </c>
      <c r="F12" t="str">
        <f>"0425268780"</f>
        <v>0425268780</v>
      </c>
      <c r="G12" t="str">
        <f>"9780425268780"</f>
        <v>9780425268780</v>
      </c>
      <c r="H12">
        <v>0</v>
      </c>
      <c r="I12">
        <v>4.0599999999999996</v>
      </c>
      <c r="J12" t="s">
        <v>65</v>
      </c>
      <c r="K12" t="s">
        <v>35</v>
      </c>
      <c r="L12">
        <v>355</v>
      </c>
      <c r="M12">
        <v>2014</v>
      </c>
      <c r="N12">
        <v>2014</v>
      </c>
      <c r="P12" s="1">
        <v>44202</v>
      </c>
      <c r="Q12" t="s">
        <v>36</v>
      </c>
      <c r="R12" t="s">
        <v>78</v>
      </c>
      <c r="S12" t="s">
        <v>36</v>
      </c>
      <c r="W12">
        <v>0</v>
      </c>
      <c r="Z12">
        <v>0</v>
      </c>
    </row>
    <row r="13" spans="1:31" x14ac:dyDescent="0.3">
      <c r="A13">
        <v>26863057</v>
      </c>
      <c r="B13" t="s">
        <v>79</v>
      </c>
      <c r="C13" t="s">
        <v>80</v>
      </c>
      <c r="D13" t="s">
        <v>81</v>
      </c>
      <c r="F13" t="str">
        <f>"1101965339"</f>
        <v>1101965339</v>
      </c>
      <c r="G13" t="str">
        <f>"9781101965337"</f>
        <v>9781101965337</v>
      </c>
      <c r="H13">
        <v>0</v>
      </c>
      <c r="I13">
        <v>4.24</v>
      </c>
      <c r="J13" t="s">
        <v>68</v>
      </c>
      <c r="K13" t="s">
        <v>35</v>
      </c>
      <c r="L13">
        <v>432</v>
      </c>
      <c r="M13">
        <v>2016</v>
      </c>
      <c r="N13">
        <v>2016</v>
      </c>
      <c r="P13" s="1">
        <v>44202</v>
      </c>
      <c r="Q13" t="s">
        <v>36</v>
      </c>
      <c r="R13" t="s">
        <v>82</v>
      </c>
      <c r="S13" t="s">
        <v>36</v>
      </c>
      <c r="W13">
        <v>0</v>
      </c>
      <c r="Z13">
        <v>0</v>
      </c>
    </row>
    <row r="14" spans="1:31" x14ac:dyDescent="0.3">
      <c r="A14">
        <v>20174424</v>
      </c>
      <c r="B14" t="s">
        <v>83</v>
      </c>
      <c r="C14" t="s">
        <v>84</v>
      </c>
      <c r="D14" t="s">
        <v>85</v>
      </c>
      <c r="F14" t="str">
        <f>"080413717X"</f>
        <v>080413717X</v>
      </c>
      <c r="G14" t="str">
        <f>"9780804137171"</f>
        <v>9780804137171</v>
      </c>
      <c r="H14">
        <v>0</v>
      </c>
      <c r="I14">
        <v>4.05</v>
      </c>
      <c r="J14" t="s">
        <v>86</v>
      </c>
      <c r="K14" t="s">
        <v>60</v>
      </c>
      <c r="L14">
        <v>452</v>
      </c>
      <c r="M14">
        <v>2014</v>
      </c>
      <c r="N14">
        <v>2014</v>
      </c>
      <c r="P14" s="1">
        <v>44202</v>
      </c>
      <c r="Q14" t="s">
        <v>36</v>
      </c>
      <c r="R14" t="s">
        <v>87</v>
      </c>
      <c r="S14" t="s">
        <v>36</v>
      </c>
      <c r="W14">
        <v>0</v>
      </c>
      <c r="Z14">
        <v>0</v>
      </c>
    </row>
    <row r="15" spans="1:31" x14ac:dyDescent="0.3">
      <c r="A15">
        <v>7165300</v>
      </c>
      <c r="B15" t="s">
        <v>88</v>
      </c>
      <c r="C15" t="s">
        <v>89</v>
      </c>
      <c r="D15" t="s">
        <v>90</v>
      </c>
      <c r="F15" t="str">
        <f>"0316075558"</f>
        <v>0316075558</v>
      </c>
      <c r="G15" t="str">
        <f>"9780316075558"</f>
        <v>9780316075558</v>
      </c>
      <c r="H15">
        <v>0</v>
      </c>
      <c r="I15">
        <v>4.21</v>
      </c>
      <c r="J15" t="s">
        <v>34</v>
      </c>
      <c r="K15" t="s">
        <v>35</v>
      </c>
      <c r="L15">
        <v>629</v>
      </c>
      <c r="M15">
        <v>2010</v>
      </c>
      <c r="N15">
        <v>2010</v>
      </c>
      <c r="P15" s="1">
        <v>44202</v>
      </c>
      <c r="Q15" t="s">
        <v>36</v>
      </c>
      <c r="R15" t="s">
        <v>91</v>
      </c>
      <c r="S15" t="s">
        <v>36</v>
      </c>
      <c r="W15">
        <v>0</v>
      </c>
      <c r="Z15">
        <v>0</v>
      </c>
    </row>
    <row r="16" spans="1:31" x14ac:dyDescent="0.3">
      <c r="A16">
        <v>35606041</v>
      </c>
      <c r="B16" t="s">
        <v>92</v>
      </c>
      <c r="C16" t="s">
        <v>93</v>
      </c>
      <c r="D16" t="s">
        <v>94</v>
      </c>
      <c r="F16" t="str">
        <f>"031618716X"</f>
        <v>031618716X</v>
      </c>
      <c r="G16" t="str">
        <f>"9780316187169"</f>
        <v>9780316187169</v>
      </c>
      <c r="H16">
        <v>0</v>
      </c>
      <c r="I16">
        <v>4.47</v>
      </c>
      <c r="J16" t="s">
        <v>34</v>
      </c>
      <c r="K16" t="s">
        <v>35</v>
      </c>
      <c r="L16">
        <v>480</v>
      </c>
      <c r="M16">
        <v>2019</v>
      </c>
      <c r="N16">
        <v>2019</v>
      </c>
      <c r="P16" s="1">
        <v>44202</v>
      </c>
      <c r="Q16" t="s">
        <v>36</v>
      </c>
      <c r="R16" t="s">
        <v>95</v>
      </c>
      <c r="S16" t="s">
        <v>36</v>
      </c>
      <c r="W16">
        <v>0</v>
      </c>
      <c r="Z16">
        <v>0</v>
      </c>
    </row>
    <row r="17" spans="1:26" x14ac:dyDescent="0.3">
      <c r="A17">
        <v>50364458</v>
      </c>
      <c r="B17" t="s">
        <v>96</v>
      </c>
      <c r="C17" t="s">
        <v>97</v>
      </c>
      <c r="D17" t="s">
        <v>98</v>
      </c>
      <c r="F17" t="str">
        <f>"0241407605"</f>
        <v>0241407605</v>
      </c>
      <c r="G17" t="str">
        <f>"9780241407608"</f>
        <v>9780241407608</v>
      </c>
      <c r="H17">
        <v>0</v>
      </c>
      <c r="I17">
        <v>4.2699999999999996</v>
      </c>
      <c r="J17" t="s">
        <v>99</v>
      </c>
      <c r="K17" t="s">
        <v>60</v>
      </c>
      <c r="L17">
        <v>272</v>
      </c>
      <c r="M17">
        <v>2020</v>
      </c>
      <c r="N17">
        <v>2020</v>
      </c>
      <c r="P17" s="1">
        <v>44192</v>
      </c>
      <c r="Q17" t="s">
        <v>36</v>
      </c>
      <c r="R17" t="s">
        <v>100</v>
      </c>
      <c r="S17" t="s">
        <v>36</v>
      </c>
      <c r="W17">
        <v>0</v>
      </c>
      <c r="Z17">
        <v>0</v>
      </c>
    </row>
    <row r="18" spans="1:26" x14ac:dyDescent="0.3">
      <c r="A18">
        <v>36756325</v>
      </c>
      <c r="B18" t="s">
        <v>101</v>
      </c>
      <c r="C18" t="s">
        <v>102</v>
      </c>
      <c r="D18" t="s">
        <v>103</v>
      </c>
      <c r="F18" t="str">
        <f>"0190864656"</f>
        <v>0190864656</v>
      </c>
      <c r="G18" t="str">
        <f>"9780190864651"</f>
        <v>9780190864651</v>
      </c>
      <c r="H18">
        <v>0</v>
      </c>
      <c r="I18">
        <v>4.05</v>
      </c>
      <c r="J18" t="s">
        <v>104</v>
      </c>
      <c r="K18" t="s">
        <v>35</v>
      </c>
      <c r="L18">
        <v>280</v>
      </c>
      <c r="M18">
        <v>2018</v>
      </c>
      <c r="P18" s="1">
        <v>44192</v>
      </c>
      <c r="Q18" t="s">
        <v>36</v>
      </c>
      <c r="R18" t="s">
        <v>105</v>
      </c>
      <c r="S18" t="s">
        <v>36</v>
      </c>
      <c r="W18">
        <v>0</v>
      </c>
      <c r="Z18">
        <v>0</v>
      </c>
    </row>
    <row r="19" spans="1:26" x14ac:dyDescent="0.3">
      <c r="A19">
        <v>34323539</v>
      </c>
      <c r="B19" t="s">
        <v>106</v>
      </c>
      <c r="C19" t="s">
        <v>107</v>
      </c>
      <c r="D19" t="s">
        <v>108</v>
      </c>
      <c r="F19" t="str">
        <f>"0062697439"</f>
        <v>0062697439</v>
      </c>
      <c r="G19" t="str">
        <f>"9780062697431"</f>
        <v>9780062697431</v>
      </c>
      <c r="H19">
        <v>0</v>
      </c>
      <c r="I19">
        <v>3.87</v>
      </c>
      <c r="J19" t="s">
        <v>109</v>
      </c>
      <c r="K19" t="s">
        <v>35</v>
      </c>
      <c r="L19">
        <v>160</v>
      </c>
      <c r="M19">
        <v>2017</v>
      </c>
      <c r="N19">
        <v>2017</v>
      </c>
      <c r="P19" s="1">
        <v>44192</v>
      </c>
      <c r="Q19" t="s">
        <v>36</v>
      </c>
      <c r="R19" t="s">
        <v>110</v>
      </c>
      <c r="S19" t="s">
        <v>36</v>
      </c>
      <c r="W19">
        <v>0</v>
      </c>
      <c r="Z19">
        <v>0</v>
      </c>
    </row>
    <row r="20" spans="1:26" x14ac:dyDescent="0.3">
      <c r="A20">
        <v>25898468</v>
      </c>
      <c r="B20" t="s">
        <v>111</v>
      </c>
      <c r="C20" t="s">
        <v>112</v>
      </c>
      <c r="D20" t="s">
        <v>113</v>
      </c>
      <c r="F20" t="str">
        <f>"1594038635"</f>
        <v>1594038635</v>
      </c>
      <c r="G20" t="str">
        <f>"9781594038631"</f>
        <v>9781594038631</v>
      </c>
      <c r="H20">
        <v>0</v>
      </c>
      <c r="I20">
        <v>3.89</v>
      </c>
      <c r="J20" t="s">
        <v>114</v>
      </c>
      <c r="K20" t="s">
        <v>35</v>
      </c>
      <c r="L20">
        <v>200</v>
      </c>
      <c r="M20">
        <v>2016</v>
      </c>
      <c r="N20">
        <v>2012</v>
      </c>
      <c r="P20" s="1">
        <v>44192</v>
      </c>
      <c r="Q20" t="s">
        <v>36</v>
      </c>
      <c r="R20" t="s">
        <v>115</v>
      </c>
      <c r="S20" t="s">
        <v>36</v>
      </c>
      <c r="W20">
        <v>0</v>
      </c>
      <c r="Z20">
        <v>0</v>
      </c>
    </row>
    <row r="21" spans="1:26" x14ac:dyDescent="0.3">
      <c r="A21">
        <v>18762452</v>
      </c>
      <c r="B21" t="s">
        <v>116</v>
      </c>
      <c r="C21" t="s">
        <v>117</v>
      </c>
      <c r="D21" t="s">
        <v>118</v>
      </c>
      <c r="F21" t="str">
        <f>"0415732972"</f>
        <v>0415732972</v>
      </c>
      <c r="G21" t="str">
        <f>"9780415732970"</f>
        <v>9780415732970</v>
      </c>
      <c r="H21">
        <v>0</v>
      </c>
      <c r="I21">
        <v>3.79</v>
      </c>
      <c r="J21" t="s">
        <v>119</v>
      </c>
      <c r="K21" t="s">
        <v>60</v>
      </c>
      <c r="L21">
        <v>114</v>
      </c>
      <c r="M21">
        <v>2014</v>
      </c>
      <c r="N21">
        <v>2014</v>
      </c>
      <c r="P21" s="1">
        <v>44192</v>
      </c>
      <c r="Q21" t="s">
        <v>36</v>
      </c>
      <c r="R21" t="s">
        <v>120</v>
      </c>
      <c r="S21" t="s">
        <v>36</v>
      </c>
      <c r="W21">
        <v>0</v>
      </c>
      <c r="Z21">
        <v>0</v>
      </c>
    </row>
    <row r="22" spans="1:26" x14ac:dyDescent="0.3">
      <c r="A22">
        <v>53438190</v>
      </c>
      <c r="B22" t="s">
        <v>121</v>
      </c>
      <c r="C22" t="s">
        <v>122</v>
      </c>
      <c r="D22" t="s">
        <v>123</v>
      </c>
      <c r="F22" t="str">
        <f>"0593087399"</f>
        <v>0593087399</v>
      </c>
      <c r="G22" t="str">
        <f>"9780593087398"</f>
        <v>9780593087398</v>
      </c>
      <c r="H22">
        <v>0</v>
      </c>
      <c r="I22">
        <v>4.37</v>
      </c>
      <c r="J22" t="s">
        <v>124</v>
      </c>
      <c r="K22" t="s">
        <v>35</v>
      </c>
      <c r="L22">
        <v>256</v>
      </c>
      <c r="M22">
        <v>2020</v>
      </c>
      <c r="P22" s="1">
        <v>44192</v>
      </c>
      <c r="Q22" t="s">
        <v>36</v>
      </c>
      <c r="R22" t="s">
        <v>125</v>
      </c>
      <c r="S22" t="s">
        <v>36</v>
      </c>
      <c r="W22">
        <v>0</v>
      </c>
      <c r="Z22">
        <v>0</v>
      </c>
    </row>
    <row r="23" spans="1:26" x14ac:dyDescent="0.3">
      <c r="A23">
        <v>17290728</v>
      </c>
      <c r="B23" t="s">
        <v>126</v>
      </c>
      <c r="C23" t="s">
        <v>127</v>
      </c>
      <c r="D23" t="s">
        <v>128</v>
      </c>
      <c r="F23" t="str">
        <f>"0465050972"</f>
        <v>0465050972</v>
      </c>
      <c r="G23" t="str">
        <f>"9780465050970"</f>
        <v>9780465050970</v>
      </c>
      <c r="H23">
        <v>0</v>
      </c>
      <c r="I23">
        <v>3.81</v>
      </c>
      <c r="J23" t="s">
        <v>129</v>
      </c>
      <c r="K23" t="s">
        <v>35</v>
      </c>
      <c r="L23">
        <v>296</v>
      </c>
      <c r="M23">
        <v>2013</v>
      </c>
      <c r="N23">
        <v>2013</v>
      </c>
      <c r="P23" s="1">
        <v>44192</v>
      </c>
      <c r="Q23" t="s">
        <v>36</v>
      </c>
      <c r="R23" t="s">
        <v>130</v>
      </c>
      <c r="S23" t="s">
        <v>36</v>
      </c>
      <c r="W23">
        <v>0</v>
      </c>
      <c r="Z23">
        <v>0</v>
      </c>
    </row>
    <row r="24" spans="1:26" x14ac:dyDescent="0.3">
      <c r="A24">
        <v>43982768</v>
      </c>
      <c r="B24" t="s">
        <v>131</v>
      </c>
      <c r="C24" t="s">
        <v>132</v>
      </c>
      <c r="D24" t="s">
        <v>133</v>
      </c>
      <c r="F24" t="str">
        <f>"0593083695"</f>
        <v>0593083695</v>
      </c>
      <c r="G24" t="str">
        <f>"9780593083697"</f>
        <v>9780593083697</v>
      </c>
      <c r="H24">
        <v>0</v>
      </c>
      <c r="I24">
        <v>3.75</v>
      </c>
      <c r="J24" t="s">
        <v>134</v>
      </c>
      <c r="K24" t="s">
        <v>35</v>
      </c>
      <c r="L24">
        <v>224</v>
      </c>
      <c r="M24">
        <v>2020</v>
      </c>
      <c r="P24" s="1">
        <v>44192</v>
      </c>
      <c r="Q24" t="s">
        <v>36</v>
      </c>
      <c r="R24" t="s">
        <v>135</v>
      </c>
      <c r="S24" t="s">
        <v>36</v>
      </c>
      <c r="W24">
        <v>0</v>
      </c>
      <c r="Z24">
        <v>0</v>
      </c>
    </row>
    <row r="25" spans="1:26" x14ac:dyDescent="0.3">
      <c r="A25">
        <v>52419341</v>
      </c>
      <c r="B25" t="s">
        <v>136</v>
      </c>
      <c r="C25" t="s">
        <v>137</v>
      </c>
      <c r="D25" t="s">
        <v>138</v>
      </c>
      <c r="F25" t="str">
        <f>"1501106899"</f>
        <v>1501106899</v>
      </c>
      <c r="G25" t="str">
        <f>"9781501106897"</f>
        <v>9781501106897</v>
      </c>
      <c r="H25">
        <v>0</v>
      </c>
      <c r="I25">
        <v>3.99</v>
      </c>
      <c r="J25" t="s">
        <v>139</v>
      </c>
      <c r="K25" t="s">
        <v>35</v>
      </c>
      <c r="L25">
        <v>352</v>
      </c>
      <c r="M25">
        <v>2020</v>
      </c>
      <c r="N25">
        <v>2020</v>
      </c>
      <c r="P25" s="1">
        <v>44192</v>
      </c>
      <c r="Q25" t="s">
        <v>36</v>
      </c>
      <c r="R25" t="s">
        <v>140</v>
      </c>
      <c r="S25" t="s">
        <v>36</v>
      </c>
      <c r="W25">
        <v>0</v>
      </c>
      <c r="Z25">
        <v>0</v>
      </c>
    </row>
    <row r="26" spans="1:26" x14ac:dyDescent="0.3">
      <c r="A26">
        <v>586994</v>
      </c>
      <c r="B26" t="s">
        <v>141</v>
      </c>
      <c r="C26" t="s">
        <v>142</v>
      </c>
      <c r="D26" t="s">
        <v>143</v>
      </c>
      <c r="F26" t="str">
        <f>"0393313719"</f>
        <v>0393313719</v>
      </c>
      <c r="G26" t="str">
        <f>"9780393313710"</f>
        <v>9780393313710</v>
      </c>
      <c r="H26">
        <v>0</v>
      </c>
      <c r="I26">
        <v>3.97</v>
      </c>
      <c r="J26" t="s">
        <v>144</v>
      </c>
      <c r="K26" t="s">
        <v>60</v>
      </c>
      <c r="L26">
        <v>288</v>
      </c>
      <c r="M26">
        <v>1996</v>
      </c>
      <c r="N26">
        <v>1995</v>
      </c>
      <c r="P26" s="1">
        <v>44192</v>
      </c>
      <c r="Q26" t="s">
        <v>36</v>
      </c>
      <c r="R26" t="s">
        <v>145</v>
      </c>
      <c r="S26" t="s">
        <v>36</v>
      </c>
      <c r="W26">
        <v>0</v>
      </c>
      <c r="Z26">
        <v>0</v>
      </c>
    </row>
    <row r="27" spans="1:26" x14ac:dyDescent="0.3">
      <c r="A27">
        <v>38730324</v>
      </c>
      <c r="B27" t="s">
        <v>146</v>
      </c>
      <c r="C27" t="s">
        <v>147</v>
      </c>
      <c r="D27" t="s">
        <v>148</v>
      </c>
      <c r="F27" t="str">
        <f>""</f>
        <v/>
      </c>
      <c r="G27" t="str">
        <f>""</f>
        <v/>
      </c>
      <c r="H27">
        <v>0</v>
      </c>
      <c r="I27">
        <v>4.22</v>
      </c>
      <c r="J27" t="s">
        <v>149</v>
      </c>
      <c r="K27" t="s">
        <v>69</v>
      </c>
      <c r="L27">
        <v>380</v>
      </c>
      <c r="M27">
        <v>2018</v>
      </c>
      <c r="N27">
        <v>2013</v>
      </c>
      <c r="P27" s="1">
        <v>44190</v>
      </c>
      <c r="Q27" t="s">
        <v>150</v>
      </c>
      <c r="R27" t="s">
        <v>151</v>
      </c>
      <c r="S27" t="s">
        <v>150</v>
      </c>
      <c r="W27">
        <v>1</v>
      </c>
      <c r="Z27">
        <v>0</v>
      </c>
    </row>
    <row r="28" spans="1:26" x14ac:dyDescent="0.3">
      <c r="A28">
        <v>209328</v>
      </c>
      <c r="B28" t="s">
        <v>152</v>
      </c>
      <c r="C28" t="s">
        <v>153</v>
      </c>
      <c r="D28" t="s">
        <v>154</v>
      </c>
      <c r="F28" t="str">
        <f>"0674867114"</f>
        <v>0674867114</v>
      </c>
      <c r="G28" t="str">
        <f>"9780674867116"</f>
        <v>9780674867116</v>
      </c>
      <c r="H28">
        <v>0</v>
      </c>
      <c r="I28">
        <v>3.93</v>
      </c>
      <c r="J28" t="s">
        <v>155</v>
      </c>
      <c r="K28" t="s">
        <v>60</v>
      </c>
      <c r="L28">
        <v>392</v>
      </c>
      <c r="M28">
        <v>1978</v>
      </c>
      <c r="N28">
        <v>1977</v>
      </c>
      <c r="P28" s="1">
        <v>44189</v>
      </c>
      <c r="Q28" t="s">
        <v>36</v>
      </c>
      <c r="R28" t="s">
        <v>156</v>
      </c>
      <c r="S28" t="s">
        <v>36</v>
      </c>
      <c r="W28">
        <v>0</v>
      </c>
      <c r="Z28">
        <v>0</v>
      </c>
    </row>
    <row r="29" spans="1:26" x14ac:dyDescent="0.3">
      <c r="A29">
        <v>53916142</v>
      </c>
      <c r="B29" t="s">
        <v>157</v>
      </c>
      <c r="C29" t="s">
        <v>158</v>
      </c>
      <c r="D29" t="s">
        <v>159</v>
      </c>
      <c r="E29" t="s">
        <v>160</v>
      </c>
      <c r="F29" t="str">
        <f>"1538719983"</f>
        <v>1538719983</v>
      </c>
      <c r="G29" t="str">
        <f>"9781538719985"</f>
        <v>9781538719985</v>
      </c>
      <c r="H29">
        <v>0</v>
      </c>
      <c r="I29">
        <v>4.54</v>
      </c>
      <c r="J29" t="s">
        <v>161</v>
      </c>
      <c r="K29" t="s">
        <v>35</v>
      </c>
      <c r="L29">
        <v>272</v>
      </c>
      <c r="M29">
        <v>2020</v>
      </c>
      <c r="N29">
        <v>2020</v>
      </c>
      <c r="P29" s="1">
        <v>44189</v>
      </c>
      <c r="Q29" t="s">
        <v>36</v>
      </c>
      <c r="R29" t="s">
        <v>162</v>
      </c>
      <c r="S29" t="s">
        <v>36</v>
      </c>
      <c r="W29">
        <v>0</v>
      </c>
      <c r="Z29">
        <v>0</v>
      </c>
    </row>
    <row r="30" spans="1:26" x14ac:dyDescent="0.3">
      <c r="A30">
        <v>55359022</v>
      </c>
      <c r="B30" t="s">
        <v>163</v>
      </c>
      <c r="C30" t="s">
        <v>164</v>
      </c>
      <c r="D30" t="s">
        <v>165</v>
      </c>
      <c r="F30" t="str">
        <f>"1524763160"</f>
        <v>1524763160</v>
      </c>
      <c r="G30" t="str">
        <f>"9781524763169"</f>
        <v>9781524763169</v>
      </c>
      <c r="H30">
        <v>0</v>
      </c>
      <c r="I30">
        <v>4.46</v>
      </c>
      <c r="J30" t="s">
        <v>166</v>
      </c>
      <c r="K30" t="s">
        <v>35</v>
      </c>
      <c r="L30">
        <v>751</v>
      </c>
      <c r="M30">
        <v>2020</v>
      </c>
      <c r="N30">
        <v>2020</v>
      </c>
      <c r="P30" s="1">
        <v>44189</v>
      </c>
      <c r="Q30" t="s">
        <v>36</v>
      </c>
      <c r="R30" t="s">
        <v>167</v>
      </c>
      <c r="S30" t="s">
        <v>36</v>
      </c>
      <c r="W30">
        <v>0</v>
      </c>
      <c r="Z30">
        <v>0</v>
      </c>
    </row>
    <row r="31" spans="1:26" x14ac:dyDescent="0.3">
      <c r="A31">
        <v>29799020</v>
      </c>
      <c r="B31" t="s">
        <v>168</v>
      </c>
      <c r="C31" t="s">
        <v>169</v>
      </c>
      <c r="D31" t="s">
        <v>170</v>
      </c>
      <c r="E31" t="s">
        <v>171</v>
      </c>
      <c r="F31" t="str">
        <f>"311044822X"</f>
        <v>311044822X</v>
      </c>
      <c r="G31" t="str">
        <f>"9783110448221"</f>
        <v>9783110448221</v>
      </c>
      <c r="H31">
        <v>0</v>
      </c>
      <c r="I31">
        <v>3.5</v>
      </c>
      <c r="J31" t="s">
        <v>172</v>
      </c>
      <c r="K31" t="s">
        <v>173</v>
      </c>
      <c r="L31">
        <v>372</v>
      </c>
      <c r="M31">
        <v>2017</v>
      </c>
      <c r="O31" s="1">
        <v>44189</v>
      </c>
      <c r="P31" s="1">
        <v>44179</v>
      </c>
      <c r="S31" t="s">
        <v>174</v>
      </c>
      <c r="W31">
        <v>1</v>
      </c>
      <c r="Z31">
        <v>0</v>
      </c>
    </row>
    <row r="32" spans="1:26" x14ac:dyDescent="0.3">
      <c r="A32">
        <v>814380</v>
      </c>
      <c r="B32" t="s">
        <v>175</v>
      </c>
      <c r="C32" t="s">
        <v>176</v>
      </c>
      <c r="D32" t="s">
        <v>177</v>
      </c>
      <c r="F32" t="str">
        <f>"1555400639"</f>
        <v>1555400639</v>
      </c>
      <c r="G32" t="str">
        <f>"9781555400637"</f>
        <v>9781555400637</v>
      </c>
      <c r="H32">
        <v>0</v>
      </c>
      <c r="I32">
        <v>2.67</v>
      </c>
      <c r="J32" t="s">
        <v>178</v>
      </c>
      <c r="K32" t="s">
        <v>35</v>
      </c>
      <c r="L32">
        <v>114</v>
      </c>
      <c r="M32">
        <v>1986</v>
      </c>
      <c r="N32">
        <v>1986</v>
      </c>
      <c r="P32" s="1">
        <v>44187</v>
      </c>
      <c r="Q32" t="s">
        <v>36</v>
      </c>
      <c r="R32" t="s">
        <v>179</v>
      </c>
      <c r="S32" t="s">
        <v>36</v>
      </c>
      <c r="W32">
        <v>0</v>
      </c>
      <c r="Z32">
        <v>0</v>
      </c>
    </row>
    <row r="33" spans="1:26" x14ac:dyDescent="0.3">
      <c r="A33">
        <v>584454</v>
      </c>
      <c r="B33" t="s">
        <v>180</v>
      </c>
      <c r="C33" t="s">
        <v>181</v>
      </c>
      <c r="D33" t="s">
        <v>182</v>
      </c>
      <c r="F33" t="str">
        <f>"0674024370"</f>
        <v>0674024370</v>
      </c>
      <c r="G33" t="str">
        <f>"9780674024373"</f>
        <v>9780674024373</v>
      </c>
      <c r="H33">
        <v>0</v>
      </c>
      <c r="I33">
        <v>3.77</v>
      </c>
      <c r="J33" t="s">
        <v>155</v>
      </c>
      <c r="K33" t="s">
        <v>35</v>
      </c>
      <c r="L33">
        <v>401</v>
      </c>
      <c r="M33">
        <v>2007</v>
      </c>
      <c r="N33">
        <v>2007</v>
      </c>
      <c r="P33" s="1">
        <v>44179</v>
      </c>
      <c r="Q33" t="s">
        <v>36</v>
      </c>
      <c r="R33" t="s">
        <v>183</v>
      </c>
      <c r="S33" t="s">
        <v>36</v>
      </c>
      <c r="W33">
        <v>0</v>
      </c>
      <c r="Z33">
        <v>0</v>
      </c>
    </row>
    <row r="34" spans="1:26" x14ac:dyDescent="0.3">
      <c r="A34">
        <v>798217</v>
      </c>
      <c r="B34" t="s">
        <v>184</v>
      </c>
      <c r="C34" t="s">
        <v>181</v>
      </c>
      <c r="D34" t="s">
        <v>182</v>
      </c>
      <c r="F34" t="str">
        <f>"9004104100"</f>
        <v>9004104100</v>
      </c>
      <c r="G34" t="str">
        <f>"9789004104105"</f>
        <v>9789004104105</v>
      </c>
      <c r="H34">
        <v>0</v>
      </c>
      <c r="I34">
        <v>4.5</v>
      </c>
      <c r="J34" t="s">
        <v>178</v>
      </c>
      <c r="K34" t="s">
        <v>35</v>
      </c>
      <c r="L34">
        <v>491</v>
      </c>
      <c r="M34">
        <v>1996</v>
      </c>
      <c r="N34">
        <v>1996</v>
      </c>
      <c r="O34" s="1">
        <v>44179</v>
      </c>
      <c r="P34" s="1">
        <v>44179</v>
      </c>
      <c r="S34" t="s">
        <v>174</v>
      </c>
      <c r="W34">
        <v>1</v>
      </c>
      <c r="Z34">
        <v>0</v>
      </c>
    </row>
    <row r="35" spans="1:26" x14ac:dyDescent="0.3">
      <c r="A35">
        <v>1303049</v>
      </c>
      <c r="B35" t="s">
        <v>185</v>
      </c>
      <c r="C35" t="s">
        <v>186</v>
      </c>
      <c r="D35" t="s">
        <v>187</v>
      </c>
      <c r="F35" t="str">
        <f>"0517700905"</f>
        <v>0517700905</v>
      </c>
      <c r="G35" t="str">
        <f>"9780517700907"</f>
        <v>9780517700907</v>
      </c>
      <c r="H35">
        <v>0</v>
      </c>
      <c r="I35">
        <v>3.87</v>
      </c>
      <c r="J35" t="s">
        <v>188</v>
      </c>
      <c r="K35" t="s">
        <v>35</v>
      </c>
      <c r="L35">
        <v>224</v>
      </c>
      <c r="M35">
        <v>1994</v>
      </c>
      <c r="N35">
        <v>1994</v>
      </c>
      <c r="P35" s="1">
        <v>44175</v>
      </c>
      <c r="Q35" t="s">
        <v>36</v>
      </c>
      <c r="R35" t="s">
        <v>189</v>
      </c>
      <c r="S35" t="s">
        <v>36</v>
      </c>
      <c r="W35">
        <v>0</v>
      </c>
      <c r="Z35">
        <v>0</v>
      </c>
    </row>
    <row r="36" spans="1:26" x14ac:dyDescent="0.3">
      <c r="A36">
        <v>7958652</v>
      </c>
      <c r="B36" t="s">
        <v>190</v>
      </c>
      <c r="C36" t="s">
        <v>191</v>
      </c>
      <c r="D36" t="s">
        <v>192</v>
      </c>
      <c r="E36" t="s">
        <v>193</v>
      </c>
      <c r="F36" t="str">
        <f>"0567032167"</f>
        <v>0567032167</v>
      </c>
      <c r="G36" t="str">
        <f>"9780567032164"</f>
        <v>9780567032164</v>
      </c>
      <c r="H36">
        <v>0</v>
      </c>
      <c r="I36">
        <v>3.75</v>
      </c>
      <c r="J36" t="s">
        <v>194</v>
      </c>
      <c r="K36" t="s">
        <v>60</v>
      </c>
      <c r="L36">
        <v>224</v>
      </c>
      <c r="M36">
        <v>2010</v>
      </c>
      <c r="N36">
        <v>2010</v>
      </c>
      <c r="P36" s="1">
        <v>44173</v>
      </c>
      <c r="Q36" t="s">
        <v>36</v>
      </c>
      <c r="R36" t="s">
        <v>195</v>
      </c>
      <c r="S36" t="s">
        <v>36</v>
      </c>
      <c r="W36">
        <v>0</v>
      </c>
      <c r="Z36">
        <v>0</v>
      </c>
    </row>
    <row r="37" spans="1:26" x14ac:dyDescent="0.3">
      <c r="A37">
        <v>18634307</v>
      </c>
      <c r="B37" t="s">
        <v>196</v>
      </c>
      <c r="C37" t="s">
        <v>197</v>
      </c>
      <c r="D37" t="s">
        <v>198</v>
      </c>
      <c r="F37" t="str">
        <f>"1492777862"</f>
        <v>1492777862</v>
      </c>
      <c r="G37" t="str">
        <f>"9781492777861"</f>
        <v>9781492777861</v>
      </c>
      <c r="H37">
        <v>0</v>
      </c>
      <c r="I37">
        <v>4.21</v>
      </c>
      <c r="J37" t="s">
        <v>199</v>
      </c>
      <c r="K37" t="s">
        <v>60</v>
      </c>
      <c r="L37">
        <v>300</v>
      </c>
      <c r="M37">
        <v>2013</v>
      </c>
      <c r="N37">
        <v>2013</v>
      </c>
      <c r="P37" s="1">
        <v>44167</v>
      </c>
      <c r="Q37" t="s">
        <v>36</v>
      </c>
      <c r="R37" t="s">
        <v>200</v>
      </c>
      <c r="S37" t="s">
        <v>36</v>
      </c>
      <c r="W37">
        <v>0</v>
      </c>
      <c r="Z37">
        <v>0</v>
      </c>
    </row>
    <row r="38" spans="1:26" x14ac:dyDescent="0.3">
      <c r="A38">
        <v>97642</v>
      </c>
      <c r="B38" t="s">
        <v>201</v>
      </c>
      <c r="C38" t="s">
        <v>202</v>
      </c>
      <c r="D38" t="s">
        <v>203</v>
      </c>
      <c r="F38" t="str">
        <f>"0762415339"</f>
        <v>0762415339</v>
      </c>
      <c r="G38" t="str">
        <f>"9780762415335"</f>
        <v>9780762415335</v>
      </c>
      <c r="H38">
        <v>0</v>
      </c>
      <c r="I38">
        <v>4.04</v>
      </c>
      <c r="J38" t="s">
        <v>204</v>
      </c>
      <c r="K38" t="s">
        <v>35</v>
      </c>
      <c r="L38">
        <v>208</v>
      </c>
      <c r="M38">
        <v>2003</v>
      </c>
      <c r="N38">
        <v>2000</v>
      </c>
      <c r="P38" s="1">
        <v>44167</v>
      </c>
      <c r="Q38" t="s">
        <v>36</v>
      </c>
      <c r="R38" t="s">
        <v>205</v>
      </c>
      <c r="S38" t="s">
        <v>36</v>
      </c>
      <c r="W38">
        <v>0</v>
      </c>
      <c r="Z38">
        <v>0</v>
      </c>
    </row>
    <row r="39" spans="1:26" x14ac:dyDescent="0.3">
      <c r="A39">
        <v>13336553</v>
      </c>
      <c r="B39" t="s">
        <v>206</v>
      </c>
      <c r="C39" t="s">
        <v>207</v>
      </c>
      <c r="D39" t="s">
        <v>208</v>
      </c>
      <c r="E39" t="s">
        <v>209</v>
      </c>
      <c r="F39" t="str">
        <f>""</f>
        <v/>
      </c>
      <c r="G39" t="str">
        <f>""</f>
        <v/>
      </c>
      <c r="H39">
        <v>0</v>
      </c>
      <c r="I39">
        <v>4.33</v>
      </c>
      <c r="K39" t="s">
        <v>173</v>
      </c>
      <c r="L39">
        <v>265</v>
      </c>
      <c r="N39">
        <v>2008</v>
      </c>
      <c r="P39" s="1">
        <v>44167</v>
      </c>
      <c r="Q39" t="s">
        <v>36</v>
      </c>
      <c r="R39" t="s">
        <v>210</v>
      </c>
      <c r="S39" t="s">
        <v>36</v>
      </c>
      <c r="W39">
        <v>0</v>
      </c>
      <c r="Z39">
        <v>0</v>
      </c>
    </row>
    <row r="40" spans="1:26" x14ac:dyDescent="0.3">
      <c r="A40">
        <v>1973951</v>
      </c>
      <c r="B40" t="s">
        <v>211</v>
      </c>
      <c r="C40" t="s">
        <v>212</v>
      </c>
      <c r="D40" t="s">
        <v>213</v>
      </c>
      <c r="F40" t="str">
        <f>"0953096424"</f>
        <v>0953096424</v>
      </c>
      <c r="G40" t="str">
        <f>"9780953096428"</f>
        <v>9780953096428</v>
      </c>
      <c r="H40">
        <v>0</v>
      </c>
      <c r="I40">
        <v>3.6</v>
      </c>
      <c r="J40" t="s">
        <v>214</v>
      </c>
      <c r="K40" t="s">
        <v>60</v>
      </c>
      <c r="L40">
        <v>154</v>
      </c>
      <c r="M40">
        <v>2005</v>
      </c>
      <c r="N40">
        <v>1971</v>
      </c>
      <c r="P40" s="1">
        <v>44167</v>
      </c>
      <c r="Q40" t="s">
        <v>36</v>
      </c>
      <c r="R40" t="s">
        <v>215</v>
      </c>
      <c r="S40" t="s">
        <v>36</v>
      </c>
      <c r="W40">
        <v>0</v>
      </c>
      <c r="Z40">
        <v>0</v>
      </c>
    </row>
    <row r="41" spans="1:26" x14ac:dyDescent="0.3">
      <c r="A41">
        <v>8765372</v>
      </c>
      <c r="B41" t="s">
        <v>216</v>
      </c>
      <c r="C41" t="s">
        <v>217</v>
      </c>
      <c r="D41" t="s">
        <v>218</v>
      </c>
      <c r="F41" t="str">
        <f>"019537410X"</f>
        <v>019537410X</v>
      </c>
      <c r="G41" t="str">
        <f>"9780195374100"</f>
        <v>9780195374100</v>
      </c>
      <c r="H41">
        <v>0</v>
      </c>
      <c r="I41">
        <v>3.71</v>
      </c>
      <c r="J41" t="s">
        <v>104</v>
      </c>
      <c r="K41" t="s">
        <v>35</v>
      </c>
      <c r="L41">
        <v>306</v>
      </c>
      <c r="M41">
        <v>2010</v>
      </c>
      <c r="N41">
        <v>2016</v>
      </c>
      <c r="P41" s="1">
        <v>44166</v>
      </c>
      <c r="Q41" t="s">
        <v>36</v>
      </c>
      <c r="R41" t="s">
        <v>219</v>
      </c>
      <c r="S41" t="s">
        <v>36</v>
      </c>
      <c r="W41">
        <v>0</v>
      </c>
      <c r="Z41">
        <v>0</v>
      </c>
    </row>
    <row r="42" spans="1:26" x14ac:dyDescent="0.3">
      <c r="A42">
        <v>3573311</v>
      </c>
      <c r="B42" t="s">
        <v>220</v>
      </c>
      <c r="C42" t="s">
        <v>221</v>
      </c>
      <c r="D42" t="s">
        <v>222</v>
      </c>
      <c r="F42" t="str">
        <f>"0007247710"</f>
        <v>0007247710</v>
      </c>
      <c r="G42" t="str">
        <f>"9780007247714"</f>
        <v>9780007247714</v>
      </c>
      <c r="H42">
        <v>0</v>
      </c>
      <c r="I42">
        <v>3.93</v>
      </c>
      <c r="J42" t="s">
        <v>223</v>
      </c>
      <c r="K42" t="s">
        <v>35</v>
      </c>
      <c r="L42">
        <v>413</v>
      </c>
      <c r="M42">
        <v>2009</v>
      </c>
      <c r="N42">
        <v>2008</v>
      </c>
      <c r="P42" s="1">
        <v>44163</v>
      </c>
      <c r="Q42" t="s">
        <v>36</v>
      </c>
      <c r="R42" t="s">
        <v>224</v>
      </c>
      <c r="S42" t="s">
        <v>36</v>
      </c>
      <c r="W42">
        <v>0</v>
      </c>
      <c r="Z42">
        <v>0</v>
      </c>
    </row>
    <row r="43" spans="1:26" x14ac:dyDescent="0.3">
      <c r="A43">
        <v>22060860</v>
      </c>
      <c r="B43" t="s">
        <v>225</v>
      </c>
      <c r="C43" t="s">
        <v>226</v>
      </c>
      <c r="D43" t="s">
        <v>227</v>
      </c>
      <c r="E43" t="s">
        <v>228</v>
      </c>
      <c r="F43" t="str">
        <f>""</f>
        <v/>
      </c>
      <c r="G43" t="str">
        <f>""</f>
        <v/>
      </c>
      <c r="H43">
        <v>0</v>
      </c>
      <c r="I43">
        <v>4.3099999999999996</v>
      </c>
      <c r="K43" t="s">
        <v>69</v>
      </c>
      <c r="L43">
        <v>20</v>
      </c>
      <c r="M43">
        <v>2013</v>
      </c>
      <c r="N43">
        <v>1933</v>
      </c>
      <c r="P43" s="1">
        <v>44163</v>
      </c>
      <c r="Q43" t="s">
        <v>36</v>
      </c>
      <c r="R43" t="s">
        <v>229</v>
      </c>
      <c r="S43" t="s">
        <v>36</v>
      </c>
      <c r="W43">
        <v>0</v>
      </c>
      <c r="Z43">
        <v>0</v>
      </c>
    </row>
    <row r="44" spans="1:26" x14ac:dyDescent="0.3">
      <c r="A44">
        <v>8524528</v>
      </c>
      <c r="B44" t="s">
        <v>230</v>
      </c>
      <c r="C44" t="s">
        <v>231</v>
      </c>
      <c r="D44" t="s">
        <v>232</v>
      </c>
      <c r="E44" t="s">
        <v>233</v>
      </c>
      <c r="F44" t="str">
        <f>"098242969X"</f>
        <v>098242969X</v>
      </c>
      <c r="G44" t="str">
        <f>"9780982429693"</f>
        <v>9780982429693</v>
      </c>
      <c r="H44">
        <v>0</v>
      </c>
      <c r="I44">
        <v>4.08</v>
      </c>
      <c r="J44" t="s">
        <v>234</v>
      </c>
      <c r="K44" t="s">
        <v>35</v>
      </c>
      <c r="L44">
        <v>240</v>
      </c>
      <c r="M44">
        <v>2010</v>
      </c>
      <c r="N44">
        <v>2011</v>
      </c>
      <c r="P44" s="1">
        <v>44163</v>
      </c>
      <c r="Q44" t="s">
        <v>36</v>
      </c>
      <c r="R44" t="s">
        <v>235</v>
      </c>
      <c r="S44" t="s">
        <v>36</v>
      </c>
      <c r="W44">
        <v>0</v>
      </c>
      <c r="Z44">
        <v>0</v>
      </c>
    </row>
    <row r="45" spans="1:26" x14ac:dyDescent="0.3">
      <c r="A45">
        <v>195607</v>
      </c>
      <c r="B45" t="s">
        <v>236</v>
      </c>
      <c r="C45" t="s">
        <v>237</v>
      </c>
      <c r="D45" t="s">
        <v>238</v>
      </c>
      <c r="F45" t="str">
        <f>"1564781321"</f>
        <v>1564781321</v>
      </c>
      <c r="G45" t="str">
        <f>"9781564781321"</f>
        <v>9781564781321</v>
      </c>
      <c r="H45">
        <v>0</v>
      </c>
      <c r="I45">
        <v>4.09</v>
      </c>
      <c r="J45" t="s">
        <v>239</v>
      </c>
      <c r="K45" t="s">
        <v>60</v>
      </c>
      <c r="L45">
        <v>194</v>
      </c>
      <c r="M45">
        <v>1996</v>
      </c>
      <c r="N45">
        <v>1996</v>
      </c>
      <c r="P45" s="1">
        <v>44163</v>
      </c>
      <c r="Q45" t="s">
        <v>36</v>
      </c>
      <c r="R45" t="s">
        <v>240</v>
      </c>
      <c r="S45" t="s">
        <v>36</v>
      </c>
      <c r="W45">
        <v>0</v>
      </c>
      <c r="Z45">
        <v>0</v>
      </c>
    </row>
    <row r="46" spans="1:26" x14ac:dyDescent="0.3">
      <c r="A46">
        <v>230733</v>
      </c>
      <c r="B46" t="s">
        <v>241</v>
      </c>
      <c r="C46" t="s">
        <v>242</v>
      </c>
      <c r="D46" t="s">
        <v>243</v>
      </c>
      <c r="F46" t="str">
        <f>"1862075964"</f>
        <v>1862075964</v>
      </c>
      <c r="G46" t="str">
        <f>"9781862075962"</f>
        <v>9781862075962</v>
      </c>
      <c r="H46">
        <v>5</v>
      </c>
      <c r="I46">
        <v>3.95</v>
      </c>
      <c r="J46" t="s">
        <v>244</v>
      </c>
      <c r="K46" t="s">
        <v>60</v>
      </c>
      <c r="L46">
        <v>246</v>
      </c>
      <c r="M46">
        <v>2003</v>
      </c>
      <c r="N46">
        <v>2002</v>
      </c>
      <c r="O46" s="1">
        <v>44163</v>
      </c>
      <c r="P46" s="1">
        <v>44163</v>
      </c>
      <c r="S46" t="s">
        <v>174</v>
      </c>
      <c r="W46">
        <v>1</v>
      </c>
      <c r="Z46">
        <v>0</v>
      </c>
    </row>
    <row r="47" spans="1:26" x14ac:dyDescent="0.3">
      <c r="A47">
        <v>12109227</v>
      </c>
      <c r="B47" t="s">
        <v>245</v>
      </c>
      <c r="C47" t="s">
        <v>246</v>
      </c>
      <c r="D47" t="s">
        <v>247</v>
      </c>
      <c r="F47" t="str">
        <f>"1439191565"</f>
        <v>1439191565</v>
      </c>
      <c r="G47" t="str">
        <f>"9781439191569"</f>
        <v>9781439191569</v>
      </c>
      <c r="H47">
        <v>0</v>
      </c>
      <c r="I47">
        <v>3.83</v>
      </c>
      <c r="J47" t="s">
        <v>139</v>
      </c>
      <c r="K47" t="s">
        <v>35</v>
      </c>
      <c r="L47">
        <v>448</v>
      </c>
      <c r="M47">
        <v>2012</v>
      </c>
      <c r="N47">
        <v>2011</v>
      </c>
      <c r="P47" s="1">
        <v>44162</v>
      </c>
      <c r="Q47" t="s">
        <v>36</v>
      </c>
      <c r="R47" t="s">
        <v>248</v>
      </c>
      <c r="S47" t="s">
        <v>36</v>
      </c>
      <c r="W47">
        <v>0</v>
      </c>
      <c r="Z47">
        <v>0</v>
      </c>
    </row>
    <row r="48" spans="1:26" x14ac:dyDescent="0.3">
      <c r="A48">
        <v>28703</v>
      </c>
      <c r="B48" t="s">
        <v>249</v>
      </c>
      <c r="C48" t="s">
        <v>250</v>
      </c>
      <c r="D48" t="s">
        <v>251</v>
      </c>
      <c r="F48" t="str">
        <f>"0330412744"</f>
        <v>0330412744</v>
      </c>
      <c r="G48" t="str">
        <f>"9780330412742"</f>
        <v>9780330412742</v>
      </c>
      <c r="H48">
        <v>0</v>
      </c>
      <c r="I48">
        <v>3.23</v>
      </c>
      <c r="J48" t="s">
        <v>252</v>
      </c>
      <c r="K48" t="s">
        <v>60</v>
      </c>
      <c r="L48">
        <v>209</v>
      </c>
      <c r="M48">
        <v>2003</v>
      </c>
      <c r="N48">
        <v>2003</v>
      </c>
      <c r="P48" s="1">
        <v>44161</v>
      </c>
      <c r="Q48" t="s">
        <v>36</v>
      </c>
      <c r="R48" t="s">
        <v>253</v>
      </c>
      <c r="S48" t="s">
        <v>36</v>
      </c>
      <c r="W48">
        <v>0</v>
      </c>
      <c r="Z48">
        <v>0</v>
      </c>
    </row>
    <row r="49" spans="1:26" x14ac:dyDescent="0.3">
      <c r="A49">
        <v>251001</v>
      </c>
      <c r="B49" t="s">
        <v>254</v>
      </c>
      <c r="C49" t="s">
        <v>255</v>
      </c>
      <c r="D49" t="s">
        <v>256</v>
      </c>
      <c r="F49" t="str">
        <f>"039332933X"</f>
        <v>039332933X</v>
      </c>
      <c r="G49" t="str">
        <f>"9780393329339"</f>
        <v>9780393329339</v>
      </c>
      <c r="H49">
        <v>0</v>
      </c>
      <c r="I49">
        <v>3.62</v>
      </c>
      <c r="J49" t="s">
        <v>257</v>
      </c>
      <c r="K49" t="s">
        <v>60</v>
      </c>
      <c r="L49">
        <v>224</v>
      </c>
      <c r="M49">
        <v>2007</v>
      </c>
      <c r="N49">
        <v>2006</v>
      </c>
      <c r="O49" s="1">
        <v>44161</v>
      </c>
      <c r="P49" s="1">
        <v>44161</v>
      </c>
      <c r="S49" t="s">
        <v>174</v>
      </c>
      <c r="W49">
        <v>1</v>
      </c>
      <c r="Z49">
        <v>0</v>
      </c>
    </row>
    <row r="50" spans="1:26" x14ac:dyDescent="0.3">
      <c r="A50">
        <v>2872744</v>
      </c>
      <c r="B50" t="s">
        <v>258</v>
      </c>
      <c r="C50" t="s">
        <v>259</v>
      </c>
      <c r="D50" t="s">
        <v>260</v>
      </c>
      <c r="F50" t="str">
        <f>"052142836X"</f>
        <v>052142836X</v>
      </c>
      <c r="G50" t="str">
        <f>"9780521428361"</f>
        <v>9780521428361</v>
      </c>
      <c r="H50">
        <v>0</v>
      </c>
      <c r="I50">
        <v>3.71</v>
      </c>
      <c r="J50" t="s">
        <v>261</v>
      </c>
      <c r="K50" t="s">
        <v>60</v>
      </c>
      <c r="L50">
        <v>536</v>
      </c>
      <c r="M50">
        <v>1991</v>
      </c>
      <c r="N50">
        <v>1990</v>
      </c>
      <c r="P50" s="1">
        <v>44157</v>
      </c>
      <c r="Q50" t="s">
        <v>36</v>
      </c>
      <c r="R50" t="s">
        <v>262</v>
      </c>
      <c r="S50" t="s">
        <v>36</v>
      </c>
      <c r="W50">
        <v>0</v>
      </c>
      <c r="Z50">
        <v>0</v>
      </c>
    </row>
    <row r="51" spans="1:26" x14ac:dyDescent="0.3">
      <c r="A51">
        <v>53516029</v>
      </c>
      <c r="B51" t="s">
        <v>263</v>
      </c>
      <c r="C51" t="s">
        <v>264</v>
      </c>
      <c r="D51" t="s">
        <v>265</v>
      </c>
      <c r="F51" t="str">
        <f>""</f>
        <v/>
      </c>
      <c r="G51" t="str">
        <f>""</f>
        <v/>
      </c>
      <c r="H51">
        <v>0</v>
      </c>
      <c r="I51">
        <v>3.61</v>
      </c>
      <c r="J51" t="s">
        <v>266</v>
      </c>
      <c r="K51" t="s">
        <v>69</v>
      </c>
      <c r="L51">
        <v>331</v>
      </c>
      <c r="M51">
        <v>2020</v>
      </c>
      <c r="N51">
        <v>2020</v>
      </c>
      <c r="P51" s="1">
        <v>44154</v>
      </c>
      <c r="Q51" t="s">
        <v>36</v>
      </c>
      <c r="R51" t="s">
        <v>267</v>
      </c>
      <c r="S51" t="s">
        <v>36</v>
      </c>
      <c r="W51">
        <v>0</v>
      </c>
      <c r="Z51">
        <v>0</v>
      </c>
    </row>
    <row r="52" spans="1:26" x14ac:dyDescent="0.3">
      <c r="A52">
        <v>53357123</v>
      </c>
      <c r="B52" t="s">
        <v>268</v>
      </c>
      <c r="C52" t="s">
        <v>269</v>
      </c>
      <c r="D52" t="s">
        <v>270</v>
      </c>
      <c r="E52" t="s">
        <v>271</v>
      </c>
      <c r="F52" t="str">
        <f>"0063046105"</f>
        <v>0063046105</v>
      </c>
      <c r="G52" t="str">
        <f>"9780063046108"</f>
        <v>9780063046108</v>
      </c>
      <c r="H52">
        <v>0</v>
      </c>
      <c r="I52">
        <v>3.19</v>
      </c>
      <c r="J52" t="s">
        <v>272</v>
      </c>
      <c r="K52" t="s">
        <v>35</v>
      </c>
      <c r="L52">
        <v>354</v>
      </c>
      <c r="M52">
        <v>2020</v>
      </c>
      <c r="N52">
        <v>2020</v>
      </c>
      <c r="P52" s="1">
        <v>44154</v>
      </c>
      <c r="Q52" t="s">
        <v>36</v>
      </c>
      <c r="R52" t="s">
        <v>273</v>
      </c>
      <c r="S52" t="s">
        <v>36</v>
      </c>
      <c r="W52">
        <v>0</v>
      </c>
      <c r="Z52">
        <v>0</v>
      </c>
    </row>
    <row r="53" spans="1:26" x14ac:dyDescent="0.3">
      <c r="A53">
        <v>54198121</v>
      </c>
      <c r="B53" t="s">
        <v>274</v>
      </c>
      <c r="C53" t="s">
        <v>275</v>
      </c>
      <c r="D53" t="s">
        <v>276</v>
      </c>
      <c r="F53" t="str">
        <f>""</f>
        <v/>
      </c>
      <c r="G53" t="str">
        <f>"9780008424916"</f>
        <v>9780008424916</v>
      </c>
      <c r="H53">
        <v>0</v>
      </c>
      <c r="I53">
        <v>3.31</v>
      </c>
      <c r="K53" t="s">
        <v>60</v>
      </c>
      <c r="M53">
        <v>2020</v>
      </c>
      <c r="N53">
        <v>2020</v>
      </c>
      <c r="O53" s="1">
        <v>44154</v>
      </c>
      <c r="P53" s="1">
        <v>44154</v>
      </c>
      <c r="S53" t="s">
        <v>174</v>
      </c>
      <c r="W53">
        <v>1</v>
      </c>
      <c r="Z53">
        <v>0</v>
      </c>
    </row>
    <row r="54" spans="1:26" x14ac:dyDescent="0.3">
      <c r="A54">
        <v>55213508</v>
      </c>
      <c r="B54" t="s">
        <v>277</v>
      </c>
      <c r="C54" t="s">
        <v>278</v>
      </c>
      <c r="D54" t="s">
        <v>279</v>
      </c>
      <c r="F54" t="str">
        <f>""</f>
        <v/>
      </c>
      <c r="G54" t="str">
        <f>""</f>
        <v/>
      </c>
      <c r="H54">
        <v>0</v>
      </c>
      <c r="I54">
        <v>4.2</v>
      </c>
      <c r="K54" t="s">
        <v>69</v>
      </c>
      <c r="M54">
        <v>2020</v>
      </c>
      <c r="P54" s="1">
        <v>44153</v>
      </c>
      <c r="Q54" t="s">
        <v>36</v>
      </c>
      <c r="R54" t="s">
        <v>280</v>
      </c>
      <c r="S54" t="s">
        <v>36</v>
      </c>
      <c r="W54">
        <v>0</v>
      </c>
      <c r="Z54">
        <v>0</v>
      </c>
    </row>
    <row r="55" spans="1:26" x14ac:dyDescent="0.3">
      <c r="A55">
        <v>52219273</v>
      </c>
      <c r="B55" t="s">
        <v>281</v>
      </c>
      <c r="C55" t="s">
        <v>282</v>
      </c>
      <c r="D55" t="s">
        <v>283</v>
      </c>
      <c r="F55" t="str">
        <f>"0062916599"</f>
        <v>0062916599</v>
      </c>
      <c r="G55" t="str">
        <f>"9780062916594"</f>
        <v>9780062916594</v>
      </c>
      <c r="H55">
        <v>0</v>
      </c>
      <c r="I55">
        <v>4.1500000000000004</v>
      </c>
      <c r="J55" t="s">
        <v>109</v>
      </c>
      <c r="K55" t="s">
        <v>35</v>
      </c>
      <c r="L55">
        <v>416</v>
      </c>
      <c r="M55">
        <v>2020</v>
      </c>
      <c r="N55">
        <v>2020</v>
      </c>
      <c r="P55" s="1">
        <v>44152</v>
      </c>
      <c r="Q55" t="s">
        <v>36</v>
      </c>
      <c r="R55" t="s">
        <v>284</v>
      </c>
      <c r="S55" t="s">
        <v>36</v>
      </c>
      <c r="W55">
        <v>0</v>
      </c>
      <c r="Z55">
        <v>0</v>
      </c>
    </row>
    <row r="56" spans="1:26" x14ac:dyDescent="0.3">
      <c r="A56">
        <v>50053432</v>
      </c>
      <c r="B56" t="s">
        <v>285</v>
      </c>
      <c r="C56" t="s">
        <v>286</v>
      </c>
      <c r="D56" t="s">
        <v>287</v>
      </c>
      <c r="F56" t="str">
        <f>"1476785244"</f>
        <v>1476785244</v>
      </c>
      <c r="G56" t="str">
        <f>"9781476785240"</f>
        <v>9781476785240</v>
      </c>
      <c r="H56">
        <v>0</v>
      </c>
      <c r="I56">
        <v>3.82</v>
      </c>
      <c r="J56" t="s">
        <v>288</v>
      </c>
      <c r="K56" t="s">
        <v>35</v>
      </c>
      <c r="L56">
        <v>272</v>
      </c>
      <c r="M56">
        <v>2020</v>
      </c>
      <c r="P56" s="1">
        <v>44152</v>
      </c>
      <c r="Q56" t="s">
        <v>36</v>
      </c>
      <c r="R56" t="s">
        <v>289</v>
      </c>
      <c r="S56" t="s">
        <v>36</v>
      </c>
      <c r="W56">
        <v>0</v>
      </c>
      <c r="Z56">
        <v>0</v>
      </c>
    </row>
    <row r="57" spans="1:26" x14ac:dyDescent="0.3">
      <c r="A57">
        <v>43998472</v>
      </c>
      <c r="B57" t="s">
        <v>290</v>
      </c>
      <c r="C57" t="s">
        <v>291</v>
      </c>
      <c r="D57" t="s">
        <v>292</v>
      </c>
      <c r="F57" t="str">
        <f>"1503603571"</f>
        <v>1503603571</v>
      </c>
      <c r="G57" t="str">
        <f>"9781503603578"</f>
        <v>9781503603578</v>
      </c>
      <c r="H57">
        <v>0</v>
      </c>
      <c r="I57">
        <v>3.62</v>
      </c>
      <c r="J57" t="s">
        <v>293</v>
      </c>
      <c r="K57" t="s">
        <v>35</v>
      </c>
      <c r="L57">
        <v>248</v>
      </c>
      <c r="M57">
        <v>2020</v>
      </c>
      <c r="P57" s="1">
        <v>44152</v>
      </c>
      <c r="Q57" t="s">
        <v>36</v>
      </c>
      <c r="R57" t="s">
        <v>294</v>
      </c>
      <c r="S57" t="s">
        <v>36</v>
      </c>
      <c r="W57">
        <v>0</v>
      </c>
      <c r="Z57">
        <v>0</v>
      </c>
    </row>
    <row r="58" spans="1:26" x14ac:dyDescent="0.3">
      <c r="A58">
        <v>25151238</v>
      </c>
      <c r="B58" t="s">
        <v>295</v>
      </c>
      <c r="C58" t="s">
        <v>296</v>
      </c>
      <c r="D58" t="s">
        <v>297</v>
      </c>
      <c r="E58" t="s">
        <v>298</v>
      </c>
      <c r="F58" t="str">
        <f>"0674088700"</f>
        <v>0674088700</v>
      </c>
      <c r="G58" t="str">
        <f>"9780674088702"</f>
        <v>9780674088702</v>
      </c>
      <c r="H58">
        <v>0</v>
      </c>
      <c r="I58">
        <v>4.0599999999999996</v>
      </c>
      <c r="J58" t="s">
        <v>299</v>
      </c>
      <c r="K58" t="s">
        <v>35</v>
      </c>
      <c r="L58">
        <v>138</v>
      </c>
      <c r="M58">
        <v>2015</v>
      </c>
      <c r="N58">
        <v>2015</v>
      </c>
      <c r="O58" s="1">
        <v>44150</v>
      </c>
      <c r="P58" s="1">
        <v>44150</v>
      </c>
      <c r="S58" t="s">
        <v>174</v>
      </c>
      <c r="W58">
        <v>1</v>
      </c>
      <c r="Z58">
        <v>0</v>
      </c>
    </row>
    <row r="59" spans="1:26" x14ac:dyDescent="0.3">
      <c r="A59">
        <v>647492</v>
      </c>
      <c r="B59" t="s">
        <v>300</v>
      </c>
      <c r="C59" t="s">
        <v>301</v>
      </c>
      <c r="D59" t="s">
        <v>302</v>
      </c>
      <c r="F59" t="str">
        <f>"0060995068"</f>
        <v>0060995068</v>
      </c>
      <c r="G59" t="str">
        <f>"9780060995065"</f>
        <v>9780060995065</v>
      </c>
      <c r="H59">
        <v>0</v>
      </c>
      <c r="I59">
        <v>4.0999999999999996</v>
      </c>
      <c r="J59" t="s">
        <v>303</v>
      </c>
      <c r="K59" t="s">
        <v>60</v>
      </c>
      <c r="L59">
        <v>271</v>
      </c>
      <c r="M59">
        <v>1993</v>
      </c>
      <c r="N59">
        <v>1992</v>
      </c>
      <c r="P59" s="1">
        <v>44146</v>
      </c>
      <c r="Q59" t="s">
        <v>36</v>
      </c>
      <c r="R59" t="s">
        <v>304</v>
      </c>
      <c r="S59" t="s">
        <v>36</v>
      </c>
      <c r="W59">
        <v>0</v>
      </c>
      <c r="Z59">
        <v>0</v>
      </c>
    </row>
    <row r="60" spans="1:26" x14ac:dyDescent="0.3">
      <c r="A60">
        <v>43547374</v>
      </c>
      <c r="B60" t="s">
        <v>305</v>
      </c>
      <c r="C60" t="s">
        <v>306</v>
      </c>
      <c r="D60" t="s">
        <v>307</v>
      </c>
      <c r="F60" t="str">
        <f>""</f>
        <v/>
      </c>
      <c r="G60" t="str">
        <f>""</f>
        <v/>
      </c>
      <c r="H60">
        <v>0</v>
      </c>
      <c r="I60">
        <v>4.0599999999999996</v>
      </c>
      <c r="J60" t="s">
        <v>308</v>
      </c>
      <c r="K60" t="s">
        <v>69</v>
      </c>
      <c r="L60">
        <v>288</v>
      </c>
      <c r="M60">
        <v>2019</v>
      </c>
      <c r="N60">
        <v>2018</v>
      </c>
      <c r="P60" s="1">
        <v>44146</v>
      </c>
      <c r="Q60" t="s">
        <v>150</v>
      </c>
      <c r="R60" t="s">
        <v>309</v>
      </c>
      <c r="S60" t="s">
        <v>150</v>
      </c>
      <c r="W60">
        <v>1</v>
      </c>
      <c r="Z60">
        <v>0</v>
      </c>
    </row>
    <row r="61" spans="1:26" x14ac:dyDescent="0.3">
      <c r="A61">
        <v>42552304</v>
      </c>
      <c r="B61" t="s">
        <v>310</v>
      </c>
      <c r="C61" t="s">
        <v>311</v>
      </c>
      <c r="D61" t="s">
        <v>312</v>
      </c>
      <c r="F61" t="str">
        <f>""</f>
        <v/>
      </c>
      <c r="G61" t="str">
        <f>""</f>
        <v/>
      </c>
      <c r="H61">
        <v>0</v>
      </c>
      <c r="I61">
        <v>4.1399999999999997</v>
      </c>
      <c r="J61" t="s">
        <v>313</v>
      </c>
      <c r="K61" t="s">
        <v>69</v>
      </c>
      <c r="L61">
        <v>464</v>
      </c>
      <c r="M61">
        <v>2019</v>
      </c>
      <c r="N61">
        <v>2019</v>
      </c>
      <c r="P61" s="1">
        <v>44145</v>
      </c>
      <c r="Q61" t="s">
        <v>150</v>
      </c>
      <c r="R61" t="s">
        <v>314</v>
      </c>
      <c r="S61" t="s">
        <v>150</v>
      </c>
      <c r="W61">
        <v>1</v>
      </c>
      <c r="Z61">
        <v>0</v>
      </c>
    </row>
    <row r="62" spans="1:26" x14ac:dyDescent="0.3">
      <c r="A62">
        <v>89235</v>
      </c>
      <c r="B62" t="s">
        <v>315</v>
      </c>
      <c r="C62" t="s">
        <v>316</v>
      </c>
      <c r="D62" t="s">
        <v>317</v>
      </c>
      <c r="E62" t="s">
        <v>318</v>
      </c>
      <c r="F62" t="str">
        <f>"0631229582"</f>
        <v>0631229582</v>
      </c>
      <c r="G62" t="str">
        <f>"9780631229582"</f>
        <v>9780631229582</v>
      </c>
      <c r="H62">
        <v>0</v>
      </c>
      <c r="I62">
        <v>3.81</v>
      </c>
      <c r="J62" t="s">
        <v>319</v>
      </c>
      <c r="K62" t="s">
        <v>60</v>
      </c>
      <c r="L62">
        <v>166</v>
      </c>
      <c r="M62">
        <v>2002</v>
      </c>
      <c r="N62">
        <v>1998</v>
      </c>
      <c r="O62" s="1">
        <v>44145</v>
      </c>
      <c r="P62" s="1">
        <v>43575</v>
      </c>
      <c r="S62" t="s">
        <v>174</v>
      </c>
      <c r="W62">
        <v>1</v>
      </c>
      <c r="Z62">
        <v>0</v>
      </c>
    </row>
    <row r="63" spans="1:26" x14ac:dyDescent="0.3">
      <c r="A63">
        <v>2106341</v>
      </c>
      <c r="B63" t="s">
        <v>320</v>
      </c>
      <c r="C63" t="s">
        <v>321</v>
      </c>
      <c r="D63" t="s">
        <v>322</v>
      </c>
      <c r="F63" t="str">
        <f>"0521435439"</f>
        <v>0521435439</v>
      </c>
      <c r="G63" t="str">
        <f>"9780521435437"</f>
        <v>9780521435437</v>
      </c>
      <c r="H63">
        <v>0</v>
      </c>
      <c r="I63">
        <v>4.26</v>
      </c>
      <c r="J63" t="s">
        <v>261</v>
      </c>
      <c r="K63" t="s">
        <v>60</v>
      </c>
      <c r="L63">
        <v>616</v>
      </c>
      <c r="M63">
        <v>2008</v>
      </c>
      <c r="N63">
        <v>2007</v>
      </c>
      <c r="P63" s="1">
        <v>44144</v>
      </c>
      <c r="Q63" t="s">
        <v>36</v>
      </c>
      <c r="R63" t="s">
        <v>323</v>
      </c>
      <c r="S63" t="s">
        <v>36</v>
      </c>
      <c r="W63">
        <v>0</v>
      </c>
      <c r="Z63">
        <v>0</v>
      </c>
    </row>
    <row r="64" spans="1:26" x14ac:dyDescent="0.3">
      <c r="A64">
        <v>22529387</v>
      </c>
      <c r="B64" t="s">
        <v>324</v>
      </c>
      <c r="C64" t="s">
        <v>325</v>
      </c>
      <c r="D64" t="s">
        <v>326</v>
      </c>
      <c r="F64" t="str">
        <f>"162040317X"</f>
        <v>162040317X</v>
      </c>
      <c r="G64" t="str">
        <f>"9781620403174"</f>
        <v>9781620403174</v>
      </c>
      <c r="H64">
        <v>0</v>
      </c>
      <c r="I64">
        <v>3.46</v>
      </c>
      <c r="J64" t="s">
        <v>327</v>
      </c>
      <c r="K64" t="s">
        <v>35</v>
      </c>
      <c r="L64">
        <v>224</v>
      </c>
      <c r="M64">
        <v>2015</v>
      </c>
      <c r="N64">
        <v>2015</v>
      </c>
      <c r="P64" s="1">
        <v>44144</v>
      </c>
      <c r="Q64" t="s">
        <v>36</v>
      </c>
      <c r="R64" t="s">
        <v>328</v>
      </c>
      <c r="S64" t="s">
        <v>36</v>
      </c>
      <c r="W64">
        <v>0</v>
      </c>
      <c r="Z64">
        <v>0</v>
      </c>
    </row>
    <row r="65" spans="1:26" x14ac:dyDescent="0.3">
      <c r="A65">
        <v>53122043</v>
      </c>
      <c r="B65" t="s">
        <v>329</v>
      </c>
      <c r="C65" t="s">
        <v>325</v>
      </c>
      <c r="D65" t="s">
        <v>326</v>
      </c>
      <c r="F65" t="str">
        <f>"0393635694"</f>
        <v>0393635694</v>
      </c>
      <c r="G65" t="str">
        <f>"9780393635690"</f>
        <v>9780393635690</v>
      </c>
      <c r="H65">
        <v>0</v>
      </c>
      <c r="I65">
        <v>3.7</v>
      </c>
      <c r="J65" t="s">
        <v>144</v>
      </c>
      <c r="K65" t="s">
        <v>35</v>
      </c>
      <c r="L65">
        <v>272</v>
      </c>
      <c r="M65">
        <v>2020</v>
      </c>
      <c r="N65">
        <v>2020</v>
      </c>
      <c r="P65" s="1">
        <v>44144</v>
      </c>
      <c r="Q65" t="s">
        <v>36</v>
      </c>
      <c r="R65" t="s">
        <v>330</v>
      </c>
      <c r="S65" t="s">
        <v>36</v>
      </c>
      <c r="W65">
        <v>0</v>
      </c>
      <c r="Z65">
        <v>0</v>
      </c>
    </row>
    <row r="66" spans="1:26" x14ac:dyDescent="0.3">
      <c r="A66">
        <v>2578863</v>
      </c>
      <c r="B66" t="s">
        <v>331</v>
      </c>
      <c r="C66" t="s">
        <v>332</v>
      </c>
      <c r="D66" t="s">
        <v>333</v>
      </c>
      <c r="F66" t="str">
        <f>"1606711989"</f>
        <v>1606711989</v>
      </c>
      <c r="G66" t="str">
        <f>"9781606711989"</f>
        <v>9781606711989</v>
      </c>
      <c r="H66">
        <v>0</v>
      </c>
      <c r="I66">
        <v>3.92</v>
      </c>
      <c r="J66" t="s">
        <v>334</v>
      </c>
      <c r="K66" t="s">
        <v>35</v>
      </c>
      <c r="L66">
        <v>416</v>
      </c>
      <c r="M66">
        <v>2008</v>
      </c>
      <c r="N66">
        <v>2007</v>
      </c>
      <c r="P66" s="1">
        <v>44143</v>
      </c>
      <c r="Q66" t="s">
        <v>36</v>
      </c>
      <c r="R66" t="s">
        <v>335</v>
      </c>
      <c r="S66" t="s">
        <v>36</v>
      </c>
      <c r="W66">
        <v>0</v>
      </c>
      <c r="Z66">
        <v>0</v>
      </c>
    </row>
    <row r="67" spans="1:26" x14ac:dyDescent="0.3">
      <c r="A67">
        <v>6466963</v>
      </c>
      <c r="B67" t="s">
        <v>336</v>
      </c>
      <c r="C67" t="s">
        <v>337</v>
      </c>
      <c r="D67" t="s">
        <v>338</v>
      </c>
      <c r="F67" t="str">
        <f>""</f>
        <v/>
      </c>
      <c r="G67" t="str">
        <f>""</f>
        <v/>
      </c>
      <c r="H67">
        <v>0</v>
      </c>
      <c r="I67">
        <v>3.7</v>
      </c>
      <c r="K67" t="s">
        <v>69</v>
      </c>
      <c r="L67">
        <v>224</v>
      </c>
      <c r="N67">
        <v>2003</v>
      </c>
      <c r="O67" s="1">
        <v>44143</v>
      </c>
      <c r="P67" s="1">
        <v>44142</v>
      </c>
      <c r="S67" t="s">
        <v>174</v>
      </c>
      <c r="W67">
        <v>1</v>
      </c>
      <c r="Z67">
        <v>0</v>
      </c>
    </row>
    <row r="68" spans="1:26" x14ac:dyDescent="0.3">
      <c r="A68">
        <v>188378</v>
      </c>
      <c r="B68" t="s">
        <v>339</v>
      </c>
      <c r="C68" t="s">
        <v>340</v>
      </c>
      <c r="D68" t="s">
        <v>341</v>
      </c>
      <c r="F68" t="str">
        <f>""</f>
        <v/>
      </c>
      <c r="G68" t="str">
        <f>""</f>
        <v/>
      </c>
      <c r="H68">
        <v>0</v>
      </c>
      <c r="I68">
        <v>4.1900000000000004</v>
      </c>
      <c r="J68" t="s">
        <v>342</v>
      </c>
      <c r="K68" t="s">
        <v>60</v>
      </c>
      <c r="L68">
        <v>336</v>
      </c>
      <c r="M68">
        <v>2005</v>
      </c>
      <c r="N68">
        <v>2004</v>
      </c>
      <c r="P68" s="1">
        <v>44143</v>
      </c>
      <c r="Q68" t="s">
        <v>36</v>
      </c>
      <c r="R68" t="s">
        <v>343</v>
      </c>
      <c r="S68" t="s">
        <v>36</v>
      </c>
      <c r="W68">
        <v>0</v>
      </c>
      <c r="Z68">
        <v>0</v>
      </c>
    </row>
    <row r="69" spans="1:26" x14ac:dyDescent="0.3">
      <c r="A69">
        <v>29238798</v>
      </c>
      <c r="B69" t="s">
        <v>344</v>
      </c>
      <c r="C69" t="s">
        <v>345</v>
      </c>
      <c r="D69" t="s">
        <v>346</v>
      </c>
      <c r="F69" t="str">
        <f>"1476777861"</f>
        <v>1476777861</v>
      </c>
      <c r="G69" t="str">
        <f>"9781476777863"</f>
        <v>9781476777863</v>
      </c>
      <c r="H69">
        <v>0</v>
      </c>
      <c r="I69">
        <v>3.95</v>
      </c>
      <c r="J69" t="s">
        <v>139</v>
      </c>
      <c r="K69" t="s">
        <v>35</v>
      </c>
      <c r="L69">
        <v>448</v>
      </c>
      <c r="M69">
        <v>2016</v>
      </c>
      <c r="N69">
        <v>2016</v>
      </c>
      <c r="P69" s="1">
        <v>44143</v>
      </c>
      <c r="Q69" t="s">
        <v>36</v>
      </c>
      <c r="R69" t="s">
        <v>347</v>
      </c>
      <c r="S69" t="s">
        <v>36</v>
      </c>
      <c r="W69">
        <v>0</v>
      </c>
      <c r="Z69">
        <v>0</v>
      </c>
    </row>
    <row r="70" spans="1:26" x14ac:dyDescent="0.3">
      <c r="A70">
        <v>37941858</v>
      </c>
      <c r="B70" t="s">
        <v>348</v>
      </c>
      <c r="C70" t="s">
        <v>349</v>
      </c>
      <c r="D70" t="s">
        <v>350</v>
      </c>
      <c r="F70" t="str">
        <f>"0374280037"</f>
        <v>0374280037</v>
      </c>
      <c r="G70" t="str">
        <f>"9780374280031"</f>
        <v>9780374280031</v>
      </c>
      <c r="H70">
        <v>0</v>
      </c>
      <c r="I70">
        <v>4.05</v>
      </c>
      <c r="J70" t="s">
        <v>351</v>
      </c>
      <c r="K70" t="s">
        <v>35</v>
      </c>
      <c r="L70">
        <v>400</v>
      </c>
      <c r="M70">
        <v>2018</v>
      </c>
      <c r="P70" s="1">
        <v>44142</v>
      </c>
      <c r="Q70" t="s">
        <v>36</v>
      </c>
      <c r="R70" t="s">
        <v>352</v>
      </c>
      <c r="S70" t="s">
        <v>36</v>
      </c>
      <c r="W70">
        <v>0</v>
      </c>
      <c r="Z70">
        <v>0</v>
      </c>
    </row>
    <row r="71" spans="1:26" x14ac:dyDescent="0.3">
      <c r="A71">
        <v>41735974</v>
      </c>
      <c r="B71" t="s">
        <v>353</v>
      </c>
      <c r="C71" t="s">
        <v>354</v>
      </c>
      <c r="D71" t="s">
        <v>355</v>
      </c>
      <c r="F71" t="str">
        <f>""</f>
        <v/>
      </c>
      <c r="G71" t="str">
        <f>""</f>
        <v/>
      </c>
      <c r="H71">
        <v>0</v>
      </c>
      <c r="I71">
        <v>4.0199999999999996</v>
      </c>
      <c r="J71" t="s">
        <v>356</v>
      </c>
      <c r="K71" t="s">
        <v>69</v>
      </c>
      <c r="L71">
        <v>328</v>
      </c>
      <c r="M71">
        <v>2018</v>
      </c>
      <c r="N71">
        <v>2018</v>
      </c>
      <c r="O71" s="1">
        <v>44142</v>
      </c>
      <c r="P71" s="1">
        <v>44140</v>
      </c>
      <c r="S71" t="s">
        <v>174</v>
      </c>
      <c r="W71">
        <v>1</v>
      </c>
      <c r="Z71">
        <v>0</v>
      </c>
    </row>
    <row r="72" spans="1:26" x14ac:dyDescent="0.3">
      <c r="A72">
        <v>18050049</v>
      </c>
      <c r="B72" t="s">
        <v>357</v>
      </c>
      <c r="C72" t="s">
        <v>358</v>
      </c>
      <c r="D72" t="s">
        <v>359</v>
      </c>
      <c r="F72" t="str">
        <f>"0307378195"</f>
        <v>0307378195</v>
      </c>
      <c r="G72" t="str">
        <f>"9780307378194"</f>
        <v>9780307378194</v>
      </c>
      <c r="H72">
        <v>0</v>
      </c>
      <c r="I72">
        <v>3.86</v>
      </c>
      <c r="J72" t="s">
        <v>313</v>
      </c>
      <c r="K72" t="s">
        <v>35</v>
      </c>
      <c r="L72">
        <v>461</v>
      </c>
      <c r="M72">
        <v>2014</v>
      </c>
      <c r="N72">
        <v>2014</v>
      </c>
      <c r="P72" s="1">
        <v>44142</v>
      </c>
      <c r="Q72" t="s">
        <v>36</v>
      </c>
      <c r="R72" t="s">
        <v>360</v>
      </c>
      <c r="S72" t="s">
        <v>36</v>
      </c>
      <c r="W72">
        <v>0</v>
      </c>
      <c r="Z72">
        <v>0</v>
      </c>
    </row>
    <row r="73" spans="1:26" x14ac:dyDescent="0.3">
      <c r="A73">
        <v>35210</v>
      </c>
      <c r="B73" t="s">
        <v>361</v>
      </c>
      <c r="C73" t="s">
        <v>362</v>
      </c>
      <c r="D73" t="s">
        <v>363</v>
      </c>
      <c r="F73" t="str">
        <f>"007141858X"</f>
        <v>007141858X</v>
      </c>
      <c r="G73" t="str">
        <f>"9780071418584"</f>
        <v>9780071418584</v>
      </c>
      <c r="H73">
        <v>0</v>
      </c>
      <c r="I73">
        <v>3.76</v>
      </c>
      <c r="J73" t="s">
        <v>364</v>
      </c>
      <c r="K73" t="s">
        <v>173</v>
      </c>
      <c r="L73">
        <v>345</v>
      </c>
      <c r="M73">
        <v>2003</v>
      </c>
      <c r="N73">
        <v>1998</v>
      </c>
      <c r="P73" s="1">
        <v>44142</v>
      </c>
      <c r="Q73" t="s">
        <v>36</v>
      </c>
      <c r="R73" t="s">
        <v>365</v>
      </c>
      <c r="S73" t="s">
        <v>36</v>
      </c>
      <c r="W73">
        <v>0</v>
      </c>
      <c r="Z73">
        <v>0</v>
      </c>
    </row>
    <row r="74" spans="1:26" x14ac:dyDescent="0.3">
      <c r="A74">
        <v>19012451</v>
      </c>
      <c r="B74" t="s">
        <v>366</v>
      </c>
      <c r="C74" t="s">
        <v>367</v>
      </c>
      <c r="D74" t="s">
        <v>368</v>
      </c>
      <c r="F74" t="str">
        <f>""</f>
        <v/>
      </c>
      <c r="G74" t="str">
        <f>""</f>
        <v/>
      </c>
      <c r="H74">
        <v>3</v>
      </c>
      <c r="I74">
        <v>4.21</v>
      </c>
      <c r="J74" t="s">
        <v>342</v>
      </c>
      <c r="K74" t="s">
        <v>69</v>
      </c>
      <c r="L74">
        <v>226</v>
      </c>
      <c r="M74">
        <v>2012</v>
      </c>
      <c r="N74">
        <v>1942</v>
      </c>
      <c r="O74" s="1">
        <v>44142</v>
      </c>
      <c r="P74" s="1">
        <v>44124</v>
      </c>
      <c r="S74" t="s">
        <v>174</v>
      </c>
      <c r="W74">
        <v>1</v>
      </c>
      <c r="Z74">
        <v>0</v>
      </c>
    </row>
    <row r="75" spans="1:26" x14ac:dyDescent="0.3">
      <c r="A75">
        <v>273545</v>
      </c>
      <c r="B75" t="s">
        <v>369</v>
      </c>
      <c r="C75" t="s">
        <v>370</v>
      </c>
      <c r="D75" t="s">
        <v>371</v>
      </c>
      <c r="E75" t="s">
        <v>372</v>
      </c>
      <c r="F75" t="str">
        <f>"0664241840"</f>
        <v>0664241840</v>
      </c>
      <c r="G75" t="str">
        <f>"9780664241841"</f>
        <v>9780664241841</v>
      </c>
      <c r="H75">
        <v>0</v>
      </c>
      <c r="I75">
        <v>4.0199999999999996</v>
      </c>
      <c r="J75" t="s">
        <v>373</v>
      </c>
      <c r="K75" t="s">
        <v>60</v>
      </c>
      <c r="L75">
        <v>124</v>
      </c>
      <c r="M75">
        <v>1978</v>
      </c>
      <c r="N75">
        <v>1978</v>
      </c>
      <c r="O75" s="1">
        <v>43271</v>
      </c>
      <c r="P75" s="1">
        <v>43271</v>
      </c>
      <c r="S75" t="s">
        <v>174</v>
      </c>
      <c r="W75">
        <v>2</v>
      </c>
      <c r="Z75">
        <v>0</v>
      </c>
    </row>
    <row r="76" spans="1:26" x14ac:dyDescent="0.3">
      <c r="A76">
        <v>35285752</v>
      </c>
      <c r="B76" t="s">
        <v>374</v>
      </c>
      <c r="C76" t="s">
        <v>375</v>
      </c>
      <c r="D76" t="s">
        <v>376</v>
      </c>
      <c r="F76" t="str">
        <f>""</f>
        <v/>
      </c>
      <c r="G76" t="str">
        <f>""</f>
        <v/>
      </c>
      <c r="H76">
        <v>0</v>
      </c>
      <c r="I76">
        <v>4.21</v>
      </c>
      <c r="J76" t="s">
        <v>377</v>
      </c>
      <c r="K76" t="s">
        <v>69</v>
      </c>
      <c r="L76">
        <v>434</v>
      </c>
      <c r="M76">
        <v>2017</v>
      </c>
      <c r="N76">
        <v>2017</v>
      </c>
      <c r="O76" s="1">
        <v>44140</v>
      </c>
      <c r="P76" s="1">
        <v>44139</v>
      </c>
      <c r="S76" t="s">
        <v>174</v>
      </c>
      <c r="W76">
        <v>1</v>
      </c>
      <c r="Z76">
        <v>0</v>
      </c>
    </row>
    <row r="77" spans="1:26" x14ac:dyDescent="0.3">
      <c r="A77">
        <v>55151</v>
      </c>
      <c r="B77" t="s">
        <v>378</v>
      </c>
      <c r="C77" t="s">
        <v>379</v>
      </c>
      <c r="D77" t="s">
        <v>380</v>
      </c>
      <c r="F77" t="str">
        <f>"0304366420"</f>
        <v>0304366420</v>
      </c>
      <c r="G77" t="str">
        <f>"9780304366422"</f>
        <v>9780304366422</v>
      </c>
      <c r="H77">
        <v>4</v>
      </c>
      <c r="I77">
        <v>4.18</v>
      </c>
      <c r="J77" t="s">
        <v>381</v>
      </c>
      <c r="K77" t="s">
        <v>60</v>
      </c>
      <c r="L77">
        <v>416</v>
      </c>
      <c r="M77">
        <v>2003</v>
      </c>
      <c r="N77">
        <v>2000</v>
      </c>
      <c r="O77" s="1">
        <v>44139</v>
      </c>
      <c r="P77" s="1">
        <v>44139</v>
      </c>
      <c r="S77" t="s">
        <v>174</v>
      </c>
      <c r="W77">
        <v>1</v>
      </c>
      <c r="Z77">
        <v>0</v>
      </c>
    </row>
    <row r="78" spans="1:26" x14ac:dyDescent="0.3">
      <c r="A78">
        <v>25930989</v>
      </c>
      <c r="B78" t="s">
        <v>382</v>
      </c>
      <c r="C78" t="s">
        <v>379</v>
      </c>
      <c r="D78" t="s">
        <v>380</v>
      </c>
      <c r="F78" t="str">
        <f>"0297864289"</f>
        <v>0297864289</v>
      </c>
      <c r="G78" t="str">
        <f>"9780297864288"</f>
        <v>9780297864288</v>
      </c>
      <c r="H78">
        <v>0</v>
      </c>
      <c r="I78">
        <v>3.95</v>
      </c>
      <c r="J78" t="s">
        <v>383</v>
      </c>
      <c r="K78" t="s">
        <v>35</v>
      </c>
      <c r="L78">
        <v>513</v>
      </c>
      <c r="M78">
        <v>2016</v>
      </c>
      <c r="N78">
        <v>2016</v>
      </c>
      <c r="O78" s="1">
        <v>44136</v>
      </c>
      <c r="P78" s="1">
        <v>44136</v>
      </c>
      <c r="S78" t="s">
        <v>174</v>
      </c>
      <c r="W78">
        <v>1</v>
      </c>
      <c r="Z78">
        <v>0</v>
      </c>
    </row>
    <row r="79" spans="1:26" x14ac:dyDescent="0.3">
      <c r="A79">
        <v>41043984</v>
      </c>
      <c r="B79" t="s">
        <v>384</v>
      </c>
      <c r="C79" t="s">
        <v>379</v>
      </c>
      <c r="D79" t="s">
        <v>380</v>
      </c>
      <c r="F79" t="str">
        <f>""</f>
        <v/>
      </c>
      <c r="G79" t="str">
        <f>""</f>
        <v/>
      </c>
      <c r="H79">
        <v>4</v>
      </c>
      <c r="I79">
        <v>4.2300000000000004</v>
      </c>
      <c r="J79" t="s">
        <v>385</v>
      </c>
      <c r="K79" t="s">
        <v>69</v>
      </c>
      <c r="M79">
        <v>2019</v>
      </c>
      <c r="O79" s="1">
        <v>44133</v>
      </c>
      <c r="P79" s="1">
        <v>44133</v>
      </c>
      <c r="S79" t="s">
        <v>174</v>
      </c>
      <c r="W79">
        <v>1</v>
      </c>
      <c r="Z79">
        <v>0</v>
      </c>
    </row>
    <row r="80" spans="1:26" x14ac:dyDescent="0.3">
      <c r="A80">
        <v>34234639</v>
      </c>
      <c r="B80" t="s">
        <v>386</v>
      </c>
      <c r="C80" t="s">
        <v>387</v>
      </c>
      <c r="D80" t="s">
        <v>388</v>
      </c>
      <c r="F80" t="str">
        <f>"1535020709"</f>
        <v>1535020709</v>
      </c>
      <c r="G80" t="str">
        <f>"9781535020701"</f>
        <v>9781535020701</v>
      </c>
      <c r="H80">
        <v>0</v>
      </c>
      <c r="I80">
        <v>4.0599999999999996</v>
      </c>
      <c r="J80" t="s">
        <v>389</v>
      </c>
      <c r="K80" t="s">
        <v>60</v>
      </c>
      <c r="L80">
        <v>252</v>
      </c>
      <c r="M80">
        <v>2015</v>
      </c>
      <c r="N80">
        <v>2015</v>
      </c>
      <c r="P80" s="1">
        <v>44128</v>
      </c>
      <c r="Q80" t="s">
        <v>36</v>
      </c>
      <c r="R80" t="s">
        <v>390</v>
      </c>
      <c r="S80" t="s">
        <v>36</v>
      </c>
      <c r="W80">
        <v>0</v>
      </c>
      <c r="Z80">
        <v>0</v>
      </c>
    </row>
    <row r="81" spans="1:26" x14ac:dyDescent="0.3">
      <c r="A81">
        <v>9108567</v>
      </c>
      <c r="B81" t="s">
        <v>391</v>
      </c>
      <c r="C81" t="s">
        <v>392</v>
      </c>
      <c r="D81" t="s">
        <v>393</v>
      </c>
      <c r="F81" t="str">
        <f>""</f>
        <v/>
      </c>
      <c r="G81" t="str">
        <f>""</f>
        <v/>
      </c>
      <c r="H81">
        <v>0</v>
      </c>
      <c r="I81">
        <v>4.33</v>
      </c>
      <c r="K81" t="s">
        <v>69</v>
      </c>
      <c r="L81">
        <v>320</v>
      </c>
      <c r="N81">
        <v>2010</v>
      </c>
      <c r="O81" s="1">
        <v>43936</v>
      </c>
      <c r="P81" s="1">
        <v>43936</v>
      </c>
      <c r="S81" t="s">
        <v>174</v>
      </c>
      <c r="W81">
        <v>1</v>
      </c>
      <c r="Z81">
        <v>0</v>
      </c>
    </row>
    <row r="82" spans="1:26" x14ac:dyDescent="0.3">
      <c r="A82">
        <v>39967191</v>
      </c>
      <c r="B82" t="s">
        <v>394</v>
      </c>
      <c r="C82" t="s">
        <v>395</v>
      </c>
      <c r="D82" t="s">
        <v>396</v>
      </c>
      <c r="F82" t="str">
        <f>"1108454720"</f>
        <v>1108454720</v>
      </c>
      <c r="G82" t="str">
        <f>"9781108454728"</f>
        <v>9781108454728</v>
      </c>
      <c r="H82">
        <v>0</v>
      </c>
      <c r="I82">
        <v>4.1100000000000003</v>
      </c>
      <c r="J82" t="s">
        <v>261</v>
      </c>
      <c r="K82" t="s">
        <v>60</v>
      </c>
      <c r="L82">
        <v>70</v>
      </c>
      <c r="M82">
        <v>2018</v>
      </c>
      <c r="P82" s="1">
        <v>44126</v>
      </c>
      <c r="Q82" t="s">
        <v>36</v>
      </c>
      <c r="R82" t="s">
        <v>397</v>
      </c>
      <c r="S82" t="s">
        <v>36</v>
      </c>
      <c r="W82">
        <v>0</v>
      </c>
      <c r="Z82">
        <v>0</v>
      </c>
    </row>
    <row r="83" spans="1:26" x14ac:dyDescent="0.3">
      <c r="A83">
        <v>12687681</v>
      </c>
      <c r="B83" t="s">
        <v>398</v>
      </c>
      <c r="C83" t="s">
        <v>399</v>
      </c>
      <c r="D83" t="s">
        <v>400</v>
      </c>
      <c r="F83" t="str">
        <f>""</f>
        <v/>
      </c>
      <c r="G83" t="str">
        <f>""</f>
        <v/>
      </c>
      <c r="H83">
        <v>0</v>
      </c>
      <c r="I83">
        <v>3.61</v>
      </c>
      <c r="K83" t="s">
        <v>69</v>
      </c>
      <c r="N83">
        <v>2009</v>
      </c>
      <c r="P83" s="1">
        <v>44126</v>
      </c>
      <c r="Q83" t="s">
        <v>150</v>
      </c>
      <c r="R83" t="s">
        <v>401</v>
      </c>
      <c r="S83" t="s">
        <v>150</v>
      </c>
      <c r="W83">
        <v>1</v>
      </c>
      <c r="Z83">
        <v>0</v>
      </c>
    </row>
    <row r="84" spans="1:26" x14ac:dyDescent="0.3">
      <c r="A84">
        <v>17942017</v>
      </c>
      <c r="B84" t="s">
        <v>402</v>
      </c>
      <c r="C84" t="s">
        <v>403</v>
      </c>
      <c r="D84" t="s">
        <v>404</v>
      </c>
      <c r="F84" t="str">
        <f>"1400847966"</f>
        <v>1400847966</v>
      </c>
      <c r="G84" t="str">
        <f>"9781400847969"</f>
        <v>9781400847969</v>
      </c>
      <c r="H84">
        <v>5</v>
      </c>
      <c r="I84">
        <v>3.84</v>
      </c>
      <c r="J84" t="s">
        <v>377</v>
      </c>
      <c r="K84" t="s">
        <v>173</v>
      </c>
      <c r="L84">
        <v>376</v>
      </c>
      <c r="M84">
        <v>2013</v>
      </c>
      <c r="N84">
        <v>2013</v>
      </c>
      <c r="O84" s="1">
        <v>44097</v>
      </c>
      <c r="P84" s="1">
        <v>43877</v>
      </c>
      <c r="S84" t="s">
        <v>174</v>
      </c>
      <c r="W84">
        <v>1</v>
      </c>
      <c r="Z84">
        <v>0</v>
      </c>
    </row>
    <row r="85" spans="1:26" x14ac:dyDescent="0.3">
      <c r="A85">
        <v>52090</v>
      </c>
      <c r="B85" t="s">
        <v>405</v>
      </c>
      <c r="C85" t="s">
        <v>406</v>
      </c>
      <c r="D85" t="s">
        <v>407</v>
      </c>
      <c r="E85" t="s">
        <v>408</v>
      </c>
      <c r="F85" t="str">
        <f>"0143039881"</f>
        <v>0143039881</v>
      </c>
      <c r="G85" t="str">
        <f>"9780143039884"</f>
        <v>9780143039884</v>
      </c>
      <c r="H85">
        <v>3</v>
      </c>
      <c r="I85">
        <v>4.2300000000000004</v>
      </c>
      <c r="J85" t="s">
        <v>409</v>
      </c>
      <c r="K85" t="s">
        <v>60</v>
      </c>
      <c r="L85">
        <v>312</v>
      </c>
      <c r="M85">
        <v>2006</v>
      </c>
      <c r="N85">
        <v>1963</v>
      </c>
      <c r="O85" s="1">
        <v>44116</v>
      </c>
      <c r="P85" s="1">
        <v>43464</v>
      </c>
      <c r="S85" t="s">
        <v>174</v>
      </c>
      <c r="W85">
        <v>1</v>
      </c>
      <c r="Z85">
        <v>0</v>
      </c>
    </row>
    <row r="86" spans="1:26" x14ac:dyDescent="0.3">
      <c r="A86">
        <v>18047480</v>
      </c>
      <c r="B86" t="s">
        <v>410</v>
      </c>
      <c r="C86" t="s">
        <v>411</v>
      </c>
      <c r="D86" t="s">
        <v>412</v>
      </c>
      <c r="F86" t="str">
        <f>""</f>
        <v/>
      </c>
      <c r="G86" t="str">
        <f>""</f>
        <v/>
      </c>
      <c r="H86">
        <v>4</v>
      </c>
      <c r="I86">
        <v>3.76</v>
      </c>
      <c r="J86" t="s">
        <v>413</v>
      </c>
      <c r="K86" t="s">
        <v>69</v>
      </c>
      <c r="L86">
        <v>448</v>
      </c>
      <c r="M86">
        <v>2012</v>
      </c>
      <c r="N86">
        <v>2012</v>
      </c>
      <c r="O86" s="1">
        <v>44124</v>
      </c>
      <c r="P86" s="1">
        <v>44117</v>
      </c>
      <c r="S86" t="s">
        <v>174</v>
      </c>
      <c r="W86">
        <v>1</v>
      </c>
      <c r="Z86">
        <v>0</v>
      </c>
    </row>
    <row r="87" spans="1:26" x14ac:dyDescent="0.3">
      <c r="A87">
        <v>1831667</v>
      </c>
      <c r="B87" t="s">
        <v>414</v>
      </c>
      <c r="C87" t="s">
        <v>415</v>
      </c>
      <c r="D87" t="s">
        <v>416</v>
      </c>
      <c r="F87" t="str">
        <f>"0691058873"</f>
        <v>0691058873</v>
      </c>
      <c r="G87" t="str">
        <f>"9780691058870"</f>
        <v>9780691058870</v>
      </c>
      <c r="H87">
        <v>0</v>
      </c>
      <c r="I87">
        <v>3.99</v>
      </c>
      <c r="J87" t="s">
        <v>377</v>
      </c>
      <c r="K87" t="s">
        <v>35</v>
      </c>
      <c r="L87">
        <v>568</v>
      </c>
      <c r="M87">
        <v>2007</v>
      </c>
      <c r="N87">
        <v>2007</v>
      </c>
      <c r="P87" s="1">
        <v>44123</v>
      </c>
      <c r="Q87" t="s">
        <v>36</v>
      </c>
      <c r="R87" t="s">
        <v>417</v>
      </c>
      <c r="S87" t="s">
        <v>36</v>
      </c>
      <c r="W87">
        <v>0</v>
      </c>
      <c r="Z87">
        <v>0</v>
      </c>
    </row>
    <row r="88" spans="1:26" x14ac:dyDescent="0.3">
      <c r="A88">
        <v>25614597</v>
      </c>
      <c r="B88" t="s">
        <v>418</v>
      </c>
      <c r="C88" t="s">
        <v>419</v>
      </c>
      <c r="D88" t="s">
        <v>420</v>
      </c>
      <c r="F88" t="str">
        <f>"1594487103"</f>
        <v>1594487103</v>
      </c>
      <c r="G88" t="str">
        <f>"9781594487101"</f>
        <v>9781594487101</v>
      </c>
      <c r="H88">
        <v>0</v>
      </c>
      <c r="I88">
        <v>4.1399999999999997</v>
      </c>
      <c r="J88" t="s">
        <v>421</v>
      </c>
      <c r="K88" t="s">
        <v>35</v>
      </c>
      <c r="L88">
        <v>528</v>
      </c>
      <c r="M88">
        <v>2016</v>
      </c>
      <c r="N88">
        <v>2015</v>
      </c>
      <c r="P88" s="1">
        <v>44121</v>
      </c>
      <c r="Q88" t="s">
        <v>36</v>
      </c>
      <c r="R88" t="s">
        <v>422</v>
      </c>
      <c r="S88" t="s">
        <v>36</v>
      </c>
      <c r="W88">
        <v>0</v>
      </c>
      <c r="Z88">
        <v>0</v>
      </c>
    </row>
    <row r="89" spans="1:26" x14ac:dyDescent="0.3">
      <c r="A89">
        <v>42101698</v>
      </c>
      <c r="B89" t="s">
        <v>423</v>
      </c>
      <c r="C89" t="s">
        <v>424</v>
      </c>
      <c r="D89" t="s">
        <v>425</v>
      </c>
      <c r="F89" t="str">
        <f>"1621578003"</f>
        <v>1621578003</v>
      </c>
      <c r="G89" t="str">
        <f>"9781621578000"</f>
        <v>9781621578000</v>
      </c>
      <c r="H89">
        <v>0</v>
      </c>
      <c r="I89">
        <v>3.97</v>
      </c>
      <c r="J89" t="s">
        <v>426</v>
      </c>
      <c r="K89" t="s">
        <v>35</v>
      </c>
      <c r="L89">
        <v>208</v>
      </c>
      <c r="M89">
        <v>2019</v>
      </c>
      <c r="P89" s="1">
        <v>44121</v>
      </c>
      <c r="Q89" t="s">
        <v>36</v>
      </c>
      <c r="R89" t="s">
        <v>427</v>
      </c>
      <c r="S89" t="s">
        <v>36</v>
      </c>
      <c r="W89">
        <v>0</v>
      </c>
      <c r="Z89">
        <v>0</v>
      </c>
    </row>
    <row r="90" spans="1:26" x14ac:dyDescent="0.3">
      <c r="A90">
        <v>38470087</v>
      </c>
      <c r="B90" t="s">
        <v>428</v>
      </c>
      <c r="C90" t="s">
        <v>429</v>
      </c>
      <c r="D90" t="s">
        <v>430</v>
      </c>
      <c r="F90" t="str">
        <f>"024131710X"</f>
        <v>024131710X</v>
      </c>
      <c r="G90" t="str">
        <f>"9780241317105"</f>
        <v>9780241317105</v>
      </c>
      <c r="H90">
        <v>0</v>
      </c>
      <c r="I90">
        <v>3.69</v>
      </c>
      <c r="J90" t="s">
        <v>99</v>
      </c>
      <c r="K90" t="s">
        <v>35</v>
      </c>
      <c r="L90">
        <v>496</v>
      </c>
      <c r="M90">
        <v>2018</v>
      </c>
      <c r="P90" s="1">
        <v>44121</v>
      </c>
      <c r="Q90" t="s">
        <v>36</v>
      </c>
      <c r="R90" t="s">
        <v>431</v>
      </c>
      <c r="S90" t="s">
        <v>36</v>
      </c>
      <c r="W90">
        <v>0</v>
      </c>
      <c r="Z90">
        <v>0</v>
      </c>
    </row>
    <row r="91" spans="1:26" x14ac:dyDescent="0.3">
      <c r="A91">
        <v>37977136</v>
      </c>
      <c r="B91" t="s">
        <v>432</v>
      </c>
      <c r="C91" t="s">
        <v>433</v>
      </c>
      <c r="D91" t="s">
        <v>434</v>
      </c>
      <c r="F91" t="str">
        <f>"1541645375"</f>
        <v>1541645375</v>
      </c>
      <c r="G91" t="str">
        <f>"9781541645370"</f>
        <v>9781541645370</v>
      </c>
      <c r="H91">
        <v>0</v>
      </c>
      <c r="I91">
        <v>3.88</v>
      </c>
      <c r="J91" t="s">
        <v>129</v>
      </c>
      <c r="K91" t="s">
        <v>35</v>
      </c>
      <c r="L91">
        <v>285</v>
      </c>
      <c r="M91">
        <v>2018</v>
      </c>
      <c r="P91" s="1">
        <v>44121</v>
      </c>
      <c r="Q91" t="s">
        <v>36</v>
      </c>
      <c r="R91" t="s">
        <v>435</v>
      </c>
      <c r="S91" t="s">
        <v>36</v>
      </c>
      <c r="W91">
        <v>0</v>
      </c>
      <c r="Z91">
        <v>0</v>
      </c>
    </row>
    <row r="92" spans="1:26" x14ac:dyDescent="0.3">
      <c r="A92">
        <v>34746473</v>
      </c>
      <c r="B92" t="s">
        <v>436</v>
      </c>
      <c r="C92" t="s">
        <v>437</v>
      </c>
      <c r="D92" t="s">
        <v>438</v>
      </c>
      <c r="F92" t="str">
        <f>"0300223447"</f>
        <v>0300223447</v>
      </c>
      <c r="G92" t="str">
        <f>"9780300223446"</f>
        <v>9780300223446</v>
      </c>
      <c r="H92">
        <v>0</v>
      </c>
      <c r="I92">
        <v>3.86</v>
      </c>
      <c r="J92" t="s">
        <v>356</v>
      </c>
      <c r="K92" t="s">
        <v>35</v>
      </c>
      <c r="L92">
        <v>248</v>
      </c>
      <c r="M92">
        <v>2018</v>
      </c>
      <c r="N92">
        <v>2018</v>
      </c>
      <c r="O92" s="1">
        <v>44121</v>
      </c>
      <c r="P92" s="1">
        <v>43982</v>
      </c>
      <c r="S92" t="s">
        <v>174</v>
      </c>
      <c r="W92">
        <v>1</v>
      </c>
      <c r="Z92">
        <v>0</v>
      </c>
    </row>
    <row r="93" spans="1:26" x14ac:dyDescent="0.3">
      <c r="A93">
        <v>30079723</v>
      </c>
      <c r="B93" t="s">
        <v>439</v>
      </c>
      <c r="C93" t="s">
        <v>440</v>
      </c>
      <c r="D93" t="s">
        <v>441</v>
      </c>
      <c r="F93" t="str">
        <f>"0399562362"</f>
        <v>0399562362</v>
      </c>
      <c r="G93" t="str">
        <f>"9780399562365"</f>
        <v>9780399562365</v>
      </c>
      <c r="H93">
        <v>0</v>
      </c>
      <c r="I93">
        <v>3.78</v>
      </c>
      <c r="J93" t="s">
        <v>442</v>
      </c>
      <c r="K93" t="s">
        <v>35</v>
      </c>
      <c r="L93">
        <v>352</v>
      </c>
      <c r="M93">
        <v>2017</v>
      </c>
      <c r="N93">
        <v>2017</v>
      </c>
      <c r="O93" s="1">
        <v>44109</v>
      </c>
      <c r="P93" s="1">
        <v>43144</v>
      </c>
      <c r="Q93" t="s">
        <v>443</v>
      </c>
      <c r="R93" t="s">
        <v>444</v>
      </c>
      <c r="S93" t="s">
        <v>36</v>
      </c>
      <c r="W93">
        <v>1</v>
      </c>
      <c r="Z93">
        <v>0</v>
      </c>
    </row>
    <row r="94" spans="1:26" x14ac:dyDescent="0.3">
      <c r="A94">
        <v>32283998</v>
      </c>
      <c r="B94" t="s">
        <v>445</v>
      </c>
      <c r="C94" t="s">
        <v>446</v>
      </c>
      <c r="D94" t="s">
        <v>447</v>
      </c>
      <c r="F94" t="str">
        <f>"073522059X"</f>
        <v>073522059X</v>
      </c>
      <c r="G94" t="str">
        <f>"9780735220591"</f>
        <v>9780735220591</v>
      </c>
      <c r="H94">
        <v>0</v>
      </c>
      <c r="I94">
        <v>3.7</v>
      </c>
      <c r="J94" t="s">
        <v>442</v>
      </c>
      <c r="K94" t="s">
        <v>35</v>
      </c>
      <c r="L94">
        <v>363</v>
      </c>
      <c r="M94">
        <v>2017</v>
      </c>
      <c r="N94">
        <v>2017</v>
      </c>
      <c r="P94" s="1">
        <v>44119</v>
      </c>
      <c r="Q94" t="s">
        <v>36</v>
      </c>
      <c r="R94" t="s">
        <v>448</v>
      </c>
      <c r="S94" t="s">
        <v>36</v>
      </c>
      <c r="W94">
        <v>0</v>
      </c>
      <c r="Z94">
        <v>0</v>
      </c>
    </row>
    <row r="95" spans="1:26" x14ac:dyDescent="0.3">
      <c r="A95">
        <v>1223121</v>
      </c>
      <c r="B95" t="s">
        <v>449</v>
      </c>
      <c r="C95" t="s">
        <v>450</v>
      </c>
      <c r="D95" t="s">
        <v>451</v>
      </c>
      <c r="F95" t="str">
        <f>"1430304952"</f>
        <v>1430304952</v>
      </c>
      <c r="G95" t="str">
        <f>"9781430304951"</f>
        <v>9781430304951</v>
      </c>
      <c r="H95">
        <v>0</v>
      </c>
      <c r="I95">
        <v>4.18</v>
      </c>
      <c r="J95" t="s">
        <v>452</v>
      </c>
      <c r="K95" t="s">
        <v>60</v>
      </c>
      <c r="L95">
        <v>260</v>
      </c>
      <c r="M95">
        <v>2007</v>
      </c>
      <c r="N95">
        <v>2007</v>
      </c>
      <c r="P95" s="1">
        <v>44119</v>
      </c>
      <c r="Q95" t="s">
        <v>36</v>
      </c>
      <c r="R95" t="s">
        <v>453</v>
      </c>
      <c r="S95" t="s">
        <v>36</v>
      </c>
      <c r="W95">
        <v>0</v>
      </c>
      <c r="Z95">
        <v>0</v>
      </c>
    </row>
    <row r="96" spans="1:26" x14ac:dyDescent="0.3">
      <c r="A96">
        <v>1020951</v>
      </c>
      <c r="B96" t="s">
        <v>454</v>
      </c>
      <c r="C96" t="s">
        <v>455</v>
      </c>
      <c r="D96" t="s">
        <v>456</v>
      </c>
      <c r="F96" t="str">
        <f>"0060922826"</f>
        <v>0060922826</v>
      </c>
      <c r="G96" t="str">
        <f>"9780060922825"</f>
        <v>9780060922825</v>
      </c>
      <c r="H96">
        <v>0</v>
      </c>
      <c r="I96">
        <v>4.1399999999999997</v>
      </c>
      <c r="J96" t="s">
        <v>303</v>
      </c>
      <c r="K96" t="s">
        <v>60</v>
      </c>
      <c r="L96">
        <v>1095</v>
      </c>
      <c r="M96">
        <v>1992</v>
      </c>
      <c r="N96">
        <v>1991</v>
      </c>
      <c r="P96" s="1">
        <v>44114</v>
      </c>
      <c r="Q96" t="s">
        <v>36</v>
      </c>
      <c r="R96" t="s">
        <v>457</v>
      </c>
      <c r="S96" t="s">
        <v>36</v>
      </c>
      <c r="W96">
        <v>0</v>
      </c>
      <c r="Z96">
        <v>0</v>
      </c>
    </row>
    <row r="97" spans="1:26" x14ac:dyDescent="0.3">
      <c r="A97">
        <v>3741342</v>
      </c>
      <c r="B97" t="s">
        <v>458</v>
      </c>
      <c r="C97" t="s">
        <v>459</v>
      </c>
      <c r="D97" t="s">
        <v>460</v>
      </c>
      <c r="F97" t="str">
        <f>"0393067572"</f>
        <v>0393067572</v>
      </c>
      <c r="G97" t="str">
        <f>"9780393067576"</f>
        <v>9780393067576</v>
      </c>
      <c r="H97">
        <v>0</v>
      </c>
      <c r="I97">
        <v>4.32</v>
      </c>
      <c r="J97" t="s">
        <v>144</v>
      </c>
      <c r="K97" t="s">
        <v>35</v>
      </c>
      <c r="L97">
        <v>1072</v>
      </c>
      <c r="M97">
        <v>2008</v>
      </c>
      <c r="N97">
        <v>1991</v>
      </c>
      <c r="P97" s="1">
        <v>44114</v>
      </c>
      <c r="Q97" t="s">
        <v>36</v>
      </c>
      <c r="R97" t="s">
        <v>461</v>
      </c>
      <c r="S97" t="s">
        <v>36</v>
      </c>
      <c r="W97">
        <v>0</v>
      </c>
      <c r="Z97">
        <v>0</v>
      </c>
    </row>
    <row r="98" spans="1:26" x14ac:dyDescent="0.3">
      <c r="A98">
        <v>726546</v>
      </c>
      <c r="B98" t="s">
        <v>462</v>
      </c>
      <c r="C98" t="s">
        <v>463</v>
      </c>
      <c r="D98" t="s">
        <v>464</v>
      </c>
      <c r="F98" t="str">
        <f>"094500110X"</f>
        <v>094500110X</v>
      </c>
      <c r="G98" t="str">
        <f>"9780945001102"</f>
        <v>9780945001102</v>
      </c>
      <c r="H98">
        <v>0</v>
      </c>
      <c r="I98">
        <v>4.3099999999999996</v>
      </c>
      <c r="J98" t="s">
        <v>465</v>
      </c>
      <c r="K98" t="s">
        <v>35</v>
      </c>
      <c r="L98">
        <v>1359</v>
      </c>
      <c r="M98">
        <v>1995</v>
      </c>
      <c r="N98">
        <v>1966</v>
      </c>
      <c r="P98" s="1">
        <v>44112</v>
      </c>
      <c r="Q98" t="s">
        <v>36</v>
      </c>
      <c r="R98" t="s">
        <v>466</v>
      </c>
      <c r="S98" t="s">
        <v>36</v>
      </c>
      <c r="W98">
        <v>0</v>
      </c>
      <c r="Z98">
        <v>0</v>
      </c>
    </row>
    <row r="99" spans="1:26" x14ac:dyDescent="0.3">
      <c r="A99">
        <v>273197</v>
      </c>
      <c r="B99" t="s">
        <v>467</v>
      </c>
      <c r="C99" t="s">
        <v>468</v>
      </c>
      <c r="D99" t="s">
        <v>469</v>
      </c>
      <c r="F99" t="str">
        <f>"0393320278"</f>
        <v>0393320278</v>
      </c>
      <c r="G99" t="str">
        <f>"9780393320275"</f>
        <v>9780393320275</v>
      </c>
      <c r="H99">
        <v>0</v>
      </c>
      <c r="I99">
        <v>4.13</v>
      </c>
      <c r="J99" t="s">
        <v>144</v>
      </c>
      <c r="K99" t="s">
        <v>60</v>
      </c>
      <c r="L99">
        <v>676</v>
      </c>
      <c r="M99">
        <v>2000</v>
      </c>
      <c r="N99">
        <v>1999</v>
      </c>
      <c r="P99" s="1">
        <v>44112</v>
      </c>
      <c r="Q99" t="s">
        <v>36</v>
      </c>
      <c r="R99" t="s">
        <v>470</v>
      </c>
      <c r="S99" t="s">
        <v>36</v>
      </c>
      <c r="W99">
        <v>0</v>
      </c>
      <c r="Z99">
        <v>0</v>
      </c>
    </row>
    <row r="100" spans="1:26" x14ac:dyDescent="0.3">
      <c r="A100">
        <v>38212112</v>
      </c>
      <c r="B100" t="s">
        <v>471</v>
      </c>
      <c r="C100" t="s">
        <v>142</v>
      </c>
      <c r="D100" t="s">
        <v>143</v>
      </c>
      <c r="F100" t="str">
        <f>"0393356175"</f>
        <v>0393356175</v>
      </c>
      <c r="G100" t="str">
        <f>"9780393356175"</f>
        <v>9780393356175</v>
      </c>
      <c r="H100">
        <v>0</v>
      </c>
      <c r="I100">
        <v>3.98</v>
      </c>
      <c r="J100" t="s">
        <v>144</v>
      </c>
      <c r="K100" t="s">
        <v>60</v>
      </c>
      <c r="L100">
        <v>368</v>
      </c>
      <c r="M100">
        <v>2018</v>
      </c>
      <c r="N100">
        <v>1978</v>
      </c>
      <c r="P100" s="1">
        <v>44110</v>
      </c>
      <c r="Q100" t="s">
        <v>36</v>
      </c>
      <c r="R100" t="s">
        <v>472</v>
      </c>
      <c r="S100" t="s">
        <v>36</v>
      </c>
      <c r="W100">
        <v>0</v>
      </c>
      <c r="Z100">
        <v>0</v>
      </c>
    </row>
    <row r="101" spans="1:26" x14ac:dyDescent="0.3">
      <c r="A101">
        <v>537534</v>
      </c>
      <c r="B101" t="s">
        <v>473</v>
      </c>
      <c r="C101" t="s">
        <v>474</v>
      </c>
      <c r="D101" t="s">
        <v>475</v>
      </c>
      <c r="F101" t="str">
        <f>"0375414037"</f>
        <v>0375414037</v>
      </c>
      <c r="G101" t="str">
        <f>"9780375414039"</f>
        <v>9780375414039</v>
      </c>
      <c r="H101">
        <v>0</v>
      </c>
      <c r="I101">
        <v>3.74</v>
      </c>
      <c r="J101" t="s">
        <v>476</v>
      </c>
      <c r="K101" t="s">
        <v>35</v>
      </c>
      <c r="L101">
        <v>320</v>
      </c>
      <c r="M101">
        <v>2007</v>
      </c>
      <c r="N101">
        <v>2007</v>
      </c>
      <c r="P101" s="1">
        <v>44110</v>
      </c>
      <c r="Q101" t="s">
        <v>36</v>
      </c>
      <c r="R101" t="s">
        <v>477</v>
      </c>
      <c r="S101" t="s">
        <v>36</v>
      </c>
      <c r="W101">
        <v>0</v>
      </c>
      <c r="Z101">
        <v>0</v>
      </c>
    </row>
    <row r="102" spans="1:26" x14ac:dyDescent="0.3">
      <c r="A102">
        <v>10475421</v>
      </c>
      <c r="B102" t="s">
        <v>478</v>
      </c>
      <c r="C102" t="s">
        <v>479</v>
      </c>
      <c r="D102" t="s">
        <v>480</v>
      </c>
      <c r="F102" t="str">
        <f>"1846142733"</f>
        <v>1846142733</v>
      </c>
      <c r="G102" t="str">
        <f>"9781846142734"</f>
        <v>9781846142734</v>
      </c>
      <c r="H102">
        <v>0</v>
      </c>
      <c r="I102">
        <v>3.85</v>
      </c>
      <c r="J102" t="s">
        <v>99</v>
      </c>
      <c r="K102" t="s">
        <v>35</v>
      </c>
      <c r="L102">
        <v>402</v>
      </c>
      <c r="M102">
        <v>2011</v>
      </c>
      <c r="N102">
        <v>2011</v>
      </c>
      <c r="P102" s="1">
        <v>44110</v>
      </c>
      <c r="Q102" t="s">
        <v>36</v>
      </c>
      <c r="R102" t="s">
        <v>481</v>
      </c>
      <c r="S102" t="s">
        <v>36</v>
      </c>
      <c r="W102">
        <v>0</v>
      </c>
      <c r="Z102">
        <v>0</v>
      </c>
    </row>
    <row r="103" spans="1:26" x14ac:dyDescent="0.3">
      <c r="A103">
        <v>10354409</v>
      </c>
      <c r="B103" t="s">
        <v>482</v>
      </c>
      <c r="C103" t="s">
        <v>483</v>
      </c>
      <c r="D103" t="s">
        <v>484</v>
      </c>
      <c r="F103" t="str">
        <f>""</f>
        <v/>
      </c>
      <c r="G103" t="str">
        <f>""</f>
        <v/>
      </c>
      <c r="H103">
        <v>2</v>
      </c>
      <c r="I103">
        <v>3.8</v>
      </c>
      <c r="K103" t="s">
        <v>69</v>
      </c>
      <c r="L103">
        <v>322</v>
      </c>
      <c r="N103">
        <v>2010</v>
      </c>
      <c r="O103" s="1">
        <v>43923</v>
      </c>
      <c r="P103" s="1">
        <v>43250</v>
      </c>
      <c r="Q103" t="s">
        <v>36</v>
      </c>
      <c r="R103" t="s">
        <v>485</v>
      </c>
      <c r="S103" t="s">
        <v>36</v>
      </c>
      <c r="W103">
        <v>0</v>
      </c>
      <c r="Z103">
        <v>0</v>
      </c>
    </row>
    <row r="104" spans="1:26" x14ac:dyDescent="0.3">
      <c r="A104">
        <v>87398</v>
      </c>
      <c r="B104" t="s">
        <v>486</v>
      </c>
      <c r="C104" t="s">
        <v>483</v>
      </c>
      <c r="D104" t="s">
        <v>484</v>
      </c>
      <c r="F104" t="str">
        <f>"1586483064"</f>
        <v>1586483064</v>
      </c>
      <c r="G104" t="str">
        <f>"9781586483067"</f>
        <v>9781586483067</v>
      </c>
      <c r="H104">
        <v>0</v>
      </c>
      <c r="I104">
        <v>3.84</v>
      </c>
      <c r="J104" t="s">
        <v>487</v>
      </c>
      <c r="K104" t="s">
        <v>60</v>
      </c>
      <c r="L104">
        <v>208</v>
      </c>
      <c r="M104">
        <v>2005</v>
      </c>
      <c r="N104">
        <v>2004</v>
      </c>
      <c r="O104" s="1">
        <v>43923</v>
      </c>
      <c r="P104" s="1">
        <v>43250</v>
      </c>
      <c r="S104" t="s">
        <v>174</v>
      </c>
      <c r="W104">
        <v>1</v>
      </c>
      <c r="Z104">
        <v>0</v>
      </c>
    </row>
    <row r="105" spans="1:26" x14ac:dyDescent="0.3">
      <c r="A105">
        <v>12443235</v>
      </c>
      <c r="B105" t="s">
        <v>488</v>
      </c>
      <c r="C105" t="s">
        <v>489</v>
      </c>
      <c r="D105" t="s">
        <v>490</v>
      </c>
      <c r="F105" t="str">
        <f>"0968394744"</f>
        <v>0968394744</v>
      </c>
      <c r="G105" t="str">
        <f>"9780968394748"</f>
        <v>9780968394748</v>
      </c>
      <c r="H105">
        <v>0</v>
      </c>
      <c r="I105">
        <v>3.89</v>
      </c>
      <c r="J105" t="s">
        <v>491</v>
      </c>
      <c r="K105" t="s">
        <v>60</v>
      </c>
      <c r="L105">
        <v>224</v>
      </c>
      <c r="M105">
        <v>2011</v>
      </c>
      <c r="N105">
        <v>2011</v>
      </c>
      <c r="O105" s="1">
        <v>44105</v>
      </c>
      <c r="P105" s="1">
        <v>44105</v>
      </c>
      <c r="S105" t="s">
        <v>174</v>
      </c>
      <c r="W105">
        <v>1</v>
      </c>
      <c r="Z105">
        <v>0</v>
      </c>
    </row>
    <row r="106" spans="1:26" x14ac:dyDescent="0.3">
      <c r="A106">
        <v>51893</v>
      </c>
      <c r="B106" t="s">
        <v>492</v>
      </c>
      <c r="C106" t="s">
        <v>493</v>
      </c>
      <c r="D106" t="s">
        <v>494</v>
      </c>
      <c r="E106" t="s">
        <v>495</v>
      </c>
      <c r="F106" t="str">
        <f>""</f>
        <v/>
      </c>
      <c r="G106" t="str">
        <f>""</f>
        <v/>
      </c>
      <c r="H106">
        <v>0</v>
      </c>
      <c r="I106">
        <v>4.05</v>
      </c>
      <c r="J106" t="s">
        <v>496</v>
      </c>
      <c r="K106" t="s">
        <v>60</v>
      </c>
      <c r="L106">
        <v>327</v>
      </c>
      <c r="M106">
        <v>1978</v>
      </c>
      <c r="N106">
        <v>1883</v>
      </c>
      <c r="O106" s="1">
        <v>43239</v>
      </c>
      <c r="P106" s="1">
        <v>43140</v>
      </c>
      <c r="S106" t="s">
        <v>174</v>
      </c>
      <c r="W106">
        <v>2</v>
      </c>
      <c r="Z106">
        <v>0</v>
      </c>
    </row>
    <row r="107" spans="1:26" x14ac:dyDescent="0.3">
      <c r="A107">
        <v>537368</v>
      </c>
      <c r="B107" t="s">
        <v>497</v>
      </c>
      <c r="C107" t="s">
        <v>498</v>
      </c>
      <c r="D107" t="s">
        <v>499</v>
      </c>
      <c r="F107" t="str">
        <f>"0691121796"</f>
        <v>0691121796</v>
      </c>
      <c r="G107" t="str">
        <f>"9780691121796"</f>
        <v>9780691121796</v>
      </c>
      <c r="H107">
        <v>0</v>
      </c>
      <c r="I107">
        <v>3.35</v>
      </c>
      <c r="J107" t="s">
        <v>377</v>
      </c>
      <c r="K107" t="s">
        <v>35</v>
      </c>
      <c r="L107">
        <v>168</v>
      </c>
      <c r="M107">
        <v>2004</v>
      </c>
      <c r="N107">
        <v>2004</v>
      </c>
      <c r="P107" s="1">
        <v>44101</v>
      </c>
      <c r="Q107" t="s">
        <v>36</v>
      </c>
      <c r="R107" t="s">
        <v>500</v>
      </c>
      <c r="S107" t="s">
        <v>36</v>
      </c>
      <c r="W107">
        <v>0</v>
      </c>
      <c r="Z107">
        <v>0</v>
      </c>
    </row>
    <row r="108" spans="1:26" x14ac:dyDescent="0.3">
      <c r="A108">
        <v>48710558</v>
      </c>
      <c r="B108" t="s">
        <v>501</v>
      </c>
      <c r="C108" t="s">
        <v>498</v>
      </c>
      <c r="D108" t="s">
        <v>499</v>
      </c>
      <c r="F108" t="str">
        <f>"0691194920"</f>
        <v>0691194920</v>
      </c>
      <c r="G108" t="str">
        <f>"9780691194929"</f>
        <v>9780691194929</v>
      </c>
      <c r="H108">
        <v>0</v>
      </c>
      <c r="I108">
        <v>3.42</v>
      </c>
      <c r="J108" t="s">
        <v>377</v>
      </c>
      <c r="K108" t="s">
        <v>35</v>
      </c>
      <c r="L108">
        <v>216</v>
      </c>
      <c r="M108">
        <v>2020</v>
      </c>
      <c r="P108" s="1">
        <v>44101</v>
      </c>
      <c r="Q108" t="s">
        <v>36</v>
      </c>
      <c r="R108" t="s">
        <v>502</v>
      </c>
      <c r="S108" t="s">
        <v>36</v>
      </c>
      <c r="W108">
        <v>0</v>
      </c>
      <c r="Z108">
        <v>0</v>
      </c>
    </row>
    <row r="109" spans="1:26" x14ac:dyDescent="0.3">
      <c r="A109">
        <v>993142</v>
      </c>
      <c r="B109" t="s">
        <v>503</v>
      </c>
      <c r="C109" t="s">
        <v>498</v>
      </c>
      <c r="D109" t="s">
        <v>499</v>
      </c>
      <c r="F109" t="str">
        <f>"0691120455"</f>
        <v>0691120455</v>
      </c>
      <c r="G109" t="str">
        <f>"9780691120454"</f>
        <v>9780691120454</v>
      </c>
      <c r="H109">
        <v>0</v>
      </c>
      <c r="I109">
        <v>3.95</v>
      </c>
      <c r="J109" t="s">
        <v>377</v>
      </c>
      <c r="K109" t="s">
        <v>35</v>
      </c>
      <c r="L109">
        <v>200</v>
      </c>
      <c r="M109">
        <v>2008</v>
      </c>
      <c r="N109">
        <v>2008</v>
      </c>
      <c r="P109" s="1">
        <v>44101</v>
      </c>
      <c r="Q109" t="s">
        <v>36</v>
      </c>
      <c r="R109" t="s">
        <v>504</v>
      </c>
      <c r="S109" t="s">
        <v>36</v>
      </c>
      <c r="W109">
        <v>0</v>
      </c>
      <c r="Z109">
        <v>0</v>
      </c>
    </row>
    <row r="110" spans="1:26" x14ac:dyDescent="0.3">
      <c r="A110">
        <v>537369</v>
      </c>
      <c r="B110" t="s">
        <v>505</v>
      </c>
      <c r="C110" t="s">
        <v>498</v>
      </c>
      <c r="D110" t="s">
        <v>499</v>
      </c>
      <c r="F110" t="str">
        <f>"0374529337"</f>
        <v>0374529337</v>
      </c>
      <c r="G110" t="str">
        <f>"9780374529338"</f>
        <v>9780374529338</v>
      </c>
      <c r="H110">
        <v>0</v>
      </c>
      <c r="I110">
        <v>3.67</v>
      </c>
      <c r="J110" t="s">
        <v>351</v>
      </c>
      <c r="K110" t="s">
        <v>60</v>
      </c>
      <c r="L110">
        <v>280</v>
      </c>
      <c r="M110">
        <v>2004</v>
      </c>
      <c r="N110">
        <v>2003</v>
      </c>
      <c r="P110" s="1">
        <v>44101</v>
      </c>
      <c r="Q110" t="s">
        <v>36</v>
      </c>
      <c r="R110" t="s">
        <v>506</v>
      </c>
      <c r="S110" t="s">
        <v>36</v>
      </c>
      <c r="W110">
        <v>0</v>
      </c>
      <c r="Z110">
        <v>0</v>
      </c>
    </row>
    <row r="111" spans="1:26" x14ac:dyDescent="0.3">
      <c r="A111">
        <v>833681</v>
      </c>
      <c r="B111" t="s">
        <v>507</v>
      </c>
      <c r="C111" t="s">
        <v>508</v>
      </c>
      <c r="D111" t="s">
        <v>509</v>
      </c>
      <c r="F111" t="str">
        <f>"0818404566"</f>
        <v>0818404566</v>
      </c>
      <c r="G111" t="str">
        <f>"9780818404566"</f>
        <v>9780818404566</v>
      </c>
      <c r="H111">
        <v>0</v>
      </c>
      <c r="I111">
        <v>3.84</v>
      </c>
      <c r="J111" t="s">
        <v>510</v>
      </c>
      <c r="K111" t="s">
        <v>60</v>
      </c>
      <c r="L111">
        <v>215</v>
      </c>
      <c r="M111">
        <v>2000</v>
      </c>
      <c r="N111">
        <v>2000</v>
      </c>
      <c r="O111" s="1">
        <v>44098</v>
      </c>
      <c r="P111" s="1">
        <v>44098</v>
      </c>
      <c r="S111" t="s">
        <v>174</v>
      </c>
      <c r="W111">
        <v>1</v>
      </c>
      <c r="Z111">
        <v>0</v>
      </c>
    </row>
    <row r="112" spans="1:26" x14ac:dyDescent="0.3">
      <c r="A112">
        <v>1445392</v>
      </c>
      <c r="B112" t="s">
        <v>511</v>
      </c>
      <c r="C112" t="s">
        <v>512</v>
      </c>
      <c r="D112" t="s">
        <v>513</v>
      </c>
      <c r="F112" t="str">
        <f>"0521643791"</f>
        <v>0521643791</v>
      </c>
      <c r="G112" t="str">
        <f>"9780521643795"</f>
        <v>9780521643795</v>
      </c>
      <c r="H112">
        <v>0</v>
      </c>
      <c r="I112">
        <v>3.83</v>
      </c>
      <c r="J112" t="s">
        <v>261</v>
      </c>
      <c r="K112" t="s">
        <v>60</v>
      </c>
      <c r="L112">
        <v>137</v>
      </c>
      <c r="M112">
        <v>1999</v>
      </c>
      <c r="N112">
        <v>1999</v>
      </c>
      <c r="P112" s="1">
        <v>44077</v>
      </c>
      <c r="Q112" t="s">
        <v>36</v>
      </c>
      <c r="R112" t="s">
        <v>514</v>
      </c>
      <c r="S112" t="s">
        <v>36</v>
      </c>
      <c r="W112">
        <v>0</v>
      </c>
      <c r="Z112">
        <v>0</v>
      </c>
    </row>
    <row r="113" spans="1:26" x14ac:dyDescent="0.3">
      <c r="A113">
        <v>44767248</v>
      </c>
      <c r="B113" t="s">
        <v>515</v>
      </c>
      <c r="C113" t="s">
        <v>516</v>
      </c>
      <c r="D113" t="s">
        <v>517</v>
      </c>
      <c r="F113" t="str">
        <f>"0525558616"</f>
        <v>0525558616</v>
      </c>
      <c r="G113" t="str">
        <f>"9780525558613"</f>
        <v>9780525558613</v>
      </c>
      <c r="H113">
        <v>0</v>
      </c>
      <c r="I113">
        <v>4.2</v>
      </c>
      <c r="J113" t="s">
        <v>518</v>
      </c>
      <c r="K113" t="s">
        <v>35</v>
      </c>
      <c r="L113">
        <v>352</v>
      </c>
      <c r="M113">
        <v>2019</v>
      </c>
      <c r="P113" s="1">
        <v>44077</v>
      </c>
      <c r="Q113" t="s">
        <v>36</v>
      </c>
      <c r="R113" t="s">
        <v>519</v>
      </c>
      <c r="S113" t="s">
        <v>36</v>
      </c>
      <c r="W113">
        <v>0</v>
      </c>
      <c r="Z113">
        <v>0</v>
      </c>
    </row>
    <row r="114" spans="1:26" x14ac:dyDescent="0.3">
      <c r="A114">
        <v>18736925</v>
      </c>
      <c r="B114" t="s">
        <v>520</v>
      </c>
      <c r="C114" t="s">
        <v>521</v>
      </c>
      <c r="D114" t="s">
        <v>522</v>
      </c>
      <c r="E114" t="s">
        <v>523</v>
      </c>
      <c r="F114" t="str">
        <f>"067443000X"</f>
        <v>067443000X</v>
      </c>
      <c r="G114" t="str">
        <f>"9780674430006"</f>
        <v>9780674430006</v>
      </c>
      <c r="H114">
        <v>0</v>
      </c>
      <c r="I114">
        <v>4.05</v>
      </c>
      <c r="J114" t="s">
        <v>524</v>
      </c>
      <c r="K114" t="s">
        <v>35</v>
      </c>
      <c r="L114">
        <v>685</v>
      </c>
      <c r="M114">
        <v>2014</v>
      </c>
      <c r="N114">
        <v>2013</v>
      </c>
      <c r="P114" s="1">
        <v>44077</v>
      </c>
      <c r="Q114" t="s">
        <v>36</v>
      </c>
      <c r="R114" t="s">
        <v>525</v>
      </c>
      <c r="S114" t="s">
        <v>36</v>
      </c>
      <c r="W114">
        <v>0</v>
      </c>
      <c r="Z114">
        <v>0</v>
      </c>
    </row>
    <row r="115" spans="1:26" x14ac:dyDescent="0.3">
      <c r="A115">
        <v>36424668</v>
      </c>
      <c r="B115" t="s">
        <v>526</v>
      </c>
      <c r="C115" t="s">
        <v>527</v>
      </c>
      <c r="D115" t="s">
        <v>528</v>
      </c>
      <c r="E115" t="s">
        <v>529</v>
      </c>
      <c r="F115" t="str">
        <f>"1786633604"</f>
        <v>1786633604</v>
      </c>
      <c r="G115" t="str">
        <f>"9781786633606"</f>
        <v>9781786633606</v>
      </c>
      <c r="H115">
        <v>0</v>
      </c>
      <c r="I115">
        <v>4.66</v>
      </c>
      <c r="J115" t="s">
        <v>530</v>
      </c>
      <c r="K115" t="s">
        <v>60</v>
      </c>
      <c r="L115">
        <v>278</v>
      </c>
      <c r="M115">
        <v>2018</v>
      </c>
      <c r="N115">
        <v>2018</v>
      </c>
      <c r="P115" s="1">
        <v>44077</v>
      </c>
      <c r="Q115" t="s">
        <v>36</v>
      </c>
      <c r="R115" t="s">
        <v>531</v>
      </c>
      <c r="S115" t="s">
        <v>36</v>
      </c>
      <c r="W115">
        <v>0</v>
      </c>
      <c r="Z115">
        <v>0</v>
      </c>
    </row>
    <row r="116" spans="1:26" x14ac:dyDescent="0.3">
      <c r="A116">
        <v>2272880</v>
      </c>
      <c r="B116" t="s">
        <v>532</v>
      </c>
      <c r="C116" t="s">
        <v>533</v>
      </c>
      <c r="D116" t="s">
        <v>534</v>
      </c>
      <c r="F116" t="str">
        <f>"0375424040"</f>
        <v>0375424040</v>
      </c>
      <c r="G116" t="str">
        <f>"9780375424045"</f>
        <v>9780375424045</v>
      </c>
      <c r="H116">
        <v>0</v>
      </c>
      <c r="I116">
        <v>3.93</v>
      </c>
      <c r="J116" t="s">
        <v>535</v>
      </c>
      <c r="K116" t="s">
        <v>35</v>
      </c>
      <c r="L116">
        <v>252</v>
      </c>
      <c r="M116">
        <v>2008</v>
      </c>
      <c r="N116">
        <v>2008</v>
      </c>
      <c r="P116" s="1">
        <v>44077</v>
      </c>
      <c r="Q116" t="s">
        <v>36</v>
      </c>
      <c r="R116" t="s">
        <v>536</v>
      </c>
      <c r="S116" t="s">
        <v>36</v>
      </c>
      <c r="W116">
        <v>0</v>
      </c>
      <c r="Z116">
        <v>0</v>
      </c>
    </row>
    <row r="117" spans="1:26" x14ac:dyDescent="0.3">
      <c r="A117">
        <v>29452500</v>
      </c>
      <c r="B117" t="s">
        <v>537</v>
      </c>
      <c r="C117" t="s">
        <v>117</v>
      </c>
      <c r="D117" t="s">
        <v>118</v>
      </c>
      <c r="F117" t="str">
        <f>"0691162603"</f>
        <v>0691162603</v>
      </c>
      <c r="G117" t="str">
        <f>"9780691162607"</f>
        <v>9780691162607</v>
      </c>
      <c r="H117">
        <v>0</v>
      </c>
      <c r="I117">
        <v>3.69</v>
      </c>
      <c r="J117" t="s">
        <v>377</v>
      </c>
      <c r="K117" t="s">
        <v>35</v>
      </c>
      <c r="L117">
        <v>304</v>
      </c>
      <c r="M117">
        <v>2016</v>
      </c>
      <c r="N117">
        <v>2016</v>
      </c>
      <c r="P117" s="1">
        <v>44077</v>
      </c>
      <c r="Q117" t="s">
        <v>36</v>
      </c>
      <c r="R117" t="s">
        <v>538</v>
      </c>
      <c r="S117" t="s">
        <v>36</v>
      </c>
      <c r="W117">
        <v>0</v>
      </c>
      <c r="Z117">
        <v>0</v>
      </c>
    </row>
    <row r="118" spans="1:26" x14ac:dyDescent="0.3">
      <c r="A118">
        <v>43582733</v>
      </c>
      <c r="B118" t="s">
        <v>539</v>
      </c>
      <c r="C118" t="s">
        <v>540</v>
      </c>
      <c r="D118" t="s">
        <v>541</v>
      </c>
      <c r="F118" t="str">
        <f>"0525538585"</f>
        <v>0525538585</v>
      </c>
      <c r="G118" t="str">
        <f>"9780525538585"</f>
        <v>9780525538585</v>
      </c>
      <c r="H118">
        <v>0</v>
      </c>
      <c r="I118">
        <v>4.2300000000000004</v>
      </c>
      <c r="J118" t="s">
        <v>134</v>
      </c>
      <c r="K118" t="s">
        <v>35</v>
      </c>
      <c r="L118">
        <v>288</v>
      </c>
      <c r="M118">
        <v>2019</v>
      </c>
      <c r="N118">
        <v>2019</v>
      </c>
      <c r="P118" s="1">
        <v>44077</v>
      </c>
      <c r="Q118" t="s">
        <v>36</v>
      </c>
      <c r="R118" t="s">
        <v>542</v>
      </c>
      <c r="S118" t="s">
        <v>36</v>
      </c>
      <c r="W118">
        <v>0</v>
      </c>
      <c r="Z118">
        <v>0</v>
      </c>
    </row>
    <row r="119" spans="1:26" x14ac:dyDescent="0.3">
      <c r="A119">
        <v>44595007</v>
      </c>
      <c r="B119" t="s">
        <v>543</v>
      </c>
      <c r="C119" t="s">
        <v>544</v>
      </c>
      <c r="D119" t="s">
        <v>545</v>
      </c>
      <c r="E119" t="s">
        <v>546</v>
      </c>
      <c r="F119" t="str">
        <f>"194883653X"</f>
        <v>194883653X</v>
      </c>
      <c r="G119" t="str">
        <f>"9781948836531"</f>
        <v>9781948836531</v>
      </c>
      <c r="H119">
        <v>0</v>
      </c>
      <c r="I119">
        <v>3.78</v>
      </c>
      <c r="J119" t="s">
        <v>547</v>
      </c>
      <c r="K119" t="s">
        <v>35</v>
      </c>
      <c r="L119">
        <v>273</v>
      </c>
      <c r="M119">
        <v>2019</v>
      </c>
      <c r="N119">
        <v>2019</v>
      </c>
      <c r="P119" s="1">
        <v>44077</v>
      </c>
      <c r="Q119" t="s">
        <v>36</v>
      </c>
      <c r="R119" t="s">
        <v>548</v>
      </c>
      <c r="S119" t="s">
        <v>36</v>
      </c>
      <c r="W119">
        <v>0</v>
      </c>
      <c r="Z119">
        <v>0</v>
      </c>
    </row>
    <row r="120" spans="1:26" x14ac:dyDescent="0.3">
      <c r="A120">
        <v>19006761</v>
      </c>
      <c r="B120" t="s">
        <v>549</v>
      </c>
      <c r="C120" t="s">
        <v>550</v>
      </c>
      <c r="D120" t="s">
        <v>551</v>
      </c>
      <c r="F120" t="str">
        <f>""</f>
        <v/>
      </c>
      <c r="G120" t="str">
        <f>""</f>
        <v/>
      </c>
      <c r="H120">
        <v>0</v>
      </c>
      <c r="I120">
        <v>4.01</v>
      </c>
      <c r="J120" t="s">
        <v>377</v>
      </c>
      <c r="K120" t="s">
        <v>69</v>
      </c>
      <c r="L120">
        <v>256</v>
      </c>
      <c r="M120">
        <v>2013</v>
      </c>
      <c r="N120">
        <v>2013</v>
      </c>
      <c r="O120" s="1">
        <v>44077</v>
      </c>
      <c r="P120" s="1">
        <v>44067</v>
      </c>
      <c r="S120" t="s">
        <v>174</v>
      </c>
      <c r="W120">
        <v>1</v>
      </c>
      <c r="Z120">
        <v>0</v>
      </c>
    </row>
    <row r="121" spans="1:26" x14ac:dyDescent="0.3">
      <c r="A121">
        <v>14975737</v>
      </c>
      <c r="B121" t="s">
        <v>552</v>
      </c>
      <c r="C121" t="s">
        <v>553</v>
      </c>
      <c r="D121" t="s">
        <v>554</v>
      </c>
      <c r="F121" t="str">
        <f>"1575061996"</f>
        <v>1575061996</v>
      </c>
      <c r="G121" t="str">
        <f>"9781575061993"</f>
        <v>9781575061993</v>
      </c>
      <c r="H121">
        <v>0</v>
      </c>
      <c r="I121">
        <v>3</v>
      </c>
      <c r="J121" t="s">
        <v>555</v>
      </c>
      <c r="K121" t="s">
        <v>35</v>
      </c>
      <c r="L121">
        <v>384</v>
      </c>
      <c r="M121">
        <v>2011</v>
      </c>
      <c r="O121" s="1">
        <v>44072</v>
      </c>
      <c r="P121" s="1">
        <v>44072</v>
      </c>
      <c r="S121" t="s">
        <v>174</v>
      </c>
      <c r="W121">
        <v>1</v>
      </c>
      <c r="Z121">
        <v>0</v>
      </c>
    </row>
    <row r="122" spans="1:26" x14ac:dyDescent="0.3">
      <c r="A122">
        <v>334214</v>
      </c>
      <c r="B122" t="s">
        <v>556</v>
      </c>
      <c r="C122" t="s">
        <v>557</v>
      </c>
      <c r="D122" t="s">
        <v>558</v>
      </c>
      <c r="F122" t="str">
        <f>"0486420116"</f>
        <v>0486420116</v>
      </c>
      <c r="G122" t="str">
        <f>"9780486420110"</f>
        <v>9780486420110</v>
      </c>
      <c r="H122">
        <v>0</v>
      </c>
      <c r="I122">
        <v>3.97</v>
      </c>
      <c r="J122" t="s">
        <v>559</v>
      </c>
      <c r="K122" t="s">
        <v>60</v>
      </c>
      <c r="L122">
        <v>304</v>
      </c>
      <c r="M122">
        <v>2001</v>
      </c>
      <c r="N122">
        <v>1937</v>
      </c>
      <c r="P122" s="1">
        <v>44070</v>
      </c>
      <c r="Q122" t="s">
        <v>36</v>
      </c>
      <c r="R122" t="s">
        <v>560</v>
      </c>
      <c r="S122" t="s">
        <v>36</v>
      </c>
      <c r="W122">
        <v>0</v>
      </c>
      <c r="Z122">
        <v>0</v>
      </c>
    </row>
    <row r="123" spans="1:26" x14ac:dyDescent="0.3">
      <c r="A123">
        <v>1066761</v>
      </c>
      <c r="B123" t="s">
        <v>561</v>
      </c>
      <c r="C123" t="s">
        <v>562</v>
      </c>
      <c r="D123" t="s">
        <v>563</v>
      </c>
      <c r="E123" t="s">
        <v>564</v>
      </c>
      <c r="F123" t="str">
        <f>"0312383959"</f>
        <v>0312383959</v>
      </c>
      <c r="G123" t="str">
        <f>"9780312383954"</f>
        <v>9780312383954</v>
      </c>
      <c r="H123">
        <v>0</v>
      </c>
      <c r="I123">
        <v>4.0999999999999996</v>
      </c>
      <c r="J123" t="s">
        <v>565</v>
      </c>
      <c r="K123" t="s">
        <v>60</v>
      </c>
      <c r="L123">
        <v>694</v>
      </c>
      <c r="M123">
        <v>1976</v>
      </c>
      <c r="N123">
        <v>1935</v>
      </c>
      <c r="P123" s="1">
        <v>44070</v>
      </c>
      <c r="Q123" t="s">
        <v>36</v>
      </c>
      <c r="R123" t="s">
        <v>566</v>
      </c>
      <c r="S123" t="s">
        <v>36</v>
      </c>
      <c r="W123">
        <v>0</v>
      </c>
      <c r="Z123">
        <v>0</v>
      </c>
    </row>
    <row r="124" spans="1:26" x14ac:dyDescent="0.3">
      <c r="A124">
        <v>2381101</v>
      </c>
      <c r="B124" t="s">
        <v>567</v>
      </c>
      <c r="C124" t="s">
        <v>568</v>
      </c>
      <c r="D124" t="s">
        <v>569</v>
      </c>
      <c r="F124" t="str">
        <f>"0521711495"</f>
        <v>0521711495</v>
      </c>
      <c r="G124" t="str">
        <f>"9780521711494"</f>
        <v>9780521711494</v>
      </c>
      <c r="H124">
        <v>0</v>
      </c>
      <c r="I124">
        <v>3.68</v>
      </c>
      <c r="J124" t="s">
        <v>261</v>
      </c>
      <c r="K124" t="s">
        <v>60</v>
      </c>
      <c r="L124">
        <v>395</v>
      </c>
      <c r="M124">
        <v>2007</v>
      </c>
      <c r="N124">
        <v>2005</v>
      </c>
      <c r="P124" s="1">
        <v>44070</v>
      </c>
      <c r="Q124" t="s">
        <v>36</v>
      </c>
      <c r="R124" t="s">
        <v>570</v>
      </c>
      <c r="S124" t="s">
        <v>36</v>
      </c>
      <c r="W124">
        <v>0</v>
      </c>
      <c r="Z124">
        <v>0</v>
      </c>
    </row>
    <row r="125" spans="1:26" x14ac:dyDescent="0.3">
      <c r="A125">
        <v>22869519</v>
      </c>
      <c r="B125" t="s">
        <v>571</v>
      </c>
      <c r="C125" t="s">
        <v>572</v>
      </c>
      <c r="D125" t="s">
        <v>573</v>
      </c>
      <c r="E125" t="s">
        <v>574</v>
      </c>
      <c r="F125" t="str">
        <f>"0415726980"</f>
        <v>0415726980</v>
      </c>
      <c r="G125" t="str">
        <f>"9780415726986"</f>
        <v>9780415726986</v>
      </c>
      <c r="H125">
        <v>0</v>
      </c>
      <c r="I125">
        <v>4.6399999999999997</v>
      </c>
      <c r="J125" t="s">
        <v>119</v>
      </c>
      <c r="K125" t="s">
        <v>35</v>
      </c>
      <c r="L125">
        <v>878</v>
      </c>
      <c r="M125">
        <v>2015</v>
      </c>
      <c r="N125">
        <v>2015</v>
      </c>
      <c r="P125" s="1">
        <v>44070</v>
      </c>
      <c r="Q125" t="s">
        <v>36</v>
      </c>
      <c r="R125" t="s">
        <v>575</v>
      </c>
      <c r="S125" t="s">
        <v>36</v>
      </c>
      <c r="W125">
        <v>0</v>
      </c>
      <c r="Z125">
        <v>0</v>
      </c>
    </row>
    <row r="126" spans="1:26" x14ac:dyDescent="0.3">
      <c r="A126">
        <v>763078</v>
      </c>
      <c r="B126" t="s">
        <v>576</v>
      </c>
      <c r="C126" t="s">
        <v>577</v>
      </c>
      <c r="D126" t="s">
        <v>578</v>
      </c>
      <c r="F126" t="str">
        <f>"0520246187"</f>
        <v>0520246187</v>
      </c>
      <c r="G126" t="str">
        <f>"9780520246188"</f>
        <v>9780520246188</v>
      </c>
      <c r="H126">
        <v>0</v>
      </c>
      <c r="I126">
        <v>4.1900000000000004</v>
      </c>
      <c r="J126" t="s">
        <v>579</v>
      </c>
      <c r="K126" t="s">
        <v>35</v>
      </c>
      <c r="L126">
        <v>389</v>
      </c>
      <c r="M126">
        <v>2007</v>
      </c>
      <c r="N126">
        <v>2007</v>
      </c>
      <c r="P126" s="1">
        <v>44070</v>
      </c>
      <c r="Q126" t="s">
        <v>36</v>
      </c>
      <c r="R126" t="s">
        <v>580</v>
      </c>
      <c r="S126" t="s">
        <v>36</v>
      </c>
      <c r="W126">
        <v>0</v>
      </c>
      <c r="Z126">
        <v>0</v>
      </c>
    </row>
    <row r="127" spans="1:26" x14ac:dyDescent="0.3">
      <c r="A127">
        <v>900863</v>
      </c>
      <c r="B127" t="s">
        <v>581</v>
      </c>
      <c r="C127" t="s">
        <v>582</v>
      </c>
      <c r="D127" t="s">
        <v>583</v>
      </c>
      <c r="F127" t="str">
        <f>"039104155X"</f>
        <v>039104155X</v>
      </c>
      <c r="G127" t="str">
        <f>"9780391041554"</f>
        <v>9780391041554</v>
      </c>
      <c r="H127">
        <v>0</v>
      </c>
      <c r="I127">
        <v>3.78</v>
      </c>
      <c r="J127" t="s">
        <v>584</v>
      </c>
      <c r="K127" t="s">
        <v>60</v>
      </c>
      <c r="M127">
        <v>2005</v>
      </c>
      <c r="N127">
        <v>1976</v>
      </c>
      <c r="P127" s="1">
        <v>44070</v>
      </c>
      <c r="Q127" t="s">
        <v>36</v>
      </c>
      <c r="R127" t="s">
        <v>585</v>
      </c>
      <c r="S127" t="s">
        <v>36</v>
      </c>
      <c r="W127">
        <v>0</v>
      </c>
      <c r="Z127">
        <v>0</v>
      </c>
    </row>
    <row r="128" spans="1:26" x14ac:dyDescent="0.3">
      <c r="A128">
        <v>68540</v>
      </c>
      <c r="B128" t="s">
        <v>586</v>
      </c>
      <c r="C128" t="s">
        <v>587</v>
      </c>
      <c r="D128" t="s">
        <v>588</v>
      </c>
      <c r="F128" t="str">
        <f>"0192807285"</f>
        <v>0192807285</v>
      </c>
      <c r="G128" t="str">
        <f>"9780192807281"</f>
        <v>9780192807281</v>
      </c>
      <c r="H128">
        <v>5</v>
      </c>
      <c r="I128">
        <v>3.99</v>
      </c>
      <c r="J128" t="s">
        <v>104</v>
      </c>
      <c r="K128" t="s">
        <v>60</v>
      </c>
      <c r="L128">
        <v>239</v>
      </c>
      <c r="M128">
        <v>2006</v>
      </c>
      <c r="N128">
        <v>2005</v>
      </c>
      <c r="O128" s="1">
        <v>44069</v>
      </c>
      <c r="P128" s="1">
        <v>43717</v>
      </c>
      <c r="S128" t="s">
        <v>174</v>
      </c>
      <c r="W128">
        <v>1</v>
      </c>
      <c r="Z128">
        <v>0</v>
      </c>
    </row>
    <row r="129" spans="1:26" x14ac:dyDescent="0.3">
      <c r="A129">
        <v>12828337</v>
      </c>
      <c r="B129" t="s">
        <v>589</v>
      </c>
      <c r="C129" t="s">
        <v>590</v>
      </c>
      <c r="D129" t="s">
        <v>591</v>
      </c>
      <c r="F129" t="str">
        <f>"0199827265"</f>
        <v>0199827265</v>
      </c>
      <c r="G129" t="str">
        <f>"9780199827268"</f>
        <v>9780199827268</v>
      </c>
      <c r="H129">
        <v>0</v>
      </c>
      <c r="I129">
        <v>3.58</v>
      </c>
      <c r="J129" t="s">
        <v>104</v>
      </c>
      <c r="K129" t="s">
        <v>35</v>
      </c>
      <c r="L129">
        <v>335</v>
      </c>
      <c r="M129">
        <v>2011</v>
      </c>
      <c r="N129">
        <v>2011</v>
      </c>
      <c r="P129" s="1">
        <v>44067</v>
      </c>
      <c r="Q129" t="s">
        <v>36</v>
      </c>
      <c r="R129" t="s">
        <v>592</v>
      </c>
      <c r="S129" t="s">
        <v>36</v>
      </c>
      <c r="W129">
        <v>0</v>
      </c>
      <c r="Z129">
        <v>0</v>
      </c>
    </row>
    <row r="130" spans="1:26" x14ac:dyDescent="0.3">
      <c r="A130">
        <v>8018107</v>
      </c>
      <c r="B130" t="s">
        <v>593</v>
      </c>
      <c r="C130" t="s">
        <v>594</v>
      </c>
      <c r="D130" t="s">
        <v>595</v>
      </c>
      <c r="F130" t="str">
        <f>"0393072991"</f>
        <v>0393072991</v>
      </c>
      <c r="G130" t="str">
        <f>"9780393072990"</f>
        <v>9780393072990</v>
      </c>
      <c r="H130">
        <v>0</v>
      </c>
      <c r="I130">
        <v>4.01</v>
      </c>
      <c r="J130" t="s">
        <v>144</v>
      </c>
      <c r="K130" t="s">
        <v>35</v>
      </c>
      <c r="L130">
        <v>272</v>
      </c>
      <c r="M130">
        <v>2011</v>
      </c>
      <c r="N130">
        <v>2011</v>
      </c>
      <c r="P130" s="1">
        <v>44067</v>
      </c>
      <c r="Q130" t="s">
        <v>36</v>
      </c>
      <c r="R130" t="s">
        <v>596</v>
      </c>
      <c r="S130" t="s">
        <v>36</v>
      </c>
      <c r="W130">
        <v>0</v>
      </c>
      <c r="Z130">
        <v>0</v>
      </c>
    </row>
    <row r="131" spans="1:26" x14ac:dyDescent="0.3">
      <c r="A131">
        <v>43386850</v>
      </c>
      <c r="B131" t="s">
        <v>597</v>
      </c>
      <c r="C131" t="s">
        <v>598</v>
      </c>
      <c r="D131" t="s">
        <v>599</v>
      </c>
      <c r="F131" t="str">
        <f>""</f>
        <v/>
      </c>
      <c r="G131" t="str">
        <f>""</f>
        <v/>
      </c>
      <c r="H131">
        <v>0</v>
      </c>
      <c r="I131">
        <v>3.65</v>
      </c>
      <c r="J131" t="s">
        <v>377</v>
      </c>
      <c r="K131" t="s">
        <v>69</v>
      </c>
      <c r="L131">
        <v>205</v>
      </c>
      <c r="M131">
        <v>2019</v>
      </c>
      <c r="N131">
        <v>2019</v>
      </c>
      <c r="O131" s="1">
        <v>44067</v>
      </c>
      <c r="P131" s="1">
        <v>43785</v>
      </c>
      <c r="S131" t="s">
        <v>174</v>
      </c>
      <c r="W131">
        <v>1</v>
      </c>
      <c r="Z131">
        <v>0</v>
      </c>
    </row>
    <row r="132" spans="1:26" x14ac:dyDescent="0.3">
      <c r="A132">
        <v>201557</v>
      </c>
      <c r="B132" t="s">
        <v>600</v>
      </c>
      <c r="C132" t="s">
        <v>601</v>
      </c>
      <c r="D132" t="s">
        <v>602</v>
      </c>
      <c r="F132" t="str">
        <f>"9004122907"</f>
        <v>9004122907</v>
      </c>
      <c r="G132" t="str">
        <f>"9789004122901"</f>
        <v>9789004122901</v>
      </c>
      <c r="H132">
        <v>0</v>
      </c>
      <c r="I132">
        <v>4.33</v>
      </c>
      <c r="J132" t="s">
        <v>178</v>
      </c>
      <c r="K132" t="s">
        <v>35</v>
      </c>
      <c r="M132">
        <v>2001</v>
      </c>
      <c r="N132">
        <v>2001</v>
      </c>
      <c r="P132" s="1">
        <v>44065</v>
      </c>
      <c r="Q132" t="s">
        <v>36</v>
      </c>
      <c r="R132" t="s">
        <v>603</v>
      </c>
      <c r="S132" t="s">
        <v>36</v>
      </c>
      <c r="W132">
        <v>0</v>
      </c>
      <c r="Z132">
        <v>0</v>
      </c>
    </row>
    <row r="133" spans="1:26" x14ac:dyDescent="0.3">
      <c r="A133">
        <v>13193822</v>
      </c>
      <c r="B133" t="s">
        <v>604</v>
      </c>
      <c r="C133" t="s">
        <v>605</v>
      </c>
      <c r="D133" t="s">
        <v>606</v>
      </c>
      <c r="F133" t="str">
        <f>"4805311479"</f>
        <v>4805311479</v>
      </c>
      <c r="G133" t="str">
        <f>"9784805311479"</f>
        <v>9784805311479</v>
      </c>
      <c r="H133">
        <v>0</v>
      </c>
      <c r="I133">
        <v>3.72</v>
      </c>
      <c r="J133" t="s">
        <v>607</v>
      </c>
      <c r="K133" t="s">
        <v>35</v>
      </c>
      <c r="L133">
        <v>272</v>
      </c>
      <c r="M133">
        <v>2012</v>
      </c>
      <c r="N133">
        <v>2012</v>
      </c>
      <c r="P133" s="1">
        <v>44065</v>
      </c>
      <c r="Q133" t="s">
        <v>36</v>
      </c>
      <c r="R133" t="s">
        <v>608</v>
      </c>
      <c r="S133" t="s">
        <v>36</v>
      </c>
      <c r="W133">
        <v>0</v>
      </c>
      <c r="Z133">
        <v>0</v>
      </c>
    </row>
    <row r="134" spans="1:26" x14ac:dyDescent="0.3">
      <c r="A134">
        <v>31262602</v>
      </c>
      <c r="B134" t="s">
        <v>609</v>
      </c>
      <c r="C134" t="s">
        <v>610</v>
      </c>
      <c r="D134" t="s">
        <v>611</v>
      </c>
      <c r="F134" t="str">
        <f>"3639087143"</f>
        <v>3639087143</v>
      </c>
      <c r="G134" t="str">
        <f>"9783639087147"</f>
        <v>9783639087147</v>
      </c>
      <c r="H134">
        <v>0</v>
      </c>
      <c r="I134">
        <v>0</v>
      </c>
      <c r="J134" t="s">
        <v>612</v>
      </c>
      <c r="K134" t="s">
        <v>60</v>
      </c>
      <c r="L134">
        <v>252</v>
      </c>
      <c r="M134">
        <v>2008</v>
      </c>
      <c r="P134" s="1">
        <v>44065</v>
      </c>
      <c r="Q134" t="s">
        <v>36</v>
      </c>
      <c r="R134" t="s">
        <v>613</v>
      </c>
      <c r="S134" t="s">
        <v>36</v>
      </c>
      <c r="W134">
        <v>0</v>
      </c>
      <c r="Z134">
        <v>0</v>
      </c>
    </row>
    <row r="135" spans="1:26" x14ac:dyDescent="0.3">
      <c r="A135">
        <v>18250837</v>
      </c>
      <c r="B135" t="s">
        <v>614</v>
      </c>
      <c r="C135" t="s">
        <v>615</v>
      </c>
      <c r="D135" t="s">
        <v>616</v>
      </c>
      <c r="F135" t="str">
        <f>"0802867618"</f>
        <v>0802867618</v>
      </c>
      <c r="G135" t="str">
        <f>"9780802867612"</f>
        <v>9780802867612</v>
      </c>
      <c r="H135">
        <v>0</v>
      </c>
      <c r="I135">
        <v>4.2300000000000004</v>
      </c>
      <c r="J135" t="s">
        <v>617</v>
      </c>
      <c r="K135" t="s">
        <v>60</v>
      </c>
      <c r="L135">
        <v>148</v>
      </c>
      <c r="M135">
        <v>2014</v>
      </c>
      <c r="N135">
        <v>2014</v>
      </c>
      <c r="P135" s="1">
        <v>44063</v>
      </c>
      <c r="Q135" t="s">
        <v>36</v>
      </c>
      <c r="R135" t="s">
        <v>618</v>
      </c>
      <c r="S135" t="s">
        <v>36</v>
      </c>
      <c r="W135">
        <v>0</v>
      </c>
      <c r="Z135">
        <v>0</v>
      </c>
    </row>
    <row r="136" spans="1:26" x14ac:dyDescent="0.3">
      <c r="A136">
        <v>36261566</v>
      </c>
      <c r="B136" t="s">
        <v>619</v>
      </c>
      <c r="C136" t="s">
        <v>620</v>
      </c>
      <c r="D136" t="s">
        <v>621</v>
      </c>
      <c r="F136" t="str">
        <f>"0692919996"</f>
        <v>0692919996</v>
      </c>
      <c r="G136" t="str">
        <f>"9780692919996"</f>
        <v>9780692919996</v>
      </c>
      <c r="H136">
        <v>0</v>
      </c>
      <c r="I136">
        <v>4.0599999999999996</v>
      </c>
      <c r="J136" t="s">
        <v>622</v>
      </c>
      <c r="K136" t="s">
        <v>60</v>
      </c>
      <c r="L136">
        <v>176</v>
      </c>
      <c r="M136">
        <v>2017</v>
      </c>
      <c r="N136">
        <v>2017</v>
      </c>
      <c r="O136" s="1">
        <v>44063</v>
      </c>
      <c r="P136" s="1">
        <v>44063</v>
      </c>
      <c r="S136" t="s">
        <v>174</v>
      </c>
      <c r="W136">
        <v>1</v>
      </c>
      <c r="Z136">
        <v>0</v>
      </c>
    </row>
    <row r="137" spans="1:26" x14ac:dyDescent="0.3">
      <c r="A137">
        <v>277478</v>
      </c>
      <c r="B137" t="s">
        <v>623</v>
      </c>
      <c r="C137" t="s">
        <v>624</v>
      </c>
      <c r="D137" t="s">
        <v>625</v>
      </c>
      <c r="F137" t="str">
        <f>"0385500629"</f>
        <v>0385500629</v>
      </c>
      <c r="G137" t="str">
        <f>"9780385500623"</f>
        <v>9780385500623</v>
      </c>
      <c r="H137">
        <v>0</v>
      </c>
      <c r="I137">
        <v>3.69</v>
      </c>
      <c r="J137" t="s">
        <v>626</v>
      </c>
      <c r="K137" t="s">
        <v>60</v>
      </c>
      <c r="L137">
        <v>320</v>
      </c>
      <c r="M137">
        <v>2006</v>
      </c>
      <c r="N137">
        <v>2004</v>
      </c>
      <c r="P137" s="1">
        <v>44062</v>
      </c>
      <c r="Q137" t="s">
        <v>36</v>
      </c>
      <c r="R137" t="s">
        <v>627</v>
      </c>
      <c r="S137" t="s">
        <v>36</v>
      </c>
      <c r="W137">
        <v>0</v>
      </c>
      <c r="Z137">
        <v>0</v>
      </c>
    </row>
    <row r="138" spans="1:26" x14ac:dyDescent="0.3">
      <c r="A138">
        <v>410758</v>
      </c>
      <c r="B138" t="s">
        <v>628</v>
      </c>
      <c r="C138" t="s">
        <v>629</v>
      </c>
      <c r="D138" t="s">
        <v>630</v>
      </c>
      <c r="F138" t="str">
        <f>"0800626818"</f>
        <v>0800626818</v>
      </c>
      <c r="G138" t="str">
        <f>"9780800626815"</f>
        <v>9780800626815</v>
      </c>
      <c r="H138">
        <v>0</v>
      </c>
      <c r="I138">
        <v>4.3899999999999997</v>
      </c>
      <c r="J138" t="s">
        <v>631</v>
      </c>
      <c r="K138" t="s">
        <v>60</v>
      </c>
      <c r="L138">
        <v>535</v>
      </c>
      <c r="M138">
        <v>1992</v>
      </c>
      <c r="N138">
        <v>1991</v>
      </c>
      <c r="P138" s="1">
        <v>44062</v>
      </c>
      <c r="Q138" t="s">
        <v>36</v>
      </c>
      <c r="R138" t="s">
        <v>632</v>
      </c>
      <c r="S138" t="s">
        <v>36</v>
      </c>
      <c r="W138">
        <v>0</v>
      </c>
      <c r="Z138">
        <v>0</v>
      </c>
    </row>
    <row r="139" spans="1:26" x14ac:dyDescent="0.3">
      <c r="A139">
        <v>7645932</v>
      </c>
      <c r="B139" t="s">
        <v>633</v>
      </c>
      <c r="C139" t="s">
        <v>634</v>
      </c>
      <c r="D139" t="s">
        <v>635</v>
      </c>
      <c r="F139" t="str">
        <f>""</f>
        <v/>
      </c>
      <c r="G139" t="str">
        <f>"9781786891952"</f>
        <v>9781786891952</v>
      </c>
      <c r="H139">
        <v>0</v>
      </c>
      <c r="I139">
        <v>3.49</v>
      </c>
      <c r="J139" t="s">
        <v>636</v>
      </c>
      <c r="K139" t="s">
        <v>60</v>
      </c>
      <c r="L139">
        <v>265</v>
      </c>
      <c r="M139">
        <v>2010</v>
      </c>
      <c r="N139">
        <v>2009</v>
      </c>
      <c r="P139" s="1">
        <v>44061</v>
      </c>
      <c r="Q139" t="s">
        <v>36</v>
      </c>
      <c r="R139" t="s">
        <v>637</v>
      </c>
      <c r="S139" t="s">
        <v>36</v>
      </c>
      <c r="W139">
        <v>0</v>
      </c>
      <c r="Z139">
        <v>0</v>
      </c>
    </row>
    <row r="140" spans="1:26" x14ac:dyDescent="0.3">
      <c r="A140">
        <v>43722896</v>
      </c>
      <c r="B140" t="s">
        <v>638</v>
      </c>
      <c r="C140" t="s">
        <v>639</v>
      </c>
      <c r="D140" t="s">
        <v>640</v>
      </c>
      <c r="F140" t="str">
        <f>"1541618440"</f>
        <v>1541618440</v>
      </c>
      <c r="G140" t="str">
        <f>"9781541618442"</f>
        <v>9781541618442</v>
      </c>
      <c r="H140">
        <v>0</v>
      </c>
      <c r="I140">
        <v>3.67</v>
      </c>
      <c r="J140" t="s">
        <v>129</v>
      </c>
      <c r="K140" t="s">
        <v>35</v>
      </c>
      <c r="L140">
        <v>512</v>
      </c>
      <c r="M140">
        <v>2019</v>
      </c>
      <c r="P140" s="1">
        <v>44061</v>
      </c>
      <c r="Q140" t="s">
        <v>36</v>
      </c>
      <c r="R140" t="s">
        <v>641</v>
      </c>
      <c r="S140" t="s">
        <v>36</v>
      </c>
      <c r="W140">
        <v>0</v>
      </c>
      <c r="Z140">
        <v>0</v>
      </c>
    </row>
    <row r="141" spans="1:26" x14ac:dyDescent="0.3">
      <c r="A141">
        <v>43885149</v>
      </c>
      <c r="B141" t="s">
        <v>642</v>
      </c>
      <c r="C141" t="s">
        <v>643</v>
      </c>
      <c r="D141" t="s">
        <v>644</v>
      </c>
      <c r="F141" t="str">
        <f>"0465093507"</f>
        <v>0465093507</v>
      </c>
      <c r="G141" t="str">
        <f>"9780465093502"</f>
        <v>9780465093502</v>
      </c>
      <c r="H141">
        <v>0</v>
      </c>
      <c r="I141">
        <v>4.22</v>
      </c>
      <c r="J141" t="s">
        <v>129</v>
      </c>
      <c r="K141" t="s">
        <v>35</v>
      </c>
      <c r="L141">
        <v>624</v>
      </c>
      <c r="M141">
        <v>2019</v>
      </c>
      <c r="N141">
        <v>2019</v>
      </c>
      <c r="O141" s="1">
        <v>44061</v>
      </c>
      <c r="P141" s="1">
        <v>43982</v>
      </c>
      <c r="S141" t="s">
        <v>174</v>
      </c>
      <c r="W141">
        <v>1</v>
      </c>
      <c r="Z141">
        <v>0</v>
      </c>
    </row>
    <row r="142" spans="1:26" x14ac:dyDescent="0.3">
      <c r="A142">
        <v>624628</v>
      </c>
      <c r="B142" t="s">
        <v>645</v>
      </c>
      <c r="C142" t="s">
        <v>646</v>
      </c>
      <c r="D142" t="s">
        <v>647</v>
      </c>
      <c r="F142" t="str">
        <f>"0060816104"</f>
        <v>0060816104</v>
      </c>
      <c r="G142" t="str">
        <f>"9780060816100"</f>
        <v>9780060816100</v>
      </c>
      <c r="H142">
        <v>0</v>
      </c>
      <c r="I142">
        <v>4</v>
      </c>
      <c r="J142" t="s">
        <v>648</v>
      </c>
      <c r="K142" t="s">
        <v>60</v>
      </c>
      <c r="L142">
        <v>528</v>
      </c>
      <c r="M142">
        <v>2005</v>
      </c>
      <c r="N142">
        <v>2004</v>
      </c>
      <c r="P142" s="1">
        <v>44060</v>
      </c>
      <c r="Q142" t="s">
        <v>36</v>
      </c>
      <c r="R142" t="s">
        <v>649</v>
      </c>
      <c r="S142" t="s">
        <v>36</v>
      </c>
      <c r="W142">
        <v>0</v>
      </c>
      <c r="Z142">
        <v>0</v>
      </c>
    </row>
    <row r="143" spans="1:26" x14ac:dyDescent="0.3">
      <c r="A143">
        <v>6995487</v>
      </c>
      <c r="B143" t="s">
        <v>650</v>
      </c>
      <c r="C143" t="s">
        <v>651</v>
      </c>
      <c r="D143" t="s">
        <v>652</v>
      </c>
      <c r="F143" t="str">
        <f>"0300142080"</f>
        <v>0300142080</v>
      </c>
      <c r="G143" t="str">
        <f>"9780300142082"</f>
        <v>9780300142082</v>
      </c>
      <c r="H143">
        <v>0</v>
      </c>
      <c r="I143">
        <v>3.79</v>
      </c>
      <c r="J143" t="s">
        <v>356</v>
      </c>
      <c r="K143" t="s">
        <v>35</v>
      </c>
      <c r="L143">
        <v>461</v>
      </c>
      <c r="M143">
        <v>2009</v>
      </c>
      <c r="N143">
        <v>2009</v>
      </c>
      <c r="P143" s="1">
        <v>44060</v>
      </c>
      <c r="Q143" t="s">
        <v>36</v>
      </c>
      <c r="R143" t="s">
        <v>653</v>
      </c>
      <c r="S143" t="s">
        <v>36</v>
      </c>
      <c r="W143">
        <v>0</v>
      </c>
      <c r="Z143">
        <v>0</v>
      </c>
    </row>
    <row r="144" spans="1:26" x14ac:dyDescent="0.3">
      <c r="A144">
        <v>2173242</v>
      </c>
      <c r="B144" t="s">
        <v>654</v>
      </c>
      <c r="C144" t="s">
        <v>655</v>
      </c>
      <c r="D144" t="s">
        <v>656</v>
      </c>
      <c r="F144" t="str">
        <f>"0674199626"</f>
        <v>0674199626</v>
      </c>
      <c r="G144" t="str">
        <f>"9780674199620"</f>
        <v>9780674199620</v>
      </c>
      <c r="H144">
        <v>0</v>
      </c>
      <c r="I144">
        <v>4</v>
      </c>
      <c r="J144" t="s">
        <v>155</v>
      </c>
      <c r="K144" t="s">
        <v>60</v>
      </c>
      <c r="L144">
        <v>542</v>
      </c>
      <c r="M144">
        <v>1988</v>
      </c>
      <c r="N144">
        <v>1988</v>
      </c>
      <c r="P144" s="1">
        <v>44060</v>
      </c>
      <c r="Q144" t="s">
        <v>36</v>
      </c>
      <c r="R144" t="s">
        <v>657</v>
      </c>
      <c r="S144" t="s">
        <v>36</v>
      </c>
      <c r="W144">
        <v>0</v>
      </c>
      <c r="Z144">
        <v>0</v>
      </c>
    </row>
    <row r="145" spans="1:26" x14ac:dyDescent="0.3">
      <c r="A145">
        <v>29386702</v>
      </c>
      <c r="B145" t="s">
        <v>658</v>
      </c>
      <c r="C145" t="s">
        <v>659</v>
      </c>
      <c r="D145" t="s">
        <v>660</v>
      </c>
      <c r="F145" t="str">
        <f>"0190616814"</f>
        <v>0190616814</v>
      </c>
      <c r="G145" t="str">
        <f>"9780190616816"</f>
        <v>9780190616816</v>
      </c>
      <c r="H145">
        <v>0</v>
      </c>
      <c r="I145">
        <v>3.77</v>
      </c>
      <c r="J145" t="s">
        <v>104</v>
      </c>
      <c r="K145" t="s">
        <v>35</v>
      </c>
      <c r="L145">
        <v>464</v>
      </c>
      <c r="M145">
        <v>2016</v>
      </c>
      <c r="P145" s="1">
        <v>44059</v>
      </c>
      <c r="Q145" t="s">
        <v>36</v>
      </c>
      <c r="R145" t="s">
        <v>661</v>
      </c>
      <c r="S145" t="s">
        <v>36</v>
      </c>
      <c r="W145">
        <v>0</v>
      </c>
      <c r="Z145">
        <v>0</v>
      </c>
    </row>
    <row r="146" spans="1:26" x14ac:dyDescent="0.3">
      <c r="A146">
        <v>22693086</v>
      </c>
      <c r="B146" t="s">
        <v>662</v>
      </c>
      <c r="C146" t="s">
        <v>663</v>
      </c>
      <c r="D146" t="s">
        <v>664</v>
      </c>
      <c r="F146" t="str">
        <f>"006175952X"</f>
        <v>006175952X</v>
      </c>
      <c r="G146" t="str">
        <f>"9780061759529"</f>
        <v>9780061759529</v>
      </c>
      <c r="H146">
        <v>0</v>
      </c>
      <c r="I146">
        <v>3.86</v>
      </c>
      <c r="J146" t="s">
        <v>109</v>
      </c>
      <c r="K146" t="s">
        <v>35</v>
      </c>
      <c r="L146">
        <v>464</v>
      </c>
      <c r="M146">
        <v>2015</v>
      </c>
      <c r="N146">
        <v>2015</v>
      </c>
      <c r="P146" s="1">
        <v>44059</v>
      </c>
      <c r="Q146" t="s">
        <v>36</v>
      </c>
      <c r="R146" t="s">
        <v>665</v>
      </c>
      <c r="S146" t="s">
        <v>36</v>
      </c>
      <c r="W146">
        <v>0</v>
      </c>
      <c r="Z146">
        <v>0</v>
      </c>
    </row>
    <row r="147" spans="1:26" x14ac:dyDescent="0.3">
      <c r="A147">
        <v>74643</v>
      </c>
      <c r="B147" t="s">
        <v>666</v>
      </c>
      <c r="C147" t="s">
        <v>667</v>
      </c>
      <c r="D147" t="s">
        <v>668</v>
      </c>
      <c r="F147" t="str">
        <f>"0192854518"</f>
        <v>0192854518</v>
      </c>
      <c r="G147" t="str">
        <f>"9780192854513"</f>
        <v>9780192854513</v>
      </c>
      <c r="H147">
        <v>0</v>
      </c>
      <c r="I147">
        <v>3.68</v>
      </c>
      <c r="J147" t="s">
        <v>104</v>
      </c>
      <c r="K147" t="s">
        <v>60</v>
      </c>
      <c r="L147">
        <v>176</v>
      </c>
      <c r="M147">
        <v>2001</v>
      </c>
      <c r="N147">
        <v>1991</v>
      </c>
      <c r="P147" s="1">
        <v>44058</v>
      </c>
      <c r="Q147" t="s">
        <v>36</v>
      </c>
      <c r="R147" t="s">
        <v>669</v>
      </c>
      <c r="S147" t="s">
        <v>36</v>
      </c>
      <c r="W147">
        <v>0</v>
      </c>
      <c r="Z147">
        <v>0</v>
      </c>
    </row>
    <row r="148" spans="1:26" x14ac:dyDescent="0.3">
      <c r="A148">
        <v>11392050</v>
      </c>
      <c r="B148" t="s">
        <v>670</v>
      </c>
      <c r="C148" t="s">
        <v>671</v>
      </c>
      <c r="D148" t="s">
        <v>672</v>
      </c>
      <c r="F148" t="str">
        <f>"0062007688"</f>
        <v>0062007688</v>
      </c>
      <c r="G148" t="str">
        <f>"9780062007681"</f>
        <v>9780062007681</v>
      </c>
      <c r="H148">
        <v>0</v>
      </c>
      <c r="I148">
        <v>4.22</v>
      </c>
      <c r="J148" t="s">
        <v>673</v>
      </c>
      <c r="K148" t="s">
        <v>35</v>
      </c>
      <c r="L148">
        <v>512</v>
      </c>
      <c r="M148">
        <v>2011</v>
      </c>
      <c r="N148">
        <v>2011</v>
      </c>
      <c r="P148" s="1">
        <v>44058</v>
      </c>
      <c r="Q148" t="s">
        <v>36</v>
      </c>
      <c r="R148" t="s">
        <v>674</v>
      </c>
      <c r="S148" t="s">
        <v>36</v>
      </c>
      <c r="W148">
        <v>0</v>
      </c>
      <c r="Z148">
        <v>0</v>
      </c>
    </row>
    <row r="149" spans="1:26" x14ac:dyDescent="0.3">
      <c r="A149">
        <v>90866</v>
      </c>
      <c r="B149" t="s">
        <v>675</v>
      </c>
      <c r="C149" t="s">
        <v>676</v>
      </c>
      <c r="D149" t="s">
        <v>677</v>
      </c>
      <c r="F149" t="str">
        <f>"0142196339"</f>
        <v>0142196339</v>
      </c>
      <c r="G149" t="str">
        <f>"9780142196335"</f>
        <v>9780142196335</v>
      </c>
      <c r="H149">
        <v>0</v>
      </c>
      <c r="I149">
        <v>3.96</v>
      </c>
      <c r="J149" t="s">
        <v>678</v>
      </c>
      <c r="K149" t="s">
        <v>60</v>
      </c>
      <c r="L149">
        <v>336</v>
      </c>
      <c r="M149">
        <v>2005</v>
      </c>
      <c r="N149">
        <v>2004</v>
      </c>
      <c r="P149" s="1">
        <v>44058</v>
      </c>
      <c r="Q149" t="s">
        <v>36</v>
      </c>
      <c r="R149" t="s">
        <v>679</v>
      </c>
      <c r="S149" t="s">
        <v>36</v>
      </c>
      <c r="W149">
        <v>0</v>
      </c>
      <c r="Z149">
        <v>0</v>
      </c>
    </row>
    <row r="150" spans="1:26" x14ac:dyDescent="0.3">
      <c r="A150">
        <v>459625</v>
      </c>
      <c r="B150" t="s">
        <v>680</v>
      </c>
      <c r="C150" t="s">
        <v>681</v>
      </c>
      <c r="D150" t="s">
        <v>682</v>
      </c>
      <c r="F150" t="str">
        <f>"0715626736"</f>
        <v>0715626736</v>
      </c>
      <c r="G150" t="str">
        <f>"9780715626733"</f>
        <v>9780715626733</v>
      </c>
      <c r="H150">
        <v>0</v>
      </c>
      <c r="I150">
        <v>3.65</v>
      </c>
      <c r="J150" t="s">
        <v>683</v>
      </c>
      <c r="K150" t="s">
        <v>60</v>
      </c>
      <c r="L150">
        <v>160</v>
      </c>
      <c r="M150">
        <v>1995</v>
      </c>
      <c r="N150">
        <v>1971</v>
      </c>
      <c r="P150" s="1">
        <v>44058</v>
      </c>
      <c r="Q150" t="s">
        <v>36</v>
      </c>
      <c r="R150" t="s">
        <v>684</v>
      </c>
      <c r="S150" t="s">
        <v>36</v>
      </c>
      <c r="W150">
        <v>0</v>
      </c>
      <c r="Z150">
        <v>0</v>
      </c>
    </row>
    <row r="151" spans="1:26" x14ac:dyDescent="0.3">
      <c r="A151">
        <v>29563694</v>
      </c>
      <c r="B151" t="s">
        <v>685</v>
      </c>
      <c r="C151" t="s">
        <v>686</v>
      </c>
      <c r="D151" t="s">
        <v>687</v>
      </c>
      <c r="F151" t="str">
        <f>"0300208340"</f>
        <v>0300208340</v>
      </c>
      <c r="G151" t="str">
        <f>"9780300208344"</f>
        <v>9780300208344</v>
      </c>
      <c r="H151">
        <v>0</v>
      </c>
      <c r="I151">
        <v>3.65</v>
      </c>
      <c r="J151" t="s">
        <v>356</v>
      </c>
      <c r="K151" t="s">
        <v>35</v>
      </c>
      <c r="L151">
        <v>352</v>
      </c>
      <c r="M151">
        <v>2016</v>
      </c>
      <c r="N151">
        <v>2016</v>
      </c>
      <c r="P151" s="1">
        <v>44057</v>
      </c>
      <c r="Q151" t="s">
        <v>36</v>
      </c>
      <c r="R151" t="s">
        <v>688</v>
      </c>
      <c r="S151" t="s">
        <v>36</v>
      </c>
      <c r="W151">
        <v>0</v>
      </c>
      <c r="Z151">
        <v>0</v>
      </c>
    </row>
    <row r="152" spans="1:26" x14ac:dyDescent="0.3">
      <c r="A152">
        <v>36292679</v>
      </c>
      <c r="B152" t="s">
        <v>689</v>
      </c>
      <c r="C152" t="s">
        <v>690</v>
      </c>
      <c r="D152" t="s">
        <v>691</v>
      </c>
      <c r="F152" t="str">
        <f>"0674659651"</f>
        <v>0674659651</v>
      </c>
      <c r="G152" t="str">
        <f>"9780674659650"</f>
        <v>9780674659650</v>
      </c>
      <c r="H152">
        <v>0</v>
      </c>
      <c r="I152">
        <v>4.1500000000000004</v>
      </c>
      <c r="J152" t="s">
        <v>524</v>
      </c>
      <c r="K152" t="s">
        <v>35</v>
      </c>
      <c r="L152">
        <v>432</v>
      </c>
      <c r="M152">
        <v>2018</v>
      </c>
      <c r="N152">
        <v>2017</v>
      </c>
      <c r="P152" s="1">
        <v>44057</v>
      </c>
      <c r="Q152" t="s">
        <v>36</v>
      </c>
      <c r="R152" t="s">
        <v>692</v>
      </c>
      <c r="S152" t="s">
        <v>36</v>
      </c>
      <c r="W152">
        <v>0</v>
      </c>
      <c r="Z152">
        <v>0</v>
      </c>
    </row>
    <row r="153" spans="1:26" x14ac:dyDescent="0.3">
      <c r="A153">
        <v>33784514</v>
      </c>
      <c r="B153" t="s">
        <v>693</v>
      </c>
      <c r="C153" t="s">
        <v>694</v>
      </c>
      <c r="D153" t="s">
        <v>695</v>
      </c>
      <c r="F153" t="str">
        <f>"0465096409"</f>
        <v>0465096409</v>
      </c>
      <c r="G153" t="str">
        <f>"9780465096404"</f>
        <v>9780465096404</v>
      </c>
      <c r="H153">
        <v>0</v>
      </c>
      <c r="I153">
        <v>3.98</v>
      </c>
      <c r="J153" t="s">
        <v>129</v>
      </c>
      <c r="K153" t="s">
        <v>35</v>
      </c>
      <c r="L153">
        <v>336</v>
      </c>
      <c r="M153">
        <v>2017</v>
      </c>
      <c r="N153">
        <v>2017</v>
      </c>
      <c r="P153" s="1">
        <v>44057</v>
      </c>
      <c r="Q153" t="s">
        <v>36</v>
      </c>
      <c r="R153" t="s">
        <v>696</v>
      </c>
      <c r="S153" t="s">
        <v>36</v>
      </c>
      <c r="W153">
        <v>0</v>
      </c>
      <c r="Z153">
        <v>0</v>
      </c>
    </row>
    <row r="154" spans="1:26" x14ac:dyDescent="0.3">
      <c r="A154">
        <v>46725</v>
      </c>
      <c r="B154" t="s">
        <v>697</v>
      </c>
      <c r="C154" t="s">
        <v>698</v>
      </c>
      <c r="D154" t="s">
        <v>699</v>
      </c>
      <c r="F154" t="str">
        <f>"0385121229"</f>
        <v>0385121229</v>
      </c>
      <c r="G154" t="str">
        <f>"9780385121224"</f>
        <v>9780385121224</v>
      </c>
      <c r="H154">
        <v>0</v>
      </c>
      <c r="I154">
        <v>3.9</v>
      </c>
      <c r="J154" t="s">
        <v>700</v>
      </c>
      <c r="K154" t="s">
        <v>60</v>
      </c>
      <c r="L154">
        <v>368</v>
      </c>
      <c r="M154">
        <v>1977</v>
      </c>
      <c r="N154">
        <v>1976</v>
      </c>
      <c r="P154" s="1">
        <v>44057</v>
      </c>
      <c r="Q154" t="s">
        <v>36</v>
      </c>
      <c r="R154" t="s">
        <v>701</v>
      </c>
      <c r="S154" t="s">
        <v>36</v>
      </c>
      <c r="W154">
        <v>0</v>
      </c>
      <c r="Z154">
        <v>0</v>
      </c>
    </row>
    <row r="155" spans="1:26" x14ac:dyDescent="0.3">
      <c r="A155">
        <v>1648317</v>
      </c>
      <c r="B155" t="s">
        <v>702</v>
      </c>
      <c r="C155" t="s">
        <v>703</v>
      </c>
      <c r="D155" t="s">
        <v>704</v>
      </c>
      <c r="F155" t="str">
        <f>"0140249249"</f>
        <v>0140249249</v>
      </c>
      <c r="G155" t="str">
        <f>"9780140249248"</f>
        <v>9780140249248</v>
      </c>
      <c r="H155">
        <v>0</v>
      </c>
      <c r="I155">
        <v>4.0599999999999996</v>
      </c>
      <c r="J155" t="s">
        <v>496</v>
      </c>
      <c r="K155" t="s">
        <v>60</v>
      </c>
      <c r="M155">
        <v>1995</v>
      </c>
      <c r="N155">
        <v>1993</v>
      </c>
      <c r="P155" s="1">
        <v>44056</v>
      </c>
      <c r="Q155" t="s">
        <v>36</v>
      </c>
      <c r="R155" t="s">
        <v>705</v>
      </c>
      <c r="S155" t="s">
        <v>36</v>
      </c>
      <c r="W155">
        <v>0</v>
      </c>
      <c r="Z155">
        <v>0</v>
      </c>
    </row>
    <row r="156" spans="1:26" x14ac:dyDescent="0.3">
      <c r="A156">
        <v>901179</v>
      </c>
      <c r="B156" t="s">
        <v>706</v>
      </c>
      <c r="C156" t="s">
        <v>707</v>
      </c>
      <c r="D156" t="s">
        <v>708</v>
      </c>
      <c r="F156" t="str">
        <f>"0520212142"</f>
        <v>0520212142</v>
      </c>
      <c r="G156" t="str">
        <f>"9780520212145"</f>
        <v>9780520212145</v>
      </c>
      <c r="H156">
        <v>0</v>
      </c>
      <c r="I156">
        <v>4.0199999999999996</v>
      </c>
      <c r="J156" t="s">
        <v>579</v>
      </c>
      <c r="K156" t="s">
        <v>60</v>
      </c>
      <c r="L156">
        <v>400</v>
      </c>
      <c r="M156">
        <v>1997</v>
      </c>
      <c r="N156">
        <v>1994</v>
      </c>
      <c r="P156" s="1">
        <v>44051</v>
      </c>
      <c r="Q156" t="s">
        <v>36</v>
      </c>
      <c r="R156" t="s">
        <v>709</v>
      </c>
      <c r="S156" t="s">
        <v>36</v>
      </c>
      <c r="W156">
        <v>0</v>
      </c>
      <c r="Z156">
        <v>0</v>
      </c>
    </row>
    <row r="157" spans="1:26" x14ac:dyDescent="0.3">
      <c r="A157">
        <v>11289743</v>
      </c>
      <c r="B157" t="s">
        <v>710</v>
      </c>
      <c r="C157" t="s">
        <v>711</v>
      </c>
      <c r="D157" t="s">
        <v>712</v>
      </c>
      <c r="F157" t="str">
        <f>"0199812098"</f>
        <v>0199812098</v>
      </c>
      <c r="G157" t="str">
        <f>"9780199812097"</f>
        <v>9780199812097</v>
      </c>
      <c r="H157">
        <v>0</v>
      </c>
      <c r="I157">
        <v>4.04</v>
      </c>
      <c r="J157" t="s">
        <v>104</v>
      </c>
      <c r="K157" t="s">
        <v>35</v>
      </c>
      <c r="L157">
        <v>359</v>
      </c>
      <c r="M157">
        <v>2011</v>
      </c>
      <c r="N157">
        <v>2011</v>
      </c>
      <c r="P157" s="1">
        <v>44049</v>
      </c>
      <c r="Q157" t="s">
        <v>36</v>
      </c>
      <c r="R157" t="s">
        <v>713</v>
      </c>
      <c r="S157" t="s">
        <v>36</v>
      </c>
      <c r="W157">
        <v>0</v>
      </c>
      <c r="Z157">
        <v>0</v>
      </c>
    </row>
    <row r="158" spans="1:26" x14ac:dyDescent="0.3">
      <c r="A158">
        <v>17288588</v>
      </c>
      <c r="B158" t="s">
        <v>714</v>
      </c>
      <c r="C158" t="s">
        <v>715</v>
      </c>
      <c r="D158" t="s">
        <v>716</v>
      </c>
      <c r="F158" t="str">
        <f>"0307745309"</f>
        <v>0307745309</v>
      </c>
      <c r="G158" t="str">
        <f>"9780307745309"</f>
        <v>9780307745309</v>
      </c>
      <c r="H158">
        <v>0</v>
      </c>
      <c r="I158">
        <v>4.03</v>
      </c>
      <c r="J158" t="s">
        <v>342</v>
      </c>
      <c r="K158" t="s">
        <v>60</v>
      </c>
      <c r="L158">
        <v>538</v>
      </c>
      <c r="M158">
        <v>2013</v>
      </c>
      <c r="N158">
        <v>2013</v>
      </c>
      <c r="P158" s="1">
        <v>44048</v>
      </c>
      <c r="Q158" t="s">
        <v>36</v>
      </c>
      <c r="R158" t="s">
        <v>717</v>
      </c>
      <c r="S158" t="s">
        <v>36</v>
      </c>
      <c r="W158">
        <v>0</v>
      </c>
      <c r="Z158">
        <v>0</v>
      </c>
    </row>
    <row r="159" spans="1:26" x14ac:dyDescent="0.3">
      <c r="A159">
        <v>6920404</v>
      </c>
      <c r="B159" t="s">
        <v>718</v>
      </c>
      <c r="C159" t="s">
        <v>719</v>
      </c>
      <c r="D159" t="s">
        <v>720</v>
      </c>
      <c r="F159" t="str">
        <f>"0415489067"</f>
        <v>0415489067</v>
      </c>
      <c r="G159" t="str">
        <f>"9780415489065"</f>
        <v>9780415489065</v>
      </c>
      <c r="H159">
        <v>0</v>
      </c>
      <c r="I159">
        <v>3.2</v>
      </c>
      <c r="J159" t="s">
        <v>119</v>
      </c>
      <c r="K159" t="s">
        <v>60</v>
      </c>
      <c r="L159">
        <v>144</v>
      </c>
      <c r="M159">
        <v>2009</v>
      </c>
      <c r="P159" s="1">
        <v>44047</v>
      </c>
      <c r="Q159" t="s">
        <v>36</v>
      </c>
      <c r="R159" t="s">
        <v>721</v>
      </c>
      <c r="S159" t="s">
        <v>36</v>
      </c>
      <c r="W159">
        <v>0</v>
      </c>
      <c r="Z159">
        <v>0</v>
      </c>
    </row>
    <row r="160" spans="1:26" x14ac:dyDescent="0.3">
      <c r="A160">
        <v>655625</v>
      </c>
      <c r="B160" t="s">
        <v>722</v>
      </c>
      <c r="C160" t="s">
        <v>681</v>
      </c>
      <c r="D160" t="s">
        <v>682</v>
      </c>
      <c r="F160" t="str">
        <f>"0268018774"</f>
        <v>0268018774</v>
      </c>
      <c r="G160" t="str">
        <f>"9780268018771"</f>
        <v>9780268018771</v>
      </c>
      <c r="H160">
        <v>0</v>
      </c>
      <c r="I160">
        <v>4.21</v>
      </c>
      <c r="J160" t="s">
        <v>723</v>
      </c>
      <c r="K160" t="s">
        <v>60</v>
      </c>
      <c r="L160">
        <v>256</v>
      </c>
      <c r="M160">
        <v>1991</v>
      </c>
      <c r="N160">
        <v>1990</v>
      </c>
      <c r="P160" s="1">
        <v>44046</v>
      </c>
      <c r="Q160" t="s">
        <v>36</v>
      </c>
      <c r="R160" t="s">
        <v>724</v>
      </c>
      <c r="S160" t="s">
        <v>36</v>
      </c>
      <c r="W160">
        <v>0</v>
      </c>
      <c r="Z160">
        <v>0</v>
      </c>
    </row>
    <row r="161" spans="1:26" x14ac:dyDescent="0.3">
      <c r="A161">
        <v>673948</v>
      </c>
      <c r="B161" t="s">
        <v>725</v>
      </c>
      <c r="C161" t="s">
        <v>726</v>
      </c>
      <c r="D161" t="s">
        <v>727</v>
      </c>
      <c r="F161" t="str">
        <f>"0195312945"</f>
        <v>0195312945</v>
      </c>
      <c r="G161" t="str">
        <f>"9780195312942"</f>
        <v>9780195312942</v>
      </c>
      <c r="H161">
        <v>0</v>
      </c>
      <c r="I161">
        <v>3.8</v>
      </c>
      <c r="J161" t="s">
        <v>104</v>
      </c>
      <c r="K161" t="s">
        <v>35</v>
      </c>
      <c r="L161">
        <v>144</v>
      </c>
      <c r="M161">
        <v>2007</v>
      </c>
      <c r="N161">
        <v>2007</v>
      </c>
      <c r="P161" s="1">
        <v>44046</v>
      </c>
      <c r="Q161" t="s">
        <v>36</v>
      </c>
      <c r="R161" t="s">
        <v>728</v>
      </c>
      <c r="S161" t="s">
        <v>36</v>
      </c>
      <c r="W161">
        <v>0</v>
      </c>
      <c r="Z161">
        <v>0</v>
      </c>
    </row>
    <row r="162" spans="1:26" x14ac:dyDescent="0.3">
      <c r="A162">
        <v>13027283</v>
      </c>
      <c r="B162" t="s">
        <v>729</v>
      </c>
      <c r="C162" t="s">
        <v>730</v>
      </c>
      <c r="D162" t="s">
        <v>731</v>
      </c>
      <c r="F162" t="str">
        <f>"0199579962"</f>
        <v>0199579962</v>
      </c>
      <c r="G162" t="str">
        <f>"9780199579969"</f>
        <v>9780199579969</v>
      </c>
      <c r="H162">
        <v>0</v>
      </c>
      <c r="I162">
        <v>3.87</v>
      </c>
      <c r="J162" t="s">
        <v>104</v>
      </c>
      <c r="K162" t="s">
        <v>35</v>
      </c>
      <c r="L162">
        <v>308</v>
      </c>
      <c r="M162">
        <v>2011</v>
      </c>
      <c r="N162">
        <v>2011</v>
      </c>
      <c r="P162" s="1">
        <v>44046</v>
      </c>
      <c r="Q162" t="s">
        <v>36</v>
      </c>
      <c r="R162" t="s">
        <v>732</v>
      </c>
      <c r="S162" t="s">
        <v>36</v>
      </c>
      <c r="W162">
        <v>0</v>
      </c>
      <c r="Z162">
        <v>0</v>
      </c>
    </row>
    <row r="163" spans="1:26" x14ac:dyDescent="0.3">
      <c r="A163">
        <v>303735</v>
      </c>
      <c r="B163" t="s">
        <v>733</v>
      </c>
      <c r="C163" t="s">
        <v>734</v>
      </c>
      <c r="D163" t="s">
        <v>735</v>
      </c>
      <c r="F163" t="str">
        <f>"0631192468"</f>
        <v>0631192468</v>
      </c>
      <c r="G163" t="str">
        <f>"9780631192466"</f>
        <v>9780631192466</v>
      </c>
      <c r="H163">
        <v>0</v>
      </c>
      <c r="I163">
        <v>3.62</v>
      </c>
      <c r="J163" t="s">
        <v>319</v>
      </c>
      <c r="K163" t="s">
        <v>60</v>
      </c>
      <c r="L163">
        <v>240</v>
      </c>
      <c r="M163">
        <v>1994</v>
      </c>
      <c r="N163">
        <v>1994</v>
      </c>
      <c r="P163" s="1">
        <v>44046</v>
      </c>
      <c r="Q163" t="s">
        <v>36</v>
      </c>
      <c r="R163" t="s">
        <v>736</v>
      </c>
      <c r="S163" t="s">
        <v>36</v>
      </c>
      <c r="W163">
        <v>0</v>
      </c>
      <c r="Z163">
        <v>0</v>
      </c>
    </row>
    <row r="164" spans="1:26" x14ac:dyDescent="0.3">
      <c r="A164">
        <v>692765</v>
      </c>
      <c r="B164" t="s">
        <v>737</v>
      </c>
      <c r="C164" t="s">
        <v>738</v>
      </c>
      <c r="D164" t="s">
        <v>739</v>
      </c>
      <c r="F164" t="str">
        <f>"0140135588"</f>
        <v>0140135588</v>
      </c>
      <c r="G164" t="str">
        <f>"9780140135589"</f>
        <v>9780140135589</v>
      </c>
      <c r="H164">
        <v>0</v>
      </c>
      <c r="I164">
        <v>3.96</v>
      </c>
      <c r="J164" t="s">
        <v>740</v>
      </c>
      <c r="K164" t="s">
        <v>60</v>
      </c>
      <c r="L164">
        <v>256</v>
      </c>
      <c r="M164">
        <v>1990</v>
      </c>
      <c r="N164">
        <v>1977</v>
      </c>
      <c r="P164" s="1">
        <v>44046</v>
      </c>
      <c r="Q164" t="s">
        <v>36</v>
      </c>
      <c r="R164" t="s">
        <v>741</v>
      </c>
      <c r="S164" t="s">
        <v>36</v>
      </c>
      <c r="W164">
        <v>0</v>
      </c>
      <c r="Z164">
        <v>0</v>
      </c>
    </row>
    <row r="165" spans="1:26" x14ac:dyDescent="0.3">
      <c r="A165">
        <v>30833</v>
      </c>
      <c r="B165" t="s">
        <v>742</v>
      </c>
      <c r="C165" t="s">
        <v>743</v>
      </c>
      <c r="D165" t="s">
        <v>744</v>
      </c>
      <c r="F165" t="str">
        <f>"0375508732"</f>
        <v>0375508732</v>
      </c>
      <c r="G165" t="str">
        <f>"9780375508738"</f>
        <v>9780375508738</v>
      </c>
      <c r="H165">
        <v>0</v>
      </c>
      <c r="I165">
        <v>4.3099999999999996</v>
      </c>
      <c r="J165" t="s">
        <v>745</v>
      </c>
      <c r="K165" t="s">
        <v>35</v>
      </c>
      <c r="L165">
        <v>472</v>
      </c>
      <c r="M165">
        <v>2002</v>
      </c>
      <c r="N165">
        <v>1961</v>
      </c>
      <c r="P165" s="1">
        <v>44046</v>
      </c>
      <c r="Q165" t="s">
        <v>36</v>
      </c>
      <c r="R165" t="s">
        <v>746</v>
      </c>
      <c r="S165" t="s">
        <v>36</v>
      </c>
      <c r="W165">
        <v>0</v>
      </c>
      <c r="Z165">
        <v>0</v>
      </c>
    </row>
    <row r="166" spans="1:26" x14ac:dyDescent="0.3">
      <c r="A166">
        <v>9897152</v>
      </c>
      <c r="B166" t="s">
        <v>747</v>
      </c>
      <c r="C166" t="s">
        <v>748</v>
      </c>
      <c r="D166" t="s">
        <v>749</v>
      </c>
      <c r="F166" t="str">
        <f>"159420277X"</f>
        <v>159420277X</v>
      </c>
      <c r="G166" t="str">
        <f>"9781594202773"</f>
        <v>9781594202773</v>
      </c>
      <c r="H166">
        <v>0</v>
      </c>
      <c r="I166">
        <v>3.92</v>
      </c>
      <c r="J166" t="s">
        <v>442</v>
      </c>
      <c r="K166" t="s">
        <v>35</v>
      </c>
      <c r="L166">
        <v>352</v>
      </c>
      <c r="M166">
        <v>2011</v>
      </c>
      <c r="N166">
        <v>2011</v>
      </c>
      <c r="P166" s="1">
        <v>44046</v>
      </c>
      <c r="Q166" t="s">
        <v>36</v>
      </c>
      <c r="R166" t="s">
        <v>750</v>
      </c>
      <c r="S166" t="s">
        <v>36</v>
      </c>
      <c r="W166">
        <v>0</v>
      </c>
      <c r="Z166">
        <v>0</v>
      </c>
    </row>
    <row r="167" spans="1:26" x14ac:dyDescent="0.3">
      <c r="A167">
        <v>10727702</v>
      </c>
      <c r="B167" t="s">
        <v>751</v>
      </c>
      <c r="C167" t="s">
        <v>752</v>
      </c>
      <c r="D167" t="s">
        <v>753</v>
      </c>
      <c r="F167" t="str">
        <f>"0199572801"</f>
        <v>0199572801</v>
      </c>
      <c r="G167" t="str">
        <f>"9780199572809"</f>
        <v>9780199572809</v>
      </c>
      <c r="H167">
        <v>0</v>
      </c>
      <c r="I167">
        <v>4.2699999999999996</v>
      </c>
      <c r="J167" t="s">
        <v>104</v>
      </c>
      <c r="K167" t="s">
        <v>35</v>
      </c>
      <c r="L167">
        <v>592</v>
      </c>
      <c r="M167">
        <v>2011</v>
      </c>
      <c r="N167">
        <v>2011</v>
      </c>
      <c r="P167" s="1">
        <v>44046</v>
      </c>
      <c r="Q167" t="s">
        <v>36</v>
      </c>
      <c r="R167" t="s">
        <v>754</v>
      </c>
      <c r="S167" t="s">
        <v>36</v>
      </c>
      <c r="W167">
        <v>0</v>
      </c>
      <c r="Z167">
        <v>0</v>
      </c>
    </row>
    <row r="168" spans="1:26" x14ac:dyDescent="0.3">
      <c r="A168">
        <v>327051</v>
      </c>
      <c r="B168" t="s">
        <v>755</v>
      </c>
      <c r="C168" t="s">
        <v>752</v>
      </c>
      <c r="D168" t="s">
        <v>753</v>
      </c>
      <c r="F168" t="str">
        <f>"019824908X"</f>
        <v>019824908X</v>
      </c>
      <c r="G168" t="str">
        <f>"9780198249085"</f>
        <v>9780198249085</v>
      </c>
      <c r="H168">
        <v>0</v>
      </c>
      <c r="I168">
        <v>4.2699999999999996</v>
      </c>
      <c r="J168" t="s">
        <v>756</v>
      </c>
      <c r="K168" t="s">
        <v>60</v>
      </c>
      <c r="L168">
        <v>543</v>
      </c>
      <c r="M168">
        <v>1986</v>
      </c>
      <c r="N168">
        <v>1984</v>
      </c>
      <c r="P168" s="1">
        <v>44046</v>
      </c>
      <c r="Q168" t="s">
        <v>36</v>
      </c>
      <c r="R168" t="s">
        <v>757</v>
      </c>
      <c r="S168" t="s">
        <v>36</v>
      </c>
      <c r="W168">
        <v>0</v>
      </c>
      <c r="Z168">
        <v>0</v>
      </c>
    </row>
    <row r="169" spans="1:26" x14ac:dyDescent="0.3">
      <c r="A169">
        <v>42524676</v>
      </c>
      <c r="B169" t="s">
        <v>758</v>
      </c>
      <c r="C169" t="s">
        <v>759</v>
      </c>
      <c r="D169" t="s">
        <v>760</v>
      </c>
      <c r="F169" t="str">
        <f>""</f>
        <v/>
      </c>
      <c r="G169" t="str">
        <f>""</f>
        <v/>
      </c>
      <c r="H169">
        <v>0</v>
      </c>
      <c r="I169">
        <v>4.34</v>
      </c>
      <c r="J169" t="s">
        <v>761</v>
      </c>
      <c r="K169" t="s">
        <v>69</v>
      </c>
      <c r="L169">
        <v>416</v>
      </c>
      <c r="M169">
        <v>2019</v>
      </c>
      <c r="P169" s="1">
        <v>44028</v>
      </c>
      <c r="Q169" t="s">
        <v>36</v>
      </c>
      <c r="R169" t="s">
        <v>762</v>
      </c>
      <c r="S169" t="s">
        <v>36</v>
      </c>
      <c r="W169">
        <v>0</v>
      </c>
      <c r="Z169">
        <v>0</v>
      </c>
    </row>
    <row r="170" spans="1:26" x14ac:dyDescent="0.3">
      <c r="A170">
        <v>8911175</v>
      </c>
      <c r="B170" t="s">
        <v>763</v>
      </c>
      <c r="C170" t="s">
        <v>764</v>
      </c>
      <c r="D170" t="s">
        <v>765</v>
      </c>
      <c r="F170" t="str">
        <f>"1429979666"</f>
        <v>1429979666</v>
      </c>
      <c r="G170" t="str">
        <f>"9781429979665"</f>
        <v>9781429979665</v>
      </c>
      <c r="H170">
        <v>0</v>
      </c>
      <c r="I170">
        <v>3.82</v>
      </c>
      <c r="J170" t="s">
        <v>351</v>
      </c>
      <c r="K170" t="s">
        <v>173</v>
      </c>
      <c r="L170">
        <v>336</v>
      </c>
      <c r="M170">
        <v>2010</v>
      </c>
      <c r="N170">
        <v>2010</v>
      </c>
      <c r="P170" s="1">
        <v>44025</v>
      </c>
      <c r="Q170" t="s">
        <v>36</v>
      </c>
      <c r="R170" t="s">
        <v>766</v>
      </c>
      <c r="S170" t="s">
        <v>36</v>
      </c>
      <c r="W170">
        <v>0</v>
      </c>
      <c r="Z170">
        <v>0</v>
      </c>
    </row>
    <row r="171" spans="1:26" x14ac:dyDescent="0.3">
      <c r="A171">
        <v>18004941</v>
      </c>
      <c r="B171" t="s">
        <v>767</v>
      </c>
      <c r="C171" t="s">
        <v>395</v>
      </c>
      <c r="D171" t="s">
        <v>396</v>
      </c>
      <c r="F171" t="str">
        <f>"1137354135"</f>
        <v>1137354135</v>
      </c>
      <c r="G171" t="str">
        <f>"9781137354136"</f>
        <v>9781137354136</v>
      </c>
      <c r="H171">
        <v>0</v>
      </c>
      <c r="I171">
        <v>3.57</v>
      </c>
      <c r="J171" t="s">
        <v>768</v>
      </c>
      <c r="K171" t="s">
        <v>35</v>
      </c>
      <c r="L171">
        <v>96</v>
      </c>
      <c r="M171">
        <v>2013</v>
      </c>
      <c r="N171">
        <v>2013</v>
      </c>
      <c r="O171" s="1">
        <v>44024</v>
      </c>
      <c r="P171" s="1">
        <v>44024</v>
      </c>
      <c r="S171" t="s">
        <v>174</v>
      </c>
      <c r="W171">
        <v>1</v>
      </c>
      <c r="Z171">
        <v>0</v>
      </c>
    </row>
    <row r="172" spans="1:26" x14ac:dyDescent="0.3">
      <c r="A172">
        <v>53052177</v>
      </c>
      <c r="B172" t="s">
        <v>769</v>
      </c>
      <c r="C172" t="s">
        <v>770</v>
      </c>
      <c r="D172" t="s">
        <v>771</v>
      </c>
      <c r="E172" t="s">
        <v>772</v>
      </c>
      <c r="F172" t="str">
        <f>"1634312023"</f>
        <v>1634312023</v>
      </c>
      <c r="G172" t="str">
        <f>"9781634312028"</f>
        <v>9781634312028</v>
      </c>
      <c r="H172">
        <v>0</v>
      </c>
      <c r="I172">
        <v>4.32</v>
      </c>
      <c r="J172" t="s">
        <v>773</v>
      </c>
      <c r="K172" t="s">
        <v>35</v>
      </c>
      <c r="L172">
        <v>348</v>
      </c>
      <c r="M172">
        <v>2020</v>
      </c>
      <c r="N172">
        <v>2020</v>
      </c>
      <c r="P172" s="1">
        <v>44019</v>
      </c>
      <c r="Q172" t="s">
        <v>36</v>
      </c>
      <c r="R172" t="s">
        <v>774</v>
      </c>
      <c r="S172" t="s">
        <v>36</v>
      </c>
      <c r="W172">
        <v>0</v>
      </c>
      <c r="Z172">
        <v>0</v>
      </c>
    </row>
    <row r="173" spans="1:26" x14ac:dyDescent="0.3">
      <c r="A173">
        <v>18640637</v>
      </c>
      <c r="B173" t="s">
        <v>775</v>
      </c>
      <c r="C173" t="s">
        <v>776</v>
      </c>
      <c r="D173" t="s">
        <v>777</v>
      </c>
      <c r="F173" t="str">
        <f>"1469614316"</f>
        <v>1469614316</v>
      </c>
      <c r="G173" t="str">
        <f>"9781469614311"</f>
        <v>9781469614311</v>
      </c>
      <c r="H173">
        <v>0</v>
      </c>
      <c r="I173">
        <v>4.5599999999999996</v>
      </c>
      <c r="J173" t="s">
        <v>778</v>
      </c>
      <c r="K173" t="s">
        <v>60</v>
      </c>
      <c r="L173">
        <v>330</v>
      </c>
      <c r="M173">
        <v>2014</v>
      </c>
      <c r="N173">
        <v>2014</v>
      </c>
      <c r="P173" s="1">
        <v>44016</v>
      </c>
      <c r="Q173" t="s">
        <v>36</v>
      </c>
      <c r="R173" t="s">
        <v>779</v>
      </c>
      <c r="S173" t="s">
        <v>36</v>
      </c>
      <c r="W173">
        <v>0</v>
      </c>
      <c r="Z173">
        <v>0</v>
      </c>
    </row>
    <row r="174" spans="1:26" x14ac:dyDescent="0.3">
      <c r="A174">
        <v>22800567</v>
      </c>
      <c r="B174" t="s">
        <v>780</v>
      </c>
      <c r="C174" t="s">
        <v>781</v>
      </c>
      <c r="D174" t="s">
        <v>782</v>
      </c>
      <c r="F174" t="str">
        <f>"1491946008"</f>
        <v>1491946008</v>
      </c>
      <c r="G174" t="str">
        <f>"9781491946008"</f>
        <v>9781491946008</v>
      </c>
      <c r="H174">
        <v>0</v>
      </c>
      <c r="I174">
        <v>4.66</v>
      </c>
      <c r="J174" t="s">
        <v>783</v>
      </c>
      <c r="K174" t="s">
        <v>60</v>
      </c>
      <c r="L174">
        <v>792</v>
      </c>
      <c r="M174">
        <v>2015</v>
      </c>
      <c r="N174">
        <v>2015</v>
      </c>
      <c r="P174" s="1">
        <v>44007</v>
      </c>
      <c r="Q174" t="s">
        <v>36</v>
      </c>
      <c r="R174" t="s">
        <v>784</v>
      </c>
      <c r="S174" t="s">
        <v>36</v>
      </c>
      <c r="W174">
        <v>0</v>
      </c>
      <c r="Z174">
        <v>0</v>
      </c>
    </row>
    <row r="175" spans="1:26" x14ac:dyDescent="0.3">
      <c r="A175">
        <v>23020812</v>
      </c>
      <c r="B175" t="s">
        <v>785</v>
      </c>
      <c r="C175" t="s">
        <v>786</v>
      </c>
      <c r="D175" t="s">
        <v>787</v>
      </c>
      <c r="F175" t="str">
        <f>"0134034287"</f>
        <v>0134034287</v>
      </c>
      <c r="G175" t="str">
        <f>"9780134034287"</f>
        <v>9780134034287</v>
      </c>
      <c r="H175">
        <v>0</v>
      </c>
      <c r="I175">
        <v>4.29</v>
      </c>
      <c r="J175" t="s">
        <v>788</v>
      </c>
      <c r="K175" t="s">
        <v>60</v>
      </c>
      <c r="L175">
        <v>227</v>
      </c>
      <c r="M175">
        <v>2015</v>
      </c>
      <c r="N175">
        <v>2015</v>
      </c>
      <c r="P175" s="1">
        <v>44007</v>
      </c>
      <c r="Q175" t="s">
        <v>36</v>
      </c>
      <c r="R175" t="s">
        <v>789</v>
      </c>
      <c r="S175" t="s">
        <v>36</v>
      </c>
      <c r="W175">
        <v>0</v>
      </c>
      <c r="Z175">
        <v>0</v>
      </c>
    </row>
    <row r="176" spans="1:26" x14ac:dyDescent="0.3">
      <c r="A176">
        <v>36555966</v>
      </c>
      <c r="B176" t="s">
        <v>790</v>
      </c>
      <c r="C176" t="s">
        <v>791</v>
      </c>
      <c r="D176" t="s">
        <v>792</v>
      </c>
      <c r="F176" t="str">
        <f>"1775093301"</f>
        <v>1775093301</v>
      </c>
      <c r="G176" t="str">
        <f>"9781775093305"</f>
        <v>9781775093305</v>
      </c>
      <c r="H176">
        <v>0</v>
      </c>
      <c r="I176">
        <v>4.45</v>
      </c>
      <c r="J176" t="s">
        <v>791</v>
      </c>
      <c r="K176" t="s">
        <v>60</v>
      </c>
      <c r="L176">
        <v>304</v>
      </c>
      <c r="M176">
        <v>2017</v>
      </c>
      <c r="P176" s="1">
        <v>44007</v>
      </c>
      <c r="Q176" t="s">
        <v>36</v>
      </c>
      <c r="R176" t="s">
        <v>793</v>
      </c>
      <c r="S176" t="s">
        <v>36</v>
      </c>
      <c r="W176">
        <v>0</v>
      </c>
      <c r="Z176">
        <v>0</v>
      </c>
    </row>
    <row r="177" spans="1:26" x14ac:dyDescent="0.3">
      <c r="A177">
        <v>17152735</v>
      </c>
      <c r="B177" t="s">
        <v>794</v>
      </c>
      <c r="C177" t="s">
        <v>795</v>
      </c>
      <c r="D177" t="s">
        <v>796</v>
      </c>
      <c r="E177" t="s">
        <v>797</v>
      </c>
      <c r="F177" t="str">
        <f>"1449340377"</f>
        <v>1449340377</v>
      </c>
      <c r="G177" t="str">
        <f>"9781449340377"</f>
        <v>9781449340377</v>
      </c>
      <c r="H177">
        <v>0</v>
      </c>
      <c r="I177">
        <v>4.16</v>
      </c>
      <c r="J177" t="s">
        <v>783</v>
      </c>
      <c r="K177" t="s">
        <v>60</v>
      </c>
      <c r="L177">
        <v>706</v>
      </c>
      <c r="M177">
        <v>2013</v>
      </c>
      <c r="N177">
        <v>2002</v>
      </c>
      <c r="P177" s="1">
        <v>44007</v>
      </c>
      <c r="Q177" t="s">
        <v>36</v>
      </c>
      <c r="R177" t="s">
        <v>798</v>
      </c>
      <c r="S177" t="s">
        <v>36</v>
      </c>
      <c r="W177">
        <v>0</v>
      </c>
      <c r="Z177">
        <v>0</v>
      </c>
    </row>
    <row r="178" spans="1:26" x14ac:dyDescent="0.3">
      <c r="A178">
        <v>28520746</v>
      </c>
      <c r="B178" t="s">
        <v>799</v>
      </c>
      <c r="C178" t="s">
        <v>800</v>
      </c>
      <c r="D178" t="s">
        <v>801</v>
      </c>
      <c r="F178" t="str">
        <f>"0511815093"</f>
        <v>0511815093</v>
      </c>
      <c r="G178" t="str">
        <f>"9780511815096"</f>
        <v>9780511815096</v>
      </c>
      <c r="H178">
        <v>0</v>
      </c>
      <c r="I178">
        <v>3.77</v>
      </c>
      <c r="J178" t="s">
        <v>261</v>
      </c>
      <c r="K178" t="s">
        <v>173</v>
      </c>
      <c r="L178">
        <v>334</v>
      </c>
      <c r="M178">
        <v>2009</v>
      </c>
      <c r="N178">
        <v>2007</v>
      </c>
      <c r="P178" s="1">
        <v>43638</v>
      </c>
      <c r="Q178" t="s">
        <v>36</v>
      </c>
      <c r="R178" t="s">
        <v>802</v>
      </c>
      <c r="S178" t="s">
        <v>36</v>
      </c>
      <c r="W178">
        <v>0</v>
      </c>
      <c r="Z178">
        <v>0</v>
      </c>
    </row>
    <row r="179" spans="1:26" x14ac:dyDescent="0.3">
      <c r="A179">
        <v>17404078</v>
      </c>
      <c r="B179" t="s">
        <v>803</v>
      </c>
      <c r="C179" t="s">
        <v>804</v>
      </c>
      <c r="D179" t="s">
        <v>805</v>
      </c>
      <c r="E179" t="s">
        <v>806</v>
      </c>
      <c r="F179" t="str">
        <f>"1451661193"</f>
        <v>1451661193</v>
      </c>
      <c r="G179" t="str">
        <f>"9781451661194"</f>
        <v>9781451661194</v>
      </c>
      <c r="H179">
        <v>5</v>
      </c>
      <c r="I179">
        <v>4.26</v>
      </c>
      <c r="J179" t="s">
        <v>807</v>
      </c>
      <c r="K179" t="s">
        <v>35</v>
      </c>
      <c r="L179">
        <v>270</v>
      </c>
      <c r="M179">
        <v>2013</v>
      </c>
      <c r="N179">
        <v>2013</v>
      </c>
      <c r="O179" s="1">
        <v>44005</v>
      </c>
      <c r="P179" s="1">
        <v>44005</v>
      </c>
      <c r="S179" t="s">
        <v>174</v>
      </c>
      <c r="W179">
        <v>1</v>
      </c>
      <c r="Z179">
        <v>0</v>
      </c>
    </row>
    <row r="180" spans="1:26" x14ac:dyDescent="0.3">
      <c r="A180">
        <v>673719</v>
      </c>
      <c r="B180" t="s">
        <v>808</v>
      </c>
      <c r="C180" t="s">
        <v>809</v>
      </c>
      <c r="D180" t="s">
        <v>810</v>
      </c>
      <c r="F180" t="str">
        <f>"0312020139"</f>
        <v>0312020139</v>
      </c>
      <c r="G180" t="str">
        <f>"9780312020132"</f>
        <v>9780312020132</v>
      </c>
      <c r="H180">
        <v>0</v>
      </c>
      <c r="I180">
        <v>4.33</v>
      </c>
      <c r="J180" t="s">
        <v>811</v>
      </c>
      <c r="K180" t="s">
        <v>60</v>
      </c>
      <c r="L180">
        <v>288</v>
      </c>
      <c r="M180">
        <v>1992</v>
      </c>
      <c r="N180">
        <v>1986</v>
      </c>
      <c r="P180" s="1">
        <v>44004</v>
      </c>
      <c r="Q180" t="s">
        <v>36</v>
      </c>
      <c r="R180" t="s">
        <v>812</v>
      </c>
      <c r="S180" t="s">
        <v>36</v>
      </c>
      <c r="W180">
        <v>0</v>
      </c>
      <c r="Z180">
        <v>0</v>
      </c>
    </row>
    <row r="181" spans="1:26" x14ac:dyDescent="0.3">
      <c r="A181">
        <v>6763725</v>
      </c>
      <c r="B181" t="s">
        <v>813</v>
      </c>
      <c r="C181" t="s">
        <v>814</v>
      </c>
      <c r="D181" t="s">
        <v>815</v>
      </c>
      <c r="F181" t="str">
        <f>"1846943175"</f>
        <v>1846943175</v>
      </c>
      <c r="G181" t="str">
        <f>"9781846943171"</f>
        <v>9781846943171</v>
      </c>
      <c r="H181">
        <v>0</v>
      </c>
      <c r="I181">
        <v>4.2300000000000004</v>
      </c>
      <c r="J181" t="s">
        <v>816</v>
      </c>
      <c r="K181" t="s">
        <v>60</v>
      </c>
      <c r="L181">
        <v>81</v>
      </c>
      <c r="M181">
        <v>2009</v>
      </c>
      <c r="N181">
        <v>2009</v>
      </c>
      <c r="P181" s="1">
        <v>44004</v>
      </c>
      <c r="Q181" t="s">
        <v>36</v>
      </c>
      <c r="R181" t="s">
        <v>817</v>
      </c>
      <c r="S181" t="s">
        <v>36</v>
      </c>
      <c r="W181">
        <v>0</v>
      </c>
      <c r="Z181">
        <v>0</v>
      </c>
    </row>
    <row r="182" spans="1:26" x14ac:dyDescent="0.3">
      <c r="A182">
        <v>16814494</v>
      </c>
      <c r="B182" t="s">
        <v>818</v>
      </c>
      <c r="C182" t="s">
        <v>392</v>
      </c>
      <c r="D182" t="s">
        <v>393</v>
      </c>
      <c r="F182" t="str">
        <f>"1280971223"</f>
        <v>1280971223</v>
      </c>
      <c r="G182" t="str">
        <f>"9781280971228"</f>
        <v>9781280971228</v>
      </c>
      <c r="H182">
        <v>0</v>
      </c>
      <c r="I182">
        <v>3.75</v>
      </c>
      <c r="J182" t="s">
        <v>819</v>
      </c>
      <c r="K182" t="s">
        <v>173</v>
      </c>
      <c r="L182">
        <v>294</v>
      </c>
      <c r="M182">
        <v>2008</v>
      </c>
      <c r="N182">
        <v>2007</v>
      </c>
      <c r="O182" s="1">
        <v>43937</v>
      </c>
      <c r="P182" s="1">
        <v>43937</v>
      </c>
      <c r="S182" t="s">
        <v>174</v>
      </c>
      <c r="W182">
        <v>1</v>
      </c>
      <c r="Z182">
        <v>0</v>
      </c>
    </row>
    <row r="183" spans="1:26" x14ac:dyDescent="0.3">
      <c r="A183">
        <v>492062</v>
      </c>
      <c r="B183" t="s">
        <v>820</v>
      </c>
      <c r="C183" t="s">
        <v>821</v>
      </c>
      <c r="D183" t="s">
        <v>822</v>
      </c>
      <c r="F183" t="str">
        <f>"0674641760"</f>
        <v>0674641760</v>
      </c>
      <c r="G183" t="str">
        <f>"9780674641761"</f>
        <v>9780674641761</v>
      </c>
      <c r="H183">
        <v>0</v>
      </c>
      <c r="I183">
        <v>3.84</v>
      </c>
      <c r="J183" t="s">
        <v>524</v>
      </c>
      <c r="K183" t="s">
        <v>60</v>
      </c>
      <c r="L183">
        <v>278</v>
      </c>
      <c r="M183">
        <v>1985</v>
      </c>
      <c r="N183">
        <v>1984</v>
      </c>
      <c r="P183" s="1">
        <v>44000</v>
      </c>
      <c r="Q183" t="s">
        <v>36</v>
      </c>
      <c r="R183" t="s">
        <v>823</v>
      </c>
      <c r="S183" t="s">
        <v>36</v>
      </c>
      <c r="W183">
        <v>0</v>
      </c>
      <c r="Z183">
        <v>0</v>
      </c>
    </row>
    <row r="184" spans="1:26" x14ac:dyDescent="0.3">
      <c r="A184">
        <v>29511438</v>
      </c>
      <c r="B184" t="s">
        <v>824</v>
      </c>
      <c r="C184" t="s">
        <v>825</v>
      </c>
      <c r="D184" t="s">
        <v>826</v>
      </c>
      <c r="F184" t="str">
        <f>"0874621895"</f>
        <v>0874621895</v>
      </c>
      <c r="G184" t="str">
        <f>"9780874621891"</f>
        <v>9780874621891</v>
      </c>
      <c r="H184">
        <v>0</v>
      </c>
      <c r="I184">
        <v>4.12</v>
      </c>
      <c r="J184" t="s">
        <v>827</v>
      </c>
      <c r="K184" t="s">
        <v>35</v>
      </c>
      <c r="L184">
        <v>116</v>
      </c>
      <c r="M184">
        <v>2016</v>
      </c>
      <c r="P184" s="1">
        <v>43999</v>
      </c>
      <c r="Q184" t="s">
        <v>36</v>
      </c>
      <c r="R184" t="s">
        <v>828</v>
      </c>
      <c r="S184" t="s">
        <v>36</v>
      </c>
      <c r="W184">
        <v>0</v>
      </c>
      <c r="Z184">
        <v>0</v>
      </c>
    </row>
    <row r="185" spans="1:26" x14ac:dyDescent="0.3">
      <c r="A185">
        <v>40553604</v>
      </c>
      <c r="B185" t="s">
        <v>829</v>
      </c>
      <c r="C185" t="s">
        <v>830</v>
      </c>
      <c r="D185" t="s">
        <v>831</v>
      </c>
      <c r="E185" t="s">
        <v>832</v>
      </c>
      <c r="F185" t="str">
        <f>""</f>
        <v/>
      </c>
      <c r="G185" t="str">
        <f>""</f>
        <v/>
      </c>
      <c r="H185">
        <v>0</v>
      </c>
      <c r="I185">
        <v>3.92</v>
      </c>
      <c r="J185" t="s">
        <v>833</v>
      </c>
      <c r="K185" t="s">
        <v>69</v>
      </c>
      <c r="L185">
        <v>412</v>
      </c>
      <c r="M185">
        <v>2018</v>
      </c>
      <c r="P185" s="1">
        <v>43999</v>
      </c>
      <c r="Q185" t="s">
        <v>36</v>
      </c>
      <c r="R185" t="s">
        <v>834</v>
      </c>
      <c r="S185" t="s">
        <v>36</v>
      </c>
      <c r="W185">
        <v>0</v>
      </c>
      <c r="Z185">
        <v>0</v>
      </c>
    </row>
    <row r="186" spans="1:26" x14ac:dyDescent="0.3">
      <c r="A186">
        <v>22847284</v>
      </c>
      <c r="B186" t="s">
        <v>835</v>
      </c>
      <c r="C186" t="s">
        <v>836</v>
      </c>
      <c r="D186" t="s">
        <v>837</v>
      </c>
      <c r="F186" t="str">
        <f>"1617292230"</f>
        <v>1617292230</v>
      </c>
      <c r="G186" t="str">
        <f>"9781617292231"</f>
        <v>9781617292231</v>
      </c>
      <c r="H186">
        <v>0</v>
      </c>
      <c r="I186">
        <v>4.41</v>
      </c>
      <c r="J186" t="s">
        <v>838</v>
      </c>
      <c r="K186" t="s">
        <v>60</v>
      </c>
      <c r="L186">
        <v>256</v>
      </c>
      <c r="M186">
        <v>2015</v>
      </c>
      <c r="N186">
        <v>2015</v>
      </c>
      <c r="O186" s="1">
        <v>43988</v>
      </c>
      <c r="P186" s="1">
        <v>43988</v>
      </c>
      <c r="S186" t="s">
        <v>174</v>
      </c>
      <c r="W186">
        <v>1</v>
      </c>
      <c r="Z186">
        <v>0</v>
      </c>
    </row>
    <row r="187" spans="1:26" x14ac:dyDescent="0.3">
      <c r="A187">
        <v>3144458</v>
      </c>
      <c r="B187" t="s">
        <v>839</v>
      </c>
      <c r="C187" t="s">
        <v>840</v>
      </c>
      <c r="D187" t="s">
        <v>841</v>
      </c>
      <c r="E187" t="s">
        <v>842</v>
      </c>
      <c r="F187" t="str">
        <f>"1841271993"</f>
        <v>1841271993</v>
      </c>
      <c r="G187" t="str">
        <f>"9781841271996"</f>
        <v>9781841271996</v>
      </c>
      <c r="H187">
        <v>0</v>
      </c>
      <c r="I187">
        <v>4.57</v>
      </c>
      <c r="J187" t="s">
        <v>194</v>
      </c>
      <c r="K187" t="s">
        <v>60</v>
      </c>
      <c r="L187">
        <v>232</v>
      </c>
      <c r="M187">
        <v>2002</v>
      </c>
      <c r="N187">
        <v>2002</v>
      </c>
      <c r="O187" s="1">
        <v>43984</v>
      </c>
      <c r="P187" s="1">
        <v>43984</v>
      </c>
      <c r="S187" t="s">
        <v>174</v>
      </c>
      <c r="W187">
        <v>1</v>
      </c>
      <c r="Z187">
        <v>0</v>
      </c>
    </row>
    <row r="188" spans="1:26" x14ac:dyDescent="0.3">
      <c r="A188">
        <v>18740986</v>
      </c>
      <c r="B188" t="s">
        <v>843</v>
      </c>
      <c r="C188" t="s">
        <v>844</v>
      </c>
      <c r="D188" t="s">
        <v>845</v>
      </c>
      <c r="F188" t="str">
        <f>"0713996447"</f>
        <v>0713996447</v>
      </c>
      <c r="G188" t="str">
        <f>"9780713996449"</f>
        <v>9780713996449</v>
      </c>
      <c r="H188">
        <v>0</v>
      </c>
      <c r="I188">
        <v>4.0599999999999996</v>
      </c>
      <c r="J188" t="s">
        <v>99</v>
      </c>
      <c r="K188" t="s">
        <v>35</v>
      </c>
      <c r="L188">
        <v>416</v>
      </c>
      <c r="M188">
        <v>2014</v>
      </c>
      <c r="N188">
        <v>2014</v>
      </c>
      <c r="P188" s="1">
        <v>43982</v>
      </c>
      <c r="Q188" t="s">
        <v>36</v>
      </c>
      <c r="R188" t="s">
        <v>846</v>
      </c>
      <c r="S188" t="s">
        <v>36</v>
      </c>
      <c r="W188">
        <v>0</v>
      </c>
      <c r="Z188">
        <v>0</v>
      </c>
    </row>
    <row r="189" spans="1:26" x14ac:dyDescent="0.3">
      <c r="A189">
        <v>8360794</v>
      </c>
      <c r="B189" t="s">
        <v>847</v>
      </c>
      <c r="C189" t="s">
        <v>848</v>
      </c>
      <c r="D189" t="s">
        <v>849</v>
      </c>
      <c r="F189" t="str">
        <f>""</f>
        <v/>
      </c>
      <c r="G189" t="str">
        <f>""</f>
        <v/>
      </c>
      <c r="H189">
        <v>0</v>
      </c>
      <c r="I189">
        <v>4.25</v>
      </c>
      <c r="K189" t="s">
        <v>69</v>
      </c>
      <c r="L189">
        <v>872</v>
      </c>
      <c r="N189">
        <v>2007</v>
      </c>
      <c r="O189" s="1">
        <v>43981</v>
      </c>
      <c r="P189" s="1">
        <v>43768</v>
      </c>
      <c r="S189" t="s">
        <v>174</v>
      </c>
      <c r="W189">
        <v>1</v>
      </c>
      <c r="Z189">
        <v>0</v>
      </c>
    </row>
    <row r="190" spans="1:26" x14ac:dyDescent="0.3">
      <c r="A190">
        <v>30659</v>
      </c>
      <c r="B190" t="s">
        <v>850</v>
      </c>
      <c r="C190" t="s">
        <v>851</v>
      </c>
      <c r="D190" t="s">
        <v>852</v>
      </c>
      <c r="E190" t="s">
        <v>853</v>
      </c>
      <c r="F190" t="str">
        <f>"0140449337"</f>
        <v>0140449337</v>
      </c>
      <c r="G190" t="str">
        <f>"9780140449334"</f>
        <v>9780140449334</v>
      </c>
      <c r="H190">
        <v>0</v>
      </c>
      <c r="I190">
        <v>4.22</v>
      </c>
      <c r="J190" t="s">
        <v>496</v>
      </c>
      <c r="K190" t="s">
        <v>60</v>
      </c>
      <c r="L190">
        <v>303</v>
      </c>
      <c r="M190">
        <v>2006</v>
      </c>
      <c r="N190">
        <v>180</v>
      </c>
      <c r="O190" s="1">
        <v>43977</v>
      </c>
      <c r="P190" s="1">
        <v>43536</v>
      </c>
      <c r="S190" t="s">
        <v>174</v>
      </c>
      <c r="W190">
        <v>2</v>
      </c>
      <c r="Z190">
        <v>0</v>
      </c>
    </row>
    <row r="191" spans="1:26" x14ac:dyDescent="0.3">
      <c r="A191">
        <v>3586962</v>
      </c>
      <c r="B191" t="s">
        <v>854</v>
      </c>
      <c r="C191" t="s">
        <v>855</v>
      </c>
      <c r="D191" t="s">
        <v>856</v>
      </c>
      <c r="F191" t="str">
        <f>"9515701678"</f>
        <v>9515701678</v>
      </c>
      <c r="G191" t="str">
        <f>"9789515701671"</f>
        <v>9789515701671</v>
      </c>
      <c r="H191">
        <v>0</v>
      </c>
      <c r="I191">
        <v>4</v>
      </c>
      <c r="J191" t="s">
        <v>857</v>
      </c>
      <c r="K191" t="s">
        <v>858</v>
      </c>
      <c r="L191">
        <v>84</v>
      </c>
      <c r="M191">
        <v>1997</v>
      </c>
      <c r="P191" s="1">
        <v>43967</v>
      </c>
      <c r="Q191" t="s">
        <v>36</v>
      </c>
      <c r="R191" t="s">
        <v>859</v>
      </c>
      <c r="S191" t="s">
        <v>36</v>
      </c>
      <c r="W191">
        <v>0</v>
      </c>
      <c r="Z191">
        <v>0</v>
      </c>
    </row>
    <row r="192" spans="1:26" x14ac:dyDescent="0.3">
      <c r="A192">
        <v>30038654</v>
      </c>
      <c r="B192" t="s">
        <v>860</v>
      </c>
      <c r="C192" t="s">
        <v>45</v>
      </c>
      <c r="D192" t="s">
        <v>46</v>
      </c>
      <c r="E192" t="s">
        <v>861</v>
      </c>
      <c r="F192" t="str">
        <f>"0765393107"</f>
        <v>0765393107</v>
      </c>
      <c r="G192" t="str">
        <f>"9780765393104"</f>
        <v>9780765393104</v>
      </c>
      <c r="H192">
        <v>0</v>
      </c>
      <c r="I192">
        <v>4.09</v>
      </c>
      <c r="J192" t="s">
        <v>862</v>
      </c>
      <c r="K192" t="s">
        <v>173</v>
      </c>
      <c r="L192">
        <v>176</v>
      </c>
      <c r="M192">
        <v>2017</v>
      </c>
      <c r="N192">
        <v>2017</v>
      </c>
      <c r="O192" s="1">
        <v>43965</v>
      </c>
      <c r="P192" s="1">
        <v>43964</v>
      </c>
      <c r="S192" t="s">
        <v>174</v>
      </c>
      <c r="W192">
        <v>1</v>
      </c>
      <c r="Z192">
        <v>0</v>
      </c>
    </row>
    <row r="193" spans="1:26" x14ac:dyDescent="0.3">
      <c r="A193">
        <v>49930783</v>
      </c>
      <c r="B193" t="s">
        <v>863</v>
      </c>
      <c r="C193" t="s">
        <v>864</v>
      </c>
      <c r="D193" t="s">
        <v>865</v>
      </c>
      <c r="F193" t="str">
        <f>"1797107658"</f>
        <v>1797107658</v>
      </c>
      <c r="G193" t="str">
        <f>"9781797107653"</f>
        <v>9781797107653</v>
      </c>
      <c r="H193">
        <v>0</v>
      </c>
      <c r="I193">
        <v>4.28</v>
      </c>
      <c r="J193" t="s">
        <v>866</v>
      </c>
      <c r="K193" t="s">
        <v>867</v>
      </c>
      <c r="M193">
        <v>2020</v>
      </c>
      <c r="N193">
        <v>2020</v>
      </c>
      <c r="O193" s="1">
        <v>43954</v>
      </c>
      <c r="P193" s="1">
        <v>43877</v>
      </c>
      <c r="S193" t="s">
        <v>174</v>
      </c>
      <c r="W193">
        <v>1</v>
      </c>
      <c r="Z193">
        <v>0</v>
      </c>
    </row>
    <row r="194" spans="1:26" x14ac:dyDescent="0.3">
      <c r="A194">
        <v>45894180</v>
      </c>
      <c r="B194" t="s">
        <v>868</v>
      </c>
      <c r="C194" t="s">
        <v>869</v>
      </c>
      <c r="D194" t="s">
        <v>870</v>
      </c>
      <c r="F194" t="str">
        <f>"1324005017"</f>
        <v>1324005017</v>
      </c>
      <c r="G194" t="str">
        <f>"9781324005018"</f>
        <v>9781324005018</v>
      </c>
      <c r="H194">
        <v>0</v>
      </c>
      <c r="I194">
        <v>3.92</v>
      </c>
      <c r="J194" t="s">
        <v>144</v>
      </c>
      <c r="K194" t="s">
        <v>35</v>
      </c>
      <c r="L194">
        <v>464</v>
      </c>
      <c r="M194">
        <v>2020</v>
      </c>
      <c r="N194">
        <v>2020</v>
      </c>
      <c r="O194" s="1">
        <v>43951</v>
      </c>
      <c r="P194" s="1">
        <v>43877</v>
      </c>
      <c r="S194" t="s">
        <v>174</v>
      </c>
      <c r="W194">
        <v>1</v>
      </c>
      <c r="Z194">
        <v>0</v>
      </c>
    </row>
    <row r="195" spans="1:26" x14ac:dyDescent="0.3">
      <c r="A195">
        <v>24888949</v>
      </c>
      <c r="B195" t="s">
        <v>871</v>
      </c>
      <c r="C195" t="s">
        <v>872</v>
      </c>
      <c r="D195" t="s">
        <v>873</v>
      </c>
      <c r="F195" t="str">
        <f>"0567663949"</f>
        <v>0567663949</v>
      </c>
      <c r="G195" t="str">
        <f>"9780567663948"</f>
        <v>9780567663948</v>
      </c>
      <c r="H195">
        <v>0</v>
      </c>
      <c r="I195">
        <v>2</v>
      </c>
      <c r="J195" t="s">
        <v>194</v>
      </c>
      <c r="K195" t="s">
        <v>35</v>
      </c>
      <c r="L195">
        <v>160</v>
      </c>
      <c r="M195">
        <v>2015</v>
      </c>
      <c r="N195">
        <v>2015</v>
      </c>
      <c r="O195" s="1">
        <v>43944</v>
      </c>
      <c r="P195" s="1">
        <v>43939</v>
      </c>
      <c r="S195" t="s">
        <v>174</v>
      </c>
      <c r="W195">
        <v>3</v>
      </c>
      <c r="Z195">
        <v>0</v>
      </c>
    </row>
    <row r="196" spans="1:26" x14ac:dyDescent="0.3">
      <c r="A196">
        <v>673273</v>
      </c>
      <c r="B196" t="s">
        <v>874</v>
      </c>
      <c r="C196" t="s">
        <v>875</v>
      </c>
      <c r="D196" t="s">
        <v>876</v>
      </c>
      <c r="F196" t="str">
        <f>"157506054X"</f>
        <v>157506054X</v>
      </c>
      <c r="G196" t="str">
        <f>"9781575060545"</f>
        <v>9781575060545</v>
      </c>
      <c r="H196">
        <v>0</v>
      </c>
      <c r="I196">
        <v>3</v>
      </c>
      <c r="J196" t="s">
        <v>555</v>
      </c>
      <c r="K196" t="s">
        <v>35</v>
      </c>
      <c r="M196">
        <v>2002</v>
      </c>
      <c r="O196" s="1">
        <v>43942</v>
      </c>
      <c r="P196" s="1">
        <v>43941</v>
      </c>
      <c r="S196" t="s">
        <v>174</v>
      </c>
      <c r="W196">
        <v>1</v>
      </c>
      <c r="Z196">
        <v>0</v>
      </c>
    </row>
    <row r="197" spans="1:26" x14ac:dyDescent="0.3">
      <c r="A197">
        <v>20958539</v>
      </c>
      <c r="B197" t="s">
        <v>877</v>
      </c>
      <c r="C197" t="s">
        <v>878</v>
      </c>
      <c r="D197" t="s">
        <v>879</v>
      </c>
      <c r="F197" t="str">
        <f>""</f>
        <v/>
      </c>
      <c r="G197" t="str">
        <f>""</f>
        <v/>
      </c>
      <c r="H197">
        <v>0</v>
      </c>
      <c r="I197">
        <v>3.95</v>
      </c>
      <c r="J197" t="s">
        <v>880</v>
      </c>
      <c r="K197" t="s">
        <v>69</v>
      </c>
      <c r="L197">
        <v>136</v>
      </c>
      <c r="M197">
        <v>2014</v>
      </c>
      <c r="N197">
        <v>2014</v>
      </c>
      <c r="O197" s="1">
        <v>43940</v>
      </c>
      <c r="P197" s="1">
        <v>43938</v>
      </c>
      <c r="S197" t="s">
        <v>174</v>
      </c>
      <c r="W197">
        <v>1</v>
      </c>
      <c r="Z197">
        <v>0</v>
      </c>
    </row>
    <row r="198" spans="1:26" x14ac:dyDescent="0.3">
      <c r="A198">
        <v>3396946</v>
      </c>
      <c r="B198" t="s">
        <v>881</v>
      </c>
      <c r="C198" t="s">
        <v>882</v>
      </c>
      <c r="D198" t="s">
        <v>883</v>
      </c>
      <c r="F198" t="str">
        <f>"0802841619"</f>
        <v>0802841619</v>
      </c>
      <c r="G198" t="str">
        <f>"9780802841612"</f>
        <v>9780802841612</v>
      </c>
      <c r="H198">
        <v>0</v>
      </c>
      <c r="I198">
        <v>4</v>
      </c>
      <c r="J198" t="s">
        <v>884</v>
      </c>
      <c r="K198" t="s">
        <v>60</v>
      </c>
      <c r="L198">
        <v>262</v>
      </c>
      <c r="M198">
        <v>1996</v>
      </c>
      <c r="N198">
        <v>1995</v>
      </c>
      <c r="P198" s="1">
        <v>43939</v>
      </c>
      <c r="Q198" t="s">
        <v>36</v>
      </c>
      <c r="R198" t="s">
        <v>885</v>
      </c>
      <c r="S198" t="s">
        <v>36</v>
      </c>
      <c r="W198">
        <v>0</v>
      </c>
      <c r="Z198">
        <v>0</v>
      </c>
    </row>
    <row r="199" spans="1:26" x14ac:dyDescent="0.3">
      <c r="A199">
        <v>25626389</v>
      </c>
      <c r="B199" t="s">
        <v>886</v>
      </c>
      <c r="C199" t="s">
        <v>887</v>
      </c>
      <c r="D199" t="s">
        <v>888</v>
      </c>
      <c r="E199" t="s">
        <v>889</v>
      </c>
      <c r="F199" t="str">
        <f>"0674504976"</f>
        <v>0674504976</v>
      </c>
      <c r="G199" t="str">
        <f>"9780674504974"</f>
        <v>9780674504974</v>
      </c>
      <c r="H199">
        <v>0</v>
      </c>
      <c r="I199">
        <v>4.09</v>
      </c>
      <c r="J199" t="s">
        <v>155</v>
      </c>
      <c r="K199" t="s">
        <v>35</v>
      </c>
      <c r="L199">
        <v>296</v>
      </c>
      <c r="M199">
        <v>2016</v>
      </c>
      <c r="N199">
        <v>2014</v>
      </c>
      <c r="O199" s="1">
        <v>43939</v>
      </c>
      <c r="P199" s="1">
        <v>43939</v>
      </c>
      <c r="S199" t="s">
        <v>174</v>
      </c>
      <c r="W199">
        <v>1</v>
      </c>
      <c r="Z199">
        <v>0</v>
      </c>
    </row>
    <row r="200" spans="1:26" x14ac:dyDescent="0.3">
      <c r="A200">
        <v>23206969</v>
      </c>
      <c r="B200" t="s">
        <v>890</v>
      </c>
      <c r="C200" t="s">
        <v>891</v>
      </c>
      <c r="D200" t="s">
        <v>892</v>
      </c>
      <c r="F200" t="str">
        <f>""</f>
        <v/>
      </c>
      <c r="G200" t="str">
        <f>""</f>
        <v/>
      </c>
      <c r="H200">
        <v>0</v>
      </c>
      <c r="I200">
        <v>3.79</v>
      </c>
      <c r="K200" t="s">
        <v>69</v>
      </c>
      <c r="L200">
        <v>101</v>
      </c>
      <c r="M200">
        <v>2014</v>
      </c>
      <c r="N200">
        <v>2014</v>
      </c>
      <c r="O200" s="1">
        <v>43939</v>
      </c>
      <c r="P200" s="1">
        <v>43939</v>
      </c>
      <c r="S200" t="s">
        <v>174</v>
      </c>
      <c r="W200">
        <v>1</v>
      </c>
      <c r="Z200">
        <v>0</v>
      </c>
    </row>
    <row r="201" spans="1:26" x14ac:dyDescent="0.3">
      <c r="A201">
        <v>20745368</v>
      </c>
      <c r="B201" t="s">
        <v>893</v>
      </c>
      <c r="C201" t="s">
        <v>894</v>
      </c>
      <c r="D201" t="s">
        <v>895</v>
      </c>
      <c r="F201" t="str">
        <f>""</f>
        <v/>
      </c>
      <c r="G201" t="str">
        <f>""</f>
        <v/>
      </c>
      <c r="H201">
        <v>0</v>
      </c>
      <c r="I201">
        <v>3.69</v>
      </c>
      <c r="J201" t="s">
        <v>896</v>
      </c>
      <c r="K201" t="s">
        <v>69</v>
      </c>
      <c r="L201">
        <v>59</v>
      </c>
      <c r="M201">
        <v>2013</v>
      </c>
      <c r="N201">
        <v>2012</v>
      </c>
      <c r="P201" s="1">
        <v>43938</v>
      </c>
      <c r="Q201" t="s">
        <v>36</v>
      </c>
      <c r="R201" t="s">
        <v>897</v>
      </c>
      <c r="S201" t="s">
        <v>36</v>
      </c>
      <c r="W201">
        <v>0</v>
      </c>
      <c r="Z201">
        <v>0</v>
      </c>
    </row>
    <row r="202" spans="1:26" x14ac:dyDescent="0.3">
      <c r="A202">
        <v>25667918</v>
      </c>
      <c r="B202" t="s">
        <v>898</v>
      </c>
      <c r="C202" t="s">
        <v>45</v>
      </c>
      <c r="D202" t="s">
        <v>46</v>
      </c>
      <c r="F202" t="str">
        <f>"0765384469"</f>
        <v>0765384469</v>
      </c>
      <c r="G202" t="str">
        <f>"9780765384461"</f>
        <v>9780765384461</v>
      </c>
      <c r="H202">
        <v>0</v>
      </c>
      <c r="I202">
        <v>3.92</v>
      </c>
      <c r="J202" t="s">
        <v>862</v>
      </c>
      <c r="K202" t="s">
        <v>173</v>
      </c>
      <c r="L202">
        <v>96</v>
      </c>
      <c r="M202">
        <v>2015</v>
      </c>
      <c r="N202">
        <v>2015</v>
      </c>
      <c r="O202" s="1">
        <v>43938</v>
      </c>
      <c r="P202" s="1">
        <v>43938</v>
      </c>
      <c r="S202" t="s">
        <v>174</v>
      </c>
      <c r="W202">
        <v>1</v>
      </c>
      <c r="Z202">
        <v>0</v>
      </c>
    </row>
    <row r="203" spans="1:26" x14ac:dyDescent="0.3">
      <c r="A203">
        <v>10238245</v>
      </c>
      <c r="B203" t="s">
        <v>899</v>
      </c>
      <c r="C203" t="s">
        <v>392</v>
      </c>
      <c r="D203" t="s">
        <v>393</v>
      </c>
      <c r="F203" t="str">
        <f>"0415615488"</f>
        <v>0415615488</v>
      </c>
      <c r="G203" t="str">
        <f>"9780415615488"</f>
        <v>9780415615488</v>
      </c>
      <c r="H203">
        <v>0</v>
      </c>
      <c r="I203">
        <v>4.1100000000000003</v>
      </c>
      <c r="J203" t="s">
        <v>119</v>
      </c>
      <c r="K203" t="s">
        <v>35</v>
      </c>
      <c r="L203">
        <v>538</v>
      </c>
      <c r="M203">
        <v>2012</v>
      </c>
      <c r="N203">
        <v>2011</v>
      </c>
      <c r="P203" s="1">
        <v>43937</v>
      </c>
      <c r="Q203" t="s">
        <v>36</v>
      </c>
      <c r="R203" t="s">
        <v>900</v>
      </c>
      <c r="S203" t="s">
        <v>36</v>
      </c>
      <c r="W203">
        <v>0</v>
      </c>
      <c r="Z203">
        <v>0</v>
      </c>
    </row>
    <row r="204" spans="1:26" x14ac:dyDescent="0.3">
      <c r="A204">
        <v>638409</v>
      </c>
      <c r="B204" t="s">
        <v>901</v>
      </c>
      <c r="C204" t="s">
        <v>902</v>
      </c>
      <c r="D204" t="s">
        <v>903</v>
      </c>
      <c r="F204" t="str">
        <f>"0520050118"</f>
        <v>0520050118</v>
      </c>
      <c r="G204" t="str">
        <f>"9780520050112"</f>
        <v>9780520050112</v>
      </c>
      <c r="H204">
        <v>0</v>
      </c>
      <c r="I204">
        <v>3.57</v>
      </c>
      <c r="J204" t="s">
        <v>579</v>
      </c>
      <c r="K204" t="s">
        <v>858</v>
      </c>
      <c r="L204">
        <v>66</v>
      </c>
      <c r="M204">
        <v>1983</v>
      </c>
      <c r="N204">
        <v>1983</v>
      </c>
      <c r="P204" s="1">
        <v>43934</v>
      </c>
      <c r="Q204" t="s">
        <v>36</v>
      </c>
      <c r="R204" t="s">
        <v>904</v>
      </c>
      <c r="S204" t="s">
        <v>36</v>
      </c>
      <c r="W204">
        <v>0</v>
      </c>
      <c r="Z204">
        <v>0</v>
      </c>
    </row>
    <row r="205" spans="1:26" x14ac:dyDescent="0.3">
      <c r="A205">
        <v>1396807</v>
      </c>
      <c r="B205" t="s">
        <v>905</v>
      </c>
      <c r="C205" t="s">
        <v>906</v>
      </c>
      <c r="D205" t="s">
        <v>907</v>
      </c>
      <c r="F205" t="str">
        <f>"1589830989"</f>
        <v>1589830989</v>
      </c>
      <c r="G205" t="str">
        <f>"9781589830981"</f>
        <v>9781589830981</v>
      </c>
      <c r="H205">
        <v>0</v>
      </c>
      <c r="I205">
        <v>4</v>
      </c>
      <c r="J205" t="s">
        <v>908</v>
      </c>
      <c r="K205" t="s">
        <v>60</v>
      </c>
      <c r="L205">
        <v>322</v>
      </c>
      <c r="M205">
        <v>2004</v>
      </c>
      <c r="N205">
        <v>2004</v>
      </c>
      <c r="P205" s="1">
        <v>43934</v>
      </c>
      <c r="Q205" t="s">
        <v>36</v>
      </c>
      <c r="R205" t="s">
        <v>909</v>
      </c>
      <c r="S205" t="s">
        <v>36</v>
      </c>
      <c r="W205">
        <v>0</v>
      </c>
      <c r="Z205">
        <v>0</v>
      </c>
    </row>
    <row r="206" spans="1:26" x14ac:dyDescent="0.3">
      <c r="A206">
        <v>36525738</v>
      </c>
      <c r="B206" t="s">
        <v>910</v>
      </c>
      <c r="C206" t="s">
        <v>911</v>
      </c>
      <c r="D206" t="s">
        <v>912</v>
      </c>
      <c r="F206" t="str">
        <f>""</f>
        <v/>
      </c>
      <c r="G206" t="str">
        <f>""</f>
        <v/>
      </c>
      <c r="H206">
        <v>5</v>
      </c>
      <c r="I206">
        <v>4.43</v>
      </c>
      <c r="J206" t="s">
        <v>913</v>
      </c>
      <c r="K206" t="s">
        <v>69</v>
      </c>
      <c r="M206">
        <v>2017</v>
      </c>
      <c r="O206" s="1">
        <v>43934</v>
      </c>
      <c r="P206" s="1">
        <v>43575</v>
      </c>
      <c r="S206" t="s">
        <v>174</v>
      </c>
      <c r="W206">
        <v>1</v>
      </c>
      <c r="Z206">
        <v>0</v>
      </c>
    </row>
    <row r="207" spans="1:26" x14ac:dyDescent="0.3">
      <c r="A207">
        <v>766647</v>
      </c>
      <c r="B207" t="s">
        <v>914</v>
      </c>
      <c r="C207" t="s">
        <v>915</v>
      </c>
      <c r="D207" t="s">
        <v>916</v>
      </c>
      <c r="F207" t="str">
        <f>"0521615518"</f>
        <v>0521615518</v>
      </c>
      <c r="G207" t="str">
        <f>"9780521615518"</f>
        <v>9780521615518</v>
      </c>
      <c r="H207">
        <v>0</v>
      </c>
      <c r="I207">
        <v>3.89</v>
      </c>
      <c r="J207" t="s">
        <v>261</v>
      </c>
      <c r="K207" t="s">
        <v>60</v>
      </c>
      <c r="L207">
        <v>206</v>
      </c>
      <c r="M207">
        <v>2007</v>
      </c>
      <c r="N207">
        <v>2007</v>
      </c>
      <c r="P207" s="1">
        <v>43928</v>
      </c>
      <c r="Q207" t="s">
        <v>36</v>
      </c>
      <c r="R207" t="s">
        <v>917</v>
      </c>
      <c r="S207" t="s">
        <v>36</v>
      </c>
      <c r="W207">
        <v>0</v>
      </c>
      <c r="Z207">
        <v>0</v>
      </c>
    </row>
    <row r="208" spans="1:26" x14ac:dyDescent="0.3">
      <c r="A208">
        <v>1078824</v>
      </c>
      <c r="B208" t="s">
        <v>918</v>
      </c>
      <c r="C208" t="s">
        <v>919</v>
      </c>
      <c r="D208" t="s">
        <v>920</v>
      </c>
      <c r="F208" t="str">
        <f>"046500895X"</f>
        <v>046500895X</v>
      </c>
      <c r="G208" t="str">
        <f>"9780465008957"</f>
        <v>9780465008957</v>
      </c>
      <c r="H208">
        <v>0</v>
      </c>
      <c r="I208">
        <v>3.94</v>
      </c>
      <c r="J208" t="s">
        <v>129</v>
      </c>
      <c r="K208" t="s">
        <v>60</v>
      </c>
      <c r="L208">
        <v>544</v>
      </c>
      <c r="M208">
        <v>1997</v>
      </c>
      <c r="N208">
        <v>1998</v>
      </c>
      <c r="P208" s="1">
        <v>43927</v>
      </c>
      <c r="Q208" t="s">
        <v>36</v>
      </c>
      <c r="R208" t="s">
        <v>921</v>
      </c>
      <c r="S208" t="s">
        <v>36</v>
      </c>
      <c r="W208">
        <v>0</v>
      </c>
      <c r="Z208">
        <v>0</v>
      </c>
    </row>
    <row r="209" spans="1:26" x14ac:dyDescent="0.3">
      <c r="A209">
        <v>983034</v>
      </c>
      <c r="B209" t="s">
        <v>922</v>
      </c>
      <c r="C209" t="s">
        <v>923</v>
      </c>
      <c r="D209" t="s">
        <v>924</v>
      </c>
      <c r="F209" t="str">
        <f>"0521546184"</f>
        <v>0521546184</v>
      </c>
      <c r="G209" t="str">
        <f>"9780521546188"</f>
        <v>9780521546188</v>
      </c>
      <c r="H209">
        <v>0</v>
      </c>
      <c r="I209">
        <v>4</v>
      </c>
      <c r="J209" t="s">
        <v>261</v>
      </c>
      <c r="K209" t="s">
        <v>60</v>
      </c>
      <c r="L209">
        <v>368</v>
      </c>
      <c r="M209">
        <v>2004</v>
      </c>
      <c r="N209">
        <v>1986</v>
      </c>
      <c r="P209" s="1">
        <v>43927</v>
      </c>
      <c r="Q209" t="s">
        <v>36</v>
      </c>
      <c r="R209" t="s">
        <v>925</v>
      </c>
      <c r="S209" t="s">
        <v>36</v>
      </c>
      <c r="W209">
        <v>0</v>
      </c>
      <c r="Z209">
        <v>0</v>
      </c>
    </row>
    <row r="210" spans="1:26" x14ac:dyDescent="0.3">
      <c r="A210">
        <v>354038</v>
      </c>
      <c r="B210" t="s">
        <v>926</v>
      </c>
      <c r="C210" t="s">
        <v>927</v>
      </c>
      <c r="D210" t="s">
        <v>928</v>
      </c>
      <c r="F210" t="str">
        <f>"074326049X"</f>
        <v>074326049X</v>
      </c>
      <c r="G210" t="str">
        <f>"9780743260497"</f>
        <v>9780743260497</v>
      </c>
      <c r="H210">
        <v>0</v>
      </c>
      <c r="I210">
        <v>4.1500000000000004</v>
      </c>
      <c r="J210" t="s">
        <v>807</v>
      </c>
      <c r="K210" t="s">
        <v>35</v>
      </c>
      <c r="L210">
        <v>522</v>
      </c>
      <c r="M210">
        <v>2007</v>
      </c>
      <c r="N210">
        <v>2007</v>
      </c>
      <c r="P210" s="1">
        <v>43927</v>
      </c>
      <c r="Q210" t="s">
        <v>36</v>
      </c>
      <c r="R210" t="s">
        <v>929</v>
      </c>
      <c r="S210" t="s">
        <v>36</v>
      </c>
      <c r="W210">
        <v>0</v>
      </c>
      <c r="Z210">
        <v>0</v>
      </c>
    </row>
    <row r="211" spans="1:26" x14ac:dyDescent="0.3">
      <c r="A211">
        <v>174710</v>
      </c>
      <c r="B211" t="s">
        <v>930</v>
      </c>
      <c r="C211" t="s">
        <v>931</v>
      </c>
      <c r="D211" t="s">
        <v>932</v>
      </c>
      <c r="F211" t="str">
        <f>"0195176111"</f>
        <v>0195176111</v>
      </c>
      <c r="G211" t="str">
        <f>"9780195176117"</f>
        <v>9780195176117</v>
      </c>
      <c r="H211">
        <v>0</v>
      </c>
      <c r="I211">
        <v>3.88</v>
      </c>
      <c r="J211" t="s">
        <v>104</v>
      </c>
      <c r="K211" t="s">
        <v>60</v>
      </c>
      <c r="L211">
        <v>240</v>
      </c>
      <c r="M211">
        <v>2004</v>
      </c>
      <c r="N211">
        <v>2003</v>
      </c>
      <c r="P211" s="1">
        <v>43927</v>
      </c>
      <c r="Q211" t="s">
        <v>36</v>
      </c>
      <c r="R211" t="s">
        <v>933</v>
      </c>
      <c r="S211" t="s">
        <v>36</v>
      </c>
      <c r="W211">
        <v>0</v>
      </c>
      <c r="Z211">
        <v>0</v>
      </c>
    </row>
    <row r="212" spans="1:26" x14ac:dyDescent="0.3">
      <c r="A212">
        <v>17280002</v>
      </c>
      <c r="B212" t="s">
        <v>934</v>
      </c>
      <c r="C212" t="s">
        <v>935</v>
      </c>
      <c r="D212" t="s">
        <v>936</v>
      </c>
      <c r="F212" t="str">
        <f>""</f>
        <v/>
      </c>
      <c r="G212" t="str">
        <f>""</f>
        <v/>
      </c>
      <c r="H212">
        <v>0</v>
      </c>
      <c r="I212">
        <v>3.57</v>
      </c>
      <c r="J212" t="s">
        <v>884</v>
      </c>
      <c r="K212" t="s">
        <v>69</v>
      </c>
      <c r="L212">
        <v>608</v>
      </c>
      <c r="M212">
        <v>2011</v>
      </c>
      <c r="N212">
        <v>1999</v>
      </c>
      <c r="P212" s="1">
        <v>43926</v>
      </c>
      <c r="Q212" t="s">
        <v>150</v>
      </c>
      <c r="R212" t="s">
        <v>937</v>
      </c>
      <c r="S212" t="s">
        <v>150</v>
      </c>
      <c r="W212">
        <v>1</v>
      </c>
      <c r="Z212">
        <v>0</v>
      </c>
    </row>
    <row r="213" spans="1:26" x14ac:dyDescent="0.3">
      <c r="A213">
        <v>52884091</v>
      </c>
      <c r="B213" t="s">
        <v>938</v>
      </c>
      <c r="C213" t="s">
        <v>939</v>
      </c>
      <c r="D213" t="s">
        <v>940</v>
      </c>
      <c r="E213" t="s">
        <v>941</v>
      </c>
      <c r="F213" t="str">
        <f>""</f>
        <v/>
      </c>
      <c r="G213" t="str">
        <f>""</f>
        <v/>
      </c>
      <c r="H213">
        <v>0</v>
      </c>
      <c r="I213">
        <v>4.26</v>
      </c>
      <c r="J213" t="s">
        <v>740</v>
      </c>
      <c r="K213" t="s">
        <v>69</v>
      </c>
      <c r="L213">
        <v>560</v>
      </c>
      <c r="M213">
        <v>2019</v>
      </c>
      <c r="N213">
        <v>2019</v>
      </c>
      <c r="P213" s="1">
        <v>43877</v>
      </c>
      <c r="Q213" t="s">
        <v>36</v>
      </c>
      <c r="R213" t="s">
        <v>942</v>
      </c>
      <c r="S213" t="s">
        <v>36</v>
      </c>
      <c r="W213">
        <v>0</v>
      </c>
      <c r="Z213">
        <v>0</v>
      </c>
    </row>
    <row r="214" spans="1:26" x14ac:dyDescent="0.3">
      <c r="A214">
        <v>44525996</v>
      </c>
      <c r="B214" t="s">
        <v>943</v>
      </c>
      <c r="C214" t="s">
        <v>944</v>
      </c>
      <c r="D214" t="s">
        <v>945</v>
      </c>
      <c r="F214" t="str">
        <f>"0691172188"</f>
        <v>0691172188</v>
      </c>
      <c r="G214" t="str">
        <f>"9780691172187"</f>
        <v>9780691172187</v>
      </c>
      <c r="H214">
        <v>0</v>
      </c>
      <c r="I214">
        <v>4.07</v>
      </c>
      <c r="J214" t="s">
        <v>377</v>
      </c>
      <c r="K214" t="s">
        <v>35</v>
      </c>
      <c r="L214">
        <v>696</v>
      </c>
      <c r="M214">
        <v>2019</v>
      </c>
      <c r="P214" s="1">
        <v>43921</v>
      </c>
      <c r="Q214" t="s">
        <v>36</v>
      </c>
      <c r="R214" t="s">
        <v>946</v>
      </c>
      <c r="S214" t="s">
        <v>36</v>
      </c>
      <c r="W214">
        <v>0</v>
      </c>
      <c r="Z214">
        <v>0</v>
      </c>
    </row>
    <row r="215" spans="1:26" x14ac:dyDescent="0.3">
      <c r="A215">
        <v>798634</v>
      </c>
      <c r="B215" t="s">
        <v>947</v>
      </c>
      <c r="C215" t="s">
        <v>948</v>
      </c>
      <c r="D215" t="s">
        <v>949</v>
      </c>
      <c r="F215" t="str">
        <f>"0226905659"</f>
        <v>0226905659</v>
      </c>
      <c r="G215" t="str">
        <f>"9780226905655"</f>
        <v>9780226905655</v>
      </c>
      <c r="H215">
        <v>0</v>
      </c>
      <c r="I215">
        <v>3</v>
      </c>
      <c r="J215" t="s">
        <v>950</v>
      </c>
      <c r="K215" t="s">
        <v>35</v>
      </c>
      <c r="L215">
        <v>305</v>
      </c>
      <c r="M215">
        <v>1970</v>
      </c>
      <c r="N215">
        <v>1970</v>
      </c>
      <c r="P215" s="1">
        <v>43921</v>
      </c>
      <c r="Q215" t="s">
        <v>36</v>
      </c>
      <c r="R215" t="s">
        <v>951</v>
      </c>
      <c r="S215" t="s">
        <v>36</v>
      </c>
      <c r="W215">
        <v>0</v>
      </c>
      <c r="Z215">
        <v>0</v>
      </c>
    </row>
    <row r="216" spans="1:26" x14ac:dyDescent="0.3">
      <c r="A216">
        <v>52780817</v>
      </c>
      <c r="B216" t="s">
        <v>952</v>
      </c>
      <c r="C216" t="s">
        <v>379</v>
      </c>
      <c r="D216" t="s">
        <v>380</v>
      </c>
      <c r="F216" t="str">
        <f>"1784978701"</f>
        <v>1784978701</v>
      </c>
      <c r="G216" t="str">
        <f>"9781784978709"</f>
        <v>9781784978709</v>
      </c>
      <c r="H216">
        <v>0</v>
      </c>
      <c r="I216">
        <v>4.3099999999999996</v>
      </c>
      <c r="J216" t="s">
        <v>385</v>
      </c>
      <c r="K216" t="s">
        <v>35</v>
      </c>
      <c r="L216">
        <v>620</v>
      </c>
      <c r="M216">
        <v>2020</v>
      </c>
      <c r="N216">
        <v>2020</v>
      </c>
      <c r="P216" s="1">
        <v>43915</v>
      </c>
      <c r="Q216" t="s">
        <v>36</v>
      </c>
      <c r="R216" t="s">
        <v>953</v>
      </c>
      <c r="S216" t="s">
        <v>36</v>
      </c>
      <c r="W216">
        <v>0</v>
      </c>
      <c r="Z216">
        <v>0</v>
      </c>
    </row>
    <row r="217" spans="1:26" x14ac:dyDescent="0.3">
      <c r="A217">
        <v>720272</v>
      </c>
      <c r="B217" t="s">
        <v>954</v>
      </c>
      <c r="C217" t="s">
        <v>955</v>
      </c>
      <c r="D217" t="s">
        <v>956</v>
      </c>
      <c r="F217" t="str">
        <f>"0520083490"</f>
        <v>0520083490</v>
      </c>
      <c r="G217" t="str">
        <f>"9780520083493"</f>
        <v>9780520083493</v>
      </c>
      <c r="H217">
        <v>0</v>
      </c>
      <c r="I217">
        <v>4.3499999999999996</v>
      </c>
      <c r="J217" t="s">
        <v>579</v>
      </c>
      <c r="K217" t="s">
        <v>60</v>
      </c>
      <c r="L217">
        <v>970</v>
      </c>
      <c r="M217">
        <v>1993</v>
      </c>
      <c r="N217">
        <v>1990</v>
      </c>
      <c r="P217" s="1">
        <v>43918</v>
      </c>
      <c r="Q217" t="s">
        <v>36</v>
      </c>
      <c r="R217" t="s">
        <v>957</v>
      </c>
      <c r="S217" t="s">
        <v>36</v>
      </c>
      <c r="W217">
        <v>0</v>
      </c>
      <c r="Z217">
        <v>0</v>
      </c>
    </row>
    <row r="218" spans="1:26" x14ac:dyDescent="0.3">
      <c r="A218">
        <v>40524017</v>
      </c>
      <c r="B218" t="s">
        <v>958</v>
      </c>
      <c r="C218" t="s">
        <v>959</v>
      </c>
      <c r="D218" t="s">
        <v>960</v>
      </c>
      <c r="F218" t="str">
        <f>"145166883X"</f>
        <v>145166883X</v>
      </c>
      <c r="G218" t="str">
        <f>"9781451668834"</f>
        <v>9781451668834</v>
      </c>
      <c r="H218">
        <v>0</v>
      </c>
      <c r="I218">
        <v>3.94</v>
      </c>
      <c r="J218" t="s">
        <v>807</v>
      </c>
      <c r="K218" t="s">
        <v>35</v>
      </c>
      <c r="L218">
        <v>432</v>
      </c>
      <c r="M218">
        <v>2019</v>
      </c>
      <c r="N218">
        <v>2019</v>
      </c>
      <c r="P218" s="1">
        <v>43913</v>
      </c>
      <c r="Q218" t="s">
        <v>36</v>
      </c>
      <c r="R218" t="s">
        <v>961</v>
      </c>
      <c r="S218" t="s">
        <v>36</v>
      </c>
      <c r="W218">
        <v>0</v>
      </c>
      <c r="Z218">
        <v>0</v>
      </c>
    </row>
    <row r="219" spans="1:26" x14ac:dyDescent="0.3">
      <c r="A219">
        <v>34184069</v>
      </c>
      <c r="B219" t="s">
        <v>962</v>
      </c>
      <c r="C219" t="s">
        <v>963</v>
      </c>
      <c r="D219" t="s">
        <v>964</v>
      </c>
      <c r="F219" t="str">
        <f>"1610397215"</f>
        <v>1610397215</v>
      </c>
      <c r="G219" t="str">
        <f>"9781610397216"</f>
        <v>9781610397216</v>
      </c>
      <c r="H219">
        <v>0</v>
      </c>
      <c r="I219">
        <v>4.24</v>
      </c>
      <c r="J219" t="s">
        <v>487</v>
      </c>
      <c r="K219" t="s">
        <v>35</v>
      </c>
      <c r="L219">
        <v>327</v>
      </c>
      <c r="M219">
        <v>2017</v>
      </c>
      <c r="N219">
        <v>2017</v>
      </c>
      <c r="P219" s="1">
        <v>43913</v>
      </c>
      <c r="Q219" t="s">
        <v>36</v>
      </c>
      <c r="R219" t="s">
        <v>965</v>
      </c>
      <c r="S219" t="s">
        <v>36</v>
      </c>
      <c r="W219">
        <v>0</v>
      </c>
      <c r="Z219">
        <v>0</v>
      </c>
    </row>
    <row r="220" spans="1:26" x14ac:dyDescent="0.3">
      <c r="A220">
        <v>21944976</v>
      </c>
      <c r="B220" t="s">
        <v>966</v>
      </c>
      <c r="C220" t="s">
        <v>967</v>
      </c>
      <c r="D220" t="s">
        <v>968</v>
      </c>
      <c r="F220" t="str">
        <f>"0520283708"</f>
        <v>0520283708</v>
      </c>
      <c r="G220" t="str">
        <f>"9780520283701"</f>
        <v>9780520283701</v>
      </c>
      <c r="H220">
        <v>0</v>
      </c>
      <c r="I220">
        <v>4.04</v>
      </c>
      <c r="J220" t="s">
        <v>579</v>
      </c>
      <c r="K220" t="s">
        <v>35</v>
      </c>
      <c r="L220">
        <v>356</v>
      </c>
      <c r="M220">
        <v>2015</v>
      </c>
      <c r="N220">
        <v>2015</v>
      </c>
      <c r="P220" s="1">
        <v>43913</v>
      </c>
      <c r="Q220" t="s">
        <v>36</v>
      </c>
      <c r="R220" t="s">
        <v>969</v>
      </c>
      <c r="S220" t="s">
        <v>36</v>
      </c>
      <c r="W220">
        <v>0</v>
      </c>
      <c r="Z220">
        <v>0</v>
      </c>
    </row>
    <row r="221" spans="1:26" x14ac:dyDescent="0.3">
      <c r="A221">
        <v>39088591</v>
      </c>
      <c r="B221" t="s">
        <v>970</v>
      </c>
      <c r="C221" t="s">
        <v>967</v>
      </c>
      <c r="D221" t="s">
        <v>968</v>
      </c>
      <c r="F221" t="str">
        <f>"0465093817"</f>
        <v>0465093817</v>
      </c>
      <c r="G221" t="str">
        <f>"9780465093816"</f>
        <v>9780465093816</v>
      </c>
      <c r="H221">
        <v>0</v>
      </c>
      <c r="I221">
        <v>4.01</v>
      </c>
      <c r="J221" t="s">
        <v>129</v>
      </c>
      <c r="K221" t="s">
        <v>35</v>
      </c>
      <c r="L221">
        <v>336</v>
      </c>
      <c r="M221">
        <v>2018</v>
      </c>
      <c r="N221">
        <v>2018</v>
      </c>
      <c r="P221" s="1">
        <v>43442</v>
      </c>
      <c r="S221" t="s">
        <v>174</v>
      </c>
      <c r="W221">
        <v>1</v>
      </c>
      <c r="Z221">
        <v>0</v>
      </c>
    </row>
    <row r="222" spans="1:26" x14ac:dyDescent="0.3">
      <c r="A222">
        <v>24464397</v>
      </c>
      <c r="B222" t="s">
        <v>971</v>
      </c>
      <c r="C222" t="s">
        <v>972</v>
      </c>
      <c r="D222" t="s">
        <v>973</v>
      </c>
      <c r="F222" t="str">
        <f>"159803796X"</f>
        <v>159803796X</v>
      </c>
      <c r="G222" t="str">
        <f>""</f>
        <v/>
      </c>
      <c r="H222">
        <v>0</v>
      </c>
      <c r="I222">
        <v>4.1100000000000003</v>
      </c>
      <c r="J222" t="s">
        <v>974</v>
      </c>
      <c r="K222" t="s">
        <v>867</v>
      </c>
      <c r="L222">
        <v>25</v>
      </c>
      <c r="N222">
        <v>2011</v>
      </c>
      <c r="O222" s="1">
        <v>43912</v>
      </c>
      <c r="P222" s="1">
        <v>43906</v>
      </c>
      <c r="S222" t="s">
        <v>174</v>
      </c>
      <c r="W222">
        <v>1</v>
      </c>
      <c r="Z222">
        <v>0</v>
      </c>
    </row>
    <row r="223" spans="1:26" x14ac:dyDescent="0.3">
      <c r="A223">
        <v>28192242</v>
      </c>
      <c r="B223" t="s">
        <v>975</v>
      </c>
      <c r="C223" t="s">
        <v>976</v>
      </c>
      <c r="D223" t="s">
        <v>977</v>
      </c>
      <c r="F223" t="str">
        <f>"0190239034"</f>
        <v>0190239034</v>
      </c>
      <c r="G223" t="str">
        <f>"9780190239039"</f>
        <v>9780190239039</v>
      </c>
      <c r="H223">
        <v>5</v>
      </c>
      <c r="I223">
        <v>4.25</v>
      </c>
      <c r="J223" t="s">
        <v>104</v>
      </c>
      <c r="K223" t="s">
        <v>60</v>
      </c>
      <c r="L223">
        <v>336</v>
      </c>
      <c r="M223">
        <v>2016</v>
      </c>
      <c r="O223" s="1">
        <v>43906</v>
      </c>
      <c r="P223" s="1">
        <v>43906</v>
      </c>
      <c r="S223" t="s">
        <v>174</v>
      </c>
      <c r="W223">
        <v>1</v>
      </c>
      <c r="Z223">
        <v>0</v>
      </c>
    </row>
    <row r="224" spans="1:26" x14ac:dyDescent="0.3">
      <c r="A224">
        <v>973962</v>
      </c>
      <c r="B224" t="s">
        <v>978</v>
      </c>
      <c r="C224" t="s">
        <v>848</v>
      </c>
      <c r="D224" t="s">
        <v>849</v>
      </c>
      <c r="F224" t="str">
        <f>""</f>
        <v/>
      </c>
      <c r="G224" t="str">
        <f>"9780887845208"</f>
        <v>9780887845208</v>
      </c>
      <c r="H224">
        <v>0</v>
      </c>
      <c r="I224">
        <v>3.82</v>
      </c>
      <c r="J224" t="s">
        <v>979</v>
      </c>
      <c r="K224" t="s">
        <v>60</v>
      </c>
      <c r="L224">
        <v>128</v>
      </c>
      <c r="M224">
        <v>1991</v>
      </c>
      <c r="P224" s="1">
        <v>43608</v>
      </c>
      <c r="Q224" t="s">
        <v>36</v>
      </c>
      <c r="R224" t="s">
        <v>980</v>
      </c>
      <c r="S224" t="s">
        <v>36</v>
      </c>
      <c r="W224">
        <v>0</v>
      </c>
      <c r="Z224">
        <v>0</v>
      </c>
    </row>
    <row r="225" spans="1:26" x14ac:dyDescent="0.3">
      <c r="A225">
        <v>8211186</v>
      </c>
      <c r="B225" t="s">
        <v>981</v>
      </c>
      <c r="C225" t="s">
        <v>982</v>
      </c>
      <c r="D225" t="s">
        <v>983</v>
      </c>
      <c r="F225" t="str">
        <f>"0830838805"</f>
        <v>0830838805</v>
      </c>
      <c r="G225" t="str">
        <f>"9780830838806"</f>
        <v>9780830838806</v>
      </c>
      <c r="H225">
        <v>0</v>
      </c>
      <c r="I225">
        <v>3.89</v>
      </c>
      <c r="J225" t="s">
        <v>984</v>
      </c>
      <c r="K225" t="s">
        <v>60</v>
      </c>
      <c r="L225">
        <v>272</v>
      </c>
      <c r="M225">
        <v>2010</v>
      </c>
      <c r="N225">
        <v>2010</v>
      </c>
      <c r="P225" s="1">
        <v>43905</v>
      </c>
      <c r="Q225" t="s">
        <v>36</v>
      </c>
      <c r="R225" t="s">
        <v>985</v>
      </c>
      <c r="S225" t="s">
        <v>36</v>
      </c>
      <c r="W225">
        <v>0</v>
      </c>
      <c r="Z225">
        <v>0</v>
      </c>
    </row>
    <row r="226" spans="1:26" x14ac:dyDescent="0.3">
      <c r="A226">
        <v>9328314</v>
      </c>
      <c r="B226" t="s">
        <v>986</v>
      </c>
      <c r="C226" t="s">
        <v>987</v>
      </c>
      <c r="D226" t="s">
        <v>988</v>
      </c>
      <c r="F226" t="str">
        <f>"1594202710"</f>
        <v>1594202710</v>
      </c>
      <c r="G226" t="str">
        <f>"9781594202711"</f>
        <v>9781594202711</v>
      </c>
      <c r="H226">
        <v>0</v>
      </c>
      <c r="I226">
        <v>4.16</v>
      </c>
      <c r="J226" t="s">
        <v>989</v>
      </c>
      <c r="K226" t="s">
        <v>35</v>
      </c>
      <c r="L226">
        <v>608</v>
      </c>
      <c r="M226">
        <v>2011</v>
      </c>
      <c r="N226">
        <v>2011</v>
      </c>
      <c r="O226" s="1">
        <v>43899</v>
      </c>
      <c r="P226" s="1">
        <v>43649</v>
      </c>
      <c r="S226" t="s">
        <v>174</v>
      </c>
      <c r="W226">
        <v>1</v>
      </c>
      <c r="Z226">
        <v>0</v>
      </c>
    </row>
    <row r="227" spans="1:26" x14ac:dyDescent="0.3">
      <c r="A227">
        <v>41574290</v>
      </c>
      <c r="B227" t="s">
        <v>990</v>
      </c>
      <c r="C227" t="s">
        <v>991</v>
      </c>
      <c r="D227" t="s">
        <v>992</v>
      </c>
      <c r="F227" t="str">
        <f>""</f>
        <v/>
      </c>
      <c r="G227" t="str">
        <f>""</f>
        <v/>
      </c>
      <c r="H227">
        <v>0</v>
      </c>
      <c r="I227">
        <v>4.07</v>
      </c>
      <c r="J227" t="s">
        <v>993</v>
      </c>
      <c r="K227" t="s">
        <v>69</v>
      </c>
      <c r="L227">
        <v>168</v>
      </c>
      <c r="M227">
        <v>2018</v>
      </c>
      <c r="N227">
        <v>2011</v>
      </c>
      <c r="P227" s="1">
        <v>43900</v>
      </c>
      <c r="Q227" t="s">
        <v>150</v>
      </c>
      <c r="R227" t="s">
        <v>994</v>
      </c>
      <c r="S227" t="s">
        <v>150</v>
      </c>
      <c r="W227">
        <v>1</v>
      </c>
      <c r="Z227">
        <v>0</v>
      </c>
    </row>
    <row r="228" spans="1:26" x14ac:dyDescent="0.3">
      <c r="A228">
        <v>39340850</v>
      </c>
      <c r="B228" t="s">
        <v>995</v>
      </c>
      <c r="C228" t="s">
        <v>996</v>
      </c>
      <c r="D228" t="s">
        <v>997</v>
      </c>
      <c r="F228" t="str">
        <f>""</f>
        <v/>
      </c>
      <c r="G228" t="str">
        <f>""</f>
        <v/>
      </c>
      <c r="H228">
        <v>0</v>
      </c>
      <c r="I228">
        <v>3.91</v>
      </c>
      <c r="J228" t="s">
        <v>756</v>
      </c>
      <c r="K228" t="s">
        <v>69</v>
      </c>
      <c r="L228">
        <v>359</v>
      </c>
      <c r="M228">
        <v>2018</v>
      </c>
      <c r="N228">
        <v>2018</v>
      </c>
      <c r="P228" s="1">
        <v>43898</v>
      </c>
      <c r="Q228" t="s">
        <v>36</v>
      </c>
      <c r="R228" t="s">
        <v>998</v>
      </c>
      <c r="S228" t="s">
        <v>36</v>
      </c>
      <c r="W228">
        <v>0</v>
      </c>
      <c r="Z228">
        <v>0</v>
      </c>
    </row>
    <row r="229" spans="1:26" x14ac:dyDescent="0.3">
      <c r="A229">
        <v>15826600</v>
      </c>
      <c r="B229" t="s">
        <v>999</v>
      </c>
      <c r="C229" t="s">
        <v>1000</v>
      </c>
      <c r="D229" t="s">
        <v>1001</v>
      </c>
      <c r="E229" t="s">
        <v>1002</v>
      </c>
      <c r="F229" t="str">
        <f>"1455545333"</f>
        <v>1455545333</v>
      </c>
      <c r="G229" t="str">
        <f>"9781455545339"</f>
        <v>9781455545339</v>
      </c>
      <c r="H229">
        <v>0</v>
      </c>
      <c r="I229">
        <v>3.75</v>
      </c>
      <c r="J229" t="s">
        <v>1003</v>
      </c>
      <c r="K229" t="s">
        <v>35</v>
      </c>
      <c r="L229">
        <v>688</v>
      </c>
      <c r="M229">
        <v>2015</v>
      </c>
      <c r="N229">
        <v>2014</v>
      </c>
      <c r="P229" s="1">
        <v>43898</v>
      </c>
      <c r="Q229" t="s">
        <v>36</v>
      </c>
      <c r="R229" t="s">
        <v>1004</v>
      </c>
      <c r="S229" t="s">
        <v>36</v>
      </c>
      <c r="W229">
        <v>0</v>
      </c>
      <c r="Z229">
        <v>0</v>
      </c>
    </row>
    <row r="230" spans="1:26" x14ac:dyDescent="0.3">
      <c r="A230">
        <v>235566</v>
      </c>
      <c r="B230" t="s">
        <v>1005</v>
      </c>
      <c r="C230" t="s">
        <v>1006</v>
      </c>
      <c r="D230" t="s">
        <v>1007</v>
      </c>
      <c r="E230" t="s">
        <v>1008</v>
      </c>
      <c r="F230" t="str">
        <f>"0962771309"</f>
        <v>0962771309</v>
      </c>
      <c r="G230" t="str">
        <f>"9780962771309"</f>
        <v>9780962771309</v>
      </c>
      <c r="H230">
        <v>0</v>
      </c>
      <c r="I230">
        <v>3.51</v>
      </c>
      <c r="J230" t="s">
        <v>1009</v>
      </c>
      <c r="K230" t="s">
        <v>60</v>
      </c>
      <c r="L230">
        <v>464</v>
      </c>
      <c r="M230">
        <v>1991</v>
      </c>
      <c r="P230" s="1">
        <v>43898</v>
      </c>
      <c r="Q230" t="s">
        <v>36</v>
      </c>
      <c r="R230" t="s">
        <v>1010</v>
      </c>
      <c r="S230" t="s">
        <v>36</v>
      </c>
      <c r="W230">
        <v>0</v>
      </c>
      <c r="Z230">
        <v>0</v>
      </c>
    </row>
    <row r="231" spans="1:26" x14ac:dyDescent="0.3">
      <c r="A231">
        <v>39433</v>
      </c>
      <c r="B231" t="s">
        <v>1011</v>
      </c>
      <c r="C231" t="s">
        <v>1012</v>
      </c>
      <c r="D231" t="s">
        <v>1013</v>
      </c>
      <c r="F231" t="str">
        <f>"0393327027"</f>
        <v>0393327027</v>
      </c>
      <c r="G231" t="str">
        <f>"9780393327021"</f>
        <v>9780393327021</v>
      </c>
      <c r="H231">
        <v>0</v>
      </c>
      <c r="I231">
        <v>3.79</v>
      </c>
      <c r="J231" t="s">
        <v>144</v>
      </c>
      <c r="K231" t="s">
        <v>60</v>
      </c>
      <c r="L231">
        <v>544</v>
      </c>
      <c r="M231">
        <v>2005</v>
      </c>
      <c r="N231">
        <v>1997</v>
      </c>
      <c r="P231" s="1">
        <v>43890</v>
      </c>
      <c r="Q231" t="s">
        <v>36</v>
      </c>
      <c r="R231" t="s">
        <v>1014</v>
      </c>
      <c r="S231" t="s">
        <v>36</v>
      </c>
      <c r="W231">
        <v>0</v>
      </c>
      <c r="Z231">
        <v>0</v>
      </c>
    </row>
    <row r="232" spans="1:26" x14ac:dyDescent="0.3">
      <c r="A232">
        <v>18465509</v>
      </c>
      <c r="B232" t="s">
        <v>1015</v>
      </c>
      <c r="C232" t="s">
        <v>1016</v>
      </c>
      <c r="D232" t="s">
        <v>1017</v>
      </c>
      <c r="F232" t="str">
        <f>"1250045118"</f>
        <v>1250045118</v>
      </c>
      <c r="G232" t="str">
        <f>"9781250045119"</f>
        <v>9781250045119</v>
      </c>
      <c r="H232">
        <v>0</v>
      </c>
      <c r="I232">
        <v>3.82</v>
      </c>
      <c r="J232" t="s">
        <v>252</v>
      </c>
      <c r="K232" t="s">
        <v>60</v>
      </c>
      <c r="L232">
        <v>288</v>
      </c>
      <c r="M232">
        <v>2014</v>
      </c>
      <c r="N232">
        <v>2014</v>
      </c>
      <c r="P232" s="1">
        <v>43890</v>
      </c>
      <c r="Q232" t="s">
        <v>36</v>
      </c>
      <c r="R232" t="s">
        <v>1018</v>
      </c>
      <c r="S232" t="s">
        <v>36</v>
      </c>
      <c r="W232">
        <v>0</v>
      </c>
      <c r="Z232">
        <v>0</v>
      </c>
    </row>
    <row r="233" spans="1:26" x14ac:dyDescent="0.3">
      <c r="A233">
        <v>13436287</v>
      </c>
      <c r="B233" t="s">
        <v>1019</v>
      </c>
      <c r="C233" t="s">
        <v>1020</v>
      </c>
      <c r="D233" t="s">
        <v>1021</v>
      </c>
      <c r="F233" t="str">
        <f>"0804842523"</f>
        <v>0804842523</v>
      </c>
      <c r="G233" t="str">
        <f>"9780804842525"</f>
        <v>9780804842525</v>
      </c>
      <c r="H233">
        <v>0</v>
      </c>
      <c r="I233">
        <v>4.0999999999999996</v>
      </c>
      <c r="J233" t="s">
        <v>607</v>
      </c>
      <c r="K233" t="s">
        <v>35</v>
      </c>
      <c r="L233">
        <v>312</v>
      </c>
      <c r="M233">
        <v>2012</v>
      </c>
      <c r="N233">
        <v>2012</v>
      </c>
      <c r="P233" s="1">
        <v>43890</v>
      </c>
      <c r="Q233" t="s">
        <v>36</v>
      </c>
      <c r="R233" t="s">
        <v>1022</v>
      </c>
      <c r="S233" t="s">
        <v>36</v>
      </c>
      <c r="W233">
        <v>0</v>
      </c>
      <c r="Z233">
        <v>0</v>
      </c>
    </row>
    <row r="234" spans="1:26" x14ac:dyDescent="0.3">
      <c r="A234">
        <v>7448408</v>
      </c>
      <c r="B234" t="s">
        <v>1023</v>
      </c>
      <c r="C234" t="s">
        <v>1024</v>
      </c>
      <c r="D234" t="s">
        <v>1025</v>
      </c>
      <c r="E234" t="s">
        <v>1026</v>
      </c>
      <c r="F234" t="str">
        <f>"0195373138"</f>
        <v>0195373138</v>
      </c>
      <c r="G234" t="str">
        <f>"9780195373134"</f>
        <v>9780195373134</v>
      </c>
      <c r="H234">
        <v>0</v>
      </c>
      <c r="I234">
        <v>4.2699999999999996</v>
      </c>
      <c r="J234" t="s">
        <v>104</v>
      </c>
      <c r="K234" t="s">
        <v>60</v>
      </c>
      <c r="L234">
        <v>302</v>
      </c>
      <c r="M234">
        <v>2010</v>
      </c>
      <c r="N234">
        <v>2010</v>
      </c>
      <c r="P234" s="1">
        <v>43883</v>
      </c>
      <c r="Q234" t="s">
        <v>36</v>
      </c>
      <c r="R234" t="s">
        <v>1027</v>
      </c>
      <c r="S234" t="s">
        <v>36</v>
      </c>
      <c r="W234">
        <v>0</v>
      </c>
      <c r="Z234">
        <v>0</v>
      </c>
    </row>
    <row r="235" spans="1:26" x14ac:dyDescent="0.3">
      <c r="A235">
        <v>45553638</v>
      </c>
      <c r="B235" t="s">
        <v>1028</v>
      </c>
      <c r="C235" t="s">
        <v>1029</v>
      </c>
      <c r="D235" t="s">
        <v>1030</v>
      </c>
      <c r="E235" t="s">
        <v>1031</v>
      </c>
      <c r="F235" t="str">
        <f>"0525655085"</f>
        <v>0525655085</v>
      </c>
      <c r="G235" t="str">
        <f>"9780525655084"</f>
        <v>9780525655084</v>
      </c>
      <c r="H235">
        <v>0</v>
      </c>
      <c r="I235">
        <v>4.3099999999999996</v>
      </c>
      <c r="J235" t="s">
        <v>1032</v>
      </c>
      <c r="K235" t="s">
        <v>35</v>
      </c>
      <c r="L235">
        <v>304</v>
      </c>
      <c r="M235">
        <v>2020</v>
      </c>
      <c r="N235">
        <v>2020</v>
      </c>
      <c r="P235" s="1">
        <v>43877</v>
      </c>
      <c r="Q235" t="s">
        <v>36</v>
      </c>
      <c r="R235" t="s">
        <v>1033</v>
      </c>
      <c r="S235" t="s">
        <v>36</v>
      </c>
      <c r="W235">
        <v>0</v>
      </c>
      <c r="Z235">
        <v>0</v>
      </c>
    </row>
    <row r="236" spans="1:26" x14ac:dyDescent="0.3">
      <c r="A236">
        <v>49114605</v>
      </c>
      <c r="B236" t="s">
        <v>1034</v>
      </c>
      <c r="C236" t="s">
        <v>1035</v>
      </c>
      <c r="D236" t="s">
        <v>1036</v>
      </c>
      <c r="F236" t="str">
        <f>"0578227347"</f>
        <v>0578227347</v>
      </c>
      <c r="G236" t="str">
        <f>"9780578227344"</f>
        <v>9780578227344</v>
      </c>
      <c r="H236">
        <v>0</v>
      </c>
      <c r="I236">
        <v>4.3499999999999996</v>
      </c>
      <c r="J236" t="s">
        <v>1037</v>
      </c>
      <c r="K236" t="s">
        <v>60</v>
      </c>
      <c r="L236">
        <v>150</v>
      </c>
      <c r="M236">
        <v>2019</v>
      </c>
      <c r="N236">
        <v>2019</v>
      </c>
      <c r="P236" s="1">
        <v>43877</v>
      </c>
      <c r="Q236" t="s">
        <v>36</v>
      </c>
      <c r="R236" t="s">
        <v>1038</v>
      </c>
      <c r="S236" t="s">
        <v>36</v>
      </c>
      <c r="W236">
        <v>0</v>
      </c>
      <c r="Z236">
        <v>0</v>
      </c>
    </row>
    <row r="237" spans="1:26" x14ac:dyDescent="0.3">
      <c r="A237">
        <v>35060383</v>
      </c>
      <c r="B237" t="s">
        <v>1039</v>
      </c>
      <c r="C237" t="s">
        <v>931</v>
      </c>
      <c r="D237" t="s">
        <v>932</v>
      </c>
      <c r="F237" t="str">
        <f>"0062427261"</f>
        <v>0062427261</v>
      </c>
      <c r="G237" t="str">
        <f>"9780062427267"</f>
        <v>9780062427267</v>
      </c>
      <c r="H237">
        <v>0</v>
      </c>
      <c r="I237">
        <v>3.63</v>
      </c>
      <c r="J237" t="s">
        <v>1040</v>
      </c>
      <c r="K237" t="s">
        <v>35</v>
      </c>
      <c r="L237">
        <v>560</v>
      </c>
      <c r="M237">
        <v>2018</v>
      </c>
      <c r="N237">
        <v>2018</v>
      </c>
      <c r="P237" s="1">
        <v>43877</v>
      </c>
      <c r="Q237" t="s">
        <v>36</v>
      </c>
      <c r="R237" t="s">
        <v>1041</v>
      </c>
      <c r="S237" t="s">
        <v>36</v>
      </c>
      <c r="W237">
        <v>0</v>
      </c>
      <c r="Z237">
        <v>0</v>
      </c>
    </row>
    <row r="238" spans="1:26" x14ac:dyDescent="0.3">
      <c r="A238">
        <v>42068943</v>
      </c>
      <c r="B238" t="s">
        <v>1042</v>
      </c>
      <c r="C238" t="s">
        <v>1043</v>
      </c>
      <c r="D238" t="s">
        <v>1044</v>
      </c>
      <c r="F238" t="str">
        <f>"0262537338"</f>
        <v>0262537338</v>
      </c>
      <c r="G238" t="str">
        <f>"9780262537339"</f>
        <v>9780262537339</v>
      </c>
      <c r="H238">
        <v>0</v>
      </c>
      <c r="I238">
        <v>3.6</v>
      </c>
      <c r="J238" t="s">
        <v>1045</v>
      </c>
      <c r="K238" t="s">
        <v>60</v>
      </c>
      <c r="L238">
        <v>96</v>
      </c>
      <c r="M238">
        <v>2019</v>
      </c>
      <c r="N238">
        <v>2019</v>
      </c>
      <c r="P238" s="1">
        <v>43877</v>
      </c>
      <c r="Q238" t="s">
        <v>36</v>
      </c>
      <c r="R238" t="s">
        <v>1046</v>
      </c>
      <c r="S238" t="s">
        <v>36</v>
      </c>
      <c r="W238">
        <v>0</v>
      </c>
      <c r="Z238">
        <v>0</v>
      </c>
    </row>
    <row r="239" spans="1:26" x14ac:dyDescent="0.3">
      <c r="A239">
        <v>1161404</v>
      </c>
      <c r="B239" t="s">
        <v>1047</v>
      </c>
      <c r="C239" t="s">
        <v>1043</v>
      </c>
      <c r="D239" t="s">
        <v>1044</v>
      </c>
      <c r="F239" t="str">
        <f>"0226136817"</f>
        <v>0226136817</v>
      </c>
      <c r="G239" t="str">
        <f>"9780226136813"</f>
        <v>9780226136813</v>
      </c>
      <c r="H239">
        <v>0</v>
      </c>
      <c r="I239">
        <v>3.33</v>
      </c>
      <c r="J239" t="s">
        <v>950</v>
      </c>
      <c r="K239" t="s">
        <v>60</v>
      </c>
      <c r="L239">
        <v>526</v>
      </c>
      <c r="M239">
        <v>2003</v>
      </c>
      <c r="N239">
        <v>2003</v>
      </c>
      <c r="P239" s="1">
        <v>43877</v>
      </c>
      <c r="Q239" t="s">
        <v>36</v>
      </c>
      <c r="R239" t="s">
        <v>1048</v>
      </c>
      <c r="S239" t="s">
        <v>36</v>
      </c>
      <c r="W239">
        <v>0</v>
      </c>
      <c r="Z239">
        <v>0</v>
      </c>
    </row>
    <row r="240" spans="1:26" x14ac:dyDescent="0.3">
      <c r="A240">
        <v>37941732</v>
      </c>
      <c r="B240" t="s">
        <v>1049</v>
      </c>
      <c r="C240" t="s">
        <v>1050</v>
      </c>
      <c r="D240" t="s">
        <v>1051</v>
      </c>
      <c r="F240" t="str">
        <f>"0374170010"</f>
        <v>0374170010</v>
      </c>
      <c r="G240" t="str">
        <f>"9780374170011"</f>
        <v>9780374170011</v>
      </c>
      <c r="H240">
        <v>0</v>
      </c>
      <c r="I240">
        <v>3.72</v>
      </c>
      <c r="J240" t="s">
        <v>351</v>
      </c>
      <c r="K240" t="s">
        <v>35</v>
      </c>
      <c r="L240">
        <v>272</v>
      </c>
      <c r="M240">
        <v>2018</v>
      </c>
      <c r="N240">
        <v>2018</v>
      </c>
      <c r="P240" s="1">
        <v>43877</v>
      </c>
      <c r="Q240" t="s">
        <v>36</v>
      </c>
      <c r="R240" t="s">
        <v>1052</v>
      </c>
      <c r="S240" t="s">
        <v>36</v>
      </c>
      <c r="W240">
        <v>0</v>
      </c>
      <c r="Z240">
        <v>0</v>
      </c>
    </row>
    <row r="241" spans="1:26" x14ac:dyDescent="0.3">
      <c r="A241">
        <v>43889703</v>
      </c>
      <c r="B241" t="s">
        <v>1053</v>
      </c>
      <c r="C241" t="s">
        <v>1054</v>
      </c>
      <c r="D241" t="s">
        <v>1055</v>
      </c>
      <c r="F241" t="str">
        <f>"0241309727"</f>
        <v>0241309727</v>
      </c>
      <c r="G241" t="str">
        <f>"9780241309728"</f>
        <v>9780241309728</v>
      </c>
      <c r="H241">
        <v>0</v>
      </c>
      <c r="I241">
        <v>4.07</v>
      </c>
      <c r="J241" t="s">
        <v>1056</v>
      </c>
      <c r="K241" t="s">
        <v>60</v>
      </c>
      <c r="L241">
        <v>359</v>
      </c>
      <c r="M241">
        <v>2019</v>
      </c>
      <c r="N241">
        <v>2019</v>
      </c>
      <c r="P241" s="1">
        <v>43877</v>
      </c>
      <c r="Q241" t="s">
        <v>36</v>
      </c>
      <c r="R241" t="s">
        <v>1057</v>
      </c>
      <c r="S241" t="s">
        <v>36</v>
      </c>
      <c r="W241">
        <v>0</v>
      </c>
      <c r="Z241">
        <v>0</v>
      </c>
    </row>
    <row r="242" spans="1:26" x14ac:dyDescent="0.3">
      <c r="A242">
        <v>45894166</v>
      </c>
      <c r="B242" t="s">
        <v>1058</v>
      </c>
      <c r="C242" t="s">
        <v>1059</v>
      </c>
      <c r="D242" t="s">
        <v>1060</v>
      </c>
      <c r="E242" t="s">
        <v>1061</v>
      </c>
      <c r="F242" t="str">
        <f>"1324002727"</f>
        <v>1324002727</v>
      </c>
      <c r="G242" t="str">
        <f>"9781324002727"</f>
        <v>9781324002727</v>
      </c>
      <c r="H242">
        <v>0</v>
      </c>
      <c r="I242">
        <v>4.3600000000000003</v>
      </c>
      <c r="J242" t="s">
        <v>144</v>
      </c>
      <c r="K242" t="s">
        <v>35</v>
      </c>
      <c r="L242">
        <v>232</v>
      </c>
      <c r="M242">
        <v>2019</v>
      </c>
      <c r="N242">
        <v>2019</v>
      </c>
      <c r="P242" s="1">
        <v>43877</v>
      </c>
      <c r="Q242" t="s">
        <v>36</v>
      </c>
      <c r="R242" t="s">
        <v>1062</v>
      </c>
      <c r="S242" t="s">
        <v>36</v>
      </c>
      <c r="W242">
        <v>0</v>
      </c>
      <c r="Z242">
        <v>0</v>
      </c>
    </row>
    <row r="243" spans="1:26" x14ac:dyDescent="0.3">
      <c r="A243">
        <v>42972023</v>
      </c>
      <c r="B243" t="s">
        <v>1063</v>
      </c>
      <c r="C243" t="s">
        <v>1064</v>
      </c>
      <c r="D243" t="s">
        <v>1065</v>
      </c>
      <c r="F243" t="str">
        <f>"1635573955"</f>
        <v>1635573955</v>
      </c>
      <c r="G243" t="str">
        <f>"9781635573954"</f>
        <v>9781635573954</v>
      </c>
      <c r="H243">
        <v>0</v>
      </c>
      <c r="I243">
        <v>4.1500000000000004</v>
      </c>
      <c r="J243" t="s">
        <v>1066</v>
      </c>
      <c r="K243" t="s">
        <v>35</v>
      </c>
      <c r="L243">
        <v>544</v>
      </c>
      <c r="M243">
        <v>2019</v>
      </c>
      <c r="N243">
        <v>2019</v>
      </c>
      <c r="P243" s="1">
        <v>43877</v>
      </c>
      <c r="Q243" t="s">
        <v>36</v>
      </c>
      <c r="R243" t="s">
        <v>1067</v>
      </c>
      <c r="S243" t="s">
        <v>36</v>
      </c>
      <c r="W243">
        <v>0</v>
      </c>
      <c r="Z243">
        <v>0</v>
      </c>
    </row>
    <row r="244" spans="1:26" x14ac:dyDescent="0.3">
      <c r="A244">
        <v>40630</v>
      </c>
      <c r="B244" t="s">
        <v>1068</v>
      </c>
      <c r="C244" t="s">
        <v>1069</v>
      </c>
      <c r="D244" t="s">
        <v>1070</v>
      </c>
      <c r="E244" t="s">
        <v>1071</v>
      </c>
      <c r="F244" t="str">
        <f>"0882580965"</f>
        <v>0882580965</v>
      </c>
      <c r="G244" t="str">
        <f>"9780882580968"</f>
        <v>9780882580968</v>
      </c>
      <c r="H244">
        <v>0</v>
      </c>
      <c r="I244">
        <v>4.32</v>
      </c>
      <c r="J244" t="s">
        <v>1072</v>
      </c>
      <c r="K244" t="s">
        <v>60</v>
      </c>
      <c r="L244">
        <v>312</v>
      </c>
      <c r="M244">
        <v>1981</v>
      </c>
      <c r="N244">
        <v>1971</v>
      </c>
      <c r="P244" s="1">
        <v>43877</v>
      </c>
      <c r="Q244" t="s">
        <v>36</v>
      </c>
      <c r="R244" t="s">
        <v>1073</v>
      </c>
      <c r="S244" t="s">
        <v>36</v>
      </c>
      <c r="W244">
        <v>0</v>
      </c>
      <c r="Z244">
        <v>0</v>
      </c>
    </row>
    <row r="245" spans="1:26" x14ac:dyDescent="0.3">
      <c r="A245">
        <v>43985059</v>
      </c>
      <c r="B245" t="s">
        <v>1074</v>
      </c>
      <c r="C245" t="s">
        <v>1075</v>
      </c>
      <c r="D245" t="s">
        <v>1076</v>
      </c>
      <c r="F245" t="str">
        <f>"0815737718"</f>
        <v>0815737718</v>
      </c>
      <c r="G245" t="str">
        <f>"9780815737711"</f>
        <v>9780815737711</v>
      </c>
      <c r="H245">
        <v>0</v>
      </c>
      <c r="I245">
        <v>4.58</v>
      </c>
      <c r="J245" t="s">
        <v>1077</v>
      </c>
      <c r="K245" t="s">
        <v>60</v>
      </c>
      <c r="L245">
        <v>380</v>
      </c>
      <c r="M245">
        <v>2020</v>
      </c>
      <c r="P245" s="1">
        <v>43876</v>
      </c>
      <c r="Q245" t="s">
        <v>36</v>
      </c>
      <c r="R245" t="s">
        <v>1078</v>
      </c>
      <c r="S245" t="s">
        <v>36</v>
      </c>
      <c r="W245">
        <v>0</v>
      </c>
      <c r="Z245">
        <v>0</v>
      </c>
    </row>
    <row r="246" spans="1:26" x14ac:dyDescent="0.3">
      <c r="A246">
        <v>62698</v>
      </c>
      <c r="B246" t="s">
        <v>1079</v>
      </c>
      <c r="C246" t="s">
        <v>1080</v>
      </c>
      <c r="D246" t="s">
        <v>1081</v>
      </c>
      <c r="F246" t="str">
        <f>"0745315305"</f>
        <v>0745315305</v>
      </c>
      <c r="G246" t="str">
        <f>"9780745315300"</f>
        <v>9780745315300</v>
      </c>
      <c r="H246">
        <v>0</v>
      </c>
      <c r="I246">
        <v>4.1500000000000004</v>
      </c>
      <c r="J246" t="s">
        <v>1082</v>
      </c>
      <c r="K246" t="s">
        <v>60</v>
      </c>
      <c r="L246">
        <v>578</v>
      </c>
      <c r="M246">
        <v>1999</v>
      </c>
      <c r="N246">
        <v>1982</v>
      </c>
      <c r="P246" s="1">
        <v>43876</v>
      </c>
      <c r="Q246" t="s">
        <v>36</v>
      </c>
      <c r="R246" t="s">
        <v>1083</v>
      </c>
      <c r="S246" t="s">
        <v>36</v>
      </c>
      <c r="W246">
        <v>0</v>
      </c>
      <c r="Z246">
        <v>0</v>
      </c>
    </row>
    <row r="247" spans="1:26" x14ac:dyDescent="0.3">
      <c r="A247">
        <v>23363252</v>
      </c>
      <c r="B247" t="s">
        <v>1084</v>
      </c>
      <c r="C247" t="s">
        <v>1085</v>
      </c>
      <c r="D247" t="s">
        <v>1086</v>
      </c>
      <c r="F247" t="str">
        <f>"0253016010"</f>
        <v>0253016010</v>
      </c>
      <c r="G247" t="str">
        <f>"9780253016010"</f>
        <v>9780253016010</v>
      </c>
      <c r="H247">
        <v>0</v>
      </c>
      <c r="I247">
        <v>3.33</v>
      </c>
      <c r="J247" t="s">
        <v>1087</v>
      </c>
      <c r="K247" t="s">
        <v>60</v>
      </c>
      <c r="L247">
        <v>312</v>
      </c>
      <c r="M247">
        <v>2015</v>
      </c>
      <c r="N247">
        <v>2015</v>
      </c>
      <c r="P247" s="1">
        <v>43876</v>
      </c>
      <c r="Q247" t="s">
        <v>36</v>
      </c>
      <c r="R247" t="s">
        <v>1088</v>
      </c>
      <c r="S247" t="s">
        <v>36</v>
      </c>
      <c r="W247">
        <v>0</v>
      </c>
      <c r="Z247">
        <v>0</v>
      </c>
    </row>
    <row r="248" spans="1:26" x14ac:dyDescent="0.3">
      <c r="A248">
        <v>278553</v>
      </c>
      <c r="B248" t="s">
        <v>1089</v>
      </c>
      <c r="C248" t="s">
        <v>1090</v>
      </c>
      <c r="D248" t="s">
        <v>1091</v>
      </c>
      <c r="F248" t="str">
        <f>"067400423X"</f>
        <v>067400423X</v>
      </c>
      <c r="G248" t="str">
        <f>"9780674004238"</f>
        <v>9780674004238</v>
      </c>
      <c r="H248">
        <v>0</v>
      </c>
      <c r="I248">
        <v>3.82</v>
      </c>
      <c r="J248" t="s">
        <v>1092</v>
      </c>
      <c r="K248" t="s">
        <v>60</v>
      </c>
      <c r="L248">
        <v>432</v>
      </c>
      <c r="M248">
        <v>2000</v>
      </c>
      <c r="N248">
        <v>1999</v>
      </c>
      <c r="P248" s="1">
        <v>43875</v>
      </c>
      <c r="Q248" t="s">
        <v>36</v>
      </c>
      <c r="R248" t="s">
        <v>1093</v>
      </c>
      <c r="S248" t="s">
        <v>36</v>
      </c>
      <c r="W248">
        <v>0</v>
      </c>
      <c r="Z248">
        <v>0</v>
      </c>
    </row>
    <row r="249" spans="1:26" x14ac:dyDescent="0.3">
      <c r="A249">
        <v>51014619</v>
      </c>
      <c r="B249" t="s">
        <v>1094</v>
      </c>
      <c r="C249" t="s">
        <v>1095</v>
      </c>
      <c r="D249" t="s">
        <v>1096</v>
      </c>
      <c r="E249" t="s">
        <v>1097</v>
      </c>
      <c r="F249" t="str">
        <f>""</f>
        <v/>
      </c>
      <c r="G249" t="str">
        <f>""</f>
        <v/>
      </c>
      <c r="H249">
        <v>0</v>
      </c>
      <c r="I249">
        <v>4.29</v>
      </c>
      <c r="J249" t="s">
        <v>487</v>
      </c>
      <c r="K249" t="s">
        <v>69</v>
      </c>
      <c r="L249">
        <v>417</v>
      </c>
      <c r="M249">
        <v>2019</v>
      </c>
      <c r="N249">
        <v>2019</v>
      </c>
      <c r="P249" s="1">
        <v>43834</v>
      </c>
      <c r="S249" t="s">
        <v>174</v>
      </c>
      <c r="W249">
        <v>1</v>
      </c>
      <c r="Z249">
        <v>0</v>
      </c>
    </row>
    <row r="250" spans="1:26" x14ac:dyDescent="0.3">
      <c r="A250">
        <v>12953304</v>
      </c>
      <c r="B250" t="s">
        <v>1098</v>
      </c>
      <c r="C250" t="s">
        <v>1099</v>
      </c>
      <c r="D250" t="s">
        <v>1100</v>
      </c>
      <c r="F250" t="str">
        <f>"0393080269"</f>
        <v>0393080269</v>
      </c>
      <c r="G250" t="str">
        <f>"9780393080261"</f>
        <v>9780393080261</v>
      </c>
      <c r="H250">
        <v>0</v>
      </c>
      <c r="I250">
        <v>4.05</v>
      </c>
      <c r="J250" t="s">
        <v>144</v>
      </c>
      <c r="K250" t="s">
        <v>35</v>
      </c>
      <c r="L250">
        <v>304</v>
      </c>
      <c r="M250">
        <v>2012</v>
      </c>
      <c r="N250">
        <v>2012</v>
      </c>
      <c r="P250" s="1">
        <v>43864</v>
      </c>
      <c r="Q250" t="s">
        <v>36</v>
      </c>
      <c r="R250" t="s">
        <v>1101</v>
      </c>
      <c r="S250" t="s">
        <v>36</v>
      </c>
      <c r="W250">
        <v>0</v>
      </c>
      <c r="Z250">
        <v>0</v>
      </c>
    </row>
    <row r="251" spans="1:26" x14ac:dyDescent="0.3">
      <c r="A251">
        <v>15442141</v>
      </c>
      <c r="B251" t="s">
        <v>1102</v>
      </c>
      <c r="C251" t="s">
        <v>255</v>
      </c>
      <c r="D251" t="s">
        <v>256</v>
      </c>
      <c r="F251" t="str">
        <f>"1400818370"</f>
        <v>1400818370</v>
      </c>
      <c r="G251" t="str">
        <f>"9781400818372"</f>
        <v>9781400818372</v>
      </c>
      <c r="H251">
        <v>0</v>
      </c>
      <c r="I251">
        <v>4</v>
      </c>
      <c r="J251" t="s">
        <v>377</v>
      </c>
      <c r="K251" t="s">
        <v>858</v>
      </c>
      <c r="M251">
        <v>1994</v>
      </c>
      <c r="N251">
        <v>1994</v>
      </c>
      <c r="P251" s="1">
        <v>43857</v>
      </c>
      <c r="Q251" t="s">
        <v>36</v>
      </c>
      <c r="R251" t="s">
        <v>1103</v>
      </c>
      <c r="S251" t="s">
        <v>36</v>
      </c>
      <c r="W251">
        <v>0</v>
      </c>
      <c r="Z251">
        <v>0</v>
      </c>
    </row>
    <row r="252" spans="1:26" x14ac:dyDescent="0.3">
      <c r="A252">
        <v>7887141</v>
      </c>
      <c r="B252" t="s">
        <v>1104</v>
      </c>
      <c r="C252" t="s">
        <v>1105</v>
      </c>
      <c r="D252" t="s">
        <v>1106</v>
      </c>
      <c r="E252" t="s">
        <v>1107</v>
      </c>
      <c r="F252" t="str">
        <f>"0674048571"</f>
        <v>0674048571</v>
      </c>
      <c r="G252" t="str">
        <f>"9780674048577"</f>
        <v>9780674048577</v>
      </c>
      <c r="H252">
        <v>0</v>
      </c>
      <c r="I252">
        <v>3.86</v>
      </c>
      <c r="J252" t="s">
        <v>155</v>
      </c>
      <c r="K252" t="s">
        <v>35</v>
      </c>
      <c r="L252">
        <v>337</v>
      </c>
      <c r="M252">
        <v>2010</v>
      </c>
      <c r="N252">
        <v>2010</v>
      </c>
      <c r="P252" s="1">
        <v>43857</v>
      </c>
      <c r="Q252" t="s">
        <v>36</v>
      </c>
      <c r="R252" t="s">
        <v>1108</v>
      </c>
      <c r="S252" t="s">
        <v>36</v>
      </c>
      <c r="W252">
        <v>0</v>
      </c>
      <c r="Z252">
        <v>0</v>
      </c>
    </row>
    <row r="253" spans="1:26" x14ac:dyDescent="0.3">
      <c r="A253">
        <v>12016</v>
      </c>
      <c r="B253" t="s">
        <v>1109</v>
      </c>
      <c r="C253" t="s">
        <v>1110</v>
      </c>
      <c r="D253" t="s">
        <v>1111</v>
      </c>
      <c r="F253" t="str">
        <f>"0743421922"</f>
        <v>0743421922</v>
      </c>
      <c r="G253" t="str">
        <f>"9780743421928"</f>
        <v>9780743421928</v>
      </c>
      <c r="H253">
        <v>0</v>
      </c>
      <c r="I253">
        <v>4.2</v>
      </c>
      <c r="J253" t="s">
        <v>1112</v>
      </c>
      <c r="K253" t="s">
        <v>60</v>
      </c>
      <c r="L253">
        <v>496</v>
      </c>
      <c r="M253">
        <v>2002</v>
      </c>
      <c r="N253">
        <v>2000</v>
      </c>
      <c r="P253" s="1">
        <v>43856</v>
      </c>
      <c r="S253" t="s">
        <v>174</v>
      </c>
      <c r="W253">
        <v>2</v>
      </c>
      <c r="Z253">
        <v>0</v>
      </c>
    </row>
    <row r="254" spans="1:26" x14ac:dyDescent="0.3">
      <c r="A254">
        <v>31837016</v>
      </c>
      <c r="B254" t="s">
        <v>1113</v>
      </c>
      <c r="C254" t="s">
        <v>1114</v>
      </c>
      <c r="D254" t="s">
        <v>1115</v>
      </c>
      <c r="F254" t="str">
        <f>"0670026166"</f>
        <v>0670026166</v>
      </c>
      <c r="G254" t="str">
        <f>"9780670026166"</f>
        <v>9780670026166</v>
      </c>
      <c r="H254">
        <v>0</v>
      </c>
      <c r="I254">
        <v>4.05</v>
      </c>
      <c r="J254" t="s">
        <v>518</v>
      </c>
      <c r="K254" t="s">
        <v>35</v>
      </c>
      <c r="L254">
        <v>464</v>
      </c>
      <c r="M254">
        <v>2017</v>
      </c>
      <c r="N254">
        <v>2017</v>
      </c>
      <c r="P254" s="1">
        <v>43848</v>
      </c>
      <c r="Q254" t="s">
        <v>36</v>
      </c>
      <c r="R254" t="s">
        <v>1116</v>
      </c>
      <c r="S254" t="s">
        <v>36</v>
      </c>
      <c r="W254">
        <v>0</v>
      </c>
      <c r="Z254">
        <v>0</v>
      </c>
    </row>
    <row r="255" spans="1:26" x14ac:dyDescent="0.3">
      <c r="A255">
        <v>291034</v>
      </c>
      <c r="B255" t="s">
        <v>1117</v>
      </c>
      <c r="C255" t="s">
        <v>1118</v>
      </c>
      <c r="D255" t="s">
        <v>1119</v>
      </c>
      <c r="F255" t="str">
        <f>"0300106033"</f>
        <v>0300106033</v>
      </c>
      <c r="G255" t="str">
        <f>"9780300106039"</f>
        <v>9780300106039</v>
      </c>
      <c r="H255">
        <v>0</v>
      </c>
      <c r="I255">
        <v>3.74</v>
      </c>
      <c r="J255" t="s">
        <v>356</v>
      </c>
      <c r="K255" t="s">
        <v>35</v>
      </c>
      <c r="L255">
        <v>288</v>
      </c>
      <c r="M255">
        <v>2006</v>
      </c>
      <c r="N255">
        <v>2006</v>
      </c>
      <c r="P255" s="1">
        <v>43834</v>
      </c>
      <c r="Q255" t="s">
        <v>36</v>
      </c>
      <c r="R255" t="s">
        <v>1120</v>
      </c>
      <c r="S255" t="s">
        <v>36</v>
      </c>
      <c r="W255">
        <v>0</v>
      </c>
      <c r="Z255">
        <v>0</v>
      </c>
    </row>
    <row r="256" spans="1:26" x14ac:dyDescent="0.3">
      <c r="A256">
        <v>13413966</v>
      </c>
      <c r="B256" t="s">
        <v>1121</v>
      </c>
      <c r="C256" t="s">
        <v>1122</v>
      </c>
      <c r="D256" t="s">
        <v>1123</v>
      </c>
      <c r="F256" t="str">
        <f>""</f>
        <v/>
      </c>
      <c r="G256" t="str">
        <f>"9780199752621"</f>
        <v>9780199752621</v>
      </c>
      <c r="H256">
        <v>0</v>
      </c>
      <c r="I256">
        <v>3.75</v>
      </c>
      <c r="J256" t="s">
        <v>756</v>
      </c>
      <c r="K256" t="s">
        <v>60</v>
      </c>
      <c r="L256">
        <v>368</v>
      </c>
      <c r="M256">
        <v>2011</v>
      </c>
      <c r="N256">
        <v>2011</v>
      </c>
      <c r="P256" s="1">
        <v>43834</v>
      </c>
      <c r="Q256" t="s">
        <v>36</v>
      </c>
      <c r="R256" t="s">
        <v>1124</v>
      </c>
      <c r="S256" t="s">
        <v>36</v>
      </c>
      <c r="W256">
        <v>0</v>
      </c>
      <c r="Z256">
        <v>0</v>
      </c>
    </row>
    <row r="257" spans="1:26" x14ac:dyDescent="0.3">
      <c r="A257">
        <v>2988397</v>
      </c>
      <c r="B257" t="s">
        <v>1125</v>
      </c>
      <c r="C257" t="s">
        <v>1126</v>
      </c>
      <c r="D257" t="s">
        <v>1127</v>
      </c>
      <c r="F257" t="str">
        <f>"0415326079"</f>
        <v>0415326079</v>
      </c>
      <c r="G257" t="str">
        <f>"9780415326070"</f>
        <v>9780415326070</v>
      </c>
      <c r="H257">
        <v>0</v>
      </c>
      <c r="I257">
        <v>4.04</v>
      </c>
      <c r="J257" t="s">
        <v>119</v>
      </c>
      <c r="K257" t="s">
        <v>60</v>
      </c>
      <c r="L257">
        <v>388</v>
      </c>
      <c r="M257">
        <v>2007</v>
      </c>
      <c r="N257">
        <v>2003</v>
      </c>
      <c r="P257" s="1">
        <v>43834</v>
      </c>
      <c r="Q257" t="s">
        <v>36</v>
      </c>
      <c r="R257" t="s">
        <v>1128</v>
      </c>
      <c r="S257" t="s">
        <v>36</v>
      </c>
      <c r="W257">
        <v>0</v>
      </c>
      <c r="Z257">
        <v>0</v>
      </c>
    </row>
    <row r="258" spans="1:26" x14ac:dyDescent="0.3">
      <c r="A258">
        <v>49474465</v>
      </c>
      <c r="B258" t="s">
        <v>1129</v>
      </c>
      <c r="C258" t="s">
        <v>1130</v>
      </c>
      <c r="D258" t="s">
        <v>1131</v>
      </c>
      <c r="E258" t="s">
        <v>1132</v>
      </c>
      <c r="F258" t="str">
        <f>""</f>
        <v/>
      </c>
      <c r="G258" t="str">
        <f>""</f>
        <v/>
      </c>
      <c r="H258">
        <v>0</v>
      </c>
      <c r="I258">
        <v>0</v>
      </c>
      <c r="J258" t="s">
        <v>617</v>
      </c>
      <c r="K258" t="s">
        <v>69</v>
      </c>
      <c r="L258">
        <v>1649</v>
      </c>
      <c r="M258">
        <v>2019</v>
      </c>
      <c r="P258" s="1">
        <v>43754</v>
      </c>
      <c r="Q258" t="s">
        <v>150</v>
      </c>
      <c r="R258" t="s">
        <v>1133</v>
      </c>
      <c r="S258" t="s">
        <v>150</v>
      </c>
      <c r="W258">
        <v>1</v>
      </c>
      <c r="Z258">
        <v>0</v>
      </c>
    </row>
    <row r="259" spans="1:26" x14ac:dyDescent="0.3">
      <c r="A259">
        <v>35201488</v>
      </c>
      <c r="B259" t="s">
        <v>1134</v>
      </c>
      <c r="C259" t="s">
        <v>1135</v>
      </c>
      <c r="D259" t="s">
        <v>1136</v>
      </c>
      <c r="F259" t="str">
        <f>"8845931927"</f>
        <v>8845931927</v>
      </c>
      <c r="G259" t="str">
        <f>"9788845931925"</f>
        <v>9788845931925</v>
      </c>
      <c r="H259">
        <v>0</v>
      </c>
      <c r="I259">
        <v>4.0999999999999996</v>
      </c>
      <c r="J259" t="s">
        <v>1137</v>
      </c>
      <c r="K259" t="s">
        <v>60</v>
      </c>
      <c r="L259">
        <v>208</v>
      </c>
      <c r="M259">
        <v>2017</v>
      </c>
      <c r="N259">
        <v>2017</v>
      </c>
      <c r="P259" s="1">
        <v>43811</v>
      </c>
      <c r="Q259" t="s">
        <v>36</v>
      </c>
      <c r="R259" t="s">
        <v>1138</v>
      </c>
      <c r="S259" t="s">
        <v>36</v>
      </c>
      <c r="W259">
        <v>0</v>
      </c>
      <c r="Z259">
        <v>0</v>
      </c>
    </row>
    <row r="260" spans="1:26" x14ac:dyDescent="0.3">
      <c r="A260">
        <v>26634594</v>
      </c>
      <c r="B260" t="s">
        <v>1139</v>
      </c>
      <c r="C260" t="s">
        <v>1140</v>
      </c>
      <c r="D260" t="s">
        <v>1141</v>
      </c>
      <c r="F260" t="str">
        <f>"0691147728"</f>
        <v>0691147728</v>
      </c>
      <c r="G260" t="str">
        <f>"9780691147727"</f>
        <v>9780691147727</v>
      </c>
      <c r="H260">
        <v>0</v>
      </c>
      <c r="I260">
        <v>4.1900000000000004</v>
      </c>
      <c r="J260" t="s">
        <v>377</v>
      </c>
      <c r="K260" t="s">
        <v>35</v>
      </c>
      <c r="L260">
        <v>784</v>
      </c>
      <c r="M260">
        <v>2016</v>
      </c>
      <c r="N260">
        <v>2016</v>
      </c>
      <c r="P260" s="1">
        <v>43796</v>
      </c>
      <c r="Q260" t="s">
        <v>36</v>
      </c>
      <c r="R260" t="s">
        <v>1142</v>
      </c>
      <c r="S260" t="s">
        <v>36</v>
      </c>
      <c r="W260">
        <v>0</v>
      </c>
      <c r="Z260">
        <v>0</v>
      </c>
    </row>
    <row r="261" spans="1:26" x14ac:dyDescent="0.3">
      <c r="A261">
        <v>23528818</v>
      </c>
      <c r="B261" t="s">
        <v>1143</v>
      </c>
      <c r="C261" t="s">
        <v>1144</v>
      </c>
      <c r="D261" t="s">
        <v>1145</v>
      </c>
      <c r="F261" t="str">
        <f>"0691139709"</f>
        <v>0691139709</v>
      </c>
      <c r="G261" t="str">
        <f>"9780691139708"</f>
        <v>9780691139708</v>
      </c>
      <c r="H261">
        <v>0</v>
      </c>
      <c r="I261">
        <v>3.45</v>
      </c>
      <c r="J261" t="s">
        <v>377</v>
      </c>
      <c r="K261" t="s">
        <v>35</v>
      </c>
      <c r="L261">
        <v>288</v>
      </c>
      <c r="M261">
        <v>2015</v>
      </c>
      <c r="N261">
        <v>2015</v>
      </c>
      <c r="P261" s="1">
        <v>43796</v>
      </c>
      <c r="Q261" t="s">
        <v>36</v>
      </c>
      <c r="R261" t="s">
        <v>1146</v>
      </c>
      <c r="S261" t="s">
        <v>36</v>
      </c>
      <c r="W261">
        <v>0</v>
      </c>
      <c r="Z261">
        <v>0</v>
      </c>
    </row>
    <row r="262" spans="1:26" x14ac:dyDescent="0.3">
      <c r="A262">
        <v>18730716</v>
      </c>
      <c r="B262" t="s">
        <v>1147</v>
      </c>
      <c r="C262" t="s">
        <v>1148</v>
      </c>
      <c r="D262" t="s">
        <v>1149</v>
      </c>
      <c r="F262" t="str">
        <f>"0691162549"</f>
        <v>0691162549</v>
      </c>
      <c r="G262" t="str">
        <f>"9780691162546"</f>
        <v>9780691162546</v>
      </c>
      <c r="H262">
        <v>0</v>
      </c>
      <c r="I262">
        <v>3.94</v>
      </c>
      <c r="J262" t="s">
        <v>377</v>
      </c>
      <c r="K262" t="s">
        <v>35</v>
      </c>
      <c r="L262">
        <v>364</v>
      </c>
      <c r="M262">
        <v>2014</v>
      </c>
      <c r="N262">
        <v>2004</v>
      </c>
      <c r="P262" s="1">
        <v>43796</v>
      </c>
      <c r="Q262" t="s">
        <v>36</v>
      </c>
      <c r="R262" t="s">
        <v>1150</v>
      </c>
      <c r="S262" t="s">
        <v>36</v>
      </c>
      <c r="W262">
        <v>0</v>
      </c>
      <c r="Z262">
        <v>0</v>
      </c>
    </row>
    <row r="263" spans="1:26" x14ac:dyDescent="0.3">
      <c r="A263">
        <v>14891823</v>
      </c>
      <c r="B263" t="s">
        <v>1151</v>
      </c>
      <c r="C263" t="s">
        <v>1152</v>
      </c>
      <c r="D263" t="s">
        <v>1153</v>
      </c>
      <c r="F263" t="str">
        <f>"069114768X"</f>
        <v>069114768X</v>
      </c>
      <c r="G263" t="str">
        <f>"9780691147680"</f>
        <v>9780691147680</v>
      </c>
      <c r="H263">
        <v>0</v>
      </c>
      <c r="I263">
        <v>3.67</v>
      </c>
      <c r="J263" t="s">
        <v>377</v>
      </c>
      <c r="K263" t="s">
        <v>35</v>
      </c>
      <c r="L263">
        <v>320</v>
      </c>
      <c r="M263">
        <v>2012</v>
      </c>
      <c r="N263">
        <v>2012</v>
      </c>
      <c r="P263" s="1">
        <v>43796</v>
      </c>
      <c r="Q263" t="s">
        <v>36</v>
      </c>
      <c r="R263" t="s">
        <v>1154</v>
      </c>
      <c r="S263" t="s">
        <v>36</v>
      </c>
      <c r="W263">
        <v>0</v>
      </c>
      <c r="Z263">
        <v>0</v>
      </c>
    </row>
    <row r="264" spans="1:26" x14ac:dyDescent="0.3">
      <c r="A264">
        <v>6624726</v>
      </c>
      <c r="B264" t="s">
        <v>1155</v>
      </c>
      <c r="C264" t="s">
        <v>1156</v>
      </c>
      <c r="D264" t="s">
        <v>1157</v>
      </c>
      <c r="F264" t="str">
        <f>"0691139334"</f>
        <v>0691139334</v>
      </c>
      <c r="G264" t="str">
        <f>"9780691139333"</f>
        <v>9780691139333</v>
      </c>
      <c r="H264">
        <v>0</v>
      </c>
      <c r="I264">
        <v>3.78</v>
      </c>
      <c r="J264" t="s">
        <v>377</v>
      </c>
      <c r="K264" t="s">
        <v>35</v>
      </c>
      <c r="L264">
        <v>400</v>
      </c>
      <c r="M264">
        <v>2009</v>
      </c>
      <c r="N264">
        <v>2009</v>
      </c>
      <c r="P264" s="1">
        <v>43796</v>
      </c>
      <c r="Q264" t="s">
        <v>36</v>
      </c>
      <c r="R264" t="s">
        <v>1158</v>
      </c>
      <c r="S264" t="s">
        <v>36</v>
      </c>
      <c r="W264">
        <v>0</v>
      </c>
      <c r="Z264">
        <v>0</v>
      </c>
    </row>
    <row r="265" spans="1:26" x14ac:dyDescent="0.3">
      <c r="A265">
        <v>150437</v>
      </c>
      <c r="B265" t="s">
        <v>1159</v>
      </c>
      <c r="C265" t="s">
        <v>1148</v>
      </c>
      <c r="D265" t="s">
        <v>1149</v>
      </c>
      <c r="F265" t="str">
        <f>"0691121354"</f>
        <v>0691121354</v>
      </c>
      <c r="G265" t="str">
        <f>"9780691121352"</f>
        <v>9780691121352</v>
      </c>
      <c r="H265">
        <v>0</v>
      </c>
      <c r="I265">
        <v>3.72</v>
      </c>
      <c r="J265" t="s">
        <v>377</v>
      </c>
      <c r="K265" t="s">
        <v>35</v>
      </c>
      <c r="L265">
        <v>420</v>
      </c>
      <c r="M265">
        <v>2007</v>
      </c>
      <c r="N265">
        <v>2007</v>
      </c>
      <c r="P265" s="1">
        <v>43796</v>
      </c>
      <c r="Q265" t="s">
        <v>36</v>
      </c>
      <c r="R265" t="s">
        <v>1160</v>
      </c>
      <c r="S265" t="s">
        <v>36</v>
      </c>
      <c r="W265">
        <v>0</v>
      </c>
      <c r="Z265">
        <v>0</v>
      </c>
    </row>
    <row r="266" spans="1:26" x14ac:dyDescent="0.3">
      <c r="A266">
        <v>170187</v>
      </c>
      <c r="B266" t="s">
        <v>1161</v>
      </c>
      <c r="C266" t="s">
        <v>1162</v>
      </c>
      <c r="D266" t="s">
        <v>1163</v>
      </c>
      <c r="E266" t="s">
        <v>1164</v>
      </c>
      <c r="F266" t="str">
        <f>"0691116350"</f>
        <v>0691116350</v>
      </c>
      <c r="G266" t="str">
        <f>"9780691116358"</f>
        <v>9780691116358</v>
      </c>
      <c r="H266">
        <v>0</v>
      </c>
      <c r="I266">
        <v>3.74</v>
      </c>
      <c r="J266" t="s">
        <v>377</v>
      </c>
      <c r="K266" t="s">
        <v>60</v>
      </c>
      <c r="L266">
        <v>405</v>
      </c>
      <c r="M266">
        <v>2003</v>
      </c>
      <c r="N266">
        <v>2002</v>
      </c>
      <c r="P266" s="1">
        <v>43796</v>
      </c>
      <c r="Q266" t="s">
        <v>36</v>
      </c>
      <c r="R266" t="s">
        <v>1165</v>
      </c>
      <c r="S266" t="s">
        <v>36</v>
      </c>
      <c r="W266">
        <v>0</v>
      </c>
      <c r="Z266">
        <v>0</v>
      </c>
    </row>
    <row r="267" spans="1:26" x14ac:dyDescent="0.3">
      <c r="A267">
        <v>17987621</v>
      </c>
      <c r="B267" t="s">
        <v>1166</v>
      </c>
      <c r="C267" t="s">
        <v>1167</v>
      </c>
      <c r="D267" t="s">
        <v>1168</v>
      </c>
      <c r="E267" t="s">
        <v>1169</v>
      </c>
      <c r="F267" t="str">
        <f>"0857282514"</f>
        <v>0857282514</v>
      </c>
      <c r="G267" t="str">
        <f>"9780857282514"</f>
        <v>9780857282514</v>
      </c>
      <c r="H267">
        <v>0</v>
      </c>
      <c r="I267">
        <v>3.96</v>
      </c>
      <c r="J267" t="s">
        <v>1170</v>
      </c>
      <c r="K267" t="s">
        <v>173</v>
      </c>
      <c r="L267">
        <v>266</v>
      </c>
      <c r="M267">
        <v>2013</v>
      </c>
      <c r="N267">
        <v>2011</v>
      </c>
      <c r="P267" s="1">
        <v>43796</v>
      </c>
      <c r="Q267" t="s">
        <v>36</v>
      </c>
      <c r="R267" t="s">
        <v>1171</v>
      </c>
      <c r="S267" t="s">
        <v>36</v>
      </c>
      <c r="W267">
        <v>0</v>
      </c>
      <c r="Z267">
        <v>0</v>
      </c>
    </row>
    <row r="268" spans="1:26" x14ac:dyDescent="0.3">
      <c r="A268">
        <v>9303596</v>
      </c>
      <c r="B268" t="s">
        <v>1172</v>
      </c>
      <c r="C268" t="s">
        <v>1173</v>
      </c>
      <c r="D268" t="s">
        <v>1174</v>
      </c>
      <c r="F268" t="str">
        <f>"0393071618"</f>
        <v>0393071618</v>
      </c>
      <c r="G268" t="str">
        <f>"9780393071610"</f>
        <v>9780393071610</v>
      </c>
      <c r="H268">
        <v>0</v>
      </c>
      <c r="I268">
        <v>3.98</v>
      </c>
      <c r="J268" t="s">
        <v>144</v>
      </c>
      <c r="K268" t="s">
        <v>35</v>
      </c>
      <c r="L268">
        <v>368</v>
      </c>
      <c r="M268">
        <v>2011</v>
      </c>
      <c r="N268">
        <v>2010</v>
      </c>
      <c r="P268" s="1">
        <v>43796</v>
      </c>
      <c r="Q268" t="s">
        <v>36</v>
      </c>
      <c r="R268" t="s">
        <v>1175</v>
      </c>
      <c r="S268" t="s">
        <v>36</v>
      </c>
      <c r="W268">
        <v>0</v>
      </c>
      <c r="Z268">
        <v>0</v>
      </c>
    </row>
    <row r="269" spans="1:26" x14ac:dyDescent="0.3">
      <c r="A269">
        <v>27311800</v>
      </c>
      <c r="B269" t="s">
        <v>1176</v>
      </c>
      <c r="C269" t="s">
        <v>1177</v>
      </c>
      <c r="D269" t="s">
        <v>1178</v>
      </c>
      <c r="F269" t="str">
        <f>"067473713X"</f>
        <v>067473713X</v>
      </c>
      <c r="G269" t="str">
        <f>"9780674737136"</f>
        <v>9780674737136</v>
      </c>
      <c r="H269">
        <v>0</v>
      </c>
      <c r="I269">
        <v>3.94</v>
      </c>
      <c r="J269" t="s">
        <v>524</v>
      </c>
      <c r="K269" t="s">
        <v>35</v>
      </c>
      <c r="L269">
        <v>320</v>
      </c>
      <c r="M269">
        <v>2016</v>
      </c>
      <c r="N269">
        <v>2010</v>
      </c>
      <c r="P269" s="1">
        <v>43796</v>
      </c>
      <c r="Q269" t="s">
        <v>36</v>
      </c>
      <c r="R269" t="s">
        <v>1179</v>
      </c>
      <c r="S269" t="s">
        <v>36</v>
      </c>
      <c r="W269">
        <v>0</v>
      </c>
      <c r="Z269">
        <v>0</v>
      </c>
    </row>
    <row r="270" spans="1:26" x14ac:dyDescent="0.3">
      <c r="A270">
        <v>237949</v>
      </c>
      <c r="B270" t="s">
        <v>1180</v>
      </c>
      <c r="C270" t="s">
        <v>1181</v>
      </c>
      <c r="D270" t="s">
        <v>1182</v>
      </c>
      <c r="F270" t="str">
        <f>"0300036418"</f>
        <v>0300036418</v>
      </c>
      <c r="G270" t="str">
        <f>"9780300036411"</f>
        <v>9780300036411</v>
      </c>
      <c r="H270">
        <v>0</v>
      </c>
      <c r="I270">
        <v>4.21</v>
      </c>
      <c r="J270" t="s">
        <v>356</v>
      </c>
      <c r="K270" t="s">
        <v>60</v>
      </c>
      <c r="L270">
        <v>392</v>
      </c>
      <c r="M270">
        <v>1987</v>
      </c>
      <c r="N270">
        <v>1985</v>
      </c>
      <c r="P270" s="1">
        <v>43796</v>
      </c>
      <c r="Q270" t="s">
        <v>36</v>
      </c>
      <c r="R270" t="s">
        <v>1183</v>
      </c>
      <c r="S270" t="s">
        <v>36</v>
      </c>
      <c r="W270">
        <v>0</v>
      </c>
      <c r="Z270">
        <v>0</v>
      </c>
    </row>
    <row r="271" spans="1:26" x14ac:dyDescent="0.3">
      <c r="A271">
        <v>6477876</v>
      </c>
      <c r="B271" t="s">
        <v>1184</v>
      </c>
      <c r="C271" t="s">
        <v>1181</v>
      </c>
      <c r="D271" t="s">
        <v>1182</v>
      </c>
      <c r="F271" t="str">
        <f>"0300152280"</f>
        <v>0300152280</v>
      </c>
      <c r="G271" t="str">
        <f>"9780300152289"</f>
        <v>9780300152289</v>
      </c>
      <c r="H271">
        <v>0</v>
      </c>
      <c r="I271">
        <v>4.1100000000000003</v>
      </c>
      <c r="J271" t="s">
        <v>356</v>
      </c>
      <c r="K271" t="s">
        <v>35</v>
      </c>
      <c r="L271">
        <v>464</v>
      </c>
      <c r="M271">
        <v>2009</v>
      </c>
      <c r="N271">
        <v>2009</v>
      </c>
      <c r="P271" s="1">
        <v>43796</v>
      </c>
      <c r="Q271" t="s">
        <v>36</v>
      </c>
      <c r="R271" t="s">
        <v>1185</v>
      </c>
      <c r="S271" t="s">
        <v>36</v>
      </c>
      <c r="W271">
        <v>0</v>
      </c>
      <c r="Z271">
        <v>0</v>
      </c>
    </row>
    <row r="272" spans="1:26" x14ac:dyDescent="0.3">
      <c r="A272">
        <v>34563937</v>
      </c>
      <c r="B272" t="s">
        <v>1186</v>
      </c>
      <c r="C272" t="s">
        <v>1187</v>
      </c>
      <c r="D272" t="s">
        <v>1188</v>
      </c>
      <c r="F272" t="str">
        <f>"0399562672"</f>
        <v>0399562672</v>
      </c>
      <c r="G272" t="str">
        <f>"9780399562679"</f>
        <v>9780399562679</v>
      </c>
      <c r="H272">
        <v>0</v>
      </c>
      <c r="I272">
        <v>4.17</v>
      </c>
      <c r="J272" t="s">
        <v>518</v>
      </c>
      <c r="K272" t="s">
        <v>35</v>
      </c>
      <c r="L272">
        <v>416</v>
      </c>
      <c r="M272">
        <v>2017</v>
      </c>
      <c r="P272" s="1">
        <v>43796</v>
      </c>
      <c r="Q272" t="s">
        <v>36</v>
      </c>
      <c r="R272" t="s">
        <v>1189</v>
      </c>
      <c r="S272" t="s">
        <v>36</v>
      </c>
      <c r="W272">
        <v>0</v>
      </c>
      <c r="Z272">
        <v>0</v>
      </c>
    </row>
    <row r="273" spans="1:26" x14ac:dyDescent="0.3">
      <c r="A273">
        <v>20696000</v>
      </c>
      <c r="B273" t="s">
        <v>1190</v>
      </c>
      <c r="C273" t="s">
        <v>1191</v>
      </c>
      <c r="D273" t="s">
        <v>1192</v>
      </c>
      <c r="F273" t="str">
        <f>"1627790101"</f>
        <v>1627790101</v>
      </c>
      <c r="G273" t="str">
        <f>"9781627790109"</f>
        <v>9781627790109</v>
      </c>
      <c r="H273">
        <v>0</v>
      </c>
      <c r="I273">
        <v>4.22</v>
      </c>
      <c r="J273" t="s">
        <v>1193</v>
      </c>
      <c r="K273" t="s">
        <v>35</v>
      </c>
      <c r="L273">
        <v>336</v>
      </c>
      <c r="M273">
        <v>2015</v>
      </c>
      <c r="N273">
        <v>2014</v>
      </c>
      <c r="P273" s="1">
        <v>43796</v>
      </c>
      <c r="Q273" t="s">
        <v>36</v>
      </c>
      <c r="R273" t="s">
        <v>1194</v>
      </c>
      <c r="S273" t="s">
        <v>36</v>
      </c>
      <c r="W273">
        <v>0</v>
      </c>
      <c r="Z273">
        <v>0</v>
      </c>
    </row>
    <row r="274" spans="1:26" x14ac:dyDescent="0.3">
      <c r="A274">
        <v>40048953</v>
      </c>
      <c r="B274" t="s">
        <v>1195</v>
      </c>
      <c r="C274" t="s">
        <v>1196</v>
      </c>
      <c r="D274" t="s">
        <v>1197</v>
      </c>
      <c r="F274" t="str">
        <f>"0241003172"</f>
        <v>0241003172</v>
      </c>
      <c r="G274" t="str">
        <f>"9780241003176"</f>
        <v>9780241003176</v>
      </c>
      <c r="H274">
        <v>0</v>
      </c>
      <c r="I274">
        <v>4.0999999999999996</v>
      </c>
      <c r="J274" t="s">
        <v>99</v>
      </c>
      <c r="K274" t="s">
        <v>35</v>
      </c>
      <c r="L274">
        <v>656</v>
      </c>
      <c r="M274">
        <v>2019</v>
      </c>
      <c r="N274">
        <v>2019</v>
      </c>
      <c r="P274" s="1">
        <v>43796</v>
      </c>
      <c r="Q274" t="s">
        <v>36</v>
      </c>
      <c r="R274" t="s">
        <v>1198</v>
      </c>
      <c r="S274" t="s">
        <v>36</v>
      </c>
      <c r="W274">
        <v>0</v>
      </c>
      <c r="Z274">
        <v>0</v>
      </c>
    </row>
    <row r="275" spans="1:26" x14ac:dyDescent="0.3">
      <c r="A275">
        <v>35452769</v>
      </c>
      <c r="B275" t="s">
        <v>1199</v>
      </c>
      <c r="C275" t="s">
        <v>1200</v>
      </c>
      <c r="D275" t="s">
        <v>1201</v>
      </c>
      <c r="F275" t="str">
        <f>""</f>
        <v/>
      </c>
      <c r="G275" t="str">
        <f>""</f>
        <v/>
      </c>
      <c r="H275">
        <v>0</v>
      </c>
      <c r="I275">
        <v>3.92</v>
      </c>
      <c r="J275" t="s">
        <v>1202</v>
      </c>
      <c r="K275" t="s">
        <v>69</v>
      </c>
      <c r="L275">
        <v>368</v>
      </c>
      <c r="M275">
        <v>2017</v>
      </c>
      <c r="N275">
        <v>2017</v>
      </c>
      <c r="P275" s="1">
        <v>43796</v>
      </c>
      <c r="Q275" t="s">
        <v>36</v>
      </c>
      <c r="R275" t="s">
        <v>1203</v>
      </c>
      <c r="S275" t="s">
        <v>36</v>
      </c>
      <c r="W275">
        <v>0</v>
      </c>
      <c r="Z275">
        <v>0</v>
      </c>
    </row>
    <row r="276" spans="1:26" x14ac:dyDescent="0.3">
      <c r="A276">
        <v>31125556</v>
      </c>
      <c r="B276" t="s">
        <v>1204</v>
      </c>
      <c r="C276" t="s">
        <v>1205</v>
      </c>
      <c r="D276" t="s">
        <v>1206</v>
      </c>
      <c r="F276" t="str">
        <f>"0544935276"</f>
        <v>0544935276</v>
      </c>
      <c r="G276" t="str">
        <f>"9780544935273"</f>
        <v>9780544935273</v>
      </c>
      <c r="H276">
        <v>0</v>
      </c>
      <c r="I276">
        <v>4.2300000000000004</v>
      </c>
      <c r="J276" t="s">
        <v>1207</v>
      </c>
      <c r="K276" t="s">
        <v>35</v>
      </c>
      <c r="L276">
        <v>384</v>
      </c>
      <c r="M276">
        <v>2017</v>
      </c>
      <c r="N276">
        <v>2017</v>
      </c>
      <c r="P276" s="1">
        <v>43796</v>
      </c>
      <c r="Q276" t="s">
        <v>36</v>
      </c>
      <c r="R276" t="s">
        <v>1208</v>
      </c>
      <c r="S276" t="s">
        <v>36</v>
      </c>
      <c r="W276">
        <v>0</v>
      </c>
      <c r="Z276">
        <v>0</v>
      </c>
    </row>
    <row r="277" spans="1:26" x14ac:dyDescent="0.3">
      <c r="A277">
        <v>171369</v>
      </c>
      <c r="B277" t="s">
        <v>1209</v>
      </c>
      <c r="C277" t="s">
        <v>1210</v>
      </c>
      <c r="D277" t="s">
        <v>1211</v>
      </c>
      <c r="F277" t="str">
        <f>"0195067746"</f>
        <v>0195067746</v>
      </c>
      <c r="G277" t="str">
        <f>"9780195067743"</f>
        <v>9780195067743</v>
      </c>
      <c r="H277">
        <v>0</v>
      </c>
      <c r="I277">
        <v>4.04</v>
      </c>
      <c r="J277" t="s">
        <v>756</v>
      </c>
      <c r="K277" t="s">
        <v>60</v>
      </c>
      <c r="L277">
        <v>464</v>
      </c>
      <c r="M277">
        <v>1991</v>
      </c>
      <c r="N277">
        <v>1989</v>
      </c>
      <c r="P277" s="1">
        <v>43796</v>
      </c>
      <c r="Q277" t="s">
        <v>36</v>
      </c>
      <c r="R277" t="s">
        <v>1212</v>
      </c>
      <c r="S277" t="s">
        <v>36</v>
      </c>
      <c r="W277">
        <v>0</v>
      </c>
      <c r="Z277">
        <v>0</v>
      </c>
    </row>
    <row r="278" spans="1:26" x14ac:dyDescent="0.3">
      <c r="A278">
        <v>34785426</v>
      </c>
      <c r="B278" t="s">
        <v>1213</v>
      </c>
      <c r="C278" t="s">
        <v>1214</v>
      </c>
      <c r="D278" t="s">
        <v>1215</v>
      </c>
      <c r="F278" t="str">
        <f>"0190672080"</f>
        <v>0190672080</v>
      </c>
      <c r="G278" t="str">
        <f>"9780190672089"</f>
        <v>9780190672089</v>
      </c>
      <c r="H278">
        <v>0</v>
      </c>
      <c r="I278">
        <v>3.88</v>
      </c>
      <c r="J278" t="s">
        <v>104</v>
      </c>
      <c r="K278" t="s">
        <v>35</v>
      </c>
      <c r="L278">
        <v>296</v>
      </c>
      <c r="M278">
        <v>2018</v>
      </c>
      <c r="P278" s="1">
        <v>43796</v>
      </c>
      <c r="Q278" t="s">
        <v>36</v>
      </c>
      <c r="R278" t="s">
        <v>1216</v>
      </c>
      <c r="S278" t="s">
        <v>36</v>
      </c>
      <c r="W278">
        <v>0</v>
      </c>
      <c r="Z278">
        <v>0</v>
      </c>
    </row>
    <row r="279" spans="1:26" x14ac:dyDescent="0.3">
      <c r="A279">
        <v>44174520</v>
      </c>
      <c r="B279" t="s">
        <v>1217</v>
      </c>
      <c r="C279" t="s">
        <v>1218</v>
      </c>
      <c r="D279" t="s">
        <v>1219</v>
      </c>
      <c r="F279" t="str">
        <f>"0300242638"</f>
        <v>0300242638</v>
      </c>
      <c r="G279" t="str">
        <f>"9780300242638"</f>
        <v>9780300242638</v>
      </c>
      <c r="H279">
        <v>5</v>
      </c>
      <c r="I279">
        <v>3.5</v>
      </c>
      <c r="J279" t="s">
        <v>356</v>
      </c>
      <c r="K279" t="s">
        <v>35</v>
      </c>
      <c r="L279">
        <v>312</v>
      </c>
      <c r="M279">
        <v>2019</v>
      </c>
      <c r="P279" s="1">
        <v>43786</v>
      </c>
      <c r="S279" t="s">
        <v>174</v>
      </c>
      <c r="W279">
        <v>1</v>
      </c>
      <c r="Z279">
        <v>0</v>
      </c>
    </row>
    <row r="280" spans="1:26" x14ac:dyDescent="0.3">
      <c r="A280">
        <v>4285941</v>
      </c>
      <c r="B280" t="s">
        <v>1220</v>
      </c>
      <c r="C280" t="s">
        <v>1221</v>
      </c>
      <c r="D280" t="s">
        <v>1222</v>
      </c>
      <c r="F280" t="str">
        <f>"0195188268"</f>
        <v>0195188268</v>
      </c>
      <c r="G280" t="str">
        <f>"9780195188264"</f>
        <v>9780195188264</v>
      </c>
      <c r="H280">
        <v>0</v>
      </c>
      <c r="I280">
        <v>3.81</v>
      </c>
      <c r="J280" t="s">
        <v>104</v>
      </c>
      <c r="K280" t="s">
        <v>35</v>
      </c>
      <c r="L280">
        <v>282</v>
      </c>
      <c r="M280">
        <v>2008</v>
      </c>
      <c r="N280">
        <v>2008</v>
      </c>
      <c r="P280" s="1">
        <v>43776</v>
      </c>
      <c r="S280" t="s">
        <v>174</v>
      </c>
      <c r="W280">
        <v>1</v>
      </c>
      <c r="Z280">
        <v>0</v>
      </c>
    </row>
    <row r="281" spans="1:26" x14ac:dyDescent="0.3">
      <c r="A281">
        <v>1111</v>
      </c>
      <c r="B281" t="s">
        <v>1223</v>
      </c>
      <c r="C281" t="s">
        <v>1224</v>
      </c>
      <c r="D281" t="s">
        <v>1225</v>
      </c>
      <c r="F281" t="str">
        <f>"0394720245"</f>
        <v>0394720245</v>
      </c>
      <c r="G281" t="str">
        <f>"9780394720241"</f>
        <v>9780394720241</v>
      </c>
      <c r="H281">
        <v>0</v>
      </c>
      <c r="I281">
        <v>4.3899999999999997</v>
      </c>
      <c r="J281" t="s">
        <v>1226</v>
      </c>
      <c r="K281" t="s">
        <v>60</v>
      </c>
      <c r="L281">
        <v>1246</v>
      </c>
      <c r="M281">
        <v>1975</v>
      </c>
      <c r="N281">
        <v>1974</v>
      </c>
      <c r="P281" s="1">
        <v>43770</v>
      </c>
      <c r="Q281" t="s">
        <v>36</v>
      </c>
      <c r="R281" t="s">
        <v>1227</v>
      </c>
      <c r="S281" t="s">
        <v>36</v>
      </c>
      <c r="W281">
        <v>0</v>
      </c>
      <c r="Z281">
        <v>0</v>
      </c>
    </row>
    <row r="282" spans="1:26" x14ac:dyDescent="0.3">
      <c r="A282">
        <v>13792699</v>
      </c>
      <c r="B282" t="s">
        <v>1228</v>
      </c>
      <c r="C282" t="s">
        <v>1229</v>
      </c>
      <c r="D282" t="s">
        <v>1230</v>
      </c>
      <c r="F282" t="str">
        <f>"0812243560"</f>
        <v>0812243560</v>
      </c>
      <c r="G282" t="str">
        <f>"9780812243567"</f>
        <v>9780812243567</v>
      </c>
      <c r="H282">
        <v>0</v>
      </c>
      <c r="I282">
        <v>3.92</v>
      </c>
      <c r="J282" t="s">
        <v>1231</v>
      </c>
      <c r="K282" t="s">
        <v>35</v>
      </c>
      <c r="L282">
        <v>416</v>
      </c>
      <c r="M282">
        <v>2011</v>
      </c>
      <c r="N282">
        <v>2011</v>
      </c>
      <c r="P282" s="1">
        <v>43768</v>
      </c>
      <c r="S282" t="s">
        <v>174</v>
      </c>
      <c r="W282">
        <v>1</v>
      </c>
      <c r="Z282">
        <v>0</v>
      </c>
    </row>
    <row r="283" spans="1:26" x14ac:dyDescent="0.3">
      <c r="A283">
        <v>56538</v>
      </c>
      <c r="B283" t="s">
        <v>1232</v>
      </c>
      <c r="C283" t="s">
        <v>1233</v>
      </c>
      <c r="D283" t="s">
        <v>1234</v>
      </c>
      <c r="F283" t="str">
        <f>"0192876058"</f>
        <v>0192876058</v>
      </c>
      <c r="G283" t="str">
        <f>"9780192876058"</f>
        <v>9780192876058</v>
      </c>
      <c r="H283">
        <v>0</v>
      </c>
      <c r="I283">
        <v>3.5</v>
      </c>
      <c r="J283" t="s">
        <v>104</v>
      </c>
      <c r="K283" t="s">
        <v>60</v>
      </c>
      <c r="L283">
        <v>96</v>
      </c>
      <c r="M283">
        <v>1983</v>
      </c>
      <c r="N283">
        <v>1983</v>
      </c>
      <c r="P283" s="1">
        <v>43768</v>
      </c>
      <c r="Q283" t="s">
        <v>36</v>
      </c>
      <c r="R283" t="s">
        <v>1235</v>
      </c>
      <c r="S283" t="s">
        <v>36</v>
      </c>
      <c r="W283">
        <v>0</v>
      </c>
      <c r="Z283">
        <v>0</v>
      </c>
    </row>
    <row r="284" spans="1:26" x14ac:dyDescent="0.3">
      <c r="A284">
        <v>887169</v>
      </c>
      <c r="B284" t="s">
        <v>1236</v>
      </c>
      <c r="C284" t="s">
        <v>1237</v>
      </c>
      <c r="D284" t="s">
        <v>1238</v>
      </c>
      <c r="F284" t="str">
        <f>"1593331029"</f>
        <v>1593331029</v>
      </c>
      <c r="G284" t="str">
        <f>"9781593331023"</f>
        <v>9781593331023</v>
      </c>
      <c r="H284">
        <v>0</v>
      </c>
      <c r="I284">
        <v>3.84</v>
      </c>
      <c r="J284" t="s">
        <v>1239</v>
      </c>
      <c r="K284" t="s">
        <v>35</v>
      </c>
      <c r="L284">
        <v>312</v>
      </c>
      <c r="M284">
        <v>2004</v>
      </c>
      <c r="N284">
        <v>1986</v>
      </c>
      <c r="P284" s="1">
        <v>43765</v>
      </c>
      <c r="Q284" t="s">
        <v>36</v>
      </c>
      <c r="R284" t="s">
        <v>1240</v>
      </c>
      <c r="S284" t="s">
        <v>36</v>
      </c>
      <c r="W284">
        <v>0</v>
      </c>
      <c r="Z284">
        <v>0</v>
      </c>
    </row>
    <row r="285" spans="1:26" x14ac:dyDescent="0.3">
      <c r="A285">
        <v>6006458</v>
      </c>
      <c r="B285" t="s">
        <v>1241</v>
      </c>
      <c r="C285" t="s">
        <v>1242</v>
      </c>
      <c r="D285" t="s">
        <v>1243</v>
      </c>
      <c r="F285" t="str">
        <f>"1596914599"</f>
        <v>1596914599</v>
      </c>
      <c r="G285" t="str">
        <f>"9781596914599"</f>
        <v>9781596914599</v>
      </c>
      <c r="H285">
        <v>0</v>
      </c>
      <c r="I285">
        <v>3.88</v>
      </c>
      <c r="J285" t="s">
        <v>1244</v>
      </c>
      <c r="K285" t="s">
        <v>35</v>
      </c>
      <c r="L285">
        <v>248</v>
      </c>
      <c r="M285">
        <v>2008</v>
      </c>
      <c r="N285">
        <v>2008</v>
      </c>
      <c r="P285" s="1">
        <v>43760</v>
      </c>
      <c r="Q285" t="s">
        <v>36</v>
      </c>
      <c r="R285" t="s">
        <v>1245</v>
      </c>
      <c r="S285" t="s">
        <v>36</v>
      </c>
      <c r="W285">
        <v>0</v>
      </c>
      <c r="Z285">
        <v>0</v>
      </c>
    </row>
    <row r="286" spans="1:26" x14ac:dyDescent="0.3">
      <c r="A286">
        <v>19617308</v>
      </c>
      <c r="B286" t="s">
        <v>1246</v>
      </c>
      <c r="C286" t="s">
        <v>1247</v>
      </c>
      <c r="D286" t="s">
        <v>1248</v>
      </c>
      <c r="E286" t="s">
        <v>1249</v>
      </c>
      <c r="F286" t="str">
        <f>""</f>
        <v/>
      </c>
      <c r="G286" t="str">
        <f>""</f>
        <v/>
      </c>
      <c r="H286">
        <v>0</v>
      </c>
      <c r="I286">
        <v>4.33</v>
      </c>
      <c r="J286" t="s">
        <v>1250</v>
      </c>
      <c r="K286" t="s">
        <v>60</v>
      </c>
      <c r="L286">
        <v>168</v>
      </c>
      <c r="M286">
        <v>2001</v>
      </c>
      <c r="N286">
        <v>2001</v>
      </c>
      <c r="P286" s="1">
        <v>43759</v>
      </c>
      <c r="Q286" t="s">
        <v>36</v>
      </c>
      <c r="R286" t="s">
        <v>1251</v>
      </c>
      <c r="S286" t="s">
        <v>36</v>
      </c>
      <c r="W286">
        <v>0</v>
      </c>
      <c r="Z286">
        <v>0</v>
      </c>
    </row>
    <row r="287" spans="1:26" x14ac:dyDescent="0.3">
      <c r="A287">
        <v>6188642</v>
      </c>
      <c r="B287" t="s">
        <v>1252</v>
      </c>
      <c r="C287" t="s">
        <v>1247</v>
      </c>
      <c r="D287" t="s">
        <v>1248</v>
      </c>
      <c r="F287" t="str">
        <f>"0802862624"</f>
        <v>0802862624</v>
      </c>
      <c r="G287" t="str">
        <f>"9780802862624"</f>
        <v>9780802862624</v>
      </c>
      <c r="H287">
        <v>0</v>
      </c>
      <c r="I287">
        <v>3.98</v>
      </c>
      <c r="J287" t="s">
        <v>617</v>
      </c>
      <c r="K287" t="s">
        <v>60</v>
      </c>
      <c r="L287">
        <v>136</v>
      </c>
      <c r="M287">
        <v>2009</v>
      </c>
      <c r="N287">
        <v>2009</v>
      </c>
      <c r="P287" s="1">
        <v>43759</v>
      </c>
      <c r="S287" t="s">
        <v>174</v>
      </c>
      <c r="W287">
        <v>1</v>
      </c>
      <c r="Z287">
        <v>0</v>
      </c>
    </row>
    <row r="288" spans="1:26" x14ac:dyDescent="0.3">
      <c r="A288">
        <v>45747</v>
      </c>
      <c r="B288" t="s">
        <v>1253</v>
      </c>
      <c r="C288" t="s">
        <v>1254</v>
      </c>
      <c r="D288" t="s">
        <v>1255</v>
      </c>
      <c r="F288" t="str">
        <f>"0195178033"</f>
        <v>0195178033</v>
      </c>
      <c r="G288" t="str">
        <f>"9780195178036"</f>
        <v>9780195178036</v>
      </c>
      <c r="H288">
        <v>0</v>
      </c>
      <c r="I288">
        <v>4</v>
      </c>
      <c r="J288" t="s">
        <v>104</v>
      </c>
      <c r="K288" t="s">
        <v>60</v>
      </c>
      <c r="L288">
        <v>348</v>
      </c>
      <c r="M288">
        <v>2004</v>
      </c>
      <c r="N288">
        <v>2002</v>
      </c>
      <c r="P288" s="1">
        <v>43755</v>
      </c>
      <c r="Q288" t="s">
        <v>36</v>
      </c>
      <c r="R288" t="s">
        <v>1256</v>
      </c>
      <c r="S288" t="s">
        <v>36</v>
      </c>
      <c r="W288">
        <v>0</v>
      </c>
      <c r="Z288">
        <v>0</v>
      </c>
    </row>
    <row r="289" spans="1:26" x14ac:dyDescent="0.3">
      <c r="A289">
        <v>80313</v>
      </c>
      <c r="B289" t="s">
        <v>1257</v>
      </c>
      <c r="C289" t="s">
        <v>1258</v>
      </c>
      <c r="D289" t="s">
        <v>1259</v>
      </c>
      <c r="E289" t="s">
        <v>1260</v>
      </c>
      <c r="F289" t="str">
        <f>"0872204022"</f>
        <v>0872204022</v>
      </c>
      <c r="G289" t="str">
        <f>"9780872204027"</f>
        <v>9780872204027</v>
      </c>
      <c r="H289">
        <v>0</v>
      </c>
      <c r="I289">
        <v>3.96</v>
      </c>
      <c r="J289" t="s">
        <v>1261</v>
      </c>
      <c r="K289" t="s">
        <v>60</v>
      </c>
      <c r="L289">
        <v>160</v>
      </c>
      <c r="M289">
        <v>1998</v>
      </c>
      <c r="N289">
        <v>1751</v>
      </c>
      <c r="P289" s="1">
        <v>43755</v>
      </c>
      <c r="Q289" t="s">
        <v>36</v>
      </c>
      <c r="R289" t="s">
        <v>1262</v>
      </c>
      <c r="S289" t="s">
        <v>36</v>
      </c>
      <c r="W289">
        <v>0</v>
      </c>
      <c r="Z289">
        <v>0</v>
      </c>
    </row>
    <row r="290" spans="1:26" x14ac:dyDescent="0.3">
      <c r="A290">
        <v>1360232</v>
      </c>
      <c r="B290" t="s">
        <v>1263</v>
      </c>
      <c r="C290" t="s">
        <v>1264</v>
      </c>
      <c r="D290" t="s">
        <v>1265</v>
      </c>
      <c r="F290" t="str">
        <f>"0334040256"</f>
        <v>0334040256</v>
      </c>
      <c r="G290" t="str">
        <f>"9780334040255"</f>
        <v>9780334040255</v>
      </c>
      <c r="H290">
        <v>0</v>
      </c>
      <c r="I290">
        <v>4.4000000000000004</v>
      </c>
      <c r="J290" t="s">
        <v>1266</v>
      </c>
      <c r="K290" t="s">
        <v>60</v>
      </c>
      <c r="M290">
        <v>2006</v>
      </c>
      <c r="N290">
        <v>2006</v>
      </c>
      <c r="P290" s="1">
        <v>43755</v>
      </c>
      <c r="Q290" t="s">
        <v>36</v>
      </c>
      <c r="R290" t="s">
        <v>1267</v>
      </c>
      <c r="S290" t="s">
        <v>36</v>
      </c>
      <c r="W290">
        <v>0</v>
      </c>
      <c r="Z290">
        <v>0</v>
      </c>
    </row>
    <row r="291" spans="1:26" x14ac:dyDescent="0.3">
      <c r="A291">
        <v>703322</v>
      </c>
      <c r="B291" t="s">
        <v>1268</v>
      </c>
      <c r="C291" t="s">
        <v>738</v>
      </c>
      <c r="D291" t="s">
        <v>739</v>
      </c>
      <c r="F291" t="str">
        <f>"019824682X"</f>
        <v>019824682X</v>
      </c>
      <c r="G291" t="str">
        <f>"9780198246824"</f>
        <v>9780198246824</v>
      </c>
      <c r="H291">
        <v>0</v>
      </c>
      <c r="I291">
        <v>4.1100000000000003</v>
      </c>
      <c r="J291" t="s">
        <v>104</v>
      </c>
      <c r="K291" t="s">
        <v>60</v>
      </c>
      <c r="L291">
        <v>288</v>
      </c>
      <c r="M291">
        <v>1983</v>
      </c>
      <c r="N291">
        <v>1983</v>
      </c>
      <c r="P291" s="1">
        <v>43755</v>
      </c>
      <c r="Q291" t="s">
        <v>36</v>
      </c>
      <c r="R291" t="s">
        <v>1269</v>
      </c>
      <c r="S291" t="s">
        <v>36</v>
      </c>
      <c r="W291">
        <v>0</v>
      </c>
      <c r="Z291">
        <v>0</v>
      </c>
    </row>
    <row r="292" spans="1:26" x14ac:dyDescent="0.3">
      <c r="A292">
        <v>6516943</v>
      </c>
      <c r="B292" t="s">
        <v>1270</v>
      </c>
      <c r="C292" t="s">
        <v>1271</v>
      </c>
      <c r="D292" t="s">
        <v>1272</v>
      </c>
      <c r="E292" t="s">
        <v>1273</v>
      </c>
      <c r="F292" t="str">
        <f>"1591027497"</f>
        <v>1591027497</v>
      </c>
      <c r="G292" t="str">
        <f>"9781591027492"</f>
        <v>9781591027492</v>
      </c>
      <c r="H292">
        <v>0</v>
      </c>
      <c r="I292">
        <v>4.1399999999999997</v>
      </c>
      <c r="J292" t="s">
        <v>1274</v>
      </c>
      <c r="K292" t="s">
        <v>35</v>
      </c>
      <c r="L292">
        <v>595</v>
      </c>
      <c r="M292">
        <v>2009</v>
      </c>
      <c r="N292">
        <v>1729</v>
      </c>
      <c r="P292" s="1">
        <v>43755</v>
      </c>
      <c r="Q292" t="s">
        <v>36</v>
      </c>
      <c r="R292" t="s">
        <v>1275</v>
      </c>
      <c r="S292" t="s">
        <v>36</v>
      </c>
      <c r="W292">
        <v>0</v>
      </c>
      <c r="Z292">
        <v>0</v>
      </c>
    </row>
    <row r="293" spans="1:26" x14ac:dyDescent="0.3">
      <c r="A293">
        <v>897902</v>
      </c>
      <c r="B293" t="s">
        <v>1276</v>
      </c>
      <c r="C293" t="s">
        <v>1277</v>
      </c>
      <c r="D293" t="s">
        <v>1278</v>
      </c>
      <c r="E293" t="s">
        <v>1279</v>
      </c>
      <c r="F293" t="str">
        <f>"1880317192"</f>
        <v>1880317192</v>
      </c>
      <c r="G293" t="str">
        <f>"9781880317198"</f>
        <v>9781880317198</v>
      </c>
      <c r="H293">
        <v>0</v>
      </c>
      <c r="I293">
        <v>3.29</v>
      </c>
      <c r="J293" t="s">
        <v>1280</v>
      </c>
      <c r="K293" t="s">
        <v>35</v>
      </c>
      <c r="L293">
        <v>131</v>
      </c>
      <c r="M293">
        <v>1997</v>
      </c>
      <c r="N293">
        <v>1997</v>
      </c>
      <c r="P293" s="1">
        <v>43752</v>
      </c>
      <c r="Q293" t="s">
        <v>36</v>
      </c>
      <c r="R293" t="s">
        <v>1281</v>
      </c>
      <c r="S293" t="s">
        <v>36</v>
      </c>
      <c r="W293">
        <v>0</v>
      </c>
      <c r="Z293">
        <v>0</v>
      </c>
    </row>
    <row r="294" spans="1:26" x14ac:dyDescent="0.3">
      <c r="A294">
        <v>1027027</v>
      </c>
      <c r="B294" t="s">
        <v>1282</v>
      </c>
      <c r="C294" t="s">
        <v>1277</v>
      </c>
      <c r="D294" t="s">
        <v>1278</v>
      </c>
      <c r="F294" t="str">
        <f>"0801885442"</f>
        <v>0801885442</v>
      </c>
      <c r="G294" t="str">
        <f>"9780801885440"</f>
        <v>9780801885440</v>
      </c>
      <c r="H294">
        <v>0</v>
      </c>
      <c r="I294">
        <v>3.94</v>
      </c>
      <c r="J294" t="s">
        <v>1283</v>
      </c>
      <c r="K294" t="s">
        <v>60</v>
      </c>
      <c r="L294">
        <v>232</v>
      </c>
      <c r="M294">
        <v>2006</v>
      </c>
      <c r="N294">
        <v>2004</v>
      </c>
      <c r="P294" s="1">
        <v>43752</v>
      </c>
      <c r="Q294" t="s">
        <v>36</v>
      </c>
      <c r="R294" t="s">
        <v>1284</v>
      </c>
      <c r="S294" t="s">
        <v>36</v>
      </c>
      <c r="W294">
        <v>0</v>
      </c>
      <c r="Z294">
        <v>0</v>
      </c>
    </row>
    <row r="295" spans="1:26" x14ac:dyDescent="0.3">
      <c r="A295">
        <v>1027030</v>
      </c>
      <c r="B295" t="s">
        <v>1285</v>
      </c>
      <c r="C295" t="s">
        <v>1277</v>
      </c>
      <c r="D295" t="s">
        <v>1278</v>
      </c>
      <c r="F295" t="str">
        <f>"0195102347"</f>
        <v>0195102347</v>
      </c>
      <c r="G295" t="str">
        <f>"9780195102345"</f>
        <v>9780195102345</v>
      </c>
      <c r="H295">
        <v>0</v>
      </c>
      <c r="I295">
        <v>4.29</v>
      </c>
      <c r="J295" t="s">
        <v>104</v>
      </c>
      <c r="K295" t="s">
        <v>35</v>
      </c>
      <c r="L295">
        <v>1632</v>
      </c>
      <c r="M295">
        <v>2001</v>
      </c>
      <c r="N295">
        <v>2000</v>
      </c>
      <c r="P295" s="1">
        <v>43752</v>
      </c>
      <c r="Q295" t="s">
        <v>36</v>
      </c>
      <c r="R295" t="s">
        <v>1286</v>
      </c>
      <c r="S295" t="s">
        <v>36</v>
      </c>
      <c r="W295">
        <v>0</v>
      </c>
      <c r="Z295">
        <v>0</v>
      </c>
    </row>
    <row r="296" spans="1:26" x14ac:dyDescent="0.3">
      <c r="A296">
        <v>178925</v>
      </c>
      <c r="B296" t="s">
        <v>1287</v>
      </c>
      <c r="C296" t="s">
        <v>1277</v>
      </c>
      <c r="D296" t="s">
        <v>1278</v>
      </c>
      <c r="F296" t="str">
        <f>"0195154010"</f>
        <v>0195154010</v>
      </c>
      <c r="G296" t="str">
        <f>"9780195154016"</f>
        <v>9780195154016</v>
      </c>
      <c r="H296">
        <v>0</v>
      </c>
      <c r="I296">
        <v>4.03</v>
      </c>
      <c r="J296" t="s">
        <v>104</v>
      </c>
      <c r="K296" t="s">
        <v>35</v>
      </c>
      <c r="L296">
        <v>432</v>
      </c>
      <c r="M296">
        <v>2002</v>
      </c>
      <c r="N296">
        <v>2002</v>
      </c>
      <c r="P296" s="1">
        <v>43752</v>
      </c>
      <c r="Q296" t="s">
        <v>36</v>
      </c>
      <c r="R296" t="s">
        <v>1288</v>
      </c>
      <c r="S296" t="s">
        <v>36</v>
      </c>
      <c r="W296">
        <v>0</v>
      </c>
      <c r="Z296">
        <v>0</v>
      </c>
    </row>
    <row r="297" spans="1:26" x14ac:dyDescent="0.3">
      <c r="A297">
        <v>4383896</v>
      </c>
      <c r="B297" t="s">
        <v>1289</v>
      </c>
      <c r="C297" t="s">
        <v>1290</v>
      </c>
      <c r="D297" t="s">
        <v>1291</v>
      </c>
      <c r="F297" t="str">
        <f>"9004138447"</f>
        <v>9004138447</v>
      </c>
      <c r="G297" t="str">
        <f>"9789004138445"</f>
        <v>9789004138445</v>
      </c>
      <c r="H297">
        <v>0</v>
      </c>
      <c r="I297">
        <v>0</v>
      </c>
      <c r="J297" t="s">
        <v>178</v>
      </c>
      <c r="K297" t="s">
        <v>35</v>
      </c>
      <c r="L297">
        <v>586</v>
      </c>
      <c r="M297">
        <v>2004</v>
      </c>
      <c r="N297">
        <v>2004</v>
      </c>
      <c r="P297" s="1">
        <v>43752</v>
      </c>
      <c r="Q297" t="s">
        <v>36</v>
      </c>
      <c r="R297" t="s">
        <v>1292</v>
      </c>
      <c r="S297" t="s">
        <v>36</v>
      </c>
      <c r="W297">
        <v>0</v>
      </c>
      <c r="Z297">
        <v>0</v>
      </c>
    </row>
    <row r="298" spans="1:26" x14ac:dyDescent="0.3">
      <c r="A298">
        <v>1027028</v>
      </c>
      <c r="B298" t="s">
        <v>1293</v>
      </c>
      <c r="C298" t="s">
        <v>1277</v>
      </c>
      <c r="D298" t="s">
        <v>1278</v>
      </c>
      <c r="F298" t="str">
        <f>"0691002177"</f>
        <v>0691002177</v>
      </c>
      <c r="G298" t="str">
        <f>"9780691002170"</f>
        <v>9780691002170</v>
      </c>
      <c r="H298">
        <v>0</v>
      </c>
      <c r="I298">
        <v>3.83</v>
      </c>
      <c r="J298" t="s">
        <v>377</v>
      </c>
      <c r="K298" t="s">
        <v>60</v>
      </c>
      <c r="L298">
        <v>288</v>
      </c>
      <c r="M298">
        <v>1987</v>
      </c>
      <c r="N298">
        <v>1984</v>
      </c>
      <c r="P298" s="1">
        <v>43752</v>
      </c>
      <c r="Q298" t="s">
        <v>36</v>
      </c>
      <c r="R298" t="s">
        <v>1294</v>
      </c>
      <c r="S298" t="s">
        <v>36</v>
      </c>
      <c r="W298">
        <v>0</v>
      </c>
      <c r="Z298">
        <v>0</v>
      </c>
    </row>
    <row r="299" spans="1:26" x14ac:dyDescent="0.3">
      <c r="A299">
        <v>263843</v>
      </c>
      <c r="B299" t="s">
        <v>1295</v>
      </c>
      <c r="C299" t="s">
        <v>1277</v>
      </c>
      <c r="D299" t="s">
        <v>1278</v>
      </c>
      <c r="F299" t="str">
        <f>"0691000867"</f>
        <v>0691000867</v>
      </c>
      <c r="G299" t="str">
        <f>"9780691000862"</f>
        <v>9780691000862</v>
      </c>
      <c r="H299">
        <v>0</v>
      </c>
      <c r="I299">
        <v>3.92</v>
      </c>
      <c r="J299" t="s">
        <v>377</v>
      </c>
      <c r="K299" t="s">
        <v>60</v>
      </c>
      <c r="L299">
        <v>512</v>
      </c>
      <c r="M299">
        <v>1993</v>
      </c>
      <c r="N299">
        <v>1992</v>
      </c>
      <c r="P299" s="1">
        <v>43752</v>
      </c>
      <c r="Q299" t="s">
        <v>36</v>
      </c>
      <c r="R299" t="s">
        <v>1294</v>
      </c>
      <c r="S299" t="s">
        <v>36</v>
      </c>
      <c r="W299">
        <v>0</v>
      </c>
      <c r="Z299">
        <v>0</v>
      </c>
    </row>
    <row r="300" spans="1:26" x14ac:dyDescent="0.3">
      <c r="A300">
        <v>25397256</v>
      </c>
      <c r="B300" t="s">
        <v>1296</v>
      </c>
      <c r="C300" t="s">
        <v>1297</v>
      </c>
      <c r="D300" t="s">
        <v>1298</v>
      </c>
      <c r="E300" t="s">
        <v>1299</v>
      </c>
      <c r="F300" t="str">
        <f>""</f>
        <v/>
      </c>
      <c r="G300" t="str">
        <f>""</f>
        <v/>
      </c>
      <c r="H300">
        <v>0</v>
      </c>
      <c r="I300">
        <v>3.67</v>
      </c>
      <c r="J300" t="s">
        <v>1300</v>
      </c>
      <c r="K300" t="s">
        <v>69</v>
      </c>
      <c r="L300">
        <v>708</v>
      </c>
      <c r="M300">
        <v>2015</v>
      </c>
      <c r="N300">
        <v>2015</v>
      </c>
      <c r="P300" s="1">
        <v>43751</v>
      </c>
      <c r="Q300" t="s">
        <v>36</v>
      </c>
      <c r="R300" t="s">
        <v>1301</v>
      </c>
      <c r="S300" t="s">
        <v>36</v>
      </c>
      <c r="W300">
        <v>0</v>
      </c>
      <c r="Z300">
        <v>0</v>
      </c>
    </row>
    <row r="301" spans="1:26" x14ac:dyDescent="0.3">
      <c r="A301">
        <v>31932269</v>
      </c>
      <c r="B301" t="s">
        <v>1302</v>
      </c>
      <c r="C301" t="s">
        <v>1303</v>
      </c>
      <c r="D301" t="s">
        <v>1304</v>
      </c>
      <c r="F301" t="str">
        <f>""</f>
        <v/>
      </c>
      <c r="G301" t="str">
        <f>""</f>
        <v/>
      </c>
      <c r="H301">
        <v>5</v>
      </c>
      <c r="I301">
        <v>4.1399999999999997</v>
      </c>
      <c r="J301" t="s">
        <v>1305</v>
      </c>
      <c r="K301" t="s">
        <v>69</v>
      </c>
      <c r="L301">
        <v>304</v>
      </c>
      <c r="M301">
        <v>2016</v>
      </c>
      <c r="N301">
        <v>2016</v>
      </c>
      <c r="O301" s="1">
        <v>43746</v>
      </c>
      <c r="P301" s="1">
        <v>43729</v>
      </c>
      <c r="S301" t="s">
        <v>174</v>
      </c>
      <c r="W301">
        <v>1</v>
      </c>
      <c r="Z301">
        <v>0</v>
      </c>
    </row>
    <row r="302" spans="1:26" x14ac:dyDescent="0.3">
      <c r="A302">
        <v>14741709</v>
      </c>
      <c r="B302" t="s">
        <v>1306</v>
      </c>
      <c r="C302" t="s">
        <v>1307</v>
      </c>
      <c r="D302" t="s">
        <v>1308</v>
      </c>
      <c r="F302" t="str">
        <f>"069115290X"</f>
        <v>069115290X</v>
      </c>
      <c r="G302" t="str">
        <f>"9780691152905"</f>
        <v>9780691152905</v>
      </c>
      <c r="H302">
        <v>0</v>
      </c>
      <c r="I302">
        <v>4.3</v>
      </c>
      <c r="J302" t="s">
        <v>1309</v>
      </c>
      <c r="K302" t="s">
        <v>35</v>
      </c>
      <c r="L302">
        <v>792</v>
      </c>
      <c r="M302">
        <v>2012</v>
      </c>
      <c r="N302">
        <v>2012</v>
      </c>
      <c r="P302" s="1">
        <v>43745</v>
      </c>
      <c r="Q302" t="s">
        <v>36</v>
      </c>
      <c r="R302" t="s">
        <v>1310</v>
      </c>
      <c r="S302" t="s">
        <v>36</v>
      </c>
      <c r="W302">
        <v>0</v>
      </c>
      <c r="Z302">
        <v>0</v>
      </c>
    </row>
    <row r="303" spans="1:26" x14ac:dyDescent="0.3">
      <c r="A303">
        <v>679920</v>
      </c>
      <c r="B303" t="s">
        <v>1311</v>
      </c>
      <c r="C303" t="s">
        <v>1307</v>
      </c>
      <c r="D303" t="s">
        <v>1308</v>
      </c>
      <c r="F303" t="str">
        <f>"0521595576"</f>
        <v>0521595576</v>
      </c>
      <c r="G303" t="str">
        <f>"9780521595575"</f>
        <v>9780521595575</v>
      </c>
      <c r="H303">
        <v>0</v>
      </c>
      <c r="I303">
        <v>3.71</v>
      </c>
      <c r="J303" t="s">
        <v>261</v>
      </c>
      <c r="K303" t="s">
        <v>60</v>
      </c>
      <c r="L303">
        <v>108</v>
      </c>
      <c r="M303">
        <v>1997</v>
      </c>
      <c r="N303">
        <v>1995</v>
      </c>
      <c r="P303" s="1">
        <v>43745</v>
      </c>
      <c r="Q303" t="s">
        <v>36</v>
      </c>
      <c r="R303" t="s">
        <v>1312</v>
      </c>
      <c r="S303" t="s">
        <v>36</v>
      </c>
      <c r="W303">
        <v>0</v>
      </c>
      <c r="Z303">
        <v>0</v>
      </c>
    </row>
    <row r="304" spans="1:26" x14ac:dyDescent="0.3">
      <c r="A304">
        <v>301272</v>
      </c>
      <c r="B304" t="s">
        <v>1313</v>
      </c>
      <c r="C304" t="s">
        <v>1307</v>
      </c>
      <c r="D304" t="s">
        <v>1308</v>
      </c>
      <c r="F304" t="str">
        <f>"0299133443"</f>
        <v>0299133443</v>
      </c>
      <c r="G304" t="str">
        <f>"9780299133443"</f>
        <v>9780299133443</v>
      </c>
      <c r="H304">
        <v>0</v>
      </c>
      <c r="I304">
        <v>4.16</v>
      </c>
      <c r="J304" t="s">
        <v>1314</v>
      </c>
      <c r="K304" t="s">
        <v>1315</v>
      </c>
      <c r="L304">
        <v>192</v>
      </c>
      <c r="M304">
        <v>1992</v>
      </c>
      <c r="N304">
        <v>1988</v>
      </c>
      <c r="P304" s="1">
        <v>43745</v>
      </c>
      <c r="Q304" t="s">
        <v>36</v>
      </c>
      <c r="R304" t="s">
        <v>1316</v>
      </c>
      <c r="S304" t="s">
        <v>36</v>
      </c>
      <c r="W304">
        <v>0</v>
      </c>
      <c r="Z304">
        <v>0</v>
      </c>
    </row>
    <row r="305" spans="1:26" x14ac:dyDescent="0.3">
      <c r="A305">
        <v>189589</v>
      </c>
      <c r="B305" t="s">
        <v>1317</v>
      </c>
      <c r="C305" t="s">
        <v>1307</v>
      </c>
      <c r="D305" t="s">
        <v>1308</v>
      </c>
      <c r="F305" t="str">
        <f>"0393958035"</f>
        <v>0393958035</v>
      </c>
      <c r="G305" t="str">
        <f>"9780393958034"</f>
        <v>9780393958034</v>
      </c>
      <c r="H305">
        <v>0</v>
      </c>
      <c r="I305">
        <v>4.07</v>
      </c>
      <c r="J305" t="s">
        <v>1318</v>
      </c>
      <c r="K305" t="s">
        <v>60</v>
      </c>
      <c r="L305">
        <v>216</v>
      </c>
      <c r="M305">
        <v>1989</v>
      </c>
      <c r="N305">
        <v>1971</v>
      </c>
      <c r="P305" s="1">
        <v>43744</v>
      </c>
      <c r="Q305" t="s">
        <v>36</v>
      </c>
      <c r="R305" t="s">
        <v>1319</v>
      </c>
      <c r="S305" t="s">
        <v>36</v>
      </c>
      <c r="W305">
        <v>0</v>
      </c>
      <c r="Z305">
        <v>0</v>
      </c>
    </row>
    <row r="306" spans="1:26" x14ac:dyDescent="0.3">
      <c r="A306">
        <v>10825609</v>
      </c>
      <c r="B306" t="s">
        <v>1320</v>
      </c>
      <c r="C306" t="s">
        <v>1321</v>
      </c>
      <c r="D306" t="s">
        <v>1322</v>
      </c>
      <c r="F306" t="str">
        <f>"0195395239"</f>
        <v>0195395239</v>
      </c>
      <c r="G306" t="str">
        <f>"9780195395235"</f>
        <v>9780195395235</v>
      </c>
      <c r="H306">
        <v>0</v>
      </c>
      <c r="I306">
        <v>3.98</v>
      </c>
      <c r="J306" t="s">
        <v>756</v>
      </c>
      <c r="K306" t="s">
        <v>35</v>
      </c>
      <c r="L306">
        <v>273</v>
      </c>
      <c r="M306">
        <v>2011</v>
      </c>
      <c r="N306">
        <v>2011</v>
      </c>
      <c r="P306" s="1">
        <v>43738</v>
      </c>
      <c r="Q306" t="s">
        <v>36</v>
      </c>
      <c r="R306" t="s">
        <v>1323</v>
      </c>
      <c r="S306" t="s">
        <v>36</v>
      </c>
      <c r="W306">
        <v>0</v>
      </c>
      <c r="Z306">
        <v>0</v>
      </c>
    </row>
    <row r="307" spans="1:26" x14ac:dyDescent="0.3">
      <c r="A307">
        <v>36404631</v>
      </c>
      <c r="B307" t="s">
        <v>1324</v>
      </c>
      <c r="C307" t="s">
        <v>1325</v>
      </c>
      <c r="D307" t="s">
        <v>1326</v>
      </c>
      <c r="F307" t="str">
        <f>"0199362742"</f>
        <v>0199362742</v>
      </c>
      <c r="G307" t="str">
        <f>"9780199362745"</f>
        <v>9780199362745</v>
      </c>
      <c r="H307">
        <v>0</v>
      </c>
      <c r="I307">
        <v>4.25</v>
      </c>
      <c r="J307" t="s">
        <v>756</v>
      </c>
      <c r="K307" t="s">
        <v>35</v>
      </c>
      <c r="L307">
        <v>408</v>
      </c>
      <c r="M307">
        <v>2018</v>
      </c>
      <c r="N307">
        <v>2018</v>
      </c>
      <c r="P307" s="1">
        <v>43738</v>
      </c>
      <c r="Q307" t="s">
        <v>36</v>
      </c>
      <c r="R307" t="s">
        <v>1327</v>
      </c>
      <c r="S307" t="s">
        <v>36</v>
      </c>
      <c r="W307">
        <v>0</v>
      </c>
      <c r="Z307">
        <v>0</v>
      </c>
    </row>
    <row r="308" spans="1:26" x14ac:dyDescent="0.3">
      <c r="A308">
        <v>285423</v>
      </c>
      <c r="B308" t="s">
        <v>1328</v>
      </c>
      <c r="C308" t="s">
        <v>1325</v>
      </c>
      <c r="D308" t="s">
        <v>1326</v>
      </c>
      <c r="F308" t="str">
        <f>"0195325419"</f>
        <v>0195325419</v>
      </c>
      <c r="G308" t="str">
        <f>"9780195325416"</f>
        <v>9780195325416</v>
      </c>
      <c r="H308">
        <v>0</v>
      </c>
      <c r="I308">
        <v>4.1399999999999997</v>
      </c>
      <c r="J308" t="s">
        <v>104</v>
      </c>
      <c r="K308" t="s">
        <v>60</v>
      </c>
      <c r="L308">
        <v>572</v>
      </c>
      <c r="M308">
        <v>2007</v>
      </c>
      <c r="N308">
        <v>2005</v>
      </c>
      <c r="P308" s="1">
        <v>43717</v>
      </c>
      <c r="S308" t="s">
        <v>174</v>
      </c>
      <c r="W308">
        <v>1</v>
      </c>
      <c r="Z308">
        <v>0</v>
      </c>
    </row>
    <row r="309" spans="1:26" x14ac:dyDescent="0.3">
      <c r="A309">
        <v>116549</v>
      </c>
      <c r="B309" t="s">
        <v>1329</v>
      </c>
      <c r="C309" t="s">
        <v>911</v>
      </c>
      <c r="D309" t="s">
        <v>912</v>
      </c>
      <c r="F309" t="str">
        <f>"0802844162"</f>
        <v>0802844162</v>
      </c>
      <c r="G309" t="str">
        <f>"9780802844163"</f>
        <v>9780802844163</v>
      </c>
      <c r="H309">
        <v>0</v>
      </c>
      <c r="I309">
        <v>3.89</v>
      </c>
      <c r="J309" t="s">
        <v>617</v>
      </c>
      <c r="K309" t="s">
        <v>60</v>
      </c>
      <c r="L309">
        <v>280</v>
      </c>
      <c r="M309">
        <v>2006</v>
      </c>
      <c r="N309">
        <v>2003</v>
      </c>
      <c r="P309" s="1">
        <v>43575</v>
      </c>
      <c r="S309" t="s">
        <v>174</v>
      </c>
      <c r="W309">
        <v>1</v>
      </c>
      <c r="Z309">
        <v>0</v>
      </c>
    </row>
    <row r="310" spans="1:26" x14ac:dyDescent="0.3">
      <c r="A310">
        <v>7101287</v>
      </c>
      <c r="B310" t="s">
        <v>1330</v>
      </c>
      <c r="C310" t="s">
        <v>1331</v>
      </c>
      <c r="D310" t="s">
        <v>1332</v>
      </c>
      <c r="F310" t="str">
        <f>"0674050975"</f>
        <v>0674050975</v>
      </c>
      <c r="G310" t="str">
        <f>"9780674050976"</f>
        <v>9780674050976</v>
      </c>
      <c r="H310">
        <v>0</v>
      </c>
      <c r="I310">
        <v>3.83</v>
      </c>
      <c r="J310" t="s">
        <v>524</v>
      </c>
      <c r="K310" t="s">
        <v>35</v>
      </c>
      <c r="L310">
        <v>280</v>
      </c>
      <c r="M310">
        <v>2010</v>
      </c>
      <c r="N310">
        <v>2010</v>
      </c>
      <c r="P310" s="1">
        <v>43734</v>
      </c>
      <c r="Q310" t="s">
        <v>36</v>
      </c>
      <c r="R310" t="s">
        <v>1333</v>
      </c>
      <c r="S310" t="s">
        <v>36</v>
      </c>
      <c r="W310">
        <v>0</v>
      </c>
      <c r="Z310">
        <v>0</v>
      </c>
    </row>
    <row r="311" spans="1:26" x14ac:dyDescent="0.3">
      <c r="A311">
        <v>2969210</v>
      </c>
      <c r="B311" t="s">
        <v>1334</v>
      </c>
      <c r="C311" t="s">
        <v>887</v>
      </c>
      <c r="D311" t="s">
        <v>888</v>
      </c>
      <c r="F311" t="str">
        <f>"0567032124"</f>
        <v>0567032124</v>
      </c>
      <c r="G311" t="str">
        <f>"9780567032126"</f>
        <v>9780567032126</v>
      </c>
      <c r="H311">
        <v>0</v>
      </c>
      <c r="I311">
        <v>3.54</v>
      </c>
      <c r="J311" t="s">
        <v>194</v>
      </c>
      <c r="K311" t="s">
        <v>60</v>
      </c>
      <c r="L311">
        <v>224</v>
      </c>
      <c r="M311">
        <v>2007</v>
      </c>
      <c r="N311">
        <v>2006</v>
      </c>
      <c r="P311" s="1">
        <v>43733</v>
      </c>
      <c r="Q311" t="s">
        <v>36</v>
      </c>
      <c r="R311" t="s">
        <v>1335</v>
      </c>
      <c r="S311" t="s">
        <v>36</v>
      </c>
      <c r="W311">
        <v>0</v>
      </c>
      <c r="Z311">
        <v>0</v>
      </c>
    </row>
    <row r="312" spans="1:26" x14ac:dyDescent="0.3">
      <c r="A312">
        <v>19049138</v>
      </c>
      <c r="B312" t="s">
        <v>1336</v>
      </c>
      <c r="C312" t="s">
        <v>911</v>
      </c>
      <c r="D312" t="s">
        <v>912</v>
      </c>
      <c r="E312" t="s">
        <v>1337</v>
      </c>
      <c r="F312" t="str">
        <f>""</f>
        <v/>
      </c>
      <c r="G312" t="str">
        <f>"9781935335818"</f>
        <v>9781935335818</v>
      </c>
      <c r="H312">
        <v>0</v>
      </c>
      <c r="I312">
        <v>4.29</v>
      </c>
      <c r="J312" t="s">
        <v>1280</v>
      </c>
      <c r="K312" t="s">
        <v>69</v>
      </c>
      <c r="L312">
        <v>166</v>
      </c>
      <c r="M312">
        <v>2013</v>
      </c>
      <c r="N312">
        <v>2013</v>
      </c>
      <c r="P312" s="1">
        <v>43575</v>
      </c>
      <c r="S312" t="s">
        <v>174</v>
      </c>
      <c r="W312">
        <v>1</v>
      </c>
      <c r="Z312">
        <v>0</v>
      </c>
    </row>
    <row r="313" spans="1:26" x14ac:dyDescent="0.3">
      <c r="A313">
        <v>15862845</v>
      </c>
      <c r="B313" t="s">
        <v>1338</v>
      </c>
      <c r="C313" t="s">
        <v>1339</v>
      </c>
      <c r="D313" t="s">
        <v>1340</v>
      </c>
      <c r="F313" t="str">
        <f>"0764209760"</f>
        <v>0764209760</v>
      </c>
      <c r="G313" t="str">
        <f>"9780764209765"</f>
        <v>9780764209765</v>
      </c>
      <c r="H313">
        <v>0</v>
      </c>
      <c r="I313">
        <v>4.3600000000000003</v>
      </c>
      <c r="J313" t="s">
        <v>1341</v>
      </c>
      <c r="K313" t="s">
        <v>60</v>
      </c>
      <c r="L313">
        <v>311</v>
      </c>
      <c r="M313">
        <v>2013</v>
      </c>
      <c r="N313">
        <v>2013</v>
      </c>
      <c r="P313" s="1">
        <v>43730</v>
      </c>
      <c r="S313" t="s">
        <v>174</v>
      </c>
      <c r="W313">
        <v>1</v>
      </c>
      <c r="Z313">
        <v>0</v>
      </c>
    </row>
    <row r="314" spans="1:26" x14ac:dyDescent="0.3">
      <c r="A314">
        <v>1787186</v>
      </c>
      <c r="B314" t="s">
        <v>1342</v>
      </c>
      <c r="C314" t="s">
        <v>1343</v>
      </c>
      <c r="D314" t="s">
        <v>1344</v>
      </c>
      <c r="F314" t="str">
        <f>"1841272582"</f>
        <v>1841272582</v>
      </c>
      <c r="G314" t="str">
        <f>"9781841272580"</f>
        <v>9781841272580</v>
      </c>
      <c r="H314">
        <v>0</v>
      </c>
      <c r="I314">
        <v>3.75</v>
      </c>
      <c r="J314" t="s">
        <v>1345</v>
      </c>
      <c r="K314" t="s">
        <v>60</v>
      </c>
      <c r="L314">
        <v>331</v>
      </c>
      <c r="M314">
        <v>2002</v>
      </c>
      <c r="N314">
        <v>2001</v>
      </c>
      <c r="P314" s="1">
        <v>43730</v>
      </c>
      <c r="Q314" t="s">
        <v>36</v>
      </c>
      <c r="R314" t="s">
        <v>1346</v>
      </c>
      <c r="S314" t="s">
        <v>36</v>
      </c>
      <c r="W314">
        <v>0</v>
      </c>
      <c r="Z314">
        <v>0</v>
      </c>
    </row>
    <row r="315" spans="1:26" x14ac:dyDescent="0.3">
      <c r="A315">
        <v>2114781</v>
      </c>
      <c r="B315" t="s">
        <v>1347</v>
      </c>
      <c r="C315" t="s">
        <v>1348</v>
      </c>
      <c r="D315" t="s">
        <v>1349</v>
      </c>
      <c r="F315" t="str">
        <f>"080613108X"</f>
        <v>080613108X</v>
      </c>
      <c r="G315" t="str">
        <f>"9780806131085"</f>
        <v>9780806131085</v>
      </c>
      <c r="H315">
        <v>0</v>
      </c>
      <c r="I315">
        <v>3.5</v>
      </c>
      <c r="J315" t="s">
        <v>1350</v>
      </c>
      <c r="K315" t="s">
        <v>35</v>
      </c>
      <c r="L315">
        <v>160</v>
      </c>
      <c r="M315">
        <v>1999</v>
      </c>
      <c r="N315">
        <v>1999</v>
      </c>
      <c r="P315" s="1">
        <v>43730</v>
      </c>
      <c r="Q315" t="s">
        <v>36</v>
      </c>
      <c r="R315" t="s">
        <v>1351</v>
      </c>
      <c r="S315" t="s">
        <v>36</v>
      </c>
      <c r="W315">
        <v>0</v>
      </c>
      <c r="Z315">
        <v>0</v>
      </c>
    </row>
    <row r="316" spans="1:26" x14ac:dyDescent="0.3">
      <c r="A316">
        <v>36709505</v>
      </c>
      <c r="B316" t="s">
        <v>1352</v>
      </c>
      <c r="C316" t="s">
        <v>1353</v>
      </c>
      <c r="D316" t="s">
        <v>1354</v>
      </c>
      <c r="F316" t="str">
        <f>"1506438458"</f>
        <v>1506438458</v>
      </c>
      <c r="G316" t="str">
        <f>"9781506438450"</f>
        <v>9781506438450</v>
      </c>
      <c r="H316">
        <v>4</v>
      </c>
      <c r="I316">
        <v>4.43</v>
      </c>
      <c r="J316" t="s">
        <v>631</v>
      </c>
      <c r="K316" t="s">
        <v>173</v>
      </c>
      <c r="L316">
        <v>672</v>
      </c>
      <c r="M316">
        <v>2017</v>
      </c>
      <c r="P316" s="1">
        <v>43729</v>
      </c>
      <c r="S316" t="s">
        <v>174</v>
      </c>
      <c r="W316">
        <v>1</v>
      </c>
      <c r="Z316">
        <v>0</v>
      </c>
    </row>
    <row r="317" spans="1:26" x14ac:dyDescent="0.3">
      <c r="A317">
        <v>1734011</v>
      </c>
      <c r="B317" t="s">
        <v>1355</v>
      </c>
      <c r="C317" t="s">
        <v>1356</v>
      </c>
      <c r="D317" t="s">
        <v>1357</v>
      </c>
      <c r="F317" t="str">
        <f>"0195137272"</f>
        <v>0195137272</v>
      </c>
      <c r="G317" t="str">
        <f>"9780195137279"</f>
        <v>9780195137279</v>
      </c>
      <c r="H317">
        <v>0</v>
      </c>
      <c r="I317">
        <v>4</v>
      </c>
      <c r="J317" t="s">
        <v>104</v>
      </c>
      <c r="K317" t="s">
        <v>35</v>
      </c>
      <c r="L317">
        <v>512</v>
      </c>
      <c r="M317">
        <v>2003</v>
      </c>
      <c r="N317">
        <v>2002</v>
      </c>
      <c r="P317" s="1">
        <v>43727</v>
      </c>
      <c r="Q317" t="s">
        <v>36</v>
      </c>
      <c r="R317" t="s">
        <v>1358</v>
      </c>
      <c r="S317" t="s">
        <v>36</v>
      </c>
      <c r="W317">
        <v>0</v>
      </c>
      <c r="Z317">
        <v>0</v>
      </c>
    </row>
    <row r="318" spans="1:26" x14ac:dyDescent="0.3">
      <c r="A318">
        <v>24501204</v>
      </c>
      <c r="B318" t="s">
        <v>1359</v>
      </c>
      <c r="C318" t="s">
        <v>1360</v>
      </c>
      <c r="D318" t="s">
        <v>1361</v>
      </c>
      <c r="E318" t="s">
        <v>1356</v>
      </c>
      <c r="F318" t="str">
        <f>"039391898X"</f>
        <v>039391898X</v>
      </c>
      <c r="G318" t="str">
        <f>"9780393918984"</f>
        <v>9780393918984</v>
      </c>
      <c r="H318">
        <v>0</v>
      </c>
      <c r="I318">
        <v>3.89</v>
      </c>
      <c r="J318" t="s">
        <v>1362</v>
      </c>
      <c r="K318" t="s">
        <v>60</v>
      </c>
      <c r="L318">
        <v>720</v>
      </c>
      <c r="M318">
        <v>2015</v>
      </c>
      <c r="N318">
        <v>2015</v>
      </c>
      <c r="P318" s="1">
        <v>43727</v>
      </c>
      <c r="Q318" t="s">
        <v>36</v>
      </c>
      <c r="R318" t="s">
        <v>1363</v>
      </c>
      <c r="S318" t="s">
        <v>36</v>
      </c>
      <c r="W318">
        <v>0</v>
      </c>
      <c r="Z318">
        <v>0</v>
      </c>
    </row>
    <row r="319" spans="1:26" x14ac:dyDescent="0.3">
      <c r="A319">
        <v>714152</v>
      </c>
      <c r="B319" t="s">
        <v>1364</v>
      </c>
      <c r="C319" t="s">
        <v>1356</v>
      </c>
      <c r="D319" t="s">
        <v>1357</v>
      </c>
      <c r="F319" t="str">
        <f>"052153934X"</f>
        <v>052153934X</v>
      </c>
      <c r="G319" t="str">
        <f>"9780521539340"</f>
        <v>9780521539340</v>
      </c>
      <c r="H319">
        <v>0</v>
      </c>
      <c r="I319">
        <v>3.82</v>
      </c>
      <c r="J319" t="s">
        <v>261</v>
      </c>
      <c r="K319" t="s">
        <v>60</v>
      </c>
      <c r="L319">
        <v>332</v>
      </c>
      <c r="M319">
        <v>2006</v>
      </c>
      <c r="N319">
        <v>2006</v>
      </c>
      <c r="P319" s="1">
        <v>43727</v>
      </c>
      <c r="Q319" t="s">
        <v>36</v>
      </c>
      <c r="R319" t="s">
        <v>1365</v>
      </c>
      <c r="S319" t="s">
        <v>36</v>
      </c>
      <c r="W319">
        <v>0</v>
      </c>
      <c r="Z319">
        <v>0</v>
      </c>
    </row>
    <row r="320" spans="1:26" x14ac:dyDescent="0.3">
      <c r="A320">
        <v>1734009</v>
      </c>
      <c r="B320" t="s">
        <v>1366</v>
      </c>
      <c r="C320" t="s">
        <v>1356</v>
      </c>
      <c r="D320" t="s">
        <v>1357</v>
      </c>
      <c r="F320" t="str">
        <f>"9004114653"</f>
        <v>9004114653</v>
      </c>
      <c r="G320" t="str">
        <f>"9789004114654"</f>
        <v>9789004114654</v>
      </c>
      <c r="H320">
        <v>0</v>
      </c>
      <c r="I320">
        <v>3.67</v>
      </c>
      <c r="J320" t="s">
        <v>178</v>
      </c>
      <c r="K320" t="s">
        <v>35</v>
      </c>
      <c r="L320">
        <v>615</v>
      </c>
      <c r="M320">
        <v>2002</v>
      </c>
      <c r="N320">
        <v>2002</v>
      </c>
      <c r="P320" s="1">
        <v>43727</v>
      </c>
      <c r="Q320" t="s">
        <v>36</v>
      </c>
      <c r="R320" t="s">
        <v>1367</v>
      </c>
      <c r="S320" t="s">
        <v>36</v>
      </c>
      <c r="W320">
        <v>0</v>
      </c>
      <c r="Z320">
        <v>0</v>
      </c>
    </row>
    <row r="321" spans="1:26" x14ac:dyDescent="0.3">
      <c r="A321">
        <v>25651148</v>
      </c>
      <c r="B321" t="s">
        <v>1368</v>
      </c>
      <c r="C321" t="s">
        <v>1369</v>
      </c>
      <c r="D321" t="s">
        <v>1370</v>
      </c>
      <c r="F321" t="str">
        <f>"0802868894"</f>
        <v>0802868894</v>
      </c>
      <c r="G321" t="str">
        <f>"9780802868893"</f>
        <v>9780802868893</v>
      </c>
      <c r="H321">
        <v>0</v>
      </c>
      <c r="I321">
        <v>4.59</v>
      </c>
      <c r="J321" t="s">
        <v>617</v>
      </c>
      <c r="K321" t="s">
        <v>35</v>
      </c>
      <c r="L321">
        <v>672</v>
      </c>
      <c r="M321">
        <v>2015</v>
      </c>
      <c r="N321">
        <v>2015</v>
      </c>
      <c r="P321" s="1">
        <v>43727</v>
      </c>
      <c r="Q321" t="s">
        <v>36</v>
      </c>
      <c r="R321" t="s">
        <v>1371</v>
      </c>
      <c r="S321" t="s">
        <v>36</v>
      </c>
      <c r="W321">
        <v>0</v>
      </c>
      <c r="Z321">
        <v>0</v>
      </c>
    </row>
    <row r="322" spans="1:26" x14ac:dyDescent="0.3">
      <c r="A322">
        <v>28962895</v>
      </c>
      <c r="B322" t="s">
        <v>1372</v>
      </c>
      <c r="C322" t="s">
        <v>1373</v>
      </c>
      <c r="D322" t="s">
        <v>1374</v>
      </c>
      <c r="F322" t="str">
        <f>"0316267724"</f>
        <v>0316267724</v>
      </c>
      <c r="G322" t="str">
        <f>"9780316267724"</f>
        <v>9780316267724</v>
      </c>
      <c r="H322">
        <v>0</v>
      </c>
      <c r="I322">
        <v>3.78</v>
      </c>
      <c r="J322" t="s">
        <v>1375</v>
      </c>
      <c r="K322" t="s">
        <v>35</v>
      </c>
      <c r="L322">
        <v>325</v>
      </c>
      <c r="M322">
        <v>2016</v>
      </c>
      <c r="N322">
        <v>2016</v>
      </c>
      <c r="P322" s="1">
        <v>43727</v>
      </c>
      <c r="Q322" t="s">
        <v>36</v>
      </c>
      <c r="R322" t="s">
        <v>1376</v>
      </c>
      <c r="S322" t="s">
        <v>36</v>
      </c>
      <c r="W322">
        <v>0</v>
      </c>
      <c r="Z322">
        <v>0</v>
      </c>
    </row>
    <row r="323" spans="1:26" x14ac:dyDescent="0.3">
      <c r="A323">
        <v>2611972</v>
      </c>
      <c r="B323" t="s">
        <v>1377</v>
      </c>
      <c r="C323" t="s">
        <v>1378</v>
      </c>
      <c r="D323" t="s">
        <v>1379</v>
      </c>
      <c r="F323" t="str">
        <f>"1400060672"</f>
        <v>1400060672</v>
      </c>
      <c r="G323" t="str">
        <f>"9781400060672"</f>
        <v>9781400060672</v>
      </c>
      <c r="H323">
        <v>0</v>
      </c>
      <c r="I323">
        <v>3.8</v>
      </c>
      <c r="J323" t="s">
        <v>745</v>
      </c>
      <c r="K323" t="s">
        <v>35</v>
      </c>
      <c r="L323">
        <v>656</v>
      </c>
      <c r="M323">
        <v>2008</v>
      </c>
      <c r="N323">
        <v>2008</v>
      </c>
      <c r="P323" s="1">
        <v>43719</v>
      </c>
      <c r="Q323" t="s">
        <v>36</v>
      </c>
      <c r="R323" t="s">
        <v>1380</v>
      </c>
      <c r="S323" t="s">
        <v>36</v>
      </c>
      <c r="W323">
        <v>0</v>
      </c>
      <c r="Z323">
        <v>0</v>
      </c>
    </row>
    <row r="324" spans="1:26" x14ac:dyDescent="0.3">
      <c r="A324">
        <v>1889934</v>
      </c>
      <c r="B324" t="s">
        <v>1381</v>
      </c>
      <c r="C324" t="s">
        <v>1382</v>
      </c>
      <c r="D324" t="s">
        <v>1383</v>
      </c>
      <c r="F324" t="str">
        <f>"1883191041"</f>
        <v>1883191041</v>
      </c>
      <c r="G324" t="str">
        <f>"9781883191047"</f>
        <v>9781883191047</v>
      </c>
      <c r="H324">
        <v>0</v>
      </c>
      <c r="I324">
        <v>3.9</v>
      </c>
      <c r="J324" t="s">
        <v>1384</v>
      </c>
      <c r="K324" t="s">
        <v>858</v>
      </c>
      <c r="M324">
        <v>2002</v>
      </c>
      <c r="N324">
        <v>1985</v>
      </c>
      <c r="P324" s="1">
        <v>43719</v>
      </c>
      <c r="Q324" t="s">
        <v>36</v>
      </c>
      <c r="R324" t="s">
        <v>1385</v>
      </c>
      <c r="S324" t="s">
        <v>36</v>
      </c>
      <c r="W324">
        <v>0</v>
      </c>
      <c r="Z324">
        <v>0</v>
      </c>
    </row>
    <row r="325" spans="1:26" x14ac:dyDescent="0.3">
      <c r="A325">
        <v>369388</v>
      </c>
      <c r="B325" t="s">
        <v>1386</v>
      </c>
      <c r="C325" t="s">
        <v>1382</v>
      </c>
      <c r="D325" t="s">
        <v>1383</v>
      </c>
      <c r="F325" t="str">
        <f>"0674016858"</f>
        <v>0674016858</v>
      </c>
      <c r="G325" t="str">
        <f>"9780674016859"</f>
        <v>9780674016859</v>
      </c>
      <c r="H325">
        <v>0</v>
      </c>
      <c r="I325">
        <v>4.5</v>
      </c>
      <c r="J325" t="s">
        <v>155</v>
      </c>
      <c r="K325" t="s">
        <v>35</v>
      </c>
      <c r="L325">
        <v>606</v>
      </c>
      <c r="M325">
        <v>2005</v>
      </c>
      <c r="N325">
        <v>2005</v>
      </c>
      <c r="P325" s="1">
        <v>43719</v>
      </c>
      <c r="Q325" t="s">
        <v>36</v>
      </c>
      <c r="R325" t="s">
        <v>1387</v>
      </c>
      <c r="S325" t="s">
        <v>36</v>
      </c>
      <c r="W325">
        <v>0</v>
      </c>
      <c r="Z325">
        <v>0</v>
      </c>
    </row>
    <row r="326" spans="1:26" x14ac:dyDescent="0.3">
      <c r="A326">
        <v>901625</v>
      </c>
      <c r="B326" t="s">
        <v>1388</v>
      </c>
      <c r="C326" t="s">
        <v>1389</v>
      </c>
      <c r="D326" t="s">
        <v>1390</v>
      </c>
      <c r="F326" t="str">
        <f>"0521627249"</f>
        <v>0521627249</v>
      </c>
      <c r="G326" t="str">
        <f>"9780521627245"</f>
        <v>9780521627245</v>
      </c>
      <c r="H326">
        <v>0</v>
      </c>
      <c r="I326">
        <v>3.8</v>
      </c>
      <c r="J326" t="s">
        <v>261</v>
      </c>
      <c r="K326" t="s">
        <v>60</v>
      </c>
      <c r="L326">
        <v>380</v>
      </c>
      <c r="M326">
        <v>1998</v>
      </c>
      <c r="N326">
        <v>1992</v>
      </c>
      <c r="P326" s="1">
        <v>43719</v>
      </c>
      <c r="Q326" t="s">
        <v>36</v>
      </c>
      <c r="R326" t="s">
        <v>1391</v>
      </c>
      <c r="S326" t="s">
        <v>36</v>
      </c>
      <c r="W326">
        <v>0</v>
      </c>
      <c r="Z326">
        <v>0</v>
      </c>
    </row>
    <row r="327" spans="1:26" x14ac:dyDescent="0.3">
      <c r="A327">
        <v>7794644</v>
      </c>
      <c r="B327" t="s">
        <v>1392</v>
      </c>
      <c r="C327" t="s">
        <v>1393</v>
      </c>
      <c r="D327" t="s">
        <v>1394</v>
      </c>
      <c r="F327" t="str">
        <f>"0253215528"</f>
        <v>0253215528</v>
      </c>
      <c r="G327" t="str">
        <f>"9780253215529"</f>
        <v>9780253215529</v>
      </c>
      <c r="H327">
        <v>0</v>
      </c>
      <c r="I327">
        <v>1</v>
      </c>
      <c r="J327" t="s">
        <v>1087</v>
      </c>
      <c r="K327" t="s">
        <v>60</v>
      </c>
      <c r="L327">
        <v>224</v>
      </c>
      <c r="M327">
        <v>2002</v>
      </c>
      <c r="N327">
        <v>2002</v>
      </c>
      <c r="P327" s="1">
        <v>43719</v>
      </c>
      <c r="Q327" t="s">
        <v>36</v>
      </c>
      <c r="R327" t="s">
        <v>1395</v>
      </c>
      <c r="S327" t="s">
        <v>36</v>
      </c>
      <c r="W327">
        <v>0</v>
      </c>
      <c r="Z327">
        <v>0</v>
      </c>
    </row>
    <row r="328" spans="1:26" x14ac:dyDescent="0.3">
      <c r="A328">
        <v>26141840</v>
      </c>
      <c r="B328" t="s">
        <v>1396</v>
      </c>
      <c r="C328" t="s">
        <v>1397</v>
      </c>
      <c r="D328" t="s">
        <v>1398</v>
      </c>
      <c r="F328" t="str">
        <f>""</f>
        <v/>
      </c>
      <c r="G328" t="str">
        <f>""</f>
        <v/>
      </c>
      <c r="H328">
        <v>0</v>
      </c>
      <c r="I328">
        <v>4.41</v>
      </c>
      <c r="J328" t="s">
        <v>1399</v>
      </c>
      <c r="K328" t="s">
        <v>69</v>
      </c>
      <c r="L328">
        <v>540</v>
      </c>
      <c r="M328">
        <v>2015</v>
      </c>
      <c r="N328">
        <v>2015</v>
      </c>
      <c r="P328" s="1">
        <v>43719</v>
      </c>
      <c r="Q328" t="s">
        <v>36</v>
      </c>
      <c r="R328" t="s">
        <v>1400</v>
      </c>
      <c r="S328" t="s">
        <v>36</v>
      </c>
      <c r="W328">
        <v>0</v>
      </c>
      <c r="Z328">
        <v>0</v>
      </c>
    </row>
    <row r="329" spans="1:26" x14ac:dyDescent="0.3">
      <c r="A329">
        <v>3133367</v>
      </c>
      <c r="B329" t="s">
        <v>1401</v>
      </c>
      <c r="C329" t="s">
        <v>1397</v>
      </c>
      <c r="D329" t="s">
        <v>1398</v>
      </c>
      <c r="F329" t="str">
        <f>"0300119232"</f>
        <v>0300119232</v>
      </c>
      <c r="G329" t="str">
        <f>"9780300119237"</f>
        <v>9780300119237</v>
      </c>
      <c r="H329">
        <v>0</v>
      </c>
      <c r="I329">
        <v>4.17</v>
      </c>
      <c r="J329" t="s">
        <v>356</v>
      </c>
      <c r="K329" t="s">
        <v>35</v>
      </c>
      <c r="L329">
        <v>518</v>
      </c>
      <c r="M329">
        <v>2008</v>
      </c>
      <c r="N329">
        <v>2008</v>
      </c>
      <c r="P329" s="1">
        <v>43719</v>
      </c>
      <c r="Q329" t="s">
        <v>36</v>
      </c>
      <c r="R329" t="s">
        <v>1402</v>
      </c>
      <c r="S329" t="s">
        <v>36</v>
      </c>
      <c r="W329">
        <v>0</v>
      </c>
      <c r="Z329">
        <v>0</v>
      </c>
    </row>
    <row r="330" spans="1:26" x14ac:dyDescent="0.3">
      <c r="A330">
        <v>164893</v>
      </c>
      <c r="B330" t="s">
        <v>1403</v>
      </c>
      <c r="C330" t="s">
        <v>1404</v>
      </c>
      <c r="D330" t="s">
        <v>1405</v>
      </c>
      <c r="F330" t="str">
        <f>"0521779332"</f>
        <v>0521779332</v>
      </c>
      <c r="G330" t="str">
        <f>"9780521779333"</f>
        <v>9780521779333</v>
      </c>
      <c r="H330">
        <v>0</v>
      </c>
      <c r="I330">
        <v>4.04</v>
      </c>
      <c r="J330" t="s">
        <v>261</v>
      </c>
      <c r="K330" t="s">
        <v>60</v>
      </c>
      <c r="L330">
        <v>1002</v>
      </c>
      <c r="M330">
        <v>2002</v>
      </c>
      <c r="N330">
        <v>1988</v>
      </c>
      <c r="P330" s="1">
        <v>43719</v>
      </c>
      <c r="Q330" t="s">
        <v>36</v>
      </c>
      <c r="R330" t="s">
        <v>1406</v>
      </c>
      <c r="S330" t="s">
        <v>36</v>
      </c>
      <c r="W330">
        <v>0</v>
      </c>
      <c r="Z330">
        <v>0</v>
      </c>
    </row>
    <row r="331" spans="1:26" x14ac:dyDescent="0.3">
      <c r="A331">
        <v>431055</v>
      </c>
      <c r="B331" t="s">
        <v>1407</v>
      </c>
      <c r="C331" t="s">
        <v>1408</v>
      </c>
      <c r="D331" t="s">
        <v>1409</v>
      </c>
      <c r="F331" t="str">
        <f>"0262195577"</f>
        <v>0262195577</v>
      </c>
      <c r="G331" t="str">
        <f>"9780262195577"</f>
        <v>9780262195577</v>
      </c>
      <c r="H331">
        <v>0</v>
      </c>
      <c r="I331">
        <v>4.16</v>
      </c>
      <c r="J331" t="s">
        <v>1410</v>
      </c>
      <c r="K331" t="s">
        <v>35</v>
      </c>
      <c r="L331">
        <v>315</v>
      </c>
      <c r="M331">
        <v>2007</v>
      </c>
      <c r="N331">
        <v>2007</v>
      </c>
      <c r="P331" s="1">
        <v>43718</v>
      </c>
      <c r="Q331" t="s">
        <v>36</v>
      </c>
      <c r="R331" t="s">
        <v>1411</v>
      </c>
      <c r="S331" t="s">
        <v>36</v>
      </c>
      <c r="W331">
        <v>0</v>
      </c>
      <c r="Z331">
        <v>0</v>
      </c>
    </row>
    <row r="332" spans="1:26" x14ac:dyDescent="0.3">
      <c r="A332">
        <v>199002</v>
      </c>
      <c r="B332" t="s">
        <v>1412</v>
      </c>
      <c r="C332" t="s">
        <v>1413</v>
      </c>
      <c r="D332" t="s">
        <v>1414</v>
      </c>
      <c r="F332" t="str">
        <f>"0691090106"</f>
        <v>0691090106</v>
      </c>
      <c r="G332" t="str">
        <f>"9780691090108"</f>
        <v>9780691090108</v>
      </c>
      <c r="H332">
        <v>0</v>
      </c>
      <c r="I332">
        <v>3.69</v>
      </c>
      <c r="J332" t="s">
        <v>377</v>
      </c>
      <c r="K332" t="s">
        <v>60</v>
      </c>
      <c r="L332">
        <v>392</v>
      </c>
      <c r="M332">
        <v>2001</v>
      </c>
      <c r="N332">
        <v>2000</v>
      </c>
      <c r="P332" s="1">
        <v>43718</v>
      </c>
      <c r="Q332" t="s">
        <v>36</v>
      </c>
      <c r="R332" t="s">
        <v>1415</v>
      </c>
      <c r="S332" t="s">
        <v>36</v>
      </c>
      <c r="W332">
        <v>0</v>
      </c>
      <c r="Z332">
        <v>0</v>
      </c>
    </row>
    <row r="333" spans="1:26" x14ac:dyDescent="0.3">
      <c r="A333">
        <v>820506</v>
      </c>
      <c r="B333" t="s">
        <v>1416</v>
      </c>
      <c r="C333" t="s">
        <v>1417</v>
      </c>
      <c r="D333" t="s">
        <v>1418</v>
      </c>
      <c r="F333" t="str">
        <f>"0631236163"</f>
        <v>0631236163</v>
      </c>
      <c r="G333" t="str">
        <f>"9780631236160"</f>
        <v>9780631236160</v>
      </c>
      <c r="H333">
        <v>0</v>
      </c>
      <c r="I333">
        <v>3.79</v>
      </c>
      <c r="J333" t="s">
        <v>319</v>
      </c>
      <c r="K333" t="s">
        <v>60</v>
      </c>
      <c r="L333">
        <v>540</v>
      </c>
      <c r="M333">
        <v>2003</v>
      </c>
      <c r="N333">
        <v>2003</v>
      </c>
      <c r="P333" s="1">
        <v>43718</v>
      </c>
      <c r="Q333" t="s">
        <v>36</v>
      </c>
      <c r="R333" t="s">
        <v>1419</v>
      </c>
      <c r="S333" t="s">
        <v>36</v>
      </c>
      <c r="W333">
        <v>0</v>
      </c>
      <c r="Z333">
        <v>0</v>
      </c>
    </row>
    <row r="334" spans="1:26" x14ac:dyDescent="0.3">
      <c r="A334">
        <v>17934377</v>
      </c>
      <c r="B334" t="s">
        <v>1420</v>
      </c>
      <c r="C334" t="s">
        <v>1421</v>
      </c>
      <c r="D334" t="s">
        <v>1422</v>
      </c>
      <c r="F334" t="str">
        <f>"0374286000"</f>
        <v>0374286000</v>
      </c>
      <c r="G334" t="str">
        <f>"9780374286002"</f>
        <v>9780374286002</v>
      </c>
      <c r="H334">
        <v>0</v>
      </c>
      <c r="I334">
        <v>3.95</v>
      </c>
      <c r="J334" t="s">
        <v>351</v>
      </c>
      <c r="K334" t="s">
        <v>35</v>
      </c>
      <c r="L334">
        <v>512</v>
      </c>
      <c r="M334">
        <v>2014</v>
      </c>
      <c r="N334">
        <v>2014</v>
      </c>
      <c r="P334" s="1">
        <v>43717</v>
      </c>
      <c r="Q334" t="s">
        <v>36</v>
      </c>
      <c r="R334" t="s">
        <v>1423</v>
      </c>
      <c r="S334" t="s">
        <v>36</v>
      </c>
      <c r="W334">
        <v>0</v>
      </c>
      <c r="Z334">
        <v>0</v>
      </c>
    </row>
    <row r="335" spans="1:26" x14ac:dyDescent="0.3">
      <c r="A335">
        <v>9491855</v>
      </c>
      <c r="B335" t="s">
        <v>1424</v>
      </c>
      <c r="C335" t="s">
        <v>1421</v>
      </c>
      <c r="D335" t="s">
        <v>1422</v>
      </c>
      <c r="F335" t="str">
        <f>"1429977043"</f>
        <v>1429977043</v>
      </c>
      <c r="G335" t="str">
        <f>"9781429977043"</f>
        <v>9781429977043</v>
      </c>
      <c r="H335">
        <v>4</v>
      </c>
      <c r="I335">
        <v>4.1100000000000003</v>
      </c>
      <c r="J335" t="s">
        <v>351</v>
      </c>
      <c r="K335" t="s">
        <v>173</v>
      </c>
      <c r="L335">
        <v>768</v>
      </c>
      <c r="M335">
        <v>2010</v>
      </c>
      <c r="N335">
        <v>2010</v>
      </c>
      <c r="P335" s="1">
        <v>43509</v>
      </c>
      <c r="S335" t="s">
        <v>174</v>
      </c>
      <c r="W335">
        <v>1</v>
      </c>
      <c r="Z335">
        <v>0</v>
      </c>
    </row>
    <row r="336" spans="1:26" x14ac:dyDescent="0.3">
      <c r="A336">
        <v>4458818</v>
      </c>
      <c r="B336" t="s">
        <v>1425</v>
      </c>
      <c r="C336" t="s">
        <v>1426</v>
      </c>
      <c r="D336" t="s">
        <v>1427</v>
      </c>
      <c r="F336" t="str">
        <f>"0060787376"</f>
        <v>0060787376</v>
      </c>
      <c r="G336" t="str">
        <f>"9780060787370"</f>
        <v>9780060787370</v>
      </c>
      <c r="H336">
        <v>0</v>
      </c>
      <c r="I336">
        <v>3.56</v>
      </c>
      <c r="J336" t="s">
        <v>1040</v>
      </c>
      <c r="K336" t="s">
        <v>35</v>
      </c>
      <c r="L336">
        <v>448</v>
      </c>
      <c r="M336">
        <v>2008</v>
      </c>
      <c r="N336">
        <v>2008</v>
      </c>
      <c r="P336" s="1">
        <v>43717</v>
      </c>
      <c r="Q336" t="s">
        <v>36</v>
      </c>
      <c r="R336" t="s">
        <v>1428</v>
      </c>
      <c r="S336" t="s">
        <v>36</v>
      </c>
      <c r="W336">
        <v>0</v>
      </c>
      <c r="Z336">
        <v>0</v>
      </c>
    </row>
    <row r="337" spans="1:26" x14ac:dyDescent="0.3">
      <c r="A337">
        <v>358646</v>
      </c>
      <c r="B337" t="s">
        <v>1429</v>
      </c>
      <c r="C337" t="s">
        <v>1430</v>
      </c>
      <c r="D337" t="s">
        <v>1431</v>
      </c>
      <c r="F337" t="str">
        <f>"0375411852"</f>
        <v>0375411852</v>
      </c>
      <c r="G337" t="str">
        <f>"9780375411854"</f>
        <v>9780375411854</v>
      </c>
      <c r="H337">
        <v>0</v>
      </c>
      <c r="I337">
        <v>3.98</v>
      </c>
      <c r="J337" t="s">
        <v>476</v>
      </c>
      <c r="K337" t="s">
        <v>35</v>
      </c>
      <c r="L337">
        <v>624</v>
      </c>
      <c r="M337">
        <v>2007</v>
      </c>
      <c r="N337">
        <v>2007</v>
      </c>
      <c r="P337" s="1">
        <v>43717</v>
      </c>
      <c r="Q337" t="s">
        <v>36</v>
      </c>
      <c r="R337" t="s">
        <v>1432</v>
      </c>
      <c r="S337" t="s">
        <v>36</v>
      </c>
      <c r="W337">
        <v>0</v>
      </c>
      <c r="Z337">
        <v>0</v>
      </c>
    </row>
    <row r="338" spans="1:26" x14ac:dyDescent="0.3">
      <c r="A338">
        <v>1568165</v>
      </c>
      <c r="B338" t="s">
        <v>1433</v>
      </c>
      <c r="C338" t="s">
        <v>1434</v>
      </c>
      <c r="D338" t="s">
        <v>1435</v>
      </c>
      <c r="F338" t="str">
        <f>"0521804965"</f>
        <v>0521804965</v>
      </c>
      <c r="G338" t="str">
        <f>"9780521804967"</f>
        <v>9780521804967</v>
      </c>
      <c r="H338">
        <v>0</v>
      </c>
      <c r="I338">
        <v>4.09</v>
      </c>
      <c r="J338" t="s">
        <v>261</v>
      </c>
      <c r="K338" t="s">
        <v>60</v>
      </c>
      <c r="L338">
        <v>484</v>
      </c>
      <c r="M338">
        <v>2003</v>
      </c>
      <c r="N338">
        <v>1999</v>
      </c>
      <c r="P338" s="1">
        <v>43717</v>
      </c>
      <c r="Q338" t="s">
        <v>36</v>
      </c>
      <c r="R338" t="s">
        <v>1436</v>
      </c>
      <c r="S338" t="s">
        <v>36</v>
      </c>
      <c r="W338">
        <v>0</v>
      </c>
      <c r="Z338">
        <v>0</v>
      </c>
    </row>
    <row r="339" spans="1:26" x14ac:dyDescent="0.3">
      <c r="A339">
        <v>6453505</v>
      </c>
      <c r="B339" t="s">
        <v>1437</v>
      </c>
      <c r="C339" t="s">
        <v>1434</v>
      </c>
      <c r="D339" t="s">
        <v>1435</v>
      </c>
      <c r="F339" t="str">
        <f>"0521530369"</f>
        <v>0521530369</v>
      </c>
      <c r="G339" t="str">
        <f>"9780521530361"</f>
        <v>9780521530361</v>
      </c>
      <c r="H339">
        <v>0</v>
      </c>
      <c r="I339">
        <v>4</v>
      </c>
      <c r="J339" t="s">
        <v>261</v>
      </c>
      <c r="K339" t="s">
        <v>60</v>
      </c>
      <c r="L339">
        <v>976</v>
      </c>
      <c r="M339">
        <v>2009</v>
      </c>
      <c r="N339">
        <v>2001</v>
      </c>
      <c r="P339" s="1">
        <v>43717</v>
      </c>
      <c r="Q339" t="s">
        <v>36</v>
      </c>
      <c r="R339" t="s">
        <v>1438</v>
      </c>
      <c r="S339" t="s">
        <v>36</v>
      </c>
      <c r="W339">
        <v>0</v>
      </c>
      <c r="Z339">
        <v>0</v>
      </c>
    </row>
    <row r="340" spans="1:26" x14ac:dyDescent="0.3">
      <c r="A340">
        <v>169479</v>
      </c>
      <c r="B340" t="s">
        <v>1439</v>
      </c>
      <c r="C340" t="s">
        <v>1440</v>
      </c>
      <c r="D340" t="s">
        <v>1441</v>
      </c>
      <c r="E340" t="s">
        <v>1442</v>
      </c>
      <c r="F340" t="str">
        <f>"0684869136"</f>
        <v>0684869136</v>
      </c>
      <c r="G340" t="str">
        <f>"9780684869131"</f>
        <v>9780684869131</v>
      </c>
      <c r="H340">
        <v>4</v>
      </c>
      <c r="I340">
        <v>4.1100000000000003</v>
      </c>
      <c r="J340" t="s">
        <v>1443</v>
      </c>
      <c r="K340" t="s">
        <v>60</v>
      </c>
      <c r="L340">
        <v>385</v>
      </c>
      <c r="M340">
        <v>2002</v>
      </c>
      <c r="N340">
        <v>2001</v>
      </c>
      <c r="O340" s="1">
        <v>43577</v>
      </c>
      <c r="P340" s="1">
        <v>43575</v>
      </c>
      <c r="S340" t="s">
        <v>174</v>
      </c>
      <c r="W340">
        <v>2</v>
      </c>
      <c r="Z340">
        <v>0</v>
      </c>
    </row>
    <row r="341" spans="1:26" x14ac:dyDescent="0.3">
      <c r="A341">
        <v>672106</v>
      </c>
      <c r="B341" t="s">
        <v>1444</v>
      </c>
      <c r="C341" t="s">
        <v>1445</v>
      </c>
      <c r="D341" t="s">
        <v>1446</v>
      </c>
      <c r="F341" t="str">
        <f>"9004153861"</f>
        <v>9004153861</v>
      </c>
      <c r="G341" t="str">
        <f>"9789004153868"</f>
        <v>9789004153868</v>
      </c>
      <c r="H341">
        <v>0</v>
      </c>
      <c r="I341">
        <v>4.5</v>
      </c>
      <c r="J341" t="s">
        <v>584</v>
      </c>
      <c r="K341" t="s">
        <v>35</v>
      </c>
      <c r="L341">
        <v>355</v>
      </c>
      <c r="M341">
        <v>2006</v>
      </c>
      <c r="N341">
        <v>2006</v>
      </c>
      <c r="P341" s="1">
        <v>43716</v>
      </c>
      <c r="Q341" t="s">
        <v>36</v>
      </c>
      <c r="R341" t="s">
        <v>1447</v>
      </c>
      <c r="S341" t="s">
        <v>36</v>
      </c>
      <c r="W341">
        <v>0</v>
      </c>
      <c r="Z341">
        <v>0</v>
      </c>
    </row>
    <row r="342" spans="1:26" x14ac:dyDescent="0.3">
      <c r="A342">
        <v>610844</v>
      </c>
      <c r="B342" t="s">
        <v>1448</v>
      </c>
      <c r="C342" t="s">
        <v>1449</v>
      </c>
      <c r="D342" t="s">
        <v>1450</v>
      </c>
      <c r="F342" t="str">
        <f>"1842120115"</f>
        <v>1842120115</v>
      </c>
      <c r="G342" t="str">
        <f>"9781842120118"</f>
        <v>9781842120118</v>
      </c>
      <c r="H342">
        <v>0</v>
      </c>
      <c r="I342">
        <v>3.95</v>
      </c>
      <c r="J342" t="s">
        <v>1451</v>
      </c>
      <c r="K342" t="s">
        <v>60</v>
      </c>
      <c r="L342">
        <v>304</v>
      </c>
      <c r="M342">
        <v>2000</v>
      </c>
      <c r="N342">
        <v>1975</v>
      </c>
      <c r="P342" s="1">
        <v>43716</v>
      </c>
      <c r="Q342" t="s">
        <v>36</v>
      </c>
      <c r="R342" t="s">
        <v>1452</v>
      </c>
      <c r="S342" t="s">
        <v>36</v>
      </c>
      <c r="W342">
        <v>0</v>
      </c>
      <c r="Z342">
        <v>0</v>
      </c>
    </row>
    <row r="343" spans="1:26" x14ac:dyDescent="0.3">
      <c r="A343">
        <v>22668137</v>
      </c>
      <c r="B343" t="s">
        <v>1453</v>
      </c>
      <c r="C343" t="s">
        <v>1454</v>
      </c>
      <c r="D343" t="s">
        <v>1455</v>
      </c>
      <c r="F343" t="str">
        <f>""</f>
        <v/>
      </c>
      <c r="G343" t="str">
        <f>""</f>
        <v/>
      </c>
      <c r="H343">
        <v>5</v>
      </c>
      <c r="I343">
        <v>4.05</v>
      </c>
      <c r="J343" t="s">
        <v>1456</v>
      </c>
      <c r="K343" t="s">
        <v>69</v>
      </c>
      <c r="L343">
        <v>336</v>
      </c>
      <c r="M343">
        <v>2002</v>
      </c>
      <c r="N343">
        <v>2002</v>
      </c>
      <c r="O343" s="1">
        <v>43715</v>
      </c>
      <c r="P343" s="1">
        <v>43649</v>
      </c>
      <c r="S343" t="s">
        <v>174</v>
      </c>
      <c r="W343">
        <v>1</v>
      </c>
      <c r="Z343">
        <v>0</v>
      </c>
    </row>
    <row r="344" spans="1:26" x14ac:dyDescent="0.3">
      <c r="A344">
        <v>16104795</v>
      </c>
      <c r="B344" t="s">
        <v>1457</v>
      </c>
      <c r="C344" t="s">
        <v>1458</v>
      </c>
      <c r="D344" t="s">
        <v>1459</v>
      </c>
      <c r="F344" t="str">
        <f>"0199860149"</f>
        <v>0199860149</v>
      </c>
      <c r="G344" t="str">
        <f>"9780199860142"</f>
        <v>9780199860142</v>
      </c>
      <c r="H344">
        <v>0</v>
      </c>
      <c r="I344">
        <v>3.96</v>
      </c>
      <c r="J344" t="s">
        <v>756</v>
      </c>
      <c r="K344" t="s">
        <v>35</v>
      </c>
      <c r="L344">
        <v>416</v>
      </c>
      <c r="M344">
        <v>2013</v>
      </c>
      <c r="N344">
        <v>2013</v>
      </c>
      <c r="P344" s="1">
        <v>43696</v>
      </c>
      <c r="Q344" t="s">
        <v>36</v>
      </c>
      <c r="R344" t="s">
        <v>1460</v>
      </c>
      <c r="S344" t="s">
        <v>36</v>
      </c>
      <c r="W344">
        <v>0</v>
      </c>
      <c r="Z344">
        <v>0</v>
      </c>
    </row>
    <row r="345" spans="1:26" x14ac:dyDescent="0.3">
      <c r="A345">
        <v>37861</v>
      </c>
      <c r="B345" t="s">
        <v>1461</v>
      </c>
      <c r="C345" t="s">
        <v>848</v>
      </c>
      <c r="D345" t="s">
        <v>849</v>
      </c>
      <c r="E345" t="s">
        <v>1462</v>
      </c>
      <c r="F345" t="str">
        <f>"0691037795"</f>
        <v>0691037795</v>
      </c>
      <c r="G345" t="str">
        <f>"9780691037790"</f>
        <v>9780691037790</v>
      </c>
      <c r="H345">
        <v>0</v>
      </c>
      <c r="I345">
        <v>3.84</v>
      </c>
      <c r="J345" t="s">
        <v>377</v>
      </c>
      <c r="K345" t="s">
        <v>60</v>
      </c>
      <c r="L345">
        <v>192</v>
      </c>
      <c r="M345">
        <v>1994</v>
      </c>
      <c r="N345">
        <v>1992</v>
      </c>
      <c r="P345" s="1">
        <v>43695</v>
      </c>
      <c r="Q345" t="s">
        <v>36</v>
      </c>
      <c r="R345" t="s">
        <v>1463</v>
      </c>
      <c r="S345" t="s">
        <v>36</v>
      </c>
      <c r="W345">
        <v>0</v>
      </c>
      <c r="Z345">
        <v>0</v>
      </c>
    </row>
    <row r="346" spans="1:26" x14ac:dyDescent="0.3">
      <c r="A346">
        <v>1140158</v>
      </c>
      <c r="B346" t="s">
        <v>1464</v>
      </c>
      <c r="C346" t="s">
        <v>1465</v>
      </c>
      <c r="D346" t="s">
        <v>1466</v>
      </c>
      <c r="F346" t="str">
        <f>"141280664X"</f>
        <v>141280664X</v>
      </c>
      <c r="G346" t="str">
        <f>"9781412806640"</f>
        <v>9781412806640</v>
      </c>
      <c r="H346">
        <v>0</v>
      </c>
      <c r="I346">
        <v>4.04</v>
      </c>
      <c r="J346" t="s">
        <v>119</v>
      </c>
      <c r="K346" t="s">
        <v>60</v>
      </c>
      <c r="L346">
        <v>668</v>
      </c>
      <c r="M346">
        <v>2007</v>
      </c>
      <c r="N346">
        <v>1960</v>
      </c>
      <c r="P346" s="1">
        <v>43695</v>
      </c>
      <c r="Q346" t="s">
        <v>36</v>
      </c>
      <c r="R346" t="s">
        <v>1467</v>
      </c>
      <c r="S346" t="s">
        <v>36</v>
      </c>
      <c r="W346">
        <v>0</v>
      </c>
      <c r="Z346">
        <v>0</v>
      </c>
    </row>
    <row r="347" spans="1:26" x14ac:dyDescent="0.3">
      <c r="A347">
        <v>10245602</v>
      </c>
      <c r="B347" t="s">
        <v>1468</v>
      </c>
      <c r="C347" t="s">
        <v>1095</v>
      </c>
      <c r="D347" t="s">
        <v>1096</v>
      </c>
      <c r="E347" t="s">
        <v>1097</v>
      </c>
      <c r="F347" t="str">
        <f>"1586487981"</f>
        <v>1586487981</v>
      </c>
      <c r="G347" t="str">
        <f>"9781586487980"</f>
        <v>9781586487980</v>
      </c>
      <c r="H347">
        <v>0</v>
      </c>
      <c r="I347">
        <v>4.28</v>
      </c>
      <c r="J347" t="s">
        <v>487</v>
      </c>
      <c r="K347" t="s">
        <v>35</v>
      </c>
      <c r="L347">
        <v>320</v>
      </c>
      <c r="M347">
        <v>2011</v>
      </c>
      <c r="N347">
        <v>2011</v>
      </c>
      <c r="O347" s="1">
        <v>43694</v>
      </c>
      <c r="P347" s="1">
        <v>43693</v>
      </c>
      <c r="S347" t="s">
        <v>174</v>
      </c>
      <c r="W347">
        <v>1</v>
      </c>
      <c r="Z347">
        <v>0</v>
      </c>
    </row>
    <row r="348" spans="1:26" x14ac:dyDescent="0.3">
      <c r="A348">
        <v>771283</v>
      </c>
      <c r="B348" t="s">
        <v>1469</v>
      </c>
      <c r="C348" t="s">
        <v>1470</v>
      </c>
      <c r="D348" t="s">
        <v>1471</v>
      </c>
      <c r="F348" t="str">
        <f>"0804712069"</f>
        <v>0804712069</v>
      </c>
      <c r="G348" t="str">
        <f>"9780804712064"</f>
        <v>9780804712064</v>
      </c>
      <c r="H348">
        <v>0</v>
      </c>
      <c r="I348">
        <v>3.99</v>
      </c>
      <c r="J348" t="s">
        <v>293</v>
      </c>
      <c r="K348" t="s">
        <v>60</v>
      </c>
      <c r="L348">
        <v>393</v>
      </c>
      <c r="M348">
        <v>1982</v>
      </c>
      <c r="N348">
        <v>1982</v>
      </c>
      <c r="P348" s="1">
        <v>43693</v>
      </c>
      <c r="Q348" t="s">
        <v>36</v>
      </c>
      <c r="R348" t="s">
        <v>1472</v>
      </c>
      <c r="S348" t="s">
        <v>36</v>
      </c>
      <c r="W348">
        <v>0</v>
      </c>
      <c r="Z348">
        <v>0</v>
      </c>
    </row>
    <row r="349" spans="1:26" x14ac:dyDescent="0.3">
      <c r="A349">
        <v>37857066</v>
      </c>
      <c r="B349" t="s">
        <v>1473</v>
      </c>
      <c r="C349" t="s">
        <v>1474</v>
      </c>
      <c r="D349" t="s">
        <v>1475</v>
      </c>
      <c r="F349" t="str">
        <f>"0241352827"</f>
        <v>0241352827</v>
      </c>
      <c r="G349" t="str">
        <f>"9780241352823"</f>
        <v>9780241352823</v>
      </c>
      <c r="H349">
        <v>0</v>
      </c>
      <c r="I349">
        <v>4.2300000000000004</v>
      </c>
      <c r="J349" t="s">
        <v>99</v>
      </c>
      <c r="K349" t="s">
        <v>35</v>
      </c>
      <c r="L349">
        <v>512</v>
      </c>
      <c r="M349">
        <v>2018</v>
      </c>
      <c r="P349" s="1">
        <v>43693</v>
      </c>
      <c r="Q349" t="s">
        <v>36</v>
      </c>
      <c r="R349" t="s">
        <v>1476</v>
      </c>
      <c r="S349" t="s">
        <v>36</v>
      </c>
      <c r="W349">
        <v>0</v>
      </c>
      <c r="Z349">
        <v>0</v>
      </c>
    </row>
    <row r="350" spans="1:26" x14ac:dyDescent="0.3">
      <c r="A350">
        <v>37857057</v>
      </c>
      <c r="B350" t="s">
        <v>1477</v>
      </c>
      <c r="C350" t="s">
        <v>1478</v>
      </c>
      <c r="D350" t="s">
        <v>1479</v>
      </c>
      <c r="F350" t="str">
        <f>"0241328497"</f>
        <v>0241328497</v>
      </c>
      <c r="G350" t="str">
        <f>"9780241328491"</f>
        <v>9780241328491</v>
      </c>
      <c r="H350">
        <v>0</v>
      </c>
      <c r="I350">
        <v>4.0599999999999996</v>
      </c>
      <c r="J350" t="s">
        <v>99</v>
      </c>
      <c r="K350" t="s">
        <v>35</v>
      </c>
      <c r="L350">
        <v>400</v>
      </c>
      <c r="M350">
        <v>2018</v>
      </c>
      <c r="P350" s="1">
        <v>43693</v>
      </c>
      <c r="Q350" t="s">
        <v>36</v>
      </c>
      <c r="R350" t="s">
        <v>1480</v>
      </c>
      <c r="S350" t="s">
        <v>36</v>
      </c>
      <c r="W350">
        <v>0</v>
      </c>
      <c r="Z350">
        <v>0</v>
      </c>
    </row>
    <row r="351" spans="1:26" x14ac:dyDescent="0.3">
      <c r="A351">
        <v>38748986</v>
      </c>
      <c r="B351" t="s">
        <v>1481</v>
      </c>
      <c r="C351" t="s">
        <v>1482</v>
      </c>
      <c r="D351" t="s">
        <v>1483</v>
      </c>
      <c r="F351" t="str">
        <f>"0300233191"</f>
        <v>0300233191</v>
      </c>
      <c r="G351" t="str">
        <f>"9780300233193"</f>
        <v>9780300233193</v>
      </c>
      <c r="H351">
        <v>0</v>
      </c>
      <c r="I351">
        <v>3.79</v>
      </c>
      <c r="J351" t="s">
        <v>356</v>
      </c>
      <c r="K351" t="s">
        <v>35</v>
      </c>
      <c r="L351">
        <v>248</v>
      </c>
      <c r="M351">
        <v>2018</v>
      </c>
      <c r="N351">
        <v>2018</v>
      </c>
      <c r="P351" s="1">
        <v>43693</v>
      </c>
      <c r="Q351" t="s">
        <v>36</v>
      </c>
      <c r="R351" t="s">
        <v>1484</v>
      </c>
      <c r="S351" t="s">
        <v>36</v>
      </c>
      <c r="W351">
        <v>0</v>
      </c>
      <c r="Z351">
        <v>0</v>
      </c>
    </row>
    <row r="352" spans="1:26" x14ac:dyDescent="0.3">
      <c r="A352">
        <v>37862379</v>
      </c>
      <c r="B352" t="s">
        <v>1485</v>
      </c>
      <c r="C352" t="s">
        <v>1486</v>
      </c>
      <c r="D352" t="s">
        <v>1487</v>
      </c>
      <c r="F352" t="str">
        <f>"1108428215"</f>
        <v>1108428215</v>
      </c>
      <c r="G352" t="str">
        <f>"9781108428217"</f>
        <v>9781108428217</v>
      </c>
      <c r="H352">
        <v>0</v>
      </c>
      <c r="I352">
        <v>2.67</v>
      </c>
      <c r="J352" t="s">
        <v>261</v>
      </c>
      <c r="K352" t="s">
        <v>35</v>
      </c>
      <c r="L352">
        <v>524</v>
      </c>
      <c r="M352">
        <v>2018</v>
      </c>
      <c r="P352" s="1">
        <v>43693</v>
      </c>
      <c r="Q352" t="s">
        <v>36</v>
      </c>
      <c r="R352" t="s">
        <v>1488</v>
      </c>
      <c r="S352" t="s">
        <v>36</v>
      </c>
      <c r="W352">
        <v>0</v>
      </c>
      <c r="Z352">
        <v>0</v>
      </c>
    </row>
    <row r="353" spans="1:26" x14ac:dyDescent="0.3">
      <c r="A353">
        <v>40751646</v>
      </c>
      <c r="B353" t="s">
        <v>1489</v>
      </c>
      <c r="C353" t="s">
        <v>1490</v>
      </c>
      <c r="D353" t="s">
        <v>1491</v>
      </c>
      <c r="E353" t="s">
        <v>1492</v>
      </c>
      <c r="F353" t="str">
        <f>"1119548144"</f>
        <v>1119548144</v>
      </c>
      <c r="G353" t="str">
        <f>"9781119548140"</f>
        <v>9781119548140</v>
      </c>
      <c r="H353">
        <v>0</v>
      </c>
      <c r="I353">
        <v>4.17</v>
      </c>
      <c r="J353" t="s">
        <v>1493</v>
      </c>
      <c r="K353" t="s">
        <v>173</v>
      </c>
      <c r="L353">
        <v>320</v>
      </c>
      <c r="M353">
        <v>2018</v>
      </c>
      <c r="N353">
        <v>2018</v>
      </c>
      <c r="P353" s="1">
        <v>43693</v>
      </c>
      <c r="Q353" t="s">
        <v>36</v>
      </c>
      <c r="R353" t="s">
        <v>1494</v>
      </c>
      <c r="S353" t="s">
        <v>36</v>
      </c>
      <c r="W353">
        <v>0</v>
      </c>
      <c r="Z353">
        <v>0</v>
      </c>
    </row>
    <row r="354" spans="1:26" x14ac:dyDescent="0.3">
      <c r="A354">
        <v>38811651</v>
      </c>
      <c r="B354" t="s">
        <v>1495</v>
      </c>
      <c r="C354" t="s">
        <v>1496</v>
      </c>
      <c r="D354" t="s">
        <v>1497</v>
      </c>
      <c r="F354" t="str">
        <f>"1509527834"</f>
        <v>1509527834</v>
      </c>
      <c r="G354" t="str">
        <f>"9781509527830"</f>
        <v>9781509527830</v>
      </c>
      <c r="H354">
        <v>0</v>
      </c>
      <c r="I354">
        <v>3.78</v>
      </c>
      <c r="J354" t="s">
        <v>1498</v>
      </c>
      <c r="K354" t="s">
        <v>173</v>
      </c>
      <c r="L354">
        <v>140</v>
      </c>
      <c r="M354">
        <v>2018</v>
      </c>
      <c r="P354" s="1">
        <v>43693</v>
      </c>
      <c r="Q354" t="s">
        <v>36</v>
      </c>
      <c r="R354" t="s">
        <v>1499</v>
      </c>
      <c r="S354" t="s">
        <v>36</v>
      </c>
      <c r="W354">
        <v>0</v>
      </c>
      <c r="Z354">
        <v>0</v>
      </c>
    </row>
    <row r="355" spans="1:26" x14ac:dyDescent="0.3">
      <c r="A355">
        <v>36628413</v>
      </c>
      <c r="B355" t="s">
        <v>1500</v>
      </c>
      <c r="C355" t="s">
        <v>1501</v>
      </c>
      <c r="D355" t="s">
        <v>1502</v>
      </c>
      <c r="F355" t="str">
        <f>"0062748661"</f>
        <v>0062748661</v>
      </c>
      <c r="G355" t="str">
        <f>"9780062748669"</f>
        <v>9780062748669</v>
      </c>
      <c r="H355">
        <v>0</v>
      </c>
      <c r="I355">
        <v>3.87</v>
      </c>
      <c r="J355" t="s">
        <v>109</v>
      </c>
      <c r="K355" t="s">
        <v>173</v>
      </c>
      <c r="L355">
        <v>256</v>
      </c>
      <c r="M355">
        <v>2018</v>
      </c>
      <c r="N355">
        <v>2018</v>
      </c>
      <c r="P355" s="1">
        <v>43693</v>
      </c>
      <c r="Q355" t="s">
        <v>36</v>
      </c>
      <c r="R355" t="s">
        <v>1503</v>
      </c>
      <c r="S355" t="s">
        <v>36</v>
      </c>
      <c r="W355">
        <v>0</v>
      </c>
      <c r="Z355">
        <v>0</v>
      </c>
    </row>
    <row r="356" spans="1:26" x14ac:dyDescent="0.3">
      <c r="A356">
        <v>15843183</v>
      </c>
      <c r="B356" t="s">
        <v>1504</v>
      </c>
      <c r="C356" t="s">
        <v>1505</v>
      </c>
      <c r="D356" t="s">
        <v>1506</v>
      </c>
      <c r="E356" t="s">
        <v>1507</v>
      </c>
      <c r="F356" t="str">
        <f>"161039271X"</f>
        <v>161039271X</v>
      </c>
      <c r="G356" t="str">
        <f>"9781610392716"</f>
        <v>9781610392716</v>
      </c>
      <c r="H356">
        <v>0</v>
      </c>
      <c r="I356">
        <v>3.71</v>
      </c>
      <c r="J356" t="s">
        <v>487</v>
      </c>
      <c r="K356" t="s">
        <v>35</v>
      </c>
      <c r="L356">
        <v>304</v>
      </c>
      <c r="M356">
        <v>2013</v>
      </c>
      <c r="N356">
        <v>2013</v>
      </c>
      <c r="P356" s="1">
        <v>43692</v>
      </c>
      <c r="Q356" t="s">
        <v>36</v>
      </c>
      <c r="R356" t="s">
        <v>1508</v>
      </c>
      <c r="S356" t="s">
        <v>36</v>
      </c>
      <c r="W356">
        <v>0</v>
      </c>
      <c r="Z356">
        <v>0</v>
      </c>
    </row>
    <row r="357" spans="1:26" x14ac:dyDescent="0.3">
      <c r="A357">
        <v>86154</v>
      </c>
      <c r="B357" t="s">
        <v>1509</v>
      </c>
      <c r="C357" t="s">
        <v>1510</v>
      </c>
      <c r="D357" t="s">
        <v>1511</v>
      </c>
      <c r="F357" t="str">
        <f>"0465016154"</f>
        <v>0465016154</v>
      </c>
      <c r="G357" t="str">
        <f>"9780465016150"</f>
        <v>9780465016150</v>
      </c>
      <c r="H357">
        <v>0</v>
      </c>
      <c r="I357">
        <v>4</v>
      </c>
      <c r="J357" t="s">
        <v>129</v>
      </c>
      <c r="K357" t="s">
        <v>60</v>
      </c>
      <c r="L357">
        <v>288</v>
      </c>
      <c r="M357">
        <v>2003</v>
      </c>
      <c r="N357">
        <v>2000</v>
      </c>
      <c r="P357" s="1">
        <v>43692</v>
      </c>
      <c r="S357" t="s">
        <v>174</v>
      </c>
      <c r="W357">
        <v>1</v>
      </c>
      <c r="Z357">
        <v>0</v>
      </c>
    </row>
    <row r="358" spans="1:26" x14ac:dyDescent="0.3">
      <c r="A358">
        <v>3179812</v>
      </c>
      <c r="B358" t="s">
        <v>1512</v>
      </c>
      <c r="C358" t="s">
        <v>1513</v>
      </c>
      <c r="D358" t="s">
        <v>1514</v>
      </c>
      <c r="E358" t="s">
        <v>1515</v>
      </c>
      <c r="F358" t="str">
        <f>"0814730582"</f>
        <v>0814730582</v>
      </c>
      <c r="G358" t="str">
        <f>"9780814730584"</f>
        <v>9780814730584</v>
      </c>
      <c r="H358">
        <v>0</v>
      </c>
      <c r="I358">
        <v>4.46</v>
      </c>
      <c r="J358" t="s">
        <v>1516</v>
      </c>
      <c r="K358" t="s">
        <v>35</v>
      </c>
      <c r="L358">
        <v>346</v>
      </c>
      <c r="M358">
        <v>1994</v>
      </c>
      <c r="N358">
        <v>1994</v>
      </c>
      <c r="P358" s="1">
        <v>43670</v>
      </c>
      <c r="Q358" t="s">
        <v>36</v>
      </c>
      <c r="R358" t="s">
        <v>1517</v>
      </c>
      <c r="S358" t="s">
        <v>36</v>
      </c>
      <c r="W358">
        <v>0</v>
      </c>
      <c r="Z358">
        <v>0</v>
      </c>
    </row>
    <row r="359" spans="1:26" x14ac:dyDescent="0.3">
      <c r="A359">
        <v>350065</v>
      </c>
      <c r="B359" t="s">
        <v>1518</v>
      </c>
      <c r="C359" t="s">
        <v>1519</v>
      </c>
      <c r="D359" t="s">
        <v>1520</v>
      </c>
      <c r="F359" t="str">
        <f>"0297775340"</f>
        <v>0297775340</v>
      </c>
      <c r="G359" t="str">
        <f>"9780297775348"</f>
        <v>9780297775348</v>
      </c>
      <c r="H359">
        <v>0</v>
      </c>
      <c r="I359">
        <v>3.82</v>
      </c>
      <c r="J359" t="s">
        <v>1521</v>
      </c>
      <c r="K359" t="s">
        <v>35</v>
      </c>
      <c r="L359">
        <v>474</v>
      </c>
      <c r="M359">
        <v>1978</v>
      </c>
      <c r="N359">
        <v>1978</v>
      </c>
      <c r="P359" s="1">
        <v>43669</v>
      </c>
      <c r="Q359" t="s">
        <v>36</v>
      </c>
      <c r="R359" t="s">
        <v>1522</v>
      </c>
      <c r="S359" t="s">
        <v>36</v>
      </c>
      <c r="W359">
        <v>0</v>
      </c>
      <c r="Z359">
        <v>0</v>
      </c>
    </row>
    <row r="360" spans="1:26" x14ac:dyDescent="0.3">
      <c r="A360">
        <v>769443</v>
      </c>
      <c r="B360" t="s">
        <v>1523</v>
      </c>
      <c r="C360" t="s">
        <v>1524</v>
      </c>
      <c r="D360" t="s">
        <v>1525</v>
      </c>
      <c r="F360" t="str">
        <f>"0446520942"</f>
        <v>0446520942</v>
      </c>
      <c r="G360" t="str">
        <f>"9780446520942"</f>
        <v>9780446520942</v>
      </c>
      <c r="H360">
        <v>0</v>
      </c>
      <c r="I360">
        <v>3.97</v>
      </c>
      <c r="J360" t="s">
        <v>1526</v>
      </c>
      <c r="K360" t="s">
        <v>35</v>
      </c>
      <c r="L360">
        <v>252</v>
      </c>
      <c r="M360">
        <v>1997</v>
      </c>
      <c r="N360">
        <v>1997</v>
      </c>
      <c r="P360" s="1">
        <v>43668</v>
      </c>
      <c r="Q360" t="s">
        <v>1527</v>
      </c>
      <c r="R360" t="s">
        <v>1528</v>
      </c>
      <c r="S360" t="s">
        <v>36</v>
      </c>
      <c r="W360">
        <v>0</v>
      </c>
      <c r="Z360">
        <v>0</v>
      </c>
    </row>
    <row r="361" spans="1:26" x14ac:dyDescent="0.3">
      <c r="A361">
        <v>313605</v>
      </c>
      <c r="B361" t="s">
        <v>1529</v>
      </c>
      <c r="C361" t="s">
        <v>1530</v>
      </c>
      <c r="D361" t="s">
        <v>1531</v>
      </c>
      <c r="E361" t="s">
        <v>1532</v>
      </c>
      <c r="F361" t="str">
        <f>"0140157352"</f>
        <v>0140157352</v>
      </c>
      <c r="G361" t="str">
        <f>"9780140157352"</f>
        <v>9780140157352</v>
      </c>
      <c r="H361">
        <v>0</v>
      </c>
      <c r="I361">
        <v>3.94</v>
      </c>
      <c r="J361" t="s">
        <v>678</v>
      </c>
      <c r="K361" t="s">
        <v>60</v>
      </c>
      <c r="L361">
        <v>224</v>
      </c>
      <c r="M361">
        <v>1991</v>
      </c>
      <c r="N361">
        <v>1981</v>
      </c>
      <c r="P361" s="1">
        <v>43668</v>
      </c>
      <c r="Q361" t="s">
        <v>1527</v>
      </c>
      <c r="R361" t="s">
        <v>1533</v>
      </c>
      <c r="S361" t="s">
        <v>36</v>
      </c>
      <c r="W361">
        <v>0</v>
      </c>
      <c r="Z361">
        <v>0</v>
      </c>
    </row>
    <row r="362" spans="1:26" x14ac:dyDescent="0.3">
      <c r="A362">
        <v>18770097</v>
      </c>
      <c r="B362" t="s">
        <v>1534</v>
      </c>
      <c r="C362" t="s">
        <v>1535</v>
      </c>
      <c r="D362" t="s">
        <v>1536</v>
      </c>
      <c r="F362" t="str">
        <f>"0615815650"</f>
        <v>0615815650</v>
      </c>
      <c r="G362" t="str">
        <f>"9780615815657"</f>
        <v>9780615815657</v>
      </c>
      <c r="H362">
        <v>0</v>
      </c>
      <c r="I362">
        <v>4.1500000000000004</v>
      </c>
      <c r="J362" t="s">
        <v>1537</v>
      </c>
      <c r="K362" t="s">
        <v>60</v>
      </c>
      <c r="L362">
        <v>240</v>
      </c>
      <c r="M362">
        <v>2013</v>
      </c>
      <c r="N362">
        <v>2013</v>
      </c>
      <c r="P362" s="1">
        <v>43668</v>
      </c>
      <c r="Q362" t="s">
        <v>1527</v>
      </c>
      <c r="R362" t="s">
        <v>1538</v>
      </c>
      <c r="S362" t="s">
        <v>36</v>
      </c>
      <c r="W362">
        <v>0</v>
      </c>
      <c r="Z362">
        <v>0</v>
      </c>
    </row>
    <row r="363" spans="1:26" x14ac:dyDescent="0.3">
      <c r="A363">
        <v>7873438</v>
      </c>
      <c r="B363" t="s">
        <v>1539</v>
      </c>
      <c r="C363" t="s">
        <v>1540</v>
      </c>
      <c r="D363" t="s">
        <v>1541</v>
      </c>
      <c r="E363" t="s">
        <v>1542</v>
      </c>
      <c r="F363" t="str">
        <f>"0805092811"</f>
        <v>0805092811</v>
      </c>
      <c r="G363" t="str">
        <f>"9780805092813"</f>
        <v>9780805092813</v>
      </c>
      <c r="H363">
        <v>0</v>
      </c>
      <c r="I363">
        <v>3.94</v>
      </c>
      <c r="J363" t="s">
        <v>1193</v>
      </c>
      <c r="K363" t="s">
        <v>35</v>
      </c>
      <c r="L363">
        <v>291</v>
      </c>
      <c r="M363">
        <v>2010</v>
      </c>
      <c r="N363">
        <v>2010</v>
      </c>
      <c r="P363" s="1">
        <v>43668</v>
      </c>
      <c r="Q363" t="s">
        <v>1527</v>
      </c>
      <c r="R363" t="s">
        <v>1543</v>
      </c>
      <c r="S363" t="s">
        <v>36</v>
      </c>
      <c r="W363">
        <v>0</v>
      </c>
      <c r="Z363">
        <v>0</v>
      </c>
    </row>
    <row r="364" spans="1:26" x14ac:dyDescent="0.3">
      <c r="A364">
        <v>12510734</v>
      </c>
      <c r="B364" t="s">
        <v>1544</v>
      </c>
      <c r="C364" t="s">
        <v>1545</v>
      </c>
      <c r="D364" t="s">
        <v>1546</v>
      </c>
      <c r="F364" t="str">
        <f>"0230120512"</f>
        <v>0230120512</v>
      </c>
      <c r="G364" t="str">
        <f>"9780230120518"</f>
        <v>9780230120518</v>
      </c>
      <c r="H364">
        <v>0</v>
      </c>
      <c r="I364">
        <v>3.88</v>
      </c>
      <c r="J364" t="s">
        <v>1547</v>
      </c>
      <c r="K364" t="s">
        <v>35</v>
      </c>
      <c r="L364">
        <v>256</v>
      </c>
      <c r="M364">
        <v>2012</v>
      </c>
      <c r="N364">
        <v>2012</v>
      </c>
      <c r="P364" s="1">
        <v>43668</v>
      </c>
      <c r="Q364" t="s">
        <v>1527</v>
      </c>
      <c r="R364" t="s">
        <v>1548</v>
      </c>
      <c r="S364" t="s">
        <v>36</v>
      </c>
      <c r="W364">
        <v>0</v>
      </c>
      <c r="Z364">
        <v>0</v>
      </c>
    </row>
    <row r="365" spans="1:26" x14ac:dyDescent="0.3">
      <c r="A365">
        <v>10263926</v>
      </c>
      <c r="B365" t="s">
        <v>1549</v>
      </c>
      <c r="C365" t="s">
        <v>1550</v>
      </c>
      <c r="D365" t="s">
        <v>1551</v>
      </c>
      <c r="F365" t="str">
        <f>"0470876360"</f>
        <v>0470876360</v>
      </c>
      <c r="G365" t="str">
        <f>"9780470876367"</f>
        <v>9780470876367</v>
      </c>
      <c r="H365">
        <v>0</v>
      </c>
      <c r="I365">
        <v>3.64</v>
      </c>
      <c r="J365" t="s">
        <v>1552</v>
      </c>
      <c r="K365" t="s">
        <v>35</v>
      </c>
      <c r="L365">
        <v>278</v>
      </c>
      <c r="M365">
        <v>2011</v>
      </c>
      <c r="N365">
        <v>2010</v>
      </c>
      <c r="P365" s="1">
        <v>43668</v>
      </c>
      <c r="Q365" t="s">
        <v>1527</v>
      </c>
      <c r="R365" t="s">
        <v>1553</v>
      </c>
      <c r="S365" t="s">
        <v>36</v>
      </c>
      <c r="W365">
        <v>0</v>
      </c>
      <c r="Z365">
        <v>0</v>
      </c>
    </row>
    <row r="366" spans="1:26" x14ac:dyDescent="0.3">
      <c r="A366">
        <v>10929824</v>
      </c>
      <c r="B366" t="s">
        <v>1554</v>
      </c>
      <c r="C366" t="s">
        <v>1555</v>
      </c>
      <c r="D366" t="s">
        <v>1556</v>
      </c>
      <c r="E366" t="s">
        <v>1557</v>
      </c>
      <c r="F366" t="str">
        <f>"0307717771"</f>
        <v>0307717771</v>
      </c>
      <c r="G366" t="str">
        <f>"9780307717771"</f>
        <v>9780307717771</v>
      </c>
      <c r="H366">
        <v>0</v>
      </c>
      <c r="I366">
        <v>3.67</v>
      </c>
      <c r="J366" t="s">
        <v>1558</v>
      </c>
      <c r="K366" t="s">
        <v>173</v>
      </c>
      <c r="L366">
        <v>288</v>
      </c>
      <c r="M366">
        <v>2011</v>
      </c>
      <c r="N366">
        <v>2011</v>
      </c>
      <c r="P366" s="1">
        <v>43668</v>
      </c>
      <c r="Q366" t="s">
        <v>1527</v>
      </c>
      <c r="R366" t="s">
        <v>1559</v>
      </c>
      <c r="S366" t="s">
        <v>36</v>
      </c>
      <c r="W366">
        <v>0</v>
      </c>
      <c r="Z366">
        <v>0</v>
      </c>
    </row>
    <row r="367" spans="1:26" x14ac:dyDescent="0.3">
      <c r="A367">
        <v>10326084</v>
      </c>
      <c r="B367" t="s">
        <v>1560</v>
      </c>
      <c r="C367" t="s">
        <v>1561</v>
      </c>
      <c r="D367" t="s">
        <v>1562</v>
      </c>
      <c r="F367" t="str">
        <f>"0385531737"</f>
        <v>0385531737</v>
      </c>
      <c r="G367" t="str">
        <f>"9780385531733"</f>
        <v>9780385531733</v>
      </c>
      <c r="H367">
        <v>0</v>
      </c>
      <c r="I367">
        <v>3.8</v>
      </c>
      <c r="J367" t="s">
        <v>1563</v>
      </c>
      <c r="K367" t="s">
        <v>35</v>
      </c>
      <c r="L367">
        <v>304</v>
      </c>
      <c r="M367">
        <v>2011</v>
      </c>
      <c r="N367">
        <v>2011</v>
      </c>
      <c r="P367" s="1">
        <v>43668</v>
      </c>
      <c r="Q367" t="s">
        <v>1527</v>
      </c>
      <c r="R367" t="s">
        <v>1564</v>
      </c>
      <c r="S367" t="s">
        <v>36</v>
      </c>
      <c r="W367">
        <v>0</v>
      </c>
      <c r="Z367">
        <v>0</v>
      </c>
    </row>
    <row r="368" spans="1:26" x14ac:dyDescent="0.3">
      <c r="A368">
        <v>676723</v>
      </c>
      <c r="B368" t="s">
        <v>1565</v>
      </c>
      <c r="C368" t="s">
        <v>1566</v>
      </c>
      <c r="D368" t="s">
        <v>1567</v>
      </c>
      <c r="F368" t="str">
        <f>"006131983X"</f>
        <v>006131983X</v>
      </c>
      <c r="G368" t="str">
        <f>"9780061319839"</f>
        <v>9780061319839</v>
      </c>
      <c r="H368">
        <v>0</v>
      </c>
      <c r="I368">
        <v>4.2</v>
      </c>
      <c r="J368" t="s">
        <v>303</v>
      </c>
      <c r="K368" t="s">
        <v>60</v>
      </c>
      <c r="L368">
        <v>256</v>
      </c>
      <c r="M368">
        <v>1983</v>
      </c>
      <c r="N368">
        <v>1974</v>
      </c>
      <c r="P368" s="1">
        <v>43668</v>
      </c>
      <c r="Q368" t="s">
        <v>1527</v>
      </c>
      <c r="R368" t="s">
        <v>1568</v>
      </c>
      <c r="S368" t="s">
        <v>36</v>
      </c>
      <c r="W368">
        <v>0</v>
      </c>
      <c r="Z368">
        <v>0</v>
      </c>
    </row>
    <row r="369" spans="1:26" x14ac:dyDescent="0.3">
      <c r="A369">
        <v>15658</v>
      </c>
      <c r="B369" t="s">
        <v>1569</v>
      </c>
      <c r="C369" t="s">
        <v>1570</v>
      </c>
      <c r="D369" t="s">
        <v>1571</v>
      </c>
      <c r="F369" t="str">
        <f>"0674013824"</f>
        <v>0674013824</v>
      </c>
      <c r="G369" t="str">
        <f>"9780674013827"</f>
        <v>9780674013827</v>
      </c>
      <c r="H369">
        <v>0</v>
      </c>
      <c r="I369">
        <v>3.96</v>
      </c>
      <c r="J369" t="s">
        <v>524</v>
      </c>
      <c r="K369" t="s">
        <v>60</v>
      </c>
      <c r="L369">
        <v>262</v>
      </c>
      <c r="M369">
        <v>2004</v>
      </c>
      <c r="N369">
        <v>2002</v>
      </c>
      <c r="P369" s="1">
        <v>43668</v>
      </c>
      <c r="Q369" t="s">
        <v>1527</v>
      </c>
      <c r="R369" t="s">
        <v>1572</v>
      </c>
      <c r="S369" t="s">
        <v>36</v>
      </c>
      <c r="W369">
        <v>0</v>
      </c>
      <c r="Z369">
        <v>0</v>
      </c>
    </row>
    <row r="370" spans="1:26" x14ac:dyDescent="0.3">
      <c r="A370">
        <v>6663244</v>
      </c>
      <c r="B370" t="s">
        <v>1573</v>
      </c>
      <c r="C370" t="s">
        <v>1574</v>
      </c>
      <c r="D370" t="s">
        <v>1575</v>
      </c>
      <c r="F370" t="str">
        <f>"0061714704"</f>
        <v>0061714704</v>
      </c>
      <c r="G370" t="str">
        <f>"9780061714702"</f>
        <v>9780061714702</v>
      </c>
      <c r="H370">
        <v>0</v>
      </c>
      <c r="I370">
        <v>3.79</v>
      </c>
      <c r="J370" t="s">
        <v>1576</v>
      </c>
      <c r="K370" t="s">
        <v>35</v>
      </c>
      <c r="L370">
        <v>352</v>
      </c>
      <c r="M370">
        <v>2010</v>
      </c>
      <c r="N370">
        <v>2010</v>
      </c>
      <c r="P370" s="1">
        <v>43668</v>
      </c>
      <c r="Q370" t="s">
        <v>1527</v>
      </c>
      <c r="R370" t="s">
        <v>1577</v>
      </c>
      <c r="S370" t="s">
        <v>36</v>
      </c>
      <c r="W370">
        <v>0</v>
      </c>
      <c r="Z370">
        <v>0</v>
      </c>
    </row>
    <row r="371" spans="1:26" x14ac:dyDescent="0.3">
      <c r="A371">
        <v>1410856</v>
      </c>
      <c r="B371" t="s">
        <v>1578</v>
      </c>
      <c r="C371" t="s">
        <v>1579</v>
      </c>
      <c r="D371" t="s">
        <v>1580</v>
      </c>
      <c r="F371" t="str">
        <f>"0749443669"</f>
        <v>0749443669</v>
      </c>
      <c r="G371" t="str">
        <f>"9780749443665"</f>
        <v>9780749443665</v>
      </c>
      <c r="H371">
        <v>0</v>
      </c>
      <c r="I371">
        <v>3.59</v>
      </c>
      <c r="J371" t="s">
        <v>1581</v>
      </c>
      <c r="K371" t="s">
        <v>35</v>
      </c>
      <c r="L371">
        <v>232</v>
      </c>
      <c r="M371">
        <v>2005</v>
      </c>
      <c r="N371">
        <v>2005</v>
      </c>
      <c r="P371" s="1">
        <v>43668</v>
      </c>
      <c r="Q371" t="s">
        <v>1527</v>
      </c>
      <c r="R371" t="s">
        <v>1582</v>
      </c>
      <c r="S371" t="s">
        <v>36</v>
      </c>
      <c r="W371">
        <v>0</v>
      </c>
      <c r="Z371">
        <v>0</v>
      </c>
    </row>
    <row r="372" spans="1:26" x14ac:dyDescent="0.3">
      <c r="A372">
        <v>672264</v>
      </c>
      <c r="B372" t="s">
        <v>1583</v>
      </c>
      <c r="C372" t="s">
        <v>1584</v>
      </c>
      <c r="D372" t="s">
        <v>1585</v>
      </c>
      <c r="E372" t="s">
        <v>1586</v>
      </c>
      <c r="F372" t="str">
        <f>"0070728771"</f>
        <v>0070728771</v>
      </c>
      <c r="G372" t="str">
        <f>"9780070728776"</f>
        <v>9780070728776</v>
      </c>
      <c r="H372">
        <v>0</v>
      </c>
      <c r="I372">
        <v>4.0999999999999996</v>
      </c>
      <c r="J372" t="s">
        <v>1587</v>
      </c>
      <c r="K372" t="s">
        <v>60</v>
      </c>
      <c r="L372">
        <v>288</v>
      </c>
      <c r="M372">
        <v>1991</v>
      </c>
      <c r="N372">
        <v>1991</v>
      </c>
      <c r="P372" s="1">
        <v>43668</v>
      </c>
      <c r="Q372" t="s">
        <v>1527</v>
      </c>
      <c r="R372" t="s">
        <v>1588</v>
      </c>
      <c r="S372" t="s">
        <v>36</v>
      </c>
      <c r="W372">
        <v>0</v>
      </c>
      <c r="Z372">
        <v>0</v>
      </c>
    </row>
    <row r="373" spans="1:26" x14ac:dyDescent="0.3">
      <c r="A373">
        <v>6633968</v>
      </c>
      <c r="B373" t="s">
        <v>1589</v>
      </c>
      <c r="C373" t="s">
        <v>1590</v>
      </c>
      <c r="D373" t="s">
        <v>1591</v>
      </c>
      <c r="F373" t="str">
        <f>"0071626530"</f>
        <v>0071626530</v>
      </c>
      <c r="G373" t="str">
        <f>"9780071626538"</f>
        <v>9780071626538</v>
      </c>
      <c r="H373">
        <v>0</v>
      </c>
      <c r="I373">
        <v>3.57</v>
      </c>
      <c r="J373" t="s">
        <v>1592</v>
      </c>
      <c r="K373" t="s">
        <v>35</v>
      </c>
      <c r="L373">
        <v>208</v>
      </c>
      <c r="M373">
        <v>2010</v>
      </c>
      <c r="N373">
        <v>2010</v>
      </c>
      <c r="P373" s="1">
        <v>43668</v>
      </c>
      <c r="Q373" t="s">
        <v>1527</v>
      </c>
      <c r="R373" t="s">
        <v>1593</v>
      </c>
      <c r="S373" t="s">
        <v>36</v>
      </c>
      <c r="W373">
        <v>0</v>
      </c>
      <c r="Z373">
        <v>0</v>
      </c>
    </row>
    <row r="374" spans="1:26" x14ac:dyDescent="0.3">
      <c r="A374">
        <v>2208661</v>
      </c>
      <c r="B374" t="s">
        <v>1594</v>
      </c>
      <c r="C374" t="s">
        <v>1595</v>
      </c>
      <c r="D374" t="s">
        <v>1596</v>
      </c>
      <c r="E374" t="s">
        <v>1597</v>
      </c>
      <c r="F374" t="str">
        <f>"1416570969"</f>
        <v>1416570969</v>
      </c>
      <c r="G374" t="str">
        <f>"9781416570967"</f>
        <v>9781416570967</v>
      </c>
      <c r="H374">
        <v>0</v>
      </c>
      <c r="I374">
        <v>4</v>
      </c>
      <c r="J374" t="s">
        <v>1443</v>
      </c>
      <c r="K374" t="s">
        <v>35</v>
      </c>
      <c r="L374">
        <v>258</v>
      </c>
      <c r="M374">
        <v>2008</v>
      </c>
      <c r="N374">
        <v>2008</v>
      </c>
      <c r="P374" s="1">
        <v>43668</v>
      </c>
      <c r="Q374" t="s">
        <v>1527</v>
      </c>
      <c r="R374" t="s">
        <v>1598</v>
      </c>
      <c r="S374" t="s">
        <v>36</v>
      </c>
      <c r="W374">
        <v>0</v>
      </c>
      <c r="Z374">
        <v>0</v>
      </c>
    </row>
    <row r="375" spans="1:26" x14ac:dyDescent="0.3">
      <c r="A375">
        <v>10299632</v>
      </c>
      <c r="B375" t="s">
        <v>1599</v>
      </c>
      <c r="C375" t="s">
        <v>1600</v>
      </c>
      <c r="D375" t="s">
        <v>1601</v>
      </c>
      <c r="E375" t="s">
        <v>1602</v>
      </c>
      <c r="F375" t="str">
        <f>"1905177445"</f>
        <v>1905177445</v>
      </c>
      <c r="G375" t="str">
        <f>"9781905177448"</f>
        <v>9781905177448</v>
      </c>
      <c r="H375">
        <v>0</v>
      </c>
      <c r="I375">
        <v>3.99</v>
      </c>
      <c r="J375" t="s">
        <v>214</v>
      </c>
      <c r="K375" t="s">
        <v>60</v>
      </c>
      <c r="L375">
        <v>288</v>
      </c>
      <c r="M375">
        <v>2011</v>
      </c>
      <c r="N375">
        <v>1991</v>
      </c>
      <c r="P375" s="1">
        <v>43668</v>
      </c>
      <c r="Q375" t="s">
        <v>1527</v>
      </c>
      <c r="R375" t="s">
        <v>1603</v>
      </c>
      <c r="S375" t="s">
        <v>36</v>
      </c>
      <c r="W375">
        <v>0</v>
      </c>
      <c r="Z375">
        <v>0</v>
      </c>
    </row>
    <row r="376" spans="1:26" x14ac:dyDescent="0.3">
      <c r="A376">
        <v>9068044</v>
      </c>
      <c r="B376" t="s">
        <v>1604</v>
      </c>
      <c r="C376" t="s">
        <v>1605</v>
      </c>
      <c r="D376" t="s">
        <v>1606</v>
      </c>
      <c r="E376" t="s">
        <v>1607</v>
      </c>
      <c r="F376" t="str">
        <f>"0470639539"</f>
        <v>0470639539</v>
      </c>
      <c r="G376" t="str">
        <f>"9780470639535"</f>
        <v>9780470639535</v>
      </c>
      <c r="H376">
        <v>0</v>
      </c>
      <c r="I376">
        <v>3.82</v>
      </c>
      <c r="J376" t="s">
        <v>1493</v>
      </c>
      <c r="K376" t="s">
        <v>60</v>
      </c>
      <c r="L376">
        <v>382</v>
      </c>
      <c r="M376">
        <v>2010</v>
      </c>
      <c r="N376">
        <v>2010</v>
      </c>
      <c r="P376" s="1">
        <v>43668</v>
      </c>
      <c r="Q376" t="s">
        <v>1527</v>
      </c>
      <c r="R376" t="s">
        <v>1608</v>
      </c>
      <c r="S376" t="s">
        <v>36</v>
      </c>
      <c r="W376">
        <v>0</v>
      </c>
      <c r="Z376">
        <v>0</v>
      </c>
    </row>
    <row r="377" spans="1:26" x14ac:dyDescent="0.3">
      <c r="A377">
        <v>35711</v>
      </c>
      <c r="B377" t="s">
        <v>1609</v>
      </c>
      <c r="C377" t="s">
        <v>1610</v>
      </c>
      <c r="D377" t="s">
        <v>1611</v>
      </c>
      <c r="E377" t="s">
        <v>1612</v>
      </c>
      <c r="F377" t="str">
        <f>"0375709223"</f>
        <v>0375709223</v>
      </c>
      <c r="G377" t="str">
        <f>"9780375709227"</f>
        <v>9780375709227</v>
      </c>
      <c r="H377">
        <v>0</v>
      </c>
      <c r="I377">
        <v>4.1100000000000003</v>
      </c>
      <c r="J377" t="s">
        <v>342</v>
      </c>
      <c r="K377" t="s">
        <v>60</v>
      </c>
      <c r="L377">
        <v>288</v>
      </c>
      <c r="M377">
        <v>2001</v>
      </c>
      <c r="N377">
        <v>2000</v>
      </c>
      <c r="P377" s="1">
        <v>43668</v>
      </c>
      <c r="Q377" t="s">
        <v>1613</v>
      </c>
      <c r="R377" t="s">
        <v>1614</v>
      </c>
      <c r="S377" t="s">
        <v>36</v>
      </c>
      <c r="W377">
        <v>0</v>
      </c>
      <c r="Z377">
        <v>0</v>
      </c>
    </row>
    <row r="378" spans="1:26" x14ac:dyDescent="0.3">
      <c r="A378">
        <v>701462</v>
      </c>
      <c r="B378" t="s">
        <v>1615</v>
      </c>
      <c r="C378" t="s">
        <v>1616</v>
      </c>
      <c r="D378" t="s">
        <v>1617</v>
      </c>
      <c r="F378" t="str">
        <f>"0415951879"</f>
        <v>0415951879</v>
      </c>
      <c r="G378" t="str">
        <f>"9780415951876"</f>
        <v>9780415951876</v>
      </c>
      <c r="H378">
        <v>0</v>
      </c>
      <c r="I378">
        <v>3.82</v>
      </c>
      <c r="J378" t="s">
        <v>119</v>
      </c>
      <c r="K378" t="s">
        <v>60</v>
      </c>
      <c r="L378">
        <v>273</v>
      </c>
      <c r="M378">
        <v>2005</v>
      </c>
      <c r="N378">
        <v>1999</v>
      </c>
      <c r="P378" s="1">
        <v>43668</v>
      </c>
      <c r="Q378" t="s">
        <v>1613</v>
      </c>
      <c r="R378" t="s">
        <v>1618</v>
      </c>
      <c r="S378" t="s">
        <v>36</v>
      </c>
      <c r="W378">
        <v>0</v>
      </c>
      <c r="Z378">
        <v>0</v>
      </c>
    </row>
    <row r="379" spans="1:26" x14ac:dyDescent="0.3">
      <c r="A379">
        <v>796850</v>
      </c>
      <c r="B379" t="s">
        <v>1619</v>
      </c>
      <c r="C379" t="s">
        <v>1620</v>
      </c>
      <c r="D379" t="s">
        <v>1621</v>
      </c>
      <c r="F379" t="str">
        <f>"0300045891"</f>
        <v>0300045891</v>
      </c>
      <c r="G379" t="str">
        <f>"9780300045895"</f>
        <v>9780300045895</v>
      </c>
      <c r="H379">
        <v>0</v>
      </c>
      <c r="I379">
        <v>3.75</v>
      </c>
      <c r="J379" t="s">
        <v>356</v>
      </c>
      <c r="K379" t="s">
        <v>60</v>
      </c>
      <c r="L379">
        <v>383</v>
      </c>
      <c r="M379">
        <v>1989</v>
      </c>
      <c r="N379">
        <v>1988</v>
      </c>
      <c r="P379" s="1">
        <v>43668</v>
      </c>
      <c r="Q379" t="s">
        <v>1613</v>
      </c>
      <c r="R379" t="s">
        <v>1622</v>
      </c>
      <c r="S379" t="s">
        <v>36</v>
      </c>
      <c r="W379">
        <v>0</v>
      </c>
      <c r="Z379">
        <v>0</v>
      </c>
    </row>
    <row r="380" spans="1:26" x14ac:dyDescent="0.3">
      <c r="A380">
        <v>132413</v>
      </c>
      <c r="B380" t="s">
        <v>1623</v>
      </c>
      <c r="C380" t="s">
        <v>1624</v>
      </c>
      <c r="D380" t="s">
        <v>1625</v>
      </c>
      <c r="F380" t="str">
        <f>"0805077960"</f>
        <v>0805077960</v>
      </c>
      <c r="G380" t="str">
        <f>"9780805077964"</f>
        <v>9780805077964</v>
      </c>
      <c r="H380">
        <v>0</v>
      </c>
      <c r="I380">
        <v>3.79</v>
      </c>
      <c r="J380" t="s">
        <v>1626</v>
      </c>
      <c r="K380" t="s">
        <v>60</v>
      </c>
      <c r="L380">
        <v>320</v>
      </c>
      <c r="M380">
        <v>2005</v>
      </c>
      <c r="N380">
        <v>2004</v>
      </c>
      <c r="P380" s="1">
        <v>43668</v>
      </c>
      <c r="Q380" t="s">
        <v>1613</v>
      </c>
      <c r="R380" t="s">
        <v>1627</v>
      </c>
      <c r="S380" t="s">
        <v>36</v>
      </c>
      <c r="W380">
        <v>0</v>
      </c>
      <c r="Z380">
        <v>0</v>
      </c>
    </row>
    <row r="381" spans="1:26" x14ac:dyDescent="0.3">
      <c r="A381">
        <v>23426</v>
      </c>
      <c r="B381" t="s">
        <v>1628</v>
      </c>
      <c r="C381" t="s">
        <v>1629</v>
      </c>
      <c r="D381" t="s">
        <v>1630</v>
      </c>
      <c r="F381" t="str">
        <f>"0802142400"</f>
        <v>0802142400</v>
      </c>
      <c r="G381" t="str">
        <f>"9780802142405"</f>
        <v>9780802142405</v>
      </c>
      <c r="H381">
        <v>0</v>
      </c>
      <c r="I381">
        <v>3.98</v>
      </c>
      <c r="J381" t="s">
        <v>1631</v>
      </c>
      <c r="K381" t="s">
        <v>60</v>
      </c>
      <c r="L381">
        <v>194</v>
      </c>
      <c r="M381">
        <v>2006</v>
      </c>
      <c r="N381">
        <v>1993</v>
      </c>
      <c r="P381" s="1">
        <v>43668</v>
      </c>
      <c r="Q381" t="s">
        <v>1613</v>
      </c>
      <c r="R381" t="s">
        <v>1632</v>
      </c>
      <c r="S381" t="s">
        <v>36</v>
      </c>
      <c r="W381">
        <v>0</v>
      </c>
      <c r="Z381">
        <v>0</v>
      </c>
    </row>
    <row r="382" spans="1:26" x14ac:dyDescent="0.3">
      <c r="A382">
        <v>854759</v>
      </c>
      <c r="B382" t="s">
        <v>1633</v>
      </c>
      <c r="C382" t="s">
        <v>1634</v>
      </c>
      <c r="D382" t="s">
        <v>1635</v>
      </c>
      <c r="E382" t="s">
        <v>1636</v>
      </c>
      <c r="F382" t="str">
        <f>"0465090826"</f>
        <v>0465090826</v>
      </c>
      <c r="G382" t="str">
        <f>"9780465090822"</f>
        <v>9780465090822</v>
      </c>
      <c r="H382">
        <v>0</v>
      </c>
      <c r="I382">
        <v>3.87</v>
      </c>
      <c r="J382" t="s">
        <v>129</v>
      </c>
      <c r="K382" t="s">
        <v>35</v>
      </c>
      <c r="L382">
        <v>272</v>
      </c>
      <c r="M382">
        <v>2003</v>
      </c>
      <c r="N382">
        <v>2003</v>
      </c>
      <c r="P382" s="1">
        <v>43663</v>
      </c>
      <c r="Q382" t="s">
        <v>36</v>
      </c>
      <c r="R382" t="s">
        <v>1637</v>
      </c>
      <c r="S382" t="s">
        <v>36</v>
      </c>
      <c r="W382">
        <v>0</v>
      </c>
      <c r="Z382">
        <v>0</v>
      </c>
    </row>
    <row r="383" spans="1:26" x14ac:dyDescent="0.3">
      <c r="A383">
        <v>353708</v>
      </c>
      <c r="B383" t="s">
        <v>1638</v>
      </c>
      <c r="C383" t="s">
        <v>1132</v>
      </c>
      <c r="D383" t="s">
        <v>1639</v>
      </c>
      <c r="F383" t="str">
        <f>"0802842577"</f>
        <v>0802842577</v>
      </c>
      <c r="G383" t="str">
        <f>"9780802842572"</f>
        <v>9780802842572</v>
      </c>
      <c r="H383">
        <v>0</v>
      </c>
      <c r="I383">
        <v>3.85</v>
      </c>
      <c r="J383" t="s">
        <v>617</v>
      </c>
      <c r="K383" t="s">
        <v>60</v>
      </c>
      <c r="L383">
        <v>489</v>
      </c>
      <c r="M383">
        <v>1996</v>
      </c>
      <c r="N383">
        <v>1980</v>
      </c>
      <c r="P383" s="1">
        <v>43654</v>
      </c>
      <c r="Q383" t="s">
        <v>36</v>
      </c>
      <c r="R383" t="s">
        <v>1640</v>
      </c>
      <c r="S383" t="s">
        <v>36</v>
      </c>
      <c r="W383">
        <v>0</v>
      </c>
      <c r="Z383">
        <v>0</v>
      </c>
    </row>
    <row r="384" spans="1:26" x14ac:dyDescent="0.3">
      <c r="A384">
        <v>7830684</v>
      </c>
      <c r="B384" t="s">
        <v>1641</v>
      </c>
      <c r="C384" t="s">
        <v>1642</v>
      </c>
      <c r="D384" t="s">
        <v>1643</v>
      </c>
      <c r="F384" t="str">
        <f>"0664219608"</f>
        <v>0664219608</v>
      </c>
      <c r="G384" t="str">
        <f>"9780664219604"</f>
        <v>9780664219604</v>
      </c>
      <c r="H384">
        <v>0</v>
      </c>
      <c r="I384">
        <v>3.33</v>
      </c>
      <c r="J384" t="s">
        <v>373</v>
      </c>
      <c r="K384" t="s">
        <v>35</v>
      </c>
      <c r="M384">
        <v>1992</v>
      </c>
      <c r="N384">
        <v>1991</v>
      </c>
      <c r="P384" s="1">
        <v>43654</v>
      </c>
      <c r="Q384" t="s">
        <v>36</v>
      </c>
      <c r="R384" t="s">
        <v>1644</v>
      </c>
      <c r="S384" t="s">
        <v>36</v>
      </c>
      <c r="W384">
        <v>0</v>
      </c>
      <c r="Z384">
        <v>0</v>
      </c>
    </row>
    <row r="385" spans="1:26" x14ac:dyDescent="0.3">
      <c r="A385">
        <v>834955</v>
      </c>
      <c r="B385" t="s">
        <v>1645</v>
      </c>
      <c r="C385" t="s">
        <v>1646</v>
      </c>
      <c r="D385" t="s">
        <v>1647</v>
      </c>
      <c r="F385" t="str">
        <f>"0802846424"</f>
        <v>0802846424</v>
      </c>
      <c r="G385" t="str">
        <f>"9780802846426"</f>
        <v>9780802846426</v>
      </c>
      <c r="H385">
        <v>0</v>
      </c>
      <c r="I385">
        <v>4.37</v>
      </c>
      <c r="J385" t="s">
        <v>884</v>
      </c>
      <c r="K385" t="s">
        <v>60</v>
      </c>
      <c r="L385">
        <v>89</v>
      </c>
      <c r="M385">
        <v>1999</v>
      </c>
      <c r="N385">
        <v>1998</v>
      </c>
      <c r="P385" s="1">
        <v>43654</v>
      </c>
      <c r="Q385" t="s">
        <v>36</v>
      </c>
      <c r="R385" t="s">
        <v>1648</v>
      </c>
      <c r="S385" t="s">
        <v>36</v>
      </c>
      <c r="W385">
        <v>0</v>
      </c>
      <c r="Z385">
        <v>0</v>
      </c>
    </row>
    <row r="386" spans="1:26" x14ac:dyDescent="0.3">
      <c r="A386">
        <v>1162335</v>
      </c>
      <c r="B386" t="s">
        <v>1649</v>
      </c>
      <c r="C386" t="s">
        <v>1303</v>
      </c>
      <c r="D386" t="s">
        <v>1304</v>
      </c>
      <c r="F386" t="str">
        <f>"0802831672"</f>
        <v>0802831672</v>
      </c>
      <c r="G386" t="str">
        <f>"9780802831675"</f>
        <v>9780802831675</v>
      </c>
      <c r="H386">
        <v>0</v>
      </c>
      <c r="I386">
        <v>4.5</v>
      </c>
      <c r="J386" t="s">
        <v>617</v>
      </c>
      <c r="K386" t="s">
        <v>60</v>
      </c>
      <c r="L386">
        <v>768</v>
      </c>
      <c r="M386">
        <v>2005</v>
      </c>
      <c r="N386">
        <v>2003</v>
      </c>
      <c r="P386" s="1">
        <v>43654</v>
      </c>
      <c r="Q386" t="s">
        <v>36</v>
      </c>
      <c r="R386" t="s">
        <v>1650</v>
      </c>
      <c r="S386" t="s">
        <v>36</v>
      </c>
      <c r="W386">
        <v>0</v>
      </c>
      <c r="Z386">
        <v>0</v>
      </c>
    </row>
    <row r="387" spans="1:26" x14ac:dyDescent="0.3">
      <c r="A387">
        <v>1871651</v>
      </c>
      <c r="B387" t="s">
        <v>1651</v>
      </c>
      <c r="C387" t="s">
        <v>681</v>
      </c>
      <c r="D387" t="s">
        <v>682</v>
      </c>
      <c r="F387" t="str">
        <f>"0415173981"</f>
        <v>0415173981</v>
      </c>
      <c r="G387" t="str">
        <f>"9780415173988"</f>
        <v>9780415173988</v>
      </c>
      <c r="H387">
        <v>0</v>
      </c>
      <c r="I387">
        <v>3.88</v>
      </c>
      <c r="J387" t="s">
        <v>119</v>
      </c>
      <c r="K387" t="s">
        <v>60</v>
      </c>
      <c r="L387">
        <v>304</v>
      </c>
      <c r="M387">
        <v>1997</v>
      </c>
      <c r="N387">
        <v>1966</v>
      </c>
      <c r="P387" s="1">
        <v>43649</v>
      </c>
      <c r="Q387" t="s">
        <v>36</v>
      </c>
      <c r="R387" t="s">
        <v>1652</v>
      </c>
      <c r="S387" t="s">
        <v>36</v>
      </c>
      <c r="W387">
        <v>0</v>
      </c>
      <c r="Z387">
        <v>0</v>
      </c>
    </row>
    <row r="388" spans="1:26" x14ac:dyDescent="0.3">
      <c r="A388">
        <v>369409</v>
      </c>
      <c r="B388" t="s">
        <v>1653</v>
      </c>
      <c r="C388" t="s">
        <v>1654</v>
      </c>
      <c r="D388" t="s">
        <v>1655</v>
      </c>
      <c r="F388" t="str">
        <f>"0674537513"</f>
        <v>0674537513</v>
      </c>
      <c r="G388" t="str">
        <f>"9780674537514"</f>
        <v>9780674537514</v>
      </c>
      <c r="H388">
        <v>0</v>
      </c>
      <c r="I388">
        <v>3.98</v>
      </c>
      <c r="J388" t="s">
        <v>155</v>
      </c>
      <c r="K388" t="s">
        <v>60</v>
      </c>
      <c r="L388">
        <v>186</v>
      </c>
      <c r="M388">
        <v>1971</v>
      </c>
      <c r="N388">
        <v>1965</v>
      </c>
      <c r="P388" s="1">
        <v>43649</v>
      </c>
      <c r="Q388" t="s">
        <v>36</v>
      </c>
      <c r="R388" t="s">
        <v>1656</v>
      </c>
      <c r="S388" t="s">
        <v>36</v>
      </c>
      <c r="W388">
        <v>0</v>
      </c>
      <c r="Z388">
        <v>0</v>
      </c>
    </row>
    <row r="389" spans="1:26" x14ac:dyDescent="0.3">
      <c r="A389">
        <v>6004393</v>
      </c>
      <c r="B389" t="s">
        <v>1657</v>
      </c>
      <c r="C389" t="s">
        <v>1658</v>
      </c>
      <c r="D389" t="s">
        <v>1659</v>
      </c>
      <c r="F389" t="str">
        <f>"0061138797"</f>
        <v>0061138797</v>
      </c>
      <c r="G389" t="str">
        <f>"9780061138799"</f>
        <v>9780061138799</v>
      </c>
      <c r="H389">
        <v>0</v>
      </c>
      <c r="I389">
        <v>4.1100000000000003</v>
      </c>
      <c r="J389" t="s">
        <v>1040</v>
      </c>
      <c r="K389" t="s">
        <v>35</v>
      </c>
      <c r="L389">
        <v>736</v>
      </c>
      <c r="M389">
        <v>2009</v>
      </c>
      <c r="N389">
        <v>2009</v>
      </c>
      <c r="P389" s="1">
        <v>43649</v>
      </c>
      <c r="Q389" t="s">
        <v>36</v>
      </c>
      <c r="R389" t="s">
        <v>1660</v>
      </c>
      <c r="S389" t="s">
        <v>36</v>
      </c>
      <c r="W389">
        <v>0</v>
      </c>
      <c r="Z389">
        <v>0</v>
      </c>
    </row>
    <row r="390" spans="1:26" x14ac:dyDescent="0.3">
      <c r="A390">
        <v>16043511</v>
      </c>
      <c r="B390" t="s">
        <v>1661</v>
      </c>
      <c r="C390" t="s">
        <v>1662</v>
      </c>
      <c r="D390" t="s">
        <v>1663</v>
      </c>
      <c r="F390" t="str">
        <f>"0465013333"</f>
        <v>0465013333</v>
      </c>
      <c r="G390" t="str">
        <f>"9780465013333"</f>
        <v>9780465013333</v>
      </c>
      <c r="H390">
        <v>0</v>
      </c>
      <c r="I390">
        <v>3.94</v>
      </c>
      <c r="J390" t="s">
        <v>129</v>
      </c>
      <c r="K390" t="s">
        <v>35</v>
      </c>
      <c r="L390">
        <v>720</v>
      </c>
      <c r="M390">
        <v>2013</v>
      </c>
      <c r="N390">
        <v>2013</v>
      </c>
      <c r="P390" s="1">
        <v>43649</v>
      </c>
      <c r="Q390" t="s">
        <v>36</v>
      </c>
      <c r="R390" t="s">
        <v>1664</v>
      </c>
      <c r="S390" t="s">
        <v>36</v>
      </c>
      <c r="W390">
        <v>0</v>
      </c>
      <c r="Z390">
        <v>0</v>
      </c>
    </row>
    <row r="391" spans="1:26" x14ac:dyDescent="0.3">
      <c r="A391">
        <v>186239</v>
      </c>
      <c r="B391" t="s">
        <v>1665</v>
      </c>
      <c r="C391" t="s">
        <v>1666</v>
      </c>
      <c r="D391" t="s">
        <v>1667</v>
      </c>
      <c r="F391" t="str">
        <f>"0268001030"</f>
        <v>0268001030</v>
      </c>
      <c r="G391" t="str">
        <f>"9780268001032"</f>
        <v>9780268001032</v>
      </c>
      <c r="H391">
        <v>0</v>
      </c>
      <c r="I391">
        <v>4.45</v>
      </c>
      <c r="J391" t="s">
        <v>723</v>
      </c>
      <c r="K391" t="s">
        <v>60</v>
      </c>
      <c r="L391">
        <v>208</v>
      </c>
      <c r="M391">
        <v>1990</v>
      </c>
      <c r="N391">
        <v>1959</v>
      </c>
      <c r="P391" s="1">
        <v>43648</v>
      </c>
      <c r="Q391" t="s">
        <v>36</v>
      </c>
      <c r="R391" t="s">
        <v>1668</v>
      </c>
      <c r="S391" t="s">
        <v>36</v>
      </c>
      <c r="W391">
        <v>0</v>
      </c>
      <c r="Z391">
        <v>0</v>
      </c>
    </row>
    <row r="392" spans="1:26" x14ac:dyDescent="0.3">
      <c r="A392">
        <v>267048</v>
      </c>
      <c r="B392" t="s">
        <v>1669</v>
      </c>
      <c r="C392" t="s">
        <v>1670</v>
      </c>
      <c r="D392" t="s">
        <v>1671</v>
      </c>
      <c r="F392" t="str">
        <f>"0520218590"</f>
        <v>0520218590</v>
      </c>
      <c r="G392" t="str">
        <f>"9780520218598"</f>
        <v>9780520218598</v>
      </c>
      <c r="H392">
        <v>0</v>
      </c>
      <c r="I392">
        <v>3.86</v>
      </c>
      <c r="J392" t="s">
        <v>579</v>
      </c>
      <c r="K392" t="s">
        <v>60</v>
      </c>
      <c r="L392">
        <v>575</v>
      </c>
      <c r="M392">
        <v>1999</v>
      </c>
      <c r="N392">
        <v>1997</v>
      </c>
      <c r="P392" s="1">
        <v>43647</v>
      </c>
      <c r="Q392" t="s">
        <v>36</v>
      </c>
      <c r="R392" t="s">
        <v>1672</v>
      </c>
      <c r="S392" t="s">
        <v>36</v>
      </c>
      <c r="W392">
        <v>0</v>
      </c>
      <c r="Z392">
        <v>0</v>
      </c>
    </row>
    <row r="393" spans="1:26" x14ac:dyDescent="0.3">
      <c r="A393">
        <v>1170490</v>
      </c>
      <c r="B393" t="s">
        <v>1673</v>
      </c>
      <c r="C393" t="s">
        <v>1674</v>
      </c>
      <c r="D393" t="s">
        <v>1675</v>
      </c>
      <c r="F393" t="str">
        <f>"0582405254"</f>
        <v>0582405254</v>
      </c>
      <c r="G393" t="str">
        <f>"9780582405257"</f>
        <v>9780582405257</v>
      </c>
      <c r="H393">
        <v>0</v>
      </c>
      <c r="I393">
        <v>3.68</v>
      </c>
      <c r="J393" t="s">
        <v>119</v>
      </c>
      <c r="K393" t="s">
        <v>60</v>
      </c>
      <c r="L393">
        <v>440</v>
      </c>
      <c r="M393">
        <v>2004</v>
      </c>
      <c r="N393">
        <v>1986</v>
      </c>
      <c r="P393" s="1">
        <v>43647</v>
      </c>
      <c r="Q393" t="s">
        <v>36</v>
      </c>
      <c r="R393" t="s">
        <v>1676</v>
      </c>
      <c r="S393" t="s">
        <v>36</v>
      </c>
      <c r="W393">
        <v>0</v>
      </c>
      <c r="Z393">
        <v>0</v>
      </c>
    </row>
    <row r="394" spans="1:26" x14ac:dyDescent="0.3">
      <c r="A394">
        <v>20911273</v>
      </c>
      <c r="B394" t="s">
        <v>1677</v>
      </c>
      <c r="C394" t="s">
        <v>1678</v>
      </c>
      <c r="D394" t="s">
        <v>1679</v>
      </c>
      <c r="F394" t="str">
        <f>"0199916365"</f>
        <v>0199916365</v>
      </c>
      <c r="G394" t="str">
        <f>"9780199916368"</f>
        <v>9780199916368</v>
      </c>
      <c r="H394">
        <v>0</v>
      </c>
      <c r="I394">
        <v>3.85</v>
      </c>
      <c r="J394" t="s">
        <v>756</v>
      </c>
      <c r="K394" t="s">
        <v>35</v>
      </c>
      <c r="L394">
        <v>303</v>
      </c>
      <c r="M394">
        <v>2014</v>
      </c>
      <c r="N394">
        <v>2014</v>
      </c>
      <c r="P394" s="1">
        <v>43647</v>
      </c>
      <c r="Q394" t="s">
        <v>36</v>
      </c>
      <c r="R394" t="s">
        <v>1680</v>
      </c>
      <c r="S394" t="s">
        <v>36</v>
      </c>
      <c r="W394">
        <v>0</v>
      </c>
      <c r="Z394">
        <v>0</v>
      </c>
    </row>
    <row r="395" spans="1:26" x14ac:dyDescent="0.3">
      <c r="A395">
        <v>493371</v>
      </c>
      <c r="B395" t="s">
        <v>1681</v>
      </c>
      <c r="C395" t="s">
        <v>1501</v>
      </c>
      <c r="D395" t="s">
        <v>1502</v>
      </c>
      <c r="E395" t="s">
        <v>1682</v>
      </c>
      <c r="F395" t="str">
        <f>"0195311450"</f>
        <v>0195311450</v>
      </c>
      <c r="G395" t="str">
        <f>"9780195311457"</f>
        <v>9780195311457</v>
      </c>
      <c r="H395">
        <v>0</v>
      </c>
      <c r="I395">
        <v>3.87</v>
      </c>
      <c r="J395" t="s">
        <v>104</v>
      </c>
      <c r="K395" t="s">
        <v>35</v>
      </c>
      <c r="L395">
        <v>205</v>
      </c>
      <c r="M395">
        <v>2007</v>
      </c>
      <c r="N395">
        <v>2007</v>
      </c>
      <c r="P395" s="1">
        <v>43647</v>
      </c>
      <c r="S395" t="s">
        <v>174</v>
      </c>
      <c r="W395">
        <v>1</v>
      </c>
      <c r="Z395">
        <v>0</v>
      </c>
    </row>
    <row r="396" spans="1:26" x14ac:dyDescent="0.3">
      <c r="A396">
        <v>28862</v>
      </c>
      <c r="B396" t="s">
        <v>1683</v>
      </c>
      <c r="C396" t="s">
        <v>1684</v>
      </c>
      <c r="D396" t="s">
        <v>1685</v>
      </c>
      <c r="E396" t="s">
        <v>1686</v>
      </c>
      <c r="F396" t="str">
        <f>"0937832383"</f>
        <v>0937832383</v>
      </c>
      <c r="G396" t="str">
        <f>"9780937832387"</f>
        <v>9780937832387</v>
      </c>
      <c r="H396">
        <v>0</v>
      </c>
      <c r="I396">
        <v>3.82</v>
      </c>
      <c r="J396" t="s">
        <v>1687</v>
      </c>
      <c r="K396" t="s">
        <v>60</v>
      </c>
      <c r="L396">
        <v>140</v>
      </c>
      <c r="M396">
        <v>2003</v>
      </c>
      <c r="N396">
        <v>1532</v>
      </c>
      <c r="P396" s="1">
        <v>43642</v>
      </c>
      <c r="S396" t="s">
        <v>174</v>
      </c>
      <c r="W396">
        <v>1</v>
      </c>
      <c r="Z396">
        <v>0</v>
      </c>
    </row>
    <row r="397" spans="1:26" x14ac:dyDescent="0.3">
      <c r="A397">
        <v>80109</v>
      </c>
      <c r="B397" t="s">
        <v>1688</v>
      </c>
      <c r="C397" t="s">
        <v>1689</v>
      </c>
      <c r="D397" t="s">
        <v>1690</v>
      </c>
      <c r="F397" t="str">
        <f>"0801497604"</f>
        <v>0801497604</v>
      </c>
      <c r="G397" t="str">
        <f>"9780801497605"</f>
        <v>9780801497605</v>
      </c>
      <c r="H397">
        <v>0</v>
      </c>
      <c r="I397">
        <v>3.95</v>
      </c>
      <c r="J397" t="s">
        <v>1691</v>
      </c>
      <c r="K397" t="s">
        <v>60</v>
      </c>
      <c r="L397">
        <v>448</v>
      </c>
      <c r="M397">
        <v>1990</v>
      </c>
      <c r="N397">
        <v>1989</v>
      </c>
      <c r="P397" s="1">
        <v>43641</v>
      </c>
      <c r="Q397" t="s">
        <v>36</v>
      </c>
      <c r="R397" t="s">
        <v>1692</v>
      </c>
      <c r="S397" t="s">
        <v>36</v>
      </c>
      <c r="W397">
        <v>0</v>
      </c>
      <c r="Z397">
        <v>0</v>
      </c>
    </row>
    <row r="398" spans="1:26" x14ac:dyDescent="0.3">
      <c r="A398">
        <v>26262992</v>
      </c>
      <c r="B398" t="s">
        <v>1693</v>
      </c>
      <c r="C398" t="s">
        <v>1694</v>
      </c>
      <c r="D398" t="s">
        <v>1695</v>
      </c>
      <c r="F398" t="str">
        <f>"0231173385"</f>
        <v>0231173385</v>
      </c>
      <c r="G398" t="str">
        <f>"9780231173384"</f>
        <v>9780231173384</v>
      </c>
      <c r="H398">
        <v>0</v>
      </c>
      <c r="I398">
        <v>3.6</v>
      </c>
      <c r="J398" t="s">
        <v>1696</v>
      </c>
      <c r="K398" t="s">
        <v>35</v>
      </c>
      <c r="L398">
        <v>272</v>
      </c>
      <c r="M398">
        <v>2016</v>
      </c>
      <c r="N398">
        <v>2016</v>
      </c>
      <c r="P398" s="1">
        <v>43641</v>
      </c>
      <c r="Q398" t="s">
        <v>36</v>
      </c>
      <c r="R398" t="s">
        <v>1697</v>
      </c>
      <c r="S398" t="s">
        <v>36</v>
      </c>
      <c r="W398">
        <v>0</v>
      </c>
      <c r="Z398">
        <v>0</v>
      </c>
    </row>
    <row r="399" spans="1:26" x14ac:dyDescent="0.3">
      <c r="A399">
        <v>20758057</v>
      </c>
      <c r="B399" t="s">
        <v>1698</v>
      </c>
      <c r="C399" t="s">
        <v>1699</v>
      </c>
      <c r="D399" t="s">
        <v>1700</v>
      </c>
      <c r="F399" t="str">
        <f>"0375414142"</f>
        <v>0375414142</v>
      </c>
      <c r="G399" t="str">
        <f>"9780375414145"</f>
        <v>9780375414145</v>
      </c>
      <c r="H399">
        <v>0</v>
      </c>
      <c r="I399">
        <v>3.86</v>
      </c>
      <c r="J399" t="s">
        <v>476</v>
      </c>
      <c r="K399" t="s">
        <v>35</v>
      </c>
      <c r="L399">
        <v>640</v>
      </c>
      <c r="M399">
        <v>2014</v>
      </c>
      <c r="N399">
        <v>2014</v>
      </c>
      <c r="P399" s="1">
        <v>43641</v>
      </c>
      <c r="Q399" t="s">
        <v>36</v>
      </c>
      <c r="R399" t="s">
        <v>1701</v>
      </c>
      <c r="S399" t="s">
        <v>36</v>
      </c>
      <c r="W399">
        <v>0</v>
      </c>
      <c r="Z399">
        <v>0</v>
      </c>
    </row>
    <row r="400" spans="1:26" x14ac:dyDescent="0.3">
      <c r="A400">
        <v>714380</v>
      </c>
      <c r="B400" t="s">
        <v>1702</v>
      </c>
      <c r="C400" t="s">
        <v>1703</v>
      </c>
      <c r="D400" t="s">
        <v>1704</v>
      </c>
      <c r="F400" t="str">
        <f>"0394726251"</f>
        <v>0394726251</v>
      </c>
      <c r="G400" t="str">
        <f>"9780394726250"</f>
        <v>9780394726250</v>
      </c>
      <c r="H400">
        <v>0</v>
      </c>
      <c r="I400">
        <v>4.1100000000000003</v>
      </c>
      <c r="J400" t="s">
        <v>342</v>
      </c>
      <c r="K400" t="s">
        <v>60</v>
      </c>
      <c r="L400">
        <v>745</v>
      </c>
      <c r="M400">
        <v>1985</v>
      </c>
      <c r="N400">
        <v>1983</v>
      </c>
      <c r="P400" s="1">
        <v>43641</v>
      </c>
      <c r="Q400" t="s">
        <v>36</v>
      </c>
      <c r="R400" t="s">
        <v>1705</v>
      </c>
      <c r="S400" t="s">
        <v>36</v>
      </c>
      <c r="W400">
        <v>0</v>
      </c>
      <c r="Z400">
        <v>0</v>
      </c>
    </row>
    <row r="401" spans="1:26" x14ac:dyDescent="0.3">
      <c r="A401">
        <v>801754</v>
      </c>
      <c r="B401" t="s">
        <v>1706</v>
      </c>
      <c r="C401" t="s">
        <v>1707</v>
      </c>
      <c r="D401" t="s">
        <v>1708</v>
      </c>
      <c r="E401" t="s">
        <v>1709</v>
      </c>
      <c r="F401" t="str">
        <f>"0195066340"</f>
        <v>0195066340</v>
      </c>
      <c r="G401" t="str">
        <f>"9780195066340"</f>
        <v>9780195066340</v>
      </c>
      <c r="H401">
        <v>0</v>
      </c>
      <c r="I401">
        <v>4.0599999999999996</v>
      </c>
      <c r="J401" t="s">
        <v>104</v>
      </c>
      <c r="K401" t="s">
        <v>60</v>
      </c>
      <c r="L401">
        <v>492</v>
      </c>
      <c r="M401">
        <v>1991</v>
      </c>
      <c r="N401">
        <v>1918</v>
      </c>
      <c r="P401" s="1">
        <v>43638</v>
      </c>
      <c r="Q401" t="s">
        <v>36</v>
      </c>
      <c r="R401" t="s">
        <v>1710</v>
      </c>
      <c r="S401" t="s">
        <v>36</v>
      </c>
      <c r="W401">
        <v>0</v>
      </c>
      <c r="Z401">
        <v>0</v>
      </c>
    </row>
    <row r="402" spans="1:26" x14ac:dyDescent="0.3">
      <c r="A402">
        <v>6558236</v>
      </c>
      <c r="B402" t="s">
        <v>1711</v>
      </c>
      <c r="C402" t="s">
        <v>1712</v>
      </c>
      <c r="D402" t="s">
        <v>1713</v>
      </c>
      <c r="F402" t="str">
        <f>""</f>
        <v/>
      </c>
      <c r="G402" t="str">
        <f>"9780195321241"</f>
        <v>9780195321241</v>
      </c>
      <c r="H402">
        <v>0</v>
      </c>
      <c r="I402">
        <v>3.29</v>
      </c>
      <c r="J402" t="s">
        <v>756</v>
      </c>
      <c r="K402" t="s">
        <v>35</v>
      </c>
      <c r="L402">
        <v>304</v>
      </c>
      <c r="M402">
        <v>2009</v>
      </c>
      <c r="N402">
        <v>2009</v>
      </c>
      <c r="P402" s="1">
        <v>43638</v>
      </c>
      <c r="Q402" t="s">
        <v>36</v>
      </c>
      <c r="R402" t="s">
        <v>1714</v>
      </c>
      <c r="S402" t="s">
        <v>36</v>
      </c>
      <c r="W402">
        <v>0</v>
      </c>
      <c r="Z402">
        <v>0</v>
      </c>
    </row>
    <row r="403" spans="1:26" x14ac:dyDescent="0.3">
      <c r="A403">
        <v>12130523</v>
      </c>
      <c r="B403" t="s">
        <v>1715</v>
      </c>
      <c r="C403" t="s">
        <v>800</v>
      </c>
      <c r="D403" t="s">
        <v>801</v>
      </c>
      <c r="E403" t="s">
        <v>1716</v>
      </c>
      <c r="F403" t="str">
        <f>"0231159323"</f>
        <v>0231159323</v>
      </c>
      <c r="G403" t="str">
        <f>"9780231159326"</f>
        <v>9780231159326</v>
      </c>
      <c r="H403">
        <v>0</v>
      </c>
      <c r="I403">
        <v>3.5</v>
      </c>
      <c r="J403" t="s">
        <v>1696</v>
      </c>
      <c r="K403" t="s">
        <v>35</v>
      </c>
      <c r="L403">
        <v>216</v>
      </c>
      <c r="M403">
        <v>2012</v>
      </c>
      <c r="N403">
        <v>2012</v>
      </c>
      <c r="P403" s="1">
        <v>43638</v>
      </c>
      <c r="Q403" t="s">
        <v>36</v>
      </c>
      <c r="R403" t="s">
        <v>1717</v>
      </c>
      <c r="S403" t="s">
        <v>36</v>
      </c>
      <c r="W403">
        <v>0</v>
      </c>
      <c r="Z403">
        <v>0</v>
      </c>
    </row>
    <row r="404" spans="1:26" x14ac:dyDescent="0.3">
      <c r="A404">
        <v>44141900</v>
      </c>
      <c r="B404" t="s">
        <v>1718</v>
      </c>
      <c r="C404" t="s">
        <v>800</v>
      </c>
      <c r="D404" t="s">
        <v>801</v>
      </c>
      <c r="F404" t="str">
        <f>"1108409474"</f>
        <v>1108409474</v>
      </c>
      <c r="G404" t="str">
        <f>"9781108409476"</f>
        <v>9781108409476</v>
      </c>
      <c r="H404">
        <v>0</v>
      </c>
      <c r="I404">
        <v>4.4800000000000004</v>
      </c>
      <c r="J404" t="s">
        <v>261</v>
      </c>
      <c r="K404" t="s">
        <v>60</v>
      </c>
      <c r="L404">
        <v>336</v>
      </c>
      <c r="M404">
        <v>2019</v>
      </c>
      <c r="P404" s="1">
        <v>43638</v>
      </c>
      <c r="Q404" t="s">
        <v>36</v>
      </c>
      <c r="R404" t="s">
        <v>1719</v>
      </c>
      <c r="S404" t="s">
        <v>36</v>
      </c>
      <c r="W404">
        <v>0</v>
      </c>
      <c r="Z404">
        <v>0</v>
      </c>
    </row>
    <row r="405" spans="1:26" x14ac:dyDescent="0.3">
      <c r="A405">
        <v>187808</v>
      </c>
      <c r="B405" t="s">
        <v>1720</v>
      </c>
      <c r="C405" t="s">
        <v>1721</v>
      </c>
      <c r="D405" t="s">
        <v>1722</v>
      </c>
      <c r="F405" t="str">
        <f>"1843310279"</f>
        <v>1843310279</v>
      </c>
      <c r="G405" t="str">
        <f>"9781843310273"</f>
        <v>9781843310273</v>
      </c>
      <c r="H405">
        <v>0</v>
      </c>
      <c r="I405">
        <v>4.18</v>
      </c>
      <c r="J405" t="s">
        <v>1170</v>
      </c>
      <c r="K405" t="s">
        <v>60</v>
      </c>
      <c r="L405">
        <v>187</v>
      </c>
      <c r="M405">
        <v>2002</v>
      </c>
      <c r="N405">
        <v>2002</v>
      </c>
      <c r="P405" s="1">
        <v>43636</v>
      </c>
      <c r="Q405" t="s">
        <v>36</v>
      </c>
      <c r="R405" t="s">
        <v>1723</v>
      </c>
      <c r="S405" t="s">
        <v>36</v>
      </c>
      <c r="W405">
        <v>0</v>
      </c>
      <c r="Z405">
        <v>0</v>
      </c>
    </row>
    <row r="406" spans="1:26" x14ac:dyDescent="0.3">
      <c r="A406">
        <v>542706</v>
      </c>
      <c r="B406" t="s">
        <v>1724</v>
      </c>
      <c r="C406" t="s">
        <v>1725</v>
      </c>
      <c r="D406" t="s">
        <v>1726</v>
      </c>
      <c r="F406" t="str">
        <f>"0691125066"</f>
        <v>0691125066</v>
      </c>
      <c r="G406" t="str">
        <f>"9780691125060"</f>
        <v>9780691125060</v>
      </c>
      <c r="H406">
        <v>0</v>
      </c>
      <c r="I406">
        <v>3.7</v>
      </c>
      <c r="J406" t="s">
        <v>377</v>
      </c>
      <c r="K406" t="s">
        <v>35</v>
      </c>
      <c r="L406">
        <v>290</v>
      </c>
      <c r="M406">
        <v>2006</v>
      </c>
      <c r="N406">
        <v>2006</v>
      </c>
      <c r="P406" s="1">
        <v>43636</v>
      </c>
      <c r="Q406" t="s">
        <v>36</v>
      </c>
      <c r="R406" t="s">
        <v>1727</v>
      </c>
      <c r="S406" t="s">
        <v>36</v>
      </c>
      <c r="W406">
        <v>0</v>
      </c>
      <c r="Z406">
        <v>0</v>
      </c>
    </row>
    <row r="407" spans="1:26" x14ac:dyDescent="0.3">
      <c r="A407">
        <v>40874451</v>
      </c>
      <c r="B407" t="s">
        <v>1728</v>
      </c>
      <c r="C407" t="s">
        <v>45</v>
      </c>
      <c r="D407" t="s">
        <v>46</v>
      </c>
      <c r="E407" t="s">
        <v>1729</v>
      </c>
      <c r="F407" t="str">
        <f>"1302915231"</f>
        <v>1302915231</v>
      </c>
      <c r="G407" t="str">
        <f>"9781302915230"</f>
        <v>9781302915230</v>
      </c>
      <c r="H407">
        <v>0</v>
      </c>
      <c r="I407">
        <v>3.83</v>
      </c>
      <c r="J407" t="s">
        <v>1730</v>
      </c>
      <c r="K407" t="s">
        <v>60</v>
      </c>
      <c r="L407">
        <v>112</v>
      </c>
      <c r="M407">
        <v>2019</v>
      </c>
      <c r="N407">
        <v>2019</v>
      </c>
      <c r="P407" s="1">
        <v>43636</v>
      </c>
      <c r="Q407" t="s">
        <v>36</v>
      </c>
      <c r="R407" t="s">
        <v>1731</v>
      </c>
      <c r="S407" t="s">
        <v>36</v>
      </c>
      <c r="W407">
        <v>0</v>
      </c>
      <c r="Z407">
        <v>0</v>
      </c>
    </row>
    <row r="408" spans="1:26" x14ac:dyDescent="0.3">
      <c r="A408">
        <v>34928286</v>
      </c>
      <c r="B408" t="s">
        <v>1732</v>
      </c>
      <c r="C408" t="s">
        <v>1733</v>
      </c>
      <c r="D408" t="s">
        <v>1734</v>
      </c>
      <c r="F408" t="str">
        <f>"0691177422"</f>
        <v>0691177422</v>
      </c>
      <c r="G408" t="str">
        <f>"9780691177427"</f>
        <v>9780691177427</v>
      </c>
      <c r="H408">
        <v>0</v>
      </c>
      <c r="I408">
        <v>3.79</v>
      </c>
      <c r="J408" t="s">
        <v>377</v>
      </c>
      <c r="K408" t="s">
        <v>35</v>
      </c>
      <c r="L408">
        <v>520</v>
      </c>
      <c r="M408">
        <v>2018</v>
      </c>
      <c r="P408" s="1">
        <v>43636</v>
      </c>
      <c r="Q408" t="s">
        <v>150</v>
      </c>
      <c r="R408" t="s">
        <v>1735</v>
      </c>
      <c r="S408" t="s">
        <v>150</v>
      </c>
      <c r="W408">
        <v>1</v>
      </c>
      <c r="Z408">
        <v>0</v>
      </c>
    </row>
    <row r="409" spans="1:26" x14ac:dyDescent="0.3">
      <c r="A409">
        <v>17803175</v>
      </c>
      <c r="B409" t="s">
        <v>1736</v>
      </c>
      <c r="C409" t="s">
        <v>1737</v>
      </c>
      <c r="D409" t="s">
        <v>1738</v>
      </c>
      <c r="F409" t="str">
        <f>"0199790582"</f>
        <v>0199790582</v>
      </c>
      <c r="G409" t="str">
        <f>"9780199790586"</f>
        <v>9780199790586</v>
      </c>
      <c r="H409">
        <v>0</v>
      </c>
      <c r="I409">
        <v>3.75</v>
      </c>
      <c r="J409" t="s">
        <v>104</v>
      </c>
      <c r="K409" t="s">
        <v>60</v>
      </c>
      <c r="L409">
        <v>152</v>
      </c>
      <c r="M409">
        <v>2014</v>
      </c>
      <c r="N409">
        <v>2013</v>
      </c>
      <c r="P409" s="1">
        <v>43634</v>
      </c>
      <c r="Q409" t="s">
        <v>36</v>
      </c>
      <c r="R409" t="s">
        <v>1739</v>
      </c>
      <c r="S409" t="s">
        <v>36</v>
      </c>
      <c r="W409">
        <v>0</v>
      </c>
      <c r="Z409">
        <v>0</v>
      </c>
    </row>
    <row r="410" spans="1:26" x14ac:dyDescent="0.3">
      <c r="A410">
        <v>22508002</v>
      </c>
      <c r="B410" t="s">
        <v>1740</v>
      </c>
      <c r="C410" t="s">
        <v>1741</v>
      </c>
      <c r="D410" t="s">
        <v>1742</v>
      </c>
      <c r="F410" t="str">
        <f>"1317792149"</f>
        <v>1317792149</v>
      </c>
      <c r="G410" t="str">
        <f>"9781317792147"</f>
        <v>9781317792147</v>
      </c>
      <c r="H410">
        <v>0</v>
      </c>
      <c r="I410">
        <v>0</v>
      </c>
      <c r="J410" t="s">
        <v>119</v>
      </c>
      <c r="K410" t="s">
        <v>173</v>
      </c>
      <c r="L410">
        <v>284</v>
      </c>
      <c r="M410">
        <v>2014</v>
      </c>
      <c r="P410" s="1">
        <v>43634</v>
      </c>
      <c r="Q410" t="s">
        <v>36</v>
      </c>
      <c r="R410" t="s">
        <v>1743</v>
      </c>
      <c r="S410" t="s">
        <v>36</v>
      </c>
      <c r="W410">
        <v>0</v>
      </c>
      <c r="Z410">
        <v>0</v>
      </c>
    </row>
    <row r="411" spans="1:26" x14ac:dyDescent="0.3">
      <c r="A411">
        <v>2943648</v>
      </c>
      <c r="B411" t="s">
        <v>1744</v>
      </c>
      <c r="C411" t="s">
        <v>1745</v>
      </c>
      <c r="D411" t="s">
        <v>1746</v>
      </c>
      <c r="E411" t="s">
        <v>1747</v>
      </c>
      <c r="F411" t="str">
        <f>"052158342X"</f>
        <v>052158342X</v>
      </c>
      <c r="G411" t="str">
        <f>"9780521583428"</f>
        <v>9780521583428</v>
      </c>
      <c r="H411">
        <v>0</v>
      </c>
      <c r="I411">
        <v>3.8</v>
      </c>
      <c r="J411" t="s">
        <v>261</v>
      </c>
      <c r="K411" t="s">
        <v>35</v>
      </c>
      <c r="L411">
        <v>1252</v>
      </c>
      <c r="M411">
        <v>2000</v>
      </c>
      <c r="N411">
        <v>1996</v>
      </c>
      <c r="P411" s="1">
        <v>43634</v>
      </c>
      <c r="Q411" t="s">
        <v>36</v>
      </c>
      <c r="R411" t="s">
        <v>1748</v>
      </c>
      <c r="S411" t="s">
        <v>36</v>
      </c>
      <c r="W411">
        <v>0</v>
      </c>
      <c r="Z411">
        <v>0</v>
      </c>
    </row>
    <row r="412" spans="1:26" x14ac:dyDescent="0.3">
      <c r="A412">
        <v>3838240</v>
      </c>
      <c r="B412" t="s">
        <v>1749</v>
      </c>
      <c r="C412" t="s">
        <v>1750</v>
      </c>
      <c r="D412" t="s">
        <v>1751</v>
      </c>
      <c r="F412" t="str">
        <f>"0802808433"</f>
        <v>0802808433</v>
      </c>
      <c r="G412" t="str">
        <f>"9780802808431"</f>
        <v>9780802808431</v>
      </c>
      <c r="H412">
        <v>0</v>
      </c>
      <c r="I412">
        <v>3.43</v>
      </c>
      <c r="J412" t="s">
        <v>617</v>
      </c>
      <c r="K412" t="s">
        <v>60</v>
      </c>
      <c r="L412">
        <v>432</v>
      </c>
      <c r="M412">
        <v>1995</v>
      </c>
      <c r="N412">
        <v>1995</v>
      </c>
      <c r="P412" s="1">
        <v>43634</v>
      </c>
      <c r="Q412" t="s">
        <v>36</v>
      </c>
      <c r="R412" t="s">
        <v>1752</v>
      </c>
      <c r="S412" t="s">
        <v>36</v>
      </c>
      <c r="W412">
        <v>0</v>
      </c>
      <c r="Z412">
        <v>0</v>
      </c>
    </row>
    <row r="413" spans="1:26" x14ac:dyDescent="0.3">
      <c r="A413">
        <v>880521</v>
      </c>
      <c r="B413" t="s">
        <v>1753</v>
      </c>
      <c r="C413" t="s">
        <v>1754</v>
      </c>
      <c r="D413" t="s">
        <v>1755</v>
      </c>
      <c r="F413" t="str">
        <f>"0520209400"</f>
        <v>0520209400</v>
      </c>
      <c r="G413" t="str">
        <f>"9780520209404"</f>
        <v>9780520209404</v>
      </c>
      <c r="H413">
        <v>0</v>
      </c>
      <c r="I413">
        <v>4.67</v>
      </c>
      <c r="J413" t="s">
        <v>579</v>
      </c>
      <c r="K413" t="s">
        <v>60</v>
      </c>
      <c r="M413">
        <v>1998</v>
      </c>
      <c r="N413">
        <v>1997</v>
      </c>
      <c r="P413" s="1">
        <v>43634</v>
      </c>
      <c r="Q413" t="s">
        <v>36</v>
      </c>
      <c r="R413" t="s">
        <v>1756</v>
      </c>
      <c r="S413" t="s">
        <v>36</v>
      </c>
      <c r="W413">
        <v>0</v>
      </c>
      <c r="Z413">
        <v>0</v>
      </c>
    </row>
    <row r="414" spans="1:26" x14ac:dyDescent="0.3">
      <c r="A414">
        <v>154624</v>
      </c>
      <c r="B414" t="s">
        <v>1757</v>
      </c>
      <c r="C414" t="s">
        <v>1389</v>
      </c>
      <c r="D414" t="s">
        <v>1390</v>
      </c>
      <c r="F414" t="str">
        <f>"0521596491"</f>
        <v>0521596491</v>
      </c>
      <c r="G414" t="str">
        <f>"9780521596497"</f>
        <v>9780521596497</v>
      </c>
      <c r="H414">
        <v>0</v>
      </c>
      <c r="I414">
        <v>3.31</v>
      </c>
      <c r="J414" t="s">
        <v>261</v>
      </c>
      <c r="K414" t="s">
        <v>60</v>
      </c>
      <c r="L414">
        <v>238</v>
      </c>
      <c r="M414">
        <v>1998</v>
      </c>
      <c r="N414">
        <v>1998</v>
      </c>
      <c r="P414" s="1">
        <v>43634</v>
      </c>
      <c r="Q414" t="s">
        <v>36</v>
      </c>
      <c r="R414" t="s">
        <v>1758</v>
      </c>
      <c r="S414" t="s">
        <v>36</v>
      </c>
      <c r="W414">
        <v>0</v>
      </c>
      <c r="Z414">
        <v>0</v>
      </c>
    </row>
    <row r="415" spans="1:26" x14ac:dyDescent="0.3">
      <c r="A415">
        <v>1232076</v>
      </c>
      <c r="B415" t="s">
        <v>1759</v>
      </c>
      <c r="C415" t="s">
        <v>1760</v>
      </c>
      <c r="D415" t="s">
        <v>1761</v>
      </c>
      <c r="F415" t="str">
        <f>"0253215889"</f>
        <v>0253215889</v>
      </c>
      <c r="G415" t="str">
        <f>"9780253215888"</f>
        <v>9780253215888</v>
      </c>
      <c r="H415">
        <v>0</v>
      </c>
      <c r="I415">
        <v>4.29</v>
      </c>
      <c r="J415" t="s">
        <v>1087</v>
      </c>
      <c r="K415" t="s">
        <v>60</v>
      </c>
      <c r="L415">
        <v>440</v>
      </c>
      <c r="M415">
        <v>2003</v>
      </c>
      <c r="N415">
        <v>2001</v>
      </c>
      <c r="P415" s="1">
        <v>43634</v>
      </c>
      <c r="Q415" t="s">
        <v>36</v>
      </c>
      <c r="R415" t="s">
        <v>1762</v>
      </c>
      <c r="S415" t="s">
        <v>36</v>
      </c>
      <c r="W415">
        <v>0</v>
      </c>
      <c r="Z415">
        <v>0</v>
      </c>
    </row>
    <row r="416" spans="1:26" x14ac:dyDescent="0.3">
      <c r="A416">
        <v>234509</v>
      </c>
      <c r="B416" t="s">
        <v>1763</v>
      </c>
      <c r="C416" t="s">
        <v>1764</v>
      </c>
      <c r="D416" t="s">
        <v>1765</v>
      </c>
      <c r="F416" t="str">
        <f>"081392085X"</f>
        <v>081392085X</v>
      </c>
      <c r="G416" t="str">
        <f>"9780813920856"</f>
        <v>9780813920856</v>
      </c>
      <c r="H416">
        <v>0</v>
      </c>
      <c r="I416">
        <v>3.93</v>
      </c>
      <c r="J416" t="s">
        <v>1766</v>
      </c>
      <c r="K416" t="s">
        <v>60</v>
      </c>
      <c r="L416">
        <v>480</v>
      </c>
      <c r="M416">
        <v>2002</v>
      </c>
      <c r="N416">
        <v>2002</v>
      </c>
      <c r="P416" s="1">
        <v>43634</v>
      </c>
      <c r="Q416" t="s">
        <v>36</v>
      </c>
      <c r="R416" t="s">
        <v>1767</v>
      </c>
      <c r="S416" t="s">
        <v>36</v>
      </c>
      <c r="W416">
        <v>0</v>
      </c>
      <c r="Z416">
        <v>0</v>
      </c>
    </row>
    <row r="417" spans="1:26" x14ac:dyDescent="0.3">
      <c r="A417">
        <v>1418347</v>
      </c>
      <c r="B417" t="s">
        <v>1768</v>
      </c>
      <c r="C417" t="s">
        <v>1769</v>
      </c>
      <c r="D417" t="s">
        <v>1770</v>
      </c>
      <c r="E417" t="s">
        <v>1771</v>
      </c>
      <c r="F417" t="str">
        <f>"0521596904"</f>
        <v>0521596904</v>
      </c>
      <c r="G417" t="str">
        <f>"9780521596909"</f>
        <v>9780521596909</v>
      </c>
      <c r="H417">
        <v>0</v>
      </c>
      <c r="I417">
        <v>3.71</v>
      </c>
      <c r="J417" t="s">
        <v>261</v>
      </c>
      <c r="K417" t="s">
        <v>60</v>
      </c>
      <c r="L417">
        <v>358</v>
      </c>
      <c r="M417">
        <v>2001</v>
      </c>
      <c r="N417">
        <v>1987</v>
      </c>
      <c r="P417" s="1">
        <v>43634</v>
      </c>
      <c r="Q417" t="s">
        <v>36</v>
      </c>
      <c r="R417" t="s">
        <v>1772</v>
      </c>
      <c r="S417" t="s">
        <v>36</v>
      </c>
      <c r="W417">
        <v>0</v>
      </c>
      <c r="Z417">
        <v>0</v>
      </c>
    </row>
    <row r="418" spans="1:26" x14ac:dyDescent="0.3">
      <c r="A418">
        <v>2514260</v>
      </c>
      <c r="B418" t="s">
        <v>1773</v>
      </c>
      <c r="C418" t="s">
        <v>1774</v>
      </c>
      <c r="D418" t="s">
        <v>1775</v>
      </c>
      <c r="E418" t="s">
        <v>1776</v>
      </c>
      <c r="F418" t="str">
        <f>"0253213096"</f>
        <v>0253213096</v>
      </c>
      <c r="G418" t="str">
        <f>"9780253213099"</f>
        <v>9780253213099</v>
      </c>
      <c r="H418">
        <v>0</v>
      </c>
      <c r="I418">
        <v>2.8</v>
      </c>
      <c r="J418" t="s">
        <v>1087</v>
      </c>
      <c r="K418" t="s">
        <v>60</v>
      </c>
      <c r="L418">
        <v>232</v>
      </c>
      <c r="M418">
        <v>1999</v>
      </c>
      <c r="N418">
        <v>1999</v>
      </c>
      <c r="P418" s="1">
        <v>43634</v>
      </c>
      <c r="Q418" t="s">
        <v>36</v>
      </c>
      <c r="R418" t="s">
        <v>1777</v>
      </c>
      <c r="S418" t="s">
        <v>36</v>
      </c>
      <c r="W418">
        <v>0</v>
      </c>
      <c r="Z418">
        <v>0</v>
      </c>
    </row>
    <row r="419" spans="1:26" x14ac:dyDescent="0.3">
      <c r="A419">
        <v>13727379</v>
      </c>
      <c r="B419" t="s">
        <v>1778</v>
      </c>
      <c r="C419" t="s">
        <v>1389</v>
      </c>
      <c r="D419" t="s">
        <v>1390</v>
      </c>
      <c r="F419" t="str">
        <f>"0521727340"</f>
        <v>0521727340</v>
      </c>
      <c r="G419" t="str">
        <f>"9780521727341"</f>
        <v>9780521727341</v>
      </c>
      <c r="H419">
        <v>0</v>
      </c>
      <c r="I419">
        <v>3.95</v>
      </c>
      <c r="J419" t="s">
        <v>261</v>
      </c>
      <c r="K419" t="s">
        <v>60</v>
      </c>
      <c r="L419">
        <v>562</v>
      </c>
      <c r="M419">
        <v>2012</v>
      </c>
      <c r="N419">
        <v>2012</v>
      </c>
      <c r="P419" s="1">
        <v>43634</v>
      </c>
      <c r="Q419" t="s">
        <v>36</v>
      </c>
      <c r="R419" t="s">
        <v>1779</v>
      </c>
      <c r="S419" t="s">
        <v>36</v>
      </c>
      <c r="W419">
        <v>0</v>
      </c>
      <c r="Z419">
        <v>0</v>
      </c>
    </row>
    <row r="420" spans="1:26" x14ac:dyDescent="0.3">
      <c r="A420">
        <v>16144575</v>
      </c>
      <c r="B420" t="s">
        <v>1780</v>
      </c>
      <c r="C420" t="s">
        <v>1781</v>
      </c>
      <c r="D420" t="s">
        <v>1782</v>
      </c>
      <c r="F420" t="str">
        <f>"080211959X"</f>
        <v>080211959X</v>
      </c>
      <c r="G420" t="str">
        <f>"9780802119599"</f>
        <v>9780802119599</v>
      </c>
      <c r="H420">
        <v>0</v>
      </c>
      <c r="I420">
        <v>4.2699999999999996</v>
      </c>
      <c r="J420" t="s">
        <v>1631</v>
      </c>
      <c r="K420" t="s">
        <v>35</v>
      </c>
      <c r="L420">
        <v>320</v>
      </c>
      <c r="M420">
        <v>2013</v>
      </c>
      <c r="N420">
        <v>2013</v>
      </c>
      <c r="P420" s="1">
        <v>43627</v>
      </c>
      <c r="S420" t="s">
        <v>174</v>
      </c>
      <c r="W420">
        <v>1</v>
      </c>
      <c r="Z420">
        <v>0</v>
      </c>
    </row>
    <row r="421" spans="1:26" x14ac:dyDescent="0.3">
      <c r="A421">
        <v>31423133</v>
      </c>
      <c r="B421" t="s">
        <v>1783</v>
      </c>
      <c r="C421" t="s">
        <v>1784</v>
      </c>
      <c r="D421" t="s">
        <v>1785</v>
      </c>
      <c r="F421" t="str">
        <f>""</f>
        <v/>
      </c>
      <c r="G421" t="str">
        <f>""</f>
        <v/>
      </c>
      <c r="H421">
        <v>0</v>
      </c>
      <c r="I421">
        <v>3.99</v>
      </c>
      <c r="J421" t="s">
        <v>161</v>
      </c>
      <c r="K421" t="s">
        <v>1786</v>
      </c>
      <c r="L421">
        <v>2</v>
      </c>
      <c r="M421">
        <v>2017</v>
      </c>
      <c r="N421">
        <v>2017</v>
      </c>
      <c r="P421" s="1">
        <v>43627</v>
      </c>
      <c r="S421" t="s">
        <v>174</v>
      </c>
      <c r="W421">
        <v>1</v>
      </c>
      <c r="Z421">
        <v>0</v>
      </c>
    </row>
    <row r="422" spans="1:26" x14ac:dyDescent="0.3">
      <c r="A422">
        <v>40524312</v>
      </c>
      <c r="B422" t="s">
        <v>1787</v>
      </c>
      <c r="C422" t="s">
        <v>1788</v>
      </c>
      <c r="D422" t="s">
        <v>1789</v>
      </c>
      <c r="F422" t="str">
        <f>"0735220174"</f>
        <v>0735220174</v>
      </c>
      <c r="G422" t="str">
        <f>"9780735220171"</f>
        <v>9780735220171</v>
      </c>
      <c r="H422">
        <v>0</v>
      </c>
      <c r="I422">
        <v>3.44</v>
      </c>
      <c r="J422" t="s">
        <v>421</v>
      </c>
      <c r="K422" t="s">
        <v>35</v>
      </c>
      <c r="L422">
        <v>620</v>
      </c>
      <c r="M422">
        <v>2019</v>
      </c>
      <c r="N422">
        <v>2019</v>
      </c>
      <c r="P422" s="1">
        <v>43620</v>
      </c>
      <c r="Q422" t="s">
        <v>36</v>
      </c>
      <c r="R422" t="s">
        <v>1790</v>
      </c>
      <c r="S422" t="s">
        <v>36</v>
      </c>
      <c r="W422">
        <v>0</v>
      </c>
      <c r="Z422">
        <v>0</v>
      </c>
    </row>
    <row r="423" spans="1:26" x14ac:dyDescent="0.3">
      <c r="A423">
        <v>8074907</v>
      </c>
      <c r="B423" t="s">
        <v>1791</v>
      </c>
      <c r="C423" t="s">
        <v>1792</v>
      </c>
      <c r="D423" t="s">
        <v>1793</v>
      </c>
      <c r="F423" t="str">
        <f>"0575079584"</f>
        <v>0575079584</v>
      </c>
      <c r="G423" t="str">
        <f>"9780575079588"</f>
        <v>9780575079588</v>
      </c>
      <c r="H423">
        <v>0</v>
      </c>
      <c r="I423">
        <v>4.3</v>
      </c>
      <c r="J423" t="s">
        <v>1794</v>
      </c>
      <c r="K423" t="s">
        <v>35</v>
      </c>
      <c r="L423">
        <v>512</v>
      </c>
      <c r="M423">
        <v>2021</v>
      </c>
      <c r="N423">
        <v>2021</v>
      </c>
      <c r="P423" s="1">
        <v>43620</v>
      </c>
      <c r="Q423" t="s">
        <v>36</v>
      </c>
      <c r="R423" t="s">
        <v>1795</v>
      </c>
      <c r="S423" t="s">
        <v>36</v>
      </c>
      <c r="W423">
        <v>0</v>
      </c>
      <c r="Z423">
        <v>0</v>
      </c>
    </row>
    <row r="424" spans="1:26" x14ac:dyDescent="0.3">
      <c r="A424">
        <v>1065213</v>
      </c>
      <c r="B424" t="s">
        <v>1796</v>
      </c>
      <c r="C424" t="s">
        <v>1797</v>
      </c>
      <c r="D424" t="s">
        <v>1798</v>
      </c>
      <c r="F424" t="str">
        <f>"0313211493"</f>
        <v>0313211493</v>
      </c>
      <c r="G424" t="str">
        <f>"9780313211492"</f>
        <v>9780313211492</v>
      </c>
      <c r="H424">
        <v>0</v>
      </c>
      <c r="I424">
        <v>4.5999999999999996</v>
      </c>
      <c r="J424" t="s">
        <v>1799</v>
      </c>
      <c r="K424" t="s">
        <v>35</v>
      </c>
      <c r="L424">
        <v>230</v>
      </c>
      <c r="M424">
        <v>1979</v>
      </c>
      <c r="N424">
        <v>1979</v>
      </c>
      <c r="P424" s="1">
        <v>43619</v>
      </c>
      <c r="Q424" t="s">
        <v>36</v>
      </c>
      <c r="R424" t="s">
        <v>1800</v>
      </c>
      <c r="S424" t="s">
        <v>36</v>
      </c>
      <c r="W424">
        <v>0</v>
      </c>
      <c r="Z424">
        <v>0</v>
      </c>
    </row>
    <row r="425" spans="1:26" x14ac:dyDescent="0.3">
      <c r="A425">
        <v>655621</v>
      </c>
      <c r="B425" t="s">
        <v>1801</v>
      </c>
      <c r="C425" t="s">
        <v>681</v>
      </c>
      <c r="D425" t="s">
        <v>682</v>
      </c>
      <c r="F425" t="str">
        <f>"0268019444"</f>
        <v>0268019444</v>
      </c>
      <c r="G425" t="str">
        <f>"9780268019440"</f>
        <v>9780268019440</v>
      </c>
      <c r="H425">
        <v>0</v>
      </c>
      <c r="I425">
        <v>4.2</v>
      </c>
      <c r="J425" t="s">
        <v>723</v>
      </c>
      <c r="K425" t="s">
        <v>60</v>
      </c>
      <c r="L425">
        <v>432</v>
      </c>
      <c r="M425">
        <v>1989</v>
      </c>
      <c r="N425">
        <v>1988</v>
      </c>
      <c r="P425" s="1">
        <v>43619</v>
      </c>
      <c r="Q425" t="s">
        <v>36</v>
      </c>
      <c r="R425" t="s">
        <v>1802</v>
      </c>
      <c r="S425" t="s">
        <v>36</v>
      </c>
      <c r="W425">
        <v>0</v>
      </c>
      <c r="Z425">
        <v>0</v>
      </c>
    </row>
    <row r="426" spans="1:26" x14ac:dyDescent="0.3">
      <c r="A426">
        <v>332138</v>
      </c>
      <c r="B426" t="s">
        <v>1803</v>
      </c>
      <c r="C426" t="s">
        <v>681</v>
      </c>
      <c r="D426" t="s">
        <v>682</v>
      </c>
      <c r="F426" t="str">
        <f>"0268006113"</f>
        <v>0268006113</v>
      </c>
      <c r="G426" t="str">
        <f>"9780268006112"</f>
        <v>9780268006112</v>
      </c>
      <c r="H426">
        <v>0</v>
      </c>
      <c r="I426">
        <v>4.17</v>
      </c>
      <c r="J426" t="s">
        <v>723</v>
      </c>
      <c r="K426" t="s">
        <v>60</v>
      </c>
      <c r="L426">
        <v>304</v>
      </c>
      <c r="M426">
        <v>1984</v>
      </c>
      <c r="N426">
        <v>1982</v>
      </c>
      <c r="P426" s="1">
        <v>43464</v>
      </c>
      <c r="S426" t="s">
        <v>174</v>
      </c>
      <c r="W426">
        <v>1</v>
      </c>
      <c r="Z426">
        <v>0</v>
      </c>
    </row>
    <row r="427" spans="1:26" x14ac:dyDescent="0.3">
      <c r="A427">
        <v>395479</v>
      </c>
      <c r="B427" t="s">
        <v>1804</v>
      </c>
      <c r="C427" t="s">
        <v>1805</v>
      </c>
      <c r="D427" t="s">
        <v>1806</v>
      </c>
      <c r="F427" t="str">
        <f>"0809115093"</f>
        <v>0809115093</v>
      </c>
      <c r="G427" t="str">
        <f>"9780809115099"</f>
        <v>9780809115099</v>
      </c>
      <c r="H427">
        <v>0</v>
      </c>
      <c r="I427">
        <v>4.38</v>
      </c>
      <c r="J427" t="s">
        <v>1807</v>
      </c>
      <c r="K427" t="s">
        <v>60</v>
      </c>
      <c r="L427">
        <v>128</v>
      </c>
      <c r="M427">
        <v>1988</v>
      </c>
      <c r="N427">
        <v>1970</v>
      </c>
      <c r="P427" s="1">
        <v>43609</v>
      </c>
      <c r="Q427" t="s">
        <v>36</v>
      </c>
      <c r="R427" t="s">
        <v>1808</v>
      </c>
      <c r="S427" t="s">
        <v>36</v>
      </c>
      <c r="W427">
        <v>0</v>
      </c>
      <c r="Z427">
        <v>0</v>
      </c>
    </row>
    <row r="428" spans="1:26" x14ac:dyDescent="0.3">
      <c r="A428">
        <v>863944</v>
      </c>
      <c r="B428" t="s">
        <v>1809</v>
      </c>
      <c r="C428" t="s">
        <v>1810</v>
      </c>
      <c r="D428" t="s">
        <v>1811</v>
      </c>
      <c r="F428" t="str">
        <f>"0802829767"</f>
        <v>0802829767</v>
      </c>
      <c r="G428" t="str">
        <f>"9780802829764"</f>
        <v>9780802829764</v>
      </c>
      <c r="H428">
        <v>0</v>
      </c>
      <c r="I428">
        <v>4.21</v>
      </c>
      <c r="J428" t="s">
        <v>884</v>
      </c>
      <c r="K428" t="s">
        <v>35</v>
      </c>
      <c r="L428">
        <v>109</v>
      </c>
      <c r="M428">
        <v>2005</v>
      </c>
      <c r="N428">
        <v>2005</v>
      </c>
      <c r="P428" s="1">
        <v>43609</v>
      </c>
      <c r="Q428" t="s">
        <v>36</v>
      </c>
      <c r="R428" t="s">
        <v>1812</v>
      </c>
      <c r="S428" t="s">
        <v>36</v>
      </c>
      <c r="W428">
        <v>0</v>
      </c>
      <c r="Z428">
        <v>0</v>
      </c>
    </row>
    <row r="429" spans="1:26" x14ac:dyDescent="0.3">
      <c r="A429">
        <v>26262085</v>
      </c>
      <c r="B429" t="s">
        <v>1813</v>
      </c>
      <c r="C429" t="s">
        <v>1814</v>
      </c>
      <c r="D429" t="s">
        <v>1815</v>
      </c>
      <c r="F429" t="str">
        <f>"0198746717"</f>
        <v>0198746717</v>
      </c>
      <c r="G429" t="str">
        <f>"9780198746713"</f>
        <v>9780198746713</v>
      </c>
      <c r="H429">
        <v>0</v>
      </c>
      <c r="I429">
        <v>0</v>
      </c>
      <c r="J429" t="s">
        <v>104</v>
      </c>
      <c r="K429" t="s">
        <v>35</v>
      </c>
      <c r="L429">
        <v>224</v>
      </c>
      <c r="M429">
        <v>2015</v>
      </c>
      <c r="N429">
        <v>2015</v>
      </c>
      <c r="P429" s="1">
        <v>43609</v>
      </c>
      <c r="Q429" t="s">
        <v>36</v>
      </c>
      <c r="R429" t="s">
        <v>1816</v>
      </c>
      <c r="S429" t="s">
        <v>36</v>
      </c>
      <c r="W429">
        <v>0</v>
      </c>
      <c r="Z429">
        <v>0</v>
      </c>
    </row>
    <row r="430" spans="1:26" x14ac:dyDescent="0.3">
      <c r="A430">
        <v>655623</v>
      </c>
      <c r="B430" t="s">
        <v>1817</v>
      </c>
      <c r="C430" t="s">
        <v>681</v>
      </c>
      <c r="D430" t="s">
        <v>682</v>
      </c>
      <c r="F430" t="str">
        <f>"081269452X"</f>
        <v>081269452X</v>
      </c>
      <c r="G430" t="str">
        <f>"9780812694529"</f>
        <v>9780812694529</v>
      </c>
      <c r="H430">
        <v>0</v>
      </c>
      <c r="I430">
        <v>3.99</v>
      </c>
      <c r="J430" t="s">
        <v>1818</v>
      </c>
      <c r="K430" t="s">
        <v>60</v>
      </c>
      <c r="L430">
        <v>180</v>
      </c>
      <c r="M430">
        <v>2001</v>
      </c>
      <c r="N430">
        <v>1999</v>
      </c>
      <c r="P430" s="1">
        <v>43608</v>
      </c>
      <c r="Q430" t="s">
        <v>36</v>
      </c>
      <c r="R430" t="s">
        <v>1819</v>
      </c>
      <c r="S430" t="s">
        <v>36</v>
      </c>
      <c r="W430">
        <v>0</v>
      </c>
      <c r="Z430">
        <v>0</v>
      </c>
    </row>
    <row r="431" spans="1:26" x14ac:dyDescent="0.3">
      <c r="A431">
        <v>37859</v>
      </c>
      <c r="B431" t="s">
        <v>1820</v>
      </c>
      <c r="C431" t="s">
        <v>848</v>
      </c>
      <c r="D431" t="s">
        <v>849</v>
      </c>
      <c r="E431" t="s">
        <v>1821</v>
      </c>
      <c r="F431" t="str">
        <f>"0822332930"</f>
        <v>0822332930</v>
      </c>
      <c r="G431" t="str">
        <f>"9780822332930"</f>
        <v>9780822332930</v>
      </c>
      <c r="H431">
        <v>0</v>
      </c>
      <c r="I431">
        <v>3.97</v>
      </c>
      <c r="J431" t="s">
        <v>1822</v>
      </c>
      <c r="K431" t="s">
        <v>60</v>
      </c>
      <c r="L431">
        <v>232</v>
      </c>
      <c r="M431">
        <v>2003</v>
      </c>
      <c r="N431">
        <v>2003</v>
      </c>
      <c r="P431" s="1">
        <v>43608</v>
      </c>
      <c r="Q431" t="s">
        <v>36</v>
      </c>
      <c r="R431" t="s">
        <v>1823</v>
      </c>
      <c r="S431" t="s">
        <v>36</v>
      </c>
      <c r="W431">
        <v>0</v>
      </c>
      <c r="Z431">
        <v>0</v>
      </c>
    </row>
    <row r="432" spans="1:26" x14ac:dyDescent="0.3">
      <c r="A432">
        <v>10185738</v>
      </c>
      <c r="B432" t="s">
        <v>1824</v>
      </c>
      <c r="C432" t="s">
        <v>1825</v>
      </c>
      <c r="D432" t="s">
        <v>1826</v>
      </c>
      <c r="F432" t="str">
        <f>""</f>
        <v/>
      </c>
      <c r="G432" t="str">
        <f>""</f>
        <v/>
      </c>
      <c r="H432">
        <v>0</v>
      </c>
      <c r="I432">
        <v>3.9</v>
      </c>
      <c r="J432" t="s">
        <v>356</v>
      </c>
      <c r="K432" t="s">
        <v>35</v>
      </c>
      <c r="L432">
        <v>258</v>
      </c>
      <c r="M432">
        <v>2011</v>
      </c>
      <c r="N432">
        <v>2011</v>
      </c>
      <c r="P432" s="1">
        <v>43606</v>
      </c>
      <c r="S432" t="s">
        <v>174</v>
      </c>
      <c r="W432">
        <v>1</v>
      </c>
      <c r="Z432">
        <v>0</v>
      </c>
    </row>
    <row r="433" spans="1:26" x14ac:dyDescent="0.3">
      <c r="A433">
        <v>234518</v>
      </c>
      <c r="B433" t="s">
        <v>1827</v>
      </c>
      <c r="C433" t="s">
        <v>1828</v>
      </c>
      <c r="D433" t="s">
        <v>1829</v>
      </c>
      <c r="E433" t="s">
        <v>1830</v>
      </c>
      <c r="F433" t="str">
        <f>"0821412973"</f>
        <v>0821412973</v>
      </c>
      <c r="G433" t="str">
        <f>"9780821412978"</f>
        <v>9780821412978</v>
      </c>
      <c r="H433">
        <v>0</v>
      </c>
      <c r="I433">
        <v>3.57</v>
      </c>
      <c r="J433" t="s">
        <v>1831</v>
      </c>
      <c r="K433" t="s">
        <v>60</v>
      </c>
      <c r="L433">
        <v>604</v>
      </c>
      <c r="M433">
        <v>2000</v>
      </c>
      <c r="N433">
        <v>2000</v>
      </c>
      <c r="P433" s="1">
        <v>43600</v>
      </c>
      <c r="Q433" t="s">
        <v>36</v>
      </c>
      <c r="R433" t="s">
        <v>1832</v>
      </c>
      <c r="S433" t="s">
        <v>36</v>
      </c>
      <c r="W433">
        <v>0</v>
      </c>
      <c r="Z433">
        <v>0</v>
      </c>
    </row>
    <row r="434" spans="1:26" x14ac:dyDescent="0.3">
      <c r="A434">
        <v>1237786</v>
      </c>
      <c r="B434" t="s">
        <v>1833</v>
      </c>
      <c r="C434" t="s">
        <v>1834</v>
      </c>
      <c r="D434" t="s">
        <v>1835</v>
      </c>
      <c r="F434" t="str">
        <f>"0521657024"</f>
        <v>0521657024</v>
      </c>
      <c r="G434" t="str">
        <f>"9780521657020"</f>
        <v>9780521657020</v>
      </c>
      <c r="H434">
        <v>0</v>
      </c>
      <c r="I434">
        <v>3.5</v>
      </c>
      <c r="J434" t="s">
        <v>261</v>
      </c>
      <c r="K434" t="s">
        <v>60</v>
      </c>
      <c r="L434">
        <v>470</v>
      </c>
      <c r="M434">
        <v>2003</v>
      </c>
      <c r="N434">
        <v>2003</v>
      </c>
      <c r="P434" s="1">
        <v>43600</v>
      </c>
      <c r="Q434" t="s">
        <v>36</v>
      </c>
      <c r="R434" t="s">
        <v>1836</v>
      </c>
      <c r="S434" t="s">
        <v>36</v>
      </c>
      <c r="W434">
        <v>0</v>
      </c>
      <c r="Z434">
        <v>0</v>
      </c>
    </row>
    <row r="435" spans="1:26" x14ac:dyDescent="0.3">
      <c r="A435">
        <v>1569452</v>
      </c>
      <c r="B435" t="s">
        <v>1837</v>
      </c>
      <c r="C435" t="s">
        <v>1389</v>
      </c>
      <c r="D435" t="s">
        <v>1390</v>
      </c>
      <c r="F435" t="str">
        <f>"1857283937"</f>
        <v>1857283937</v>
      </c>
      <c r="G435" t="str">
        <f>"9781857283938"</f>
        <v>9781857283938</v>
      </c>
      <c r="H435">
        <v>0</v>
      </c>
      <c r="I435">
        <v>4</v>
      </c>
      <c r="J435" t="s">
        <v>1838</v>
      </c>
      <c r="K435" t="s">
        <v>60</v>
      </c>
      <c r="L435">
        <v>208</v>
      </c>
      <c r="M435">
        <v>1999</v>
      </c>
      <c r="N435">
        <v>1999</v>
      </c>
      <c r="P435" s="1">
        <v>43600</v>
      </c>
      <c r="Q435" t="s">
        <v>36</v>
      </c>
      <c r="R435" t="s">
        <v>1839</v>
      </c>
      <c r="S435" t="s">
        <v>36</v>
      </c>
      <c r="W435">
        <v>0</v>
      </c>
      <c r="Z435">
        <v>0</v>
      </c>
    </row>
    <row r="436" spans="1:26" x14ac:dyDescent="0.3">
      <c r="A436">
        <v>4761490</v>
      </c>
      <c r="B436" t="s">
        <v>1840</v>
      </c>
      <c r="C436" t="s">
        <v>1841</v>
      </c>
      <c r="D436" t="s">
        <v>1842</v>
      </c>
      <c r="F436" t="str">
        <f>"029911600X"</f>
        <v>029911600X</v>
      </c>
      <c r="G436" t="str">
        <f>"9780299116002"</f>
        <v>9780299116002</v>
      </c>
      <c r="H436">
        <v>0</v>
      </c>
      <c r="I436">
        <v>3.93</v>
      </c>
      <c r="J436" t="s">
        <v>1314</v>
      </c>
      <c r="K436" t="s">
        <v>35</v>
      </c>
      <c r="L436">
        <v>174</v>
      </c>
      <c r="M436">
        <v>1987</v>
      </c>
      <c r="N436">
        <v>1976</v>
      </c>
      <c r="P436" s="1">
        <v>43600</v>
      </c>
      <c r="Q436" t="s">
        <v>36</v>
      </c>
      <c r="R436" t="s">
        <v>1843</v>
      </c>
      <c r="S436" t="s">
        <v>36</v>
      </c>
      <c r="W436">
        <v>0</v>
      </c>
      <c r="Z436">
        <v>0</v>
      </c>
    </row>
    <row r="437" spans="1:26" x14ac:dyDescent="0.3">
      <c r="A437">
        <v>12000704</v>
      </c>
      <c r="B437" t="s">
        <v>1844</v>
      </c>
      <c r="C437" t="s">
        <v>1841</v>
      </c>
      <c r="D437" t="s">
        <v>1842</v>
      </c>
      <c r="F437" t="str">
        <f>"0299123340"</f>
        <v>0299123340</v>
      </c>
      <c r="G437" t="str">
        <f>"9780299123345"</f>
        <v>9780299123345</v>
      </c>
      <c r="H437">
        <v>0</v>
      </c>
      <c r="I437">
        <v>3.5</v>
      </c>
      <c r="J437" t="s">
        <v>1314</v>
      </c>
      <c r="K437" t="s">
        <v>60</v>
      </c>
      <c r="L437">
        <v>186</v>
      </c>
      <c r="M437">
        <v>1989</v>
      </c>
      <c r="N437">
        <v>1976</v>
      </c>
      <c r="P437" s="1">
        <v>43600</v>
      </c>
      <c r="Q437" t="s">
        <v>36</v>
      </c>
      <c r="R437" t="s">
        <v>1845</v>
      </c>
      <c r="S437" t="s">
        <v>36</v>
      </c>
      <c r="W437">
        <v>0</v>
      </c>
      <c r="Z437">
        <v>0</v>
      </c>
    </row>
    <row r="438" spans="1:26" x14ac:dyDescent="0.3">
      <c r="A438">
        <v>596634</v>
      </c>
      <c r="B438" t="s">
        <v>1846</v>
      </c>
      <c r="C438" t="s">
        <v>1847</v>
      </c>
      <c r="D438" t="s">
        <v>1848</v>
      </c>
      <c r="F438" t="str">
        <f>"0333682734"</f>
        <v>0333682734</v>
      </c>
      <c r="G438" t="str">
        <f>"9780333682739"</f>
        <v>9780333682739</v>
      </c>
      <c r="H438">
        <v>0</v>
      </c>
      <c r="I438">
        <v>3.58</v>
      </c>
      <c r="J438" t="s">
        <v>1849</v>
      </c>
      <c r="K438" t="s">
        <v>60</v>
      </c>
      <c r="L438">
        <v>624</v>
      </c>
      <c r="M438">
        <v>2004</v>
      </c>
      <c r="N438">
        <v>2004</v>
      </c>
      <c r="P438" s="1">
        <v>43600</v>
      </c>
      <c r="Q438" t="s">
        <v>36</v>
      </c>
      <c r="R438" t="s">
        <v>1850</v>
      </c>
      <c r="S438" t="s">
        <v>36</v>
      </c>
      <c r="W438">
        <v>0</v>
      </c>
      <c r="Z438">
        <v>0</v>
      </c>
    </row>
    <row r="439" spans="1:26" x14ac:dyDescent="0.3">
      <c r="A439">
        <v>193746</v>
      </c>
      <c r="B439" t="s">
        <v>1851</v>
      </c>
      <c r="C439" t="s">
        <v>1852</v>
      </c>
      <c r="D439" t="s">
        <v>1853</v>
      </c>
      <c r="E439" t="s">
        <v>1854</v>
      </c>
      <c r="F439" t="str">
        <f>"0521776007"</f>
        <v>0521776007</v>
      </c>
      <c r="G439" t="str">
        <f>"9780521776004"</f>
        <v>9780521776004</v>
      </c>
      <c r="H439">
        <v>0</v>
      </c>
      <c r="I439">
        <v>3.56</v>
      </c>
      <c r="J439" t="s">
        <v>261</v>
      </c>
      <c r="K439" t="s">
        <v>60</v>
      </c>
      <c r="L439">
        <v>230</v>
      </c>
      <c r="M439">
        <v>2002</v>
      </c>
      <c r="N439">
        <v>2002</v>
      </c>
      <c r="P439" s="1">
        <v>43600</v>
      </c>
      <c r="Q439" t="s">
        <v>36</v>
      </c>
      <c r="R439" t="s">
        <v>1855</v>
      </c>
      <c r="S439" t="s">
        <v>36</v>
      </c>
      <c r="W439">
        <v>0</v>
      </c>
      <c r="Z439">
        <v>0</v>
      </c>
    </row>
    <row r="440" spans="1:26" x14ac:dyDescent="0.3">
      <c r="A440">
        <v>39216480</v>
      </c>
      <c r="B440" t="s">
        <v>1856</v>
      </c>
      <c r="C440" t="s">
        <v>1857</v>
      </c>
      <c r="D440" t="s">
        <v>1858</v>
      </c>
      <c r="F440" t="str">
        <f>"0525521658"</f>
        <v>0525521658</v>
      </c>
      <c r="G440" t="str">
        <f>"9780525521655"</f>
        <v>9780525521655</v>
      </c>
      <c r="H440">
        <v>0</v>
      </c>
      <c r="I440">
        <v>4.08</v>
      </c>
      <c r="J440" t="s">
        <v>1032</v>
      </c>
      <c r="K440" t="s">
        <v>35</v>
      </c>
      <c r="L440">
        <v>192</v>
      </c>
      <c r="M440">
        <v>2018</v>
      </c>
      <c r="N440">
        <v>2018</v>
      </c>
      <c r="P440" s="1">
        <v>43599</v>
      </c>
      <c r="S440" t="s">
        <v>174</v>
      </c>
      <c r="W440">
        <v>2</v>
      </c>
      <c r="Z440">
        <v>0</v>
      </c>
    </row>
    <row r="441" spans="1:26" x14ac:dyDescent="0.3">
      <c r="A441">
        <v>36854777</v>
      </c>
      <c r="B441" t="s">
        <v>1859</v>
      </c>
      <c r="C441" t="s">
        <v>1860</v>
      </c>
      <c r="D441" t="s">
        <v>1861</v>
      </c>
      <c r="E441" t="s">
        <v>1862</v>
      </c>
      <c r="F441" t="str">
        <f>"0691157081"</f>
        <v>0691157081</v>
      </c>
      <c r="G441" t="str">
        <f>"9780691157085"</f>
        <v>9780691157085</v>
      </c>
      <c r="H441">
        <v>0</v>
      </c>
      <c r="I441">
        <v>4.17</v>
      </c>
      <c r="J441" t="s">
        <v>377</v>
      </c>
      <c r="K441" t="s">
        <v>35</v>
      </c>
      <c r="L441">
        <v>424</v>
      </c>
      <c r="M441">
        <v>2018</v>
      </c>
      <c r="P441" s="1">
        <v>43594</v>
      </c>
      <c r="S441" t="s">
        <v>174</v>
      </c>
      <c r="W441">
        <v>1</v>
      </c>
      <c r="Z441">
        <v>0</v>
      </c>
    </row>
    <row r="442" spans="1:26" x14ac:dyDescent="0.3">
      <c r="A442">
        <v>41793199</v>
      </c>
      <c r="B442" t="s">
        <v>1863</v>
      </c>
      <c r="C442" t="s">
        <v>1864</v>
      </c>
      <c r="D442" t="s">
        <v>1865</v>
      </c>
      <c r="F442" t="str">
        <f>"0190908181"</f>
        <v>0190908181</v>
      </c>
      <c r="G442" t="str">
        <f>"9780190908188"</f>
        <v>9780190908188</v>
      </c>
      <c r="H442">
        <v>0</v>
      </c>
      <c r="I442">
        <v>0</v>
      </c>
      <c r="J442" t="s">
        <v>104</v>
      </c>
      <c r="K442" t="s">
        <v>35</v>
      </c>
      <c r="L442">
        <v>328</v>
      </c>
      <c r="M442">
        <v>2019</v>
      </c>
      <c r="P442" s="1">
        <v>43586</v>
      </c>
      <c r="Q442" t="s">
        <v>36</v>
      </c>
      <c r="R442" t="s">
        <v>1866</v>
      </c>
      <c r="S442" t="s">
        <v>36</v>
      </c>
      <c r="W442">
        <v>0</v>
      </c>
      <c r="Z442">
        <v>0</v>
      </c>
    </row>
    <row r="443" spans="1:26" x14ac:dyDescent="0.3">
      <c r="A443">
        <v>18693404</v>
      </c>
      <c r="B443" t="s">
        <v>1867</v>
      </c>
      <c r="C443" t="s">
        <v>1825</v>
      </c>
      <c r="D443" t="s">
        <v>1826</v>
      </c>
      <c r="F443" t="str">
        <f>"0300203993"</f>
        <v>0300203993</v>
      </c>
      <c r="G443" t="str">
        <f>"9780300203998"</f>
        <v>9780300203998</v>
      </c>
      <c r="H443">
        <v>0</v>
      </c>
      <c r="I443">
        <v>3.83</v>
      </c>
      <c r="J443" t="s">
        <v>356</v>
      </c>
      <c r="K443" t="s">
        <v>35</v>
      </c>
      <c r="L443">
        <v>248</v>
      </c>
      <c r="M443">
        <v>2014</v>
      </c>
      <c r="N443">
        <v>2014</v>
      </c>
      <c r="P443" s="1">
        <v>43586</v>
      </c>
      <c r="Q443" t="s">
        <v>36</v>
      </c>
      <c r="R443" t="s">
        <v>1868</v>
      </c>
      <c r="S443" t="s">
        <v>36</v>
      </c>
      <c r="W443">
        <v>0</v>
      </c>
      <c r="Z443">
        <v>0</v>
      </c>
    </row>
    <row r="444" spans="1:26" x14ac:dyDescent="0.3">
      <c r="A444">
        <v>212949</v>
      </c>
      <c r="B444" t="s">
        <v>1869</v>
      </c>
      <c r="C444" t="s">
        <v>1870</v>
      </c>
      <c r="D444" t="s">
        <v>1871</v>
      </c>
      <c r="F444" t="str">
        <f>"0231133200"</f>
        <v>0231133200</v>
      </c>
      <c r="G444" t="str">
        <f>"9780231133203"</f>
        <v>9780231133203</v>
      </c>
      <c r="H444">
        <v>0</v>
      </c>
      <c r="I444">
        <v>3.67</v>
      </c>
      <c r="J444" t="s">
        <v>1696</v>
      </c>
      <c r="K444" t="s">
        <v>35</v>
      </c>
      <c r="L444">
        <v>280</v>
      </c>
      <c r="M444">
        <v>2005</v>
      </c>
      <c r="N444">
        <v>2005</v>
      </c>
      <c r="P444" s="1">
        <v>43583</v>
      </c>
      <c r="Q444" t="s">
        <v>36</v>
      </c>
      <c r="R444" t="s">
        <v>1872</v>
      </c>
      <c r="S444" t="s">
        <v>36</v>
      </c>
      <c r="W444">
        <v>0</v>
      </c>
      <c r="Z444">
        <v>0</v>
      </c>
    </row>
    <row r="445" spans="1:26" x14ac:dyDescent="0.3">
      <c r="A445">
        <v>5076900</v>
      </c>
      <c r="B445" t="s">
        <v>1873</v>
      </c>
      <c r="C445" t="s">
        <v>1874</v>
      </c>
      <c r="D445" t="s">
        <v>1875</v>
      </c>
      <c r="F445" t="str">
        <f>"3161450094"</f>
        <v>3161450094</v>
      </c>
      <c r="G445" t="str">
        <f>"9783161450099"</f>
        <v>9783161450099</v>
      </c>
      <c r="H445">
        <v>0</v>
      </c>
      <c r="I445">
        <v>0</v>
      </c>
      <c r="J445" t="s">
        <v>1876</v>
      </c>
      <c r="K445" t="s">
        <v>35</v>
      </c>
      <c r="L445">
        <v>220</v>
      </c>
      <c r="M445">
        <v>1986</v>
      </c>
      <c r="N445">
        <v>1986</v>
      </c>
      <c r="P445" s="1">
        <v>43578</v>
      </c>
      <c r="Q445" t="s">
        <v>36</v>
      </c>
      <c r="R445" t="s">
        <v>1877</v>
      </c>
      <c r="S445" t="s">
        <v>36</v>
      </c>
      <c r="W445">
        <v>0</v>
      </c>
      <c r="Z445">
        <v>0</v>
      </c>
    </row>
    <row r="446" spans="1:26" x14ac:dyDescent="0.3">
      <c r="A446">
        <v>766645</v>
      </c>
      <c r="B446" t="s">
        <v>1878</v>
      </c>
      <c r="C446" t="s">
        <v>1233</v>
      </c>
      <c r="D446" t="s">
        <v>1234</v>
      </c>
      <c r="F446" t="str">
        <f>"0521545722"</f>
        <v>0521545722</v>
      </c>
      <c r="G446" t="str">
        <f>"9780521545723"</f>
        <v>9780521545723</v>
      </c>
      <c r="H446">
        <v>0</v>
      </c>
      <c r="I446">
        <v>4.2</v>
      </c>
      <c r="J446" t="s">
        <v>261</v>
      </c>
      <c r="K446" t="s">
        <v>60</v>
      </c>
      <c r="L446">
        <v>256</v>
      </c>
      <c r="M446">
        <v>2003</v>
      </c>
      <c r="N446">
        <v>1981</v>
      </c>
      <c r="P446" s="1">
        <v>43578</v>
      </c>
      <c r="Q446" t="s">
        <v>36</v>
      </c>
      <c r="R446" t="s">
        <v>1879</v>
      </c>
      <c r="S446" t="s">
        <v>36</v>
      </c>
      <c r="W446">
        <v>0</v>
      </c>
      <c r="Z446">
        <v>0</v>
      </c>
    </row>
    <row r="447" spans="1:26" x14ac:dyDescent="0.3">
      <c r="A447">
        <v>25736717</v>
      </c>
      <c r="B447" t="s">
        <v>1880</v>
      </c>
      <c r="C447" t="s">
        <v>1881</v>
      </c>
      <c r="D447" t="s">
        <v>1882</v>
      </c>
      <c r="F447" t="str">
        <f>""</f>
        <v/>
      </c>
      <c r="G447" t="str">
        <f>""</f>
        <v/>
      </c>
      <c r="H447">
        <v>0</v>
      </c>
      <c r="I447">
        <v>3.82</v>
      </c>
      <c r="J447" t="s">
        <v>1883</v>
      </c>
      <c r="K447" t="s">
        <v>69</v>
      </c>
      <c r="L447">
        <v>172</v>
      </c>
      <c r="M447">
        <v>2015</v>
      </c>
      <c r="N447">
        <v>2015</v>
      </c>
      <c r="P447" s="1">
        <v>43576</v>
      </c>
      <c r="Q447" t="s">
        <v>36</v>
      </c>
      <c r="R447" t="s">
        <v>1884</v>
      </c>
      <c r="S447" t="s">
        <v>36</v>
      </c>
      <c r="W447">
        <v>0</v>
      </c>
      <c r="Z447">
        <v>0</v>
      </c>
    </row>
    <row r="448" spans="1:26" x14ac:dyDescent="0.3">
      <c r="A448">
        <v>7791966</v>
      </c>
      <c r="B448" t="s">
        <v>1885</v>
      </c>
      <c r="C448" t="s">
        <v>1886</v>
      </c>
      <c r="D448" t="s">
        <v>1887</v>
      </c>
      <c r="F448" t="str">
        <f>"9004091440"</f>
        <v>9004091440</v>
      </c>
      <c r="G448" t="str">
        <f>"9789004091443"</f>
        <v>9789004091443</v>
      </c>
      <c r="H448">
        <v>0</v>
      </c>
      <c r="I448">
        <v>0</v>
      </c>
      <c r="J448" t="s">
        <v>584</v>
      </c>
      <c r="K448" t="s">
        <v>60</v>
      </c>
      <c r="L448">
        <v>250</v>
      </c>
      <c r="M448">
        <v>1990</v>
      </c>
      <c r="N448">
        <v>1990</v>
      </c>
      <c r="P448" s="1">
        <v>43575</v>
      </c>
      <c r="Q448" t="s">
        <v>36</v>
      </c>
      <c r="R448" t="s">
        <v>1888</v>
      </c>
      <c r="S448" t="s">
        <v>36</v>
      </c>
      <c r="W448">
        <v>0</v>
      </c>
      <c r="Z448">
        <v>0</v>
      </c>
    </row>
    <row r="449" spans="1:26" x14ac:dyDescent="0.3">
      <c r="A449">
        <v>1461650</v>
      </c>
      <c r="B449" t="s">
        <v>1889</v>
      </c>
      <c r="C449" t="s">
        <v>1890</v>
      </c>
      <c r="D449" t="s">
        <v>1891</v>
      </c>
      <c r="F449" t="str">
        <f>"0199275483"</f>
        <v>0199275483</v>
      </c>
      <c r="G449" t="str">
        <f>"9780199275489"</f>
        <v>9780199275489</v>
      </c>
      <c r="H449">
        <v>0</v>
      </c>
      <c r="I449">
        <v>4.2300000000000004</v>
      </c>
      <c r="J449" t="s">
        <v>104</v>
      </c>
      <c r="K449" t="s">
        <v>60</v>
      </c>
      <c r="M449">
        <v>2004</v>
      </c>
      <c r="N449">
        <v>2002</v>
      </c>
      <c r="P449" s="1">
        <v>43575</v>
      </c>
      <c r="Q449" t="s">
        <v>36</v>
      </c>
      <c r="R449" t="s">
        <v>1892</v>
      </c>
      <c r="S449" t="s">
        <v>36</v>
      </c>
      <c r="W449">
        <v>0</v>
      </c>
      <c r="Z449">
        <v>0</v>
      </c>
    </row>
    <row r="450" spans="1:26" x14ac:dyDescent="0.3">
      <c r="A450">
        <v>167913</v>
      </c>
      <c r="B450" t="s">
        <v>1893</v>
      </c>
      <c r="C450" t="s">
        <v>1894</v>
      </c>
      <c r="D450" t="s">
        <v>1895</v>
      </c>
      <c r="F450" t="str">
        <f>"0192803204"</f>
        <v>0192803204</v>
      </c>
      <c r="G450" t="str">
        <f>"9780192803207"</f>
        <v>9780192803207</v>
      </c>
      <c r="H450">
        <v>0</v>
      </c>
      <c r="I450">
        <v>4.25</v>
      </c>
      <c r="J450" t="s">
        <v>756</v>
      </c>
      <c r="K450" t="s">
        <v>60</v>
      </c>
      <c r="L450">
        <v>579</v>
      </c>
      <c r="M450">
        <v>2002</v>
      </c>
      <c r="N450">
        <v>1939</v>
      </c>
      <c r="P450" s="1">
        <v>43575</v>
      </c>
      <c r="Q450" t="s">
        <v>36</v>
      </c>
      <c r="R450" t="s">
        <v>1896</v>
      </c>
      <c r="S450" t="s">
        <v>36</v>
      </c>
      <c r="W450">
        <v>0</v>
      </c>
      <c r="Z450">
        <v>0</v>
      </c>
    </row>
    <row r="451" spans="1:26" x14ac:dyDescent="0.3">
      <c r="A451">
        <v>114945</v>
      </c>
      <c r="B451" t="s">
        <v>1897</v>
      </c>
      <c r="C451" t="s">
        <v>1898</v>
      </c>
      <c r="D451" t="s">
        <v>1899</v>
      </c>
      <c r="F451" t="str">
        <f>"080521030X"</f>
        <v>080521030X</v>
      </c>
      <c r="G451" t="str">
        <f>"9780805210309"</f>
        <v>9780805210309</v>
      </c>
      <c r="H451">
        <v>0</v>
      </c>
      <c r="I451">
        <v>3.97</v>
      </c>
      <c r="J451" t="s">
        <v>1900</v>
      </c>
      <c r="K451" t="s">
        <v>60</v>
      </c>
      <c r="L451">
        <v>304</v>
      </c>
      <c r="M451">
        <v>2011</v>
      </c>
      <c r="N451">
        <v>1975</v>
      </c>
      <c r="P451" s="1">
        <v>43575</v>
      </c>
      <c r="Q451" t="s">
        <v>36</v>
      </c>
      <c r="R451" t="s">
        <v>1901</v>
      </c>
      <c r="S451" t="s">
        <v>36</v>
      </c>
      <c r="W451">
        <v>0</v>
      </c>
      <c r="Z451">
        <v>0</v>
      </c>
    </row>
    <row r="452" spans="1:26" x14ac:dyDescent="0.3">
      <c r="A452">
        <v>272816</v>
      </c>
      <c r="B452" t="s">
        <v>1902</v>
      </c>
      <c r="C452" t="s">
        <v>911</v>
      </c>
      <c r="D452" t="s">
        <v>912</v>
      </c>
      <c r="F452" t="str">
        <f>"0802828523"</f>
        <v>0802828523</v>
      </c>
      <c r="G452" t="str">
        <f>"9780802828521"</f>
        <v>9780802828521</v>
      </c>
      <c r="H452">
        <v>0</v>
      </c>
      <c r="I452">
        <v>3.92</v>
      </c>
      <c r="J452" t="s">
        <v>884</v>
      </c>
      <c r="K452" t="s">
        <v>35</v>
      </c>
      <c r="L452">
        <v>344</v>
      </c>
      <c r="M452">
        <v>2005</v>
      </c>
      <c r="N452">
        <v>2005</v>
      </c>
      <c r="P452" s="1">
        <v>43575</v>
      </c>
      <c r="Q452" t="s">
        <v>36</v>
      </c>
      <c r="R452" t="s">
        <v>1903</v>
      </c>
      <c r="S452" t="s">
        <v>36</v>
      </c>
      <c r="W452">
        <v>0</v>
      </c>
      <c r="Z452">
        <v>0</v>
      </c>
    </row>
    <row r="453" spans="1:26" x14ac:dyDescent="0.3">
      <c r="A453">
        <v>16248523</v>
      </c>
      <c r="B453" t="s">
        <v>1904</v>
      </c>
      <c r="C453" t="s">
        <v>1905</v>
      </c>
      <c r="D453" t="s">
        <v>1906</v>
      </c>
      <c r="F453" t="str">
        <f>"0199898243"</f>
        <v>0199898243</v>
      </c>
      <c r="G453" t="str">
        <f>"9780199898244"</f>
        <v>9780199898244</v>
      </c>
      <c r="H453">
        <v>0</v>
      </c>
      <c r="I453">
        <v>2.5</v>
      </c>
      <c r="J453" t="s">
        <v>104</v>
      </c>
      <c r="K453" t="s">
        <v>35</v>
      </c>
      <c r="L453">
        <v>228</v>
      </c>
      <c r="M453">
        <v>2013</v>
      </c>
      <c r="N453">
        <v>2013</v>
      </c>
      <c r="P453" s="1">
        <v>43575</v>
      </c>
      <c r="Q453" t="s">
        <v>36</v>
      </c>
      <c r="R453" t="s">
        <v>1907</v>
      </c>
      <c r="S453" t="s">
        <v>36</v>
      </c>
      <c r="W453">
        <v>0</v>
      </c>
      <c r="Z453">
        <v>0</v>
      </c>
    </row>
    <row r="454" spans="1:26" x14ac:dyDescent="0.3">
      <c r="A454">
        <v>36494928</v>
      </c>
      <c r="B454" t="s">
        <v>1352</v>
      </c>
      <c r="C454" t="s">
        <v>667</v>
      </c>
      <c r="D454" t="s">
        <v>668</v>
      </c>
      <c r="E454" t="s">
        <v>1908</v>
      </c>
      <c r="F454" t="str">
        <f>""</f>
        <v/>
      </c>
      <c r="G454" t="str">
        <f>""</f>
        <v/>
      </c>
      <c r="H454">
        <v>0</v>
      </c>
      <c r="I454">
        <v>3.97</v>
      </c>
      <c r="J454" t="s">
        <v>631</v>
      </c>
      <c r="K454" t="s">
        <v>69</v>
      </c>
      <c r="L454">
        <v>672</v>
      </c>
      <c r="M454">
        <v>2017</v>
      </c>
      <c r="N454">
        <v>1977</v>
      </c>
      <c r="P454" s="1">
        <v>43573</v>
      </c>
      <c r="Q454" t="s">
        <v>36</v>
      </c>
      <c r="R454" t="s">
        <v>1909</v>
      </c>
      <c r="S454" t="s">
        <v>36</v>
      </c>
      <c r="W454">
        <v>0</v>
      </c>
      <c r="Z454">
        <v>0</v>
      </c>
    </row>
    <row r="455" spans="1:26" x14ac:dyDescent="0.3">
      <c r="A455">
        <v>142121</v>
      </c>
      <c r="B455" t="s">
        <v>1910</v>
      </c>
      <c r="C455" t="s">
        <v>1911</v>
      </c>
      <c r="D455" t="s">
        <v>1912</v>
      </c>
      <c r="F455" t="str">
        <f>"1567444768"</f>
        <v>1567444768</v>
      </c>
      <c r="G455" t="str">
        <f>"9781567444766"</f>
        <v>9781567444766</v>
      </c>
      <c r="H455">
        <v>0</v>
      </c>
      <c r="I455">
        <v>4.2</v>
      </c>
      <c r="J455" t="s">
        <v>1913</v>
      </c>
      <c r="K455" t="s">
        <v>60</v>
      </c>
      <c r="L455">
        <v>270</v>
      </c>
      <c r="M455">
        <v>1994</v>
      </c>
      <c r="N455">
        <v>1993</v>
      </c>
      <c r="P455" s="1">
        <v>43573</v>
      </c>
      <c r="Q455" t="s">
        <v>36</v>
      </c>
      <c r="R455" t="s">
        <v>1914</v>
      </c>
      <c r="S455" t="s">
        <v>36</v>
      </c>
      <c r="W455">
        <v>0</v>
      </c>
      <c r="Z455">
        <v>0</v>
      </c>
    </row>
    <row r="456" spans="1:26" x14ac:dyDescent="0.3">
      <c r="A456">
        <v>178472</v>
      </c>
      <c r="B456" t="s">
        <v>1915</v>
      </c>
      <c r="C456" t="s">
        <v>1916</v>
      </c>
      <c r="D456" t="s">
        <v>1917</v>
      </c>
      <c r="F456" t="str">
        <f>"0684835657"</f>
        <v>0684835657</v>
      </c>
      <c r="G456" t="str">
        <f>"9780684835655"</f>
        <v>9780684835655</v>
      </c>
      <c r="H456">
        <v>0</v>
      </c>
      <c r="I456">
        <v>3.99</v>
      </c>
      <c r="J456" t="s">
        <v>139</v>
      </c>
      <c r="K456" t="s">
        <v>60</v>
      </c>
      <c r="L456">
        <v>912</v>
      </c>
      <c r="M456">
        <v>1999</v>
      </c>
      <c r="N456">
        <v>1997</v>
      </c>
      <c r="P456" s="1">
        <v>43573</v>
      </c>
      <c r="Q456" t="s">
        <v>36</v>
      </c>
      <c r="R456" t="s">
        <v>1918</v>
      </c>
      <c r="S456" t="s">
        <v>36</v>
      </c>
      <c r="W456">
        <v>0</v>
      </c>
      <c r="Z456">
        <v>0</v>
      </c>
    </row>
    <row r="457" spans="1:26" x14ac:dyDescent="0.3">
      <c r="A457">
        <v>4654716</v>
      </c>
      <c r="B457" t="s">
        <v>1919</v>
      </c>
      <c r="C457" t="s">
        <v>1920</v>
      </c>
      <c r="D457" t="s">
        <v>1921</v>
      </c>
      <c r="F457" t="str">
        <f>"1846271541"</f>
        <v>1846271541</v>
      </c>
      <c r="G457" t="str">
        <f>"9781846271540"</f>
        <v>9781846271540</v>
      </c>
      <c r="H457">
        <v>0</v>
      </c>
      <c r="I457">
        <v>4.1399999999999997</v>
      </c>
      <c r="J457" t="s">
        <v>1922</v>
      </c>
      <c r="K457" t="s">
        <v>35</v>
      </c>
      <c r="L457">
        <v>576</v>
      </c>
      <c r="M457">
        <v>2008</v>
      </c>
      <c r="N457">
        <v>2007</v>
      </c>
      <c r="P457" s="1">
        <v>43573</v>
      </c>
      <c r="Q457" t="s">
        <v>36</v>
      </c>
      <c r="R457" t="s">
        <v>1923</v>
      </c>
      <c r="S457" t="s">
        <v>36</v>
      </c>
      <c r="W457">
        <v>0</v>
      </c>
      <c r="Z457">
        <v>0</v>
      </c>
    </row>
    <row r="458" spans="1:26" x14ac:dyDescent="0.3">
      <c r="A458">
        <v>29436404</v>
      </c>
      <c r="B458" t="s">
        <v>1924</v>
      </c>
      <c r="C458" t="s">
        <v>1925</v>
      </c>
      <c r="D458" t="s">
        <v>1926</v>
      </c>
      <c r="F458" t="str">
        <f>""</f>
        <v/>
      </c>
      <c r="G458" t="str">
        <f>""</f>
        <v/>
      </c>
      <c r="H458">
        <v>4</v>
      </c>
      <c r="I458">
        <v>3.83</v>
      </c>
      <c r="J458" t="s">
        <v>1927</v>
      </c>
      <c r="K458" t="s">
        <v>69</v>
      </c>
      <c r="L458">
        <v>428</v>
      </c>
      <c r="M458">
        <v>2016</v>
      </c>
      <c r="O458" s="1">
        <v>43573</v>
      </c>
      <c r="P458" s="1">
        <v>43545</v>
      </c>
      <c r="S458" t="s">
        <v>174</v>
      </c>
      <c r="W458">
        <v>1</v>
      </c>
      <c r="Z458">
        <v>0</v>
      </c>
    </row>
    <row r="459" spans="1:26" x14ac:dyDescent="0.3">
      <c r="A459">
        <v>37858</v>
      </c>
      <c r="B459" t="s">
        <v>1928</v>
      </c>
      <c r="C459" t="s">
        <v>848</v>
      </c>
      <c r="D459" t="s">
        <v>849</v>
      </c>
      <c r="F459" t="str">
        <f>"0674824261"</f>
        <v>0674824261</v>
      </c>
      <c r="G459" t="str">
        <f>"9780674824263"</f>
        <v>9780674824263</v>
      </c>
      <c r="H459">
        <v>0</v>
      </c>
      <c r="I459">
        <v>4.21</v>
      </c>
      <c r="J459" t="s">
        <v>155</v>
      </c>
      <c r="K459" t="s">
        <v>60</v>
      </c>
      <c r="L459">
        <v>624</v>
      </c>
      <c r="M459">
        <v>1992</v>
      </c>
      <c r="N459">
        <v>1989</v>
      </c>
      <c r="P459" s="1">
        <v>43548</v>
      </c>
      <c r="Q459" t="s">
        <v>36</v>
      </c>
      <c r="R459" t="s">
        <v>1929</v>
      </c>
      <c r="S459" t="s">
        <v>36</v>
      </c>
      <c r="W459">
        <v>0</v>
      </c>
      <c r="Z459">
        <v>0</v>
      </c>
    </row>
    <row r="460" spans="1:26" x14ac:dyDescent="0.3">
      <c r="A460">
        <v>1589070</v>
      </c>
      <c r="B460" t="s">
        <v>1930</v>
      </c>
      <c r="C460" t="s">
        <v>372</v>
      </c>
      <c r="D460" t="s">
        <v>1931</v>
      </c>
      <c r="F460" t="str">
        <f>"0195087070"</f>
        <v>0195087070</v>
      </c>
      <c r="G460" t="str">
        <f>"9780195087079"</f>
        <v>9780195087079</v>
      </c>
      <c r="H460">
        <v>0</v>
      </c>
      <c r="I460">
        <v>3.97</v>
      </c>
      <c r="J460" t="s">
        <v>104</v>
      </c>
      <c r="K460" t="s">
        <v>35</v>
      </c>
      <c r="L460">
        <v>672</v>
      </c>
      <c r="M460">
        <v>1999</v>
      </c>
      <c r="N460">
        <v>1998</v>
      </c>
      <c r="P460" s="1">
        <v>43545</v>
      </c>
      <c r="Q460" t="s">
        <v>36</v>
      </c>
      <c r="R460" t="s">
        <v>1932</v>
      </c>
      <c r="S460" t="s">
        <v>36</v>
      </c>
      <c r="W460">
        <v>0</v>
      </c>
      <c r="Z460">
        <v>0</v>
      </c>
    </row>
    <row r="461" spans="1:26" x14ac:dyDescent="0.3">
      <c r="A461">
        <v>544818</v>
      </c>
      <c r="B461" t="s">
        <v>1933</v>
      </c>
      <c r="C461" t="s">
        <v>1934</v>
      </c>
      <c r="D461" t="s">
        <v>1935</v>
      </c>
      <c r="F461" t="str">
        <f>"0801027500"</f>
        <v>0801027500</v>
      </c>
      <c r="G461" t="str">
        <f>"9780801027505"</f>
        <v>9780801027505</v>
      </c>
      <c r="H461">
        <v>0</v>
      </c>
      <c r="I461">
        <v>4.2</v>
      </c>
      <c r="J461" t="s">
        <v>1936</v>
      </c>
      <c r="K461" t="s">
        <v>60</v>
      </c>
      <c r="L461">
        <v>368</v>
      </c>
      <c r="M461">
        <v>2012</v>
      </c>
      <c r="N461">
        <v>2006</v>
      </c>
      <c r="P461" s="1">
        <v>43545</v>
      </c>
      <c r="Q461" t="s">
        <v>36</v>
      </c>
      <c r="R461" t="s">
        <v>1937</v>
      </c>
      <c r="S461" t="s">
        <v>36</v>
      </c>
      <c r="W461">
        <v>0</v>
      </c>
      <c r="Z461">
        <v>0</v>
      </c>
    </row>
    <row r="462" spans="1:26" x14ac:dyDescent="0.3">
      <c r="A462">
        <v>164989</v>
      </c>
      <c r="B462" t="s">
        <v>1938</v>
      </c>
      <c r="C462" t="s">
        <v>1939</v>
      </c>
      <c r="D462" t="s">
        <v>1940</v>
      </c>
      <c r="E462" t="s">
        <v>1941</v>
      </c>
      <c r="F462" t="str">
        <f>"0809144352"</f>
        <v>0809144352</v>
      </c>
      <c r="G462" t="str">
        <f>"9780809144358"</f>
        <v>9780809144358</v>
      </c>
      <c r="H462">
        <v>0</v>
      </c>
      <c r="I462">
        <v>3.86</v>
      </c>
      <c r="J462" t="s">
        <v>1807</v>
      </c>
      <c r="K462" t="s">
        <v>60</v>
      </c>
      <c r="L462">
        <v>430</v>
      </c>
      <c r="M462">
        <v>2007</v>
      </c>
      <c r="N462">
        <v>1991</v>
      </c>
      <c r="P462" s="1">
        <v>43545</v>
      </c>
      <c r="Q462" t="s">
        <v>36</v>
      </c>
      <c r="R462" t="s">
        <v>1942</v>
      </c>
      <c r="S462" t="s">
        <v>36</v>
      </c>
      <c r="W462">
        <v>0</v>
      </c>
      <c r="Z462">
        <v>0</v>
      </c>
    </row>
    <row r="463" spans="1:26" x14ac:dyDescent="0.3">
      <c r="A463">
        <v>8778747</v>
      </c>
      <c r="B463" t="s">
        <v>1943</v>
      </c>
      <c r="C463" t="s">
        <v>1944</v>
      </c>
      <c r="D463" t="s">
        <v>1945</v>
      </c>
      <c r="E463" t="s">
        <v>1946</v>
      </c>
      <c r="F463" t="str">
        <f>"0691136963"</f>
        <v>0691136963</v>
      </c>
      <c r="G463" t="str">
        <f>"9780691136967"</f>
        <v>9780691136967</v>
      </c>
      <c r="H463">
        <v>0</v>
      </c>
      <c r="I463">
        <v>4.1900000000000004</v>
      </c>
      <c r="J463" t="s">
        <v>377</v>
      </c>
      <c r="K463" t="s">
        <v>35</v>
      </c>
      <c r="L463">
        <v>349</v>
      </c>
      <c r="M463">
        <v>2009</v>
      </c>
      <c r="N463">
        <v>2009</v>
      </c>
      <c r="P463" s="1">
        <v>43545</v>
      </c>
      <c r="Q463" t="s">
        <v>36</v>
      </c>
      <c r="R463" t="s">
        <v>1947</v>
      </c>
      <c r="S463" t="s">
        <v>36</v>
      </c>
      <c r="W463">
        <v>0</v>
      </c>
      <c r="Z463">
        <v>0</v>
      </c>
    </row>
    <row r="464" spans="1:26" x14ac:dyDescent="0.3">
      <c r="A464">
        <v>18475662</v>
      </c>
      <c r="B464" t="s">
        <v>1948</v>
      </c>
      <c r="C464" t="s">
        <v>1949</v>
      </c>
      <c r="D464" t="s">
        <v>1950</v>
      </c>
      <c r="F464" t="str">
        <f>"1451473036"</f>
        <v>1451473036</v>
      </c>
      <c r="G464" t="str">
        <f>"9781451473032"</f>
        <v>9781451473032</v>
      </c>
      <c r="H464">
        <v>0</v>
      </c>
      <c r="I464">
        <v>4.5999999999999996</v>
      </c>
      <c r="J464" t="s">
        <v>1951</v>
      </c>
      <c r="K464" t="s">
        <v>60</v>
      </c>
      <c r="L464">
        <v>294</v>
      </c>
      <c r="M464">
        <v>2014</v>
      </c>
      <c r="N464">
        <v>2014</v>
      </c>
      <c r="P464" s="1">
        <v>43144</v>
      </c>
      <c r="S464" t="s">
        <v>174</v>
      </c>
      <c r="W464">
        <v>1</v>
      </c>
      <c r="Z464">
        <v>0</v>
      </c>
    </row>
    <row r="465" spans="1:26" x14ac:dyDescent="0.3">
      <c r="A465">
        <v>28114516</v>
      </c>
      <c r="B465" t="s">
        <v>1952</v>
      </c>
      <c r="C465" t="s">
        <v>1953</v>
      </c>
      <c r="D465" t="s">
        <v>1954</v>
      </c>
      <c r="E465" t="s">
        <v>1955</v>
      </c>
      <c r="F465" t="str">
        <f>"0544520556"</f>
        <v>0544520556</v>
      </c>
      <c r="G465" t="str">
        <f>"9780544520554"</f>
        <v>9780544520554</v>
      </c>
      <c r="H465">
        <v>0</v>
      </c>
      <c r="I465">
        <v>3.97</v>
      </c>
      <c r="J465" t="s">
        <v>1207</v>
      </c>
      <c r="K465" t="s">
        <v>35</v>
      </c>
      <c r="L465">
        <v>496</v>
      </c>
      <c r="M465">
        <v>2017</v>
      </c>
      <c r="P465" s="1">
        <v>43540</v>
      </c>
      <c r="S465" t="s">
        <v>174</v>
      </c>
      <c r="W465">
        <v>1</v>
      </c>
      <c r="Z465">
        <v>0</v>
      </c>
    </row>
    <row r="466" spans="1:26" x14ac:dyDescent="0.3">
      <c r="A466">
        <v>30359031</v>
      </c>
      <c r="B466" t="s">
        <v>1956</v>
      </c>
      <c r="C466" t="s">
        <v>1957</v>
      </c>
      <c r="D466" t="s">
        <v>1958</v>
      </c>
      <c r="F466" t="str">
        <f>""</f>
        <v/>
      </c>
      <c r="G466" t="str">
        <f>""</f>
        <v/>
      </c>
      <c r="H466">
        <v>0</v>
      </c>
      <c r="I466">
        <v>4.16</v>
      </c>
      <c r="K466" t="s">
        <v>69</v>
      </c>
      <c r="L466">
        <v>319</v>
      </c>
      <c r="M466">
        <v>2016</v>
      </c>
      <c r="N466">
        <v>2016</v>
      </c>
      <c r="P466" s="1">
        <v>43536</v>
      </c>
      <c r="Q466" t="s">
        <v>36</v>
      </c>
      <c r="R466" t="s">
        <v>1959</v>
      </c>
      <c r="S466" t="s">
        <v>36</v>
      </c>
      <c r="W466">
        <v>0</v>
      </c>
      <c r="Z466">
        <v>0</v>
      </c>
    </row>
    <row r="467" spans="1:26" x14ac:dyDescent="0.3">
      <c r="A467">
        <v>11472331</v>
      </c>
      <c r="B467" t="s">
        <v>1960</v>
      </c>
      <c r="C467" t="s">
        <v>1961</v>
      </c>
      <c r="D467" t="s">
        <v>1962</v>
      </c>
      <c r="F467" t="str">
        <f>"0674061438"</f>
        <v>0674061438</v>
      </c>
      <c r="G467" t="str">
        <f>"9780674061439"</f>
        <v>9780674061439</v>
      </c>
      <c r="H467">
        <v>0</v>
      </c>
      <c r="I467">
        <v>4.01</v>
      </c>
      <c r="J467" t="s">
        <v>1963</v>
      </c>
      <c r="K467" t="s">
        <v>35</v>
      </c>
      <c r="L467">
        <v>776</v>
      </c>
      <c r="M467">
        <v>2011</v>
      </c>
      <c r="N467">
        <v>2011</v>
      </c>
      <c r="P467" s="1">
        <v>43523</v>
      </c>
      <c r="Q467" t="s">
        <v>36</v>
      </c>
      <c r="R467" t="s">
        <v>1964</v>
      </c>
      <c r="S467" t="s">
        <v>36</v>
      </c>
      <c r="W467">
        <v>0</v>
      </c>
      <c r="Z467">
        <v>0</v>
      </c>
    </row>
    <row r="468" spans="1:26" x14ac:dyDescent="0.3">
      <c r="A468">
        <v>22715974</v>
      </c>
      <c r="B468" t="s">
        <v>1965</v>
      </c>
      <c r="C468" t="s">
        <v>1966</v>
      </c>
      <c r="D468" t="s">
        <v>1967</v>
      </c>
      <c r="F468" t="str">
        <f>"1610394399"</f>
        <v>1610394399</v>
      </c>
      <c r="G468" t="str">
        <f>"9781610394390"</f>
        <v>9781610394390</v>
      </c>
      <c r="H468">
        <v>0</v>
      </c>
      <c r="I468">
        <v>4.05</v>
      </c>
      <c r="J468" t="s">
        <v>487</v>
      </c>
      <c r="K468" t="s">
        <v>35</v>
      </c>
      <c r="L468">
        <v>352</v>
      </c>
      <c r="M468">
        <v>2015</v>
      </c>
      <c r="N468">
        <v>2015</v>
      </c>
      <c r="P468" s="1">
        <v>43149</v>
      </c>
      <c r="S468" t="s">
        <v>174</v>
      </c>
      <c r="W468">
        <v>1</v>
      </c>
      <c r="Z468">
        <v>0</v>
      </c>
    </row>
    <row r="469" spans="1:26" x14ac:dyDescent="0.3">
      <c r="A469">
        <v>37903770</v>
      </c>
      <c r="B469" t="s">
        <v>1968</v>
      </c>
      <c r="C469" t="s">
        <v>1969</v>
      </c>
      <c r="D469" t="s">
        <v>1970</v>
      </c>
      <c r="F469" t="str">
        <f>""</f>
        <v/>
      </c>
      <c r="G469" t="str">
        <f>""</f>
        <v/>
      </c>
      <c r="H469">
        <v>0</v>
      </c>
      <c r="I469">
        <v>4.08</v>
      </c>
      <c r="J469" t="s">
        <v>1362</v>
      </c>
      <c r="K469" t="s">
        <v>60</v>
      </c>
      <c r="L469">
        <v>301</v>
      </c>
      <c r="M469">
        <v>2018</v>
      </c>
      <c r="N469">
        <v>2017</v>
      </c>
      <c r="P469" s="1">
        <v>43515</v>
      </c>
      <c r="S469" t="s">
        <v>174</v>
      </c>
      <c r="W469">
        <v>1</v>
      </c>
      <c r="Z469">
        <v>0</v>
      </c>
    </row>
    <row r="470" spans="1:26" x14ac:dyDescent="0.3">
      <c r="A470">
        <v>116478</v>
      </c>
      <c r="B470" t="s">
        <v>1971</v>
      </c>
      <c r="C470" t="s">
        <v>1972</v>
      </c>
      <c r="D470" t="s">
        <v>1973</v>
      </c>
      <c r="F470" t="str">
        <f>"0618773436"</f>
        <v>0618773436</v>
      </c>
      <c r="G470" t="str">
        <f>"9780618773435"</f>
        <v>9780618773435</v>
      </c>
      <c r="H470">
        <v>0</v>
      </c>
      <c r="I470">
        <v>4.18</v>
      </c>
      <c r="J470" t="s">
        <v>1974</v>
      </c>
      <c r="K470" t="s">
        <v>60</v>
      </c>
      <c r="L470">
        <v>372</v>
      </c>
      <c r="M470">
        <v>2006</v>
      </c>
      <c r="N470">
        <v>2005</v>
      </c>
      <c r="P470" s="1">
        <v>43514</v>
      </c>
      <c r="Q470" t="s">
        <v>36</v>
      </c>
      <c r="R470" t="s">
        <v>1975</v>
      </c>
      <c r="S470" t="s">
        <v>36</v>
      </c>
      <c r="W470">
        <v>0</v>
      </c>
      <c r="Z470">
        <v>0</v>
      </c>
    </row>
    <row r="471" spans="1:26" x14ac:dyDescent="0.3">
      <c r="A471">
        <v>497366</v>
      </c>
      <c r="B471" t="s">
        <v>1976</v>
      </c>
      <c r="C471" t="s">
        <v>1977</v>
      </c>
      <c r="D471" t="s">
        <v>1978</v>
      </c>
      <c r="F471" t="str">
        <f>""</f>
        <v/>
      </c>
      <c r="G471" t="str">
        <f>""</f>
        <v/>
      </c>
      <c r="H471">
        <v>0</v>
      </c>
      <c r="I471">
        <v>4.2</v>
      </c>
      <c r="J471" t="s">
        <v>535</v>
      </c>
      <c r="K471" t="s">
        <v>60</v>
      </c>
      <c r="L471">
        <v>320</v>
      </c>
      <c r="M471">
        <v>2000</v>
      </c>
      <c r="N471">
        <v>1980</v>
      </c>
      <c r="P471" s="1">
        <v>43514</v>
      </c>
      <c r="Q471" t="s">
        <v>36</v>
      </c>
      <c r="R471" t="s">
        <v>1979</v>
      </c>
      <c r="S471" t="s">
        <v>36</v>
      </c>
      <c r="W471">
        <v>0</v>
      </c>
      <c r="Z471">
        <v>0</v>
      </c>
    </row>
    <row r="472" spans="1:26" x14ac:dyDescent="0.3">
      <c r="A472">
        <v>17847473</v>
      </c>
      <c r="B472" t="s">
        <v>1980</v>
      </c>
      <c r="C472" t="s">
        <v>1981</v>
      </c>
      <c r="D472" t="s">
        <v>1982</v>
      </c>
      <c r="F472" t="str">
        <f>"0199325154"</f>
        <v>0199325154</v>
      </c>
      <c r="G472" t="str">
        <f>"9780199325153"</f>
        <v>9780199325153</v>
      </c>
      <c r="H472">
        <v>0</v>
      </c>
      <c r="I472">
        <v>3.98</v>
      </c>
      <c r="J472" t="s">
        <v>104</v>
      </c>
      <c r="K472" t="s">
        <v>35</v>
      </c>
      <c r="L472">
        <v>751</v>
      </c>
      <c r="M472">
        <v>2013</v>
      </c>
      <c r="N472">
        <v>2013</v>
      </c>
      <c r="P472" s="1">
        <v>43513</v>
      </c>
      <c r="Q472" t="s">
        <v>36</v>
      </c>
      <c r="R472" t="s">
        <v>1983</v>
      </c>
      <c r="S472" t="s">
        <v>36</v>
      </c>
      <c r="W472">
        <v>0</v>
      </c>
      <c r="Z472">
        <v>0</v>
      </c>
    </row>
    <row r="473" spans="1:26" x14ac:dyDescent="0.3">
      <c r="A473">
        <v>12158480</v>
      </c>
      <c r="B473" t="s">
        <v>1984</v>
      </c>
      <c r="C473" t="s">
        <v>939</v>
      </c>
      <c r="D473" t="s">
        <v>940</v>
      </c>
      <c r="E473" t="s">
        <v>941</v>
      </c>
      <c r="F473" t="str">
        <f>"0307719219"</f>
        <v>0307719219</v>
      </c>
      <c r="G473" t="str">
        <f>"9780307719218"</f>
        <v>9780307719218</v>
      </c>
      <c r="H473">
        <v>0</v>
      </c>
      <c r="I473">
        <v>4.07</v>
      </c>
      <c r="J473" t="s">
        <v>1563</v>
      </c>
      <c r="K473" t="s">
        <v>35</v>
      </c>
      <c r="L473">
        <v>544</v>
      </c>
      <c r="M473">
        <v>2012</v>
      </c>
      <c r="N473">
        <v>2012</v>
      </c>
      <c r="P473" s="1">
        <v>43513</v>
      </c>
      <c r="Q473" t="s">
        <v>36</v>
      </c>
      <c r="R473" t="s">
        <v>1985</v>
      </c>
      <c r="S473" t="s">
        <v>36</v>
      </c>
      <c r="W473">
        <v>0</v>
      </c>
      <c r="Z473">
        <v>0</v>
      </c>
    </row>
    <row r="474" spans="1:26" x14ac:dyDescent="0.3">
      <c r="A474">
        <v>33952842</v>
      </c>
      <c r="B474" t="s">
        <v>1986</v>
      </c>
      <c r="C474" t="s">
        <v>1987</v>
      </c>
      <c r="D474" t="s">
        <v>1988</v>
      </c>
      <c r="F474" t="str">
        <f>"178633061X"</f>
        <v>178633061X</v>
      </c>
      <c r="G474" t="str">
        <f>"9781786330611"</f>
        <v>9781786330611</v>
      </c>
      <c r="H474">
        <v>0</v>
      </c>
      <c r="I474">
        <v>4.0599999999999996</v>
      </c>
      <c r="J474" t="s">
        <v>1989</v>
      </c>
      <c r="K474" t="s">
        <v>35</v>
      </c>
      <c r="L474">
        <v>368</v>
      </c>
      <c r="M474">
        <v>2017</v>
      </c>
      <c r="N474">
        <v>2017</v>
      </c>
      <c r="P474" s="1">
        <v>43513</v>
      </c>
      <c r="Q474" t="s">
        <v>36</v>
      </c>
      <c r="R474" t="s">
        <v>1990</v>
      </c>
      <c r="S474" t="s">
        <v>36</v>
      </c>
      <c r="W474">
        <v>0</v>
      </c>
      <c r="Z474">
        <v>0</v>
      </c>
    </row>
    <row r="475" spans="1:26" x14ac:dyDescent="0.3">
      <c r="A475">
        <v>31951505</v>
      </c>
      <c r="B475" t="s">
        <v>1991</v>
      </c>
      <c r="C475" t="s">
        <v>944</v>
      </c>
      <c r="D475" t="s">
        <v>945</v>
      </c>
      <c r="F475" t="str">
        <f>"0691165025"</f>
        <v>0691165025</v>
      </c>
      <c r="G475" t="str">
        <f>"9780691165028"</f>
        <v>9780691165028</v>
      </c>
      <c r="H475">
        <v>0</v>
      </c>
      <c r="I475">
        <v>3.85</v>
      </c>
      <c r="J475" t="s">
        <v>377</v>
      </c>
      <c r="K475" t="s">
        <v>35</v>
      </c>
      <c r="L475">
        <v>528</v>
      </c>
      <c r="M475">
        <v>2017</v>
      </c>
      <c r="N475">
        <v>2017</v>
      </c>
      <c r="P475" s="1">
        <v>43513</v>
      </c>
      <c r="Q475" t="s">
        <v>36</v>
      </c>
      <c r="R475" t="s">
        <v>1992</v>
      </c>
      <c r="S475" t="s">
        <v>36</v>
      </c>
      <c r="W475">
        <v>0</v>
      </c>
      <c r="Z475">
        <v>0</v>
      </c>
    </row>
    <row r="476" spans="1:26" x14ac:dyDescent="0.3">
      <c r="A476">
        <v>34496942</v>
      </c>
      <c r="B476" t="s">
        <v>1993</v>
      </c>
      <c r="C476" t="s">
        <v>1994</v>
      </c>
      <c r="D476" t="s">
        <v>1995</v>
      </c>
      <c r="F476" t="str">
        <f>"0802127398"</f>
        <v>0802127398</v>
      </c>
      <c r="G476" t="str">
        <f>"9780802127396"</f>
        <v>9780802127396</v>
      </c>
      <c r="H476">
        <v>0</v>
      </c>
      <c r="I476">
        <v>4.05</v>
      </c>
      <c r="J476" t="s">
        <v>308</v>
      </c>
      <c r="K476" t="s">
        <v>35</v>
      </c>
      <c r="L476">
        <v>226</v>
      </c>
      <c r="M476">
        <v>2017</v>
      </c>
      <c r="N476">
        <v>2017</v>
      </c>
      <c r="P476" s="1">
        <v>43513</v>
      </c>
      <c r="Q476" t="s">
        <v>36</v>
      </c>
      <c r="R476" t="s">
        <v>1996</v>
      </c>
      <c r="S476" t="s">
        <v>36</v>
      </c>
      <c r="W476">
        <v>0</v>
      </c>
      <c r="Z476">
        <v>0</v>
      </c>
    </row>
    <row r="477" spans="1:26" x14ac:dyDescent="0.3">
      <c r="A477">
        <v>36950522</v>
      </c>
      <c r="B477" t="s">
        <v>1997</v>
      </c>
      <c r="C477" t="s">
        <v>1998</v>
      </c>
      <c r="D477" t="s">
        <v>1999</v>
      </c>
      <c r="F477" t="str">
        <f>"0670024937"</f>
        <v>0670024937</v>
      </c>
      <c r="G477" t="str">
        <f>"9780670024933"</f>
        <v>9780670024933</v>
      </c>
      <c r="H477">
        <v>0</v>
      </c>
      <c r="I477">
        <v>4.32</v>
      </c>
      <c r="J477" t="s">
        <v>518</v>
      </c>
      <c r="K477" t="s">
        <v>35</v>
      </c>
      <c r="L477">
        <v>720</v>
      </c>
      <c r="M477">
        <v>2018</v>
      </c>
      <c r="N477">
        <v>2018</v>
      </c>
      <c r="P477" s="1">
        <v>43513</v>
      </c>
      <c r="Q477" t="s">
        <v>36</v>
      </c>
      <c r="R477" t="s">
        <v>2000</v>
      </c>
      <c r="S477" t="s">
        <v>36</v>
      </c>
      <c r="W477">
        <v>0</v>
      </c>
      <c r="Z477">
        <v>0</v>
      </c>
    </row>
    <row r="478" spans="1:26" x14ac:dyDescent="0.3">
      <c r="A478">
        <v>38242135</v>
      </c>
      <c r="B478" t="s">
        <v>2001</v>
      </c>
      <c r="C478" t="s">
        <v>2002</v>
      </c>
      <c r="D478" t="s">
        <v>2003</v>
      </c>
      <c r="F478" t="str">
        <f>"132854639X"</f>
        <v>132854639X</v>
      </c>
      <c r="G478" t="str">
        <f>"9781328546395"</f>
        <v>9781328546395</v>
      </c>
      <c r="H478">
        <v>0</v>
      </c>
      <c r="I478">
        <v>4.16</v>
      </c>
      <c r="J478" t="s">
        <v>1207</v>
      </c>
      <c r="K478" t="s">
        <v>35</v>
      </c>
      <c r="L478">
        <v>255</v>
      </c>
      <c r="M478">
        <v>2018</v>
      </c>
      <c r="N478">
        <v>2018</v>
      </c>
      <c r="P478" s="1">
        <v>43513</v>
      </c>
      <c r="Q478" t="s">
        <v>36</v>
      </c>
      <c r="R478" t="s">
        <v>2004</v>
      </c>
      <c r="S478" t="s">
        <v>36</v>
      </c>
      <c r="W478">
        <v>0</v>
      </c>
      <c r="Z478">
        <v>0</v>
      </c>
    </row>
    <row r="479" spans="1:26" x14ac:dyDescent="0.3">
      <c r="A479">
        <v>18297494</v>
      </c>
      <c r="B479" t="s">
        <v>2005</v>
      </c>
      <c r="C479" t="s">
        <v>2006</v>
      </c>
      <c r="D479" t="s">
        <v>2007</v>
      </c>
      <c r="F479" t="str">
        <f>""</f>
        <v/>
      </c>
      <c r="G479" t="str">
        <f>"9789814342568"</f>
        <v>9789814342568</v>
      </c>
      <c r="H479">
        <v>0</v>
      </c>
      <c r="I479">
        <v>4.46</v>
      </c>
      <c r="J479" t="s">
        <v>2008</v>
      </c>
      <c r="K479" t="s">
        <v>35</v>
      </c>
      <c r="L479">
        <v>400</v>
      </c>
      <c r="M479">
        <v>2013</v>
      </c>
      <c r="N479">
        <v>2013</v>
      </c>
      <c r="P479" s="1">
        <v>43513</v>
      </c>
      <c r="Q479" t="s">
        <v>36</v>
      </c>
      <c r="R479" t="s">
        <v>2009</v>
      </c>
      <c r="S479" t="s">
        <v>36</v>
      </c>
      <c r="W479">
        <v>0</v>
      </c>
      <c r="Z479">
        <v>0</v>
      </c>
    </row>
    <row r="480" spans="1:26" x14ac:dyDescent="0.3">
      <c r="A480">
        <v>1883390</v>
      </c>
      <c r="B480" t="s">
        <v>2010</v>
      </c>
      <c r="C480" t="s">
        <v>2011</v>
      </c>
      <c r="D480" t="s">
        <v>2012</v>
      </c>
      <c r="F480" t="str">
        <f>"0393059731"</f>
        <v>0393059731</v>
      </c>
      <c r="G480" t="str">
        <f>"9780393059731"</f>
        <v>9780393059731</v>
      </c>
      <c r="H480">
        <v>0</v>
      </c>
      <c r="I480">
        <v>4.01</v>
      </c>
      <c r="J480" t="s">
        <v>2013</v>
      </c>
      <c r="K480" t="s">
        <v>35</v>
      </c>
      <c r="L480">
        <v>454</v>
      </c>
      <c r="M480">
        <v>2007</v>
      </c>
      <c r="N480">
        <v>2007</v>
      </c>
      <c r="P480" s="1">
        <v>43511</v>
      </c>
      <c r="Q480" t="s">
        <v>36</v>
      </c>
      <c r="R480" t="s">
        <v>2014</v>
      </c>
      <c r="S480" t="s">
        <v>36</v>
      </c>
      <c r="W480">
        <v>0</v>
      </c>
      <c r="Z480">
        <v>0</v>
      </c>
    </row>
    <row r="481" spans="1:26" x14ac:dyDescent="0.3">
      <c r="A481">
        <v>18373202</v>
      </c>
      <c r="B481" t="s">
        <v>2015</v>
      </c>
      <c r="C481" t="s">
        <v>2016</v>
      </c>
      <c r="D481" t="s">
        <v>2017</v>
      </c>
      <c r="F481" t="str">
        <f>"0307956989"</f>
        <v>0307956989</v>
      </c>
      <c r="G481" t="str">
        <f>"9780307956989"</f>
        <v>9780307956989</v>
      </c>
      <c r="H481">
        <v>0</v>
      </c>
      <c r="I481">
        <v>3.83</v>
      </c>
      <c r="J481" t="s">
        <v>476</v>
      </c>
      <c r="K481" t="s">
        <v>35</v>
      </c>
      <c r="L481">
        <v>304</v>
      </c>
      <c r="M481">
        <v>2014</v>
      </c>
      <c r="N481">
        <v>2014</v>
      </c>
      <c r="O481" s="1">
        <v>43511</v>
      </c>
      <c r="P481" s="1">
        <v>43509</v>
      </c>
      <c r="S481" t="s">
        <v>174</v>
      </c>
      <c r="W481">
        <v>1</v>
      </c>
      <c r="Z481">
        <v>0</v>
      </c>
    </row>
    <row r="482" spans="1:26" x14ac:dyDescent="0.3">
      <c r="A482">
        <v>36350564</v>
      </c>
      <c r="B482" t="s">
        <v>2018</v>
      </c>
      <c r="C482" t="s">
        <v>379</v>
      </c>
      <c r="D482" t="s">
        <v>380</v>
      </c>
      <c r="F482" t="str">
        <f>""</f>
        <v/>
      </c>
      <c r="G482" t="str">
        <f>""</f>
        <v/>
      </c>
      <c r="H482">
        <v>0</v>
      </c>
      <c r="I482">
        <v>4.21</v>
      </c>
      <c r="J482" t="s">
        <v>385</v>
      </c>
      <c r="K482" t="s">
        <v>69</v>
      </c>
      <c r="L482">
        <v>400</v>
      </c>
      <c r="M482">
        <v>2018</v>
      </c>
      <c r="O482" s="1">
        <v>43466</v>
      </c>
      <c r="P482" s="1">
        <v>43503</v>
      </c>
      <c r="S482" t="s">
        <v>174</v>
      </c>
      <c r="W482">
        <v>1</v>
      </c>
      <c r="Z482">
        <v>0</v>
      </c>
    </row>
    <row r="483" spans="1:26" x14ac:dyDescent="0.3">
      <c r="A483">
        <v>20821140</v>
      </c>
      <c r="B483" t="s">
        <v>2019</v>
      </c>
      <c r="C483" t="s">
        <v>987</v>
      </c>
      <c r="D483" t="s">
        <v>988</v>
      </c>
      <c r="F483" t="str">
        <f>"1594206147"</f>
        <v>1594206147</v>
      </c>
      <c r="G483" t="str">
        <f>"9781594206146"</f>
        <v>9781594206146</v>
      </c>
      <c r="H483">
        <v>0</v>
      </c>
      <c r="I483">
        <v>4.0599999999999996</v>
      </c>
      <c r="J483" t="s">
        <v>442</v>
      </c>
      <c r="K483" t="s">
        <v>35</v>
      </c>
      <c r="L483">
        <v>420</v>
      </c>
      <c r="M483">
        <v>2014</v>
      </c>
      <c r="N483">
        <v>2014</v>
      </c>
      <c r="O483" s="1">
        <v>43508</v>
      </c>
      <c r="P483" s="1">
        <v>43501</v>
      </c>
      <c r="S483" t="s">
        <v>174</v>
      </c>
      <c r="W483">
        <v>1</v>
      </c>
      <c r="Z483">
        <v>0</v>
      </c>
    </row>
    <row r="484" spans="1:26" x14ac:dyDescent="0.3">
      <c r="A484">
        <v>29430010</v>
      </c>
      <c r="B484" t="s">
        <v>2020</v>
      </c>
      <c r="C484" t="s">
        <v>2021</v>
      </c>
      <c r="D484" t="s">
        <v>2022</v>
      </c>
      <c r="F484" t="str">
        <f>"0670024570"</f>
        <v>0670024570</v>
      </c>
      <c r="G484" t="str">
        <f>"9780670024575"</f>
        <v>9780670024575</v>
      </c>
      <c r="H484">
        <v>0</v>
      </c>
      <c r="I484">
        <v>4.16</v>
      </c>
      <c r="J484" t="s">
        <v>518</v>
      </c>
      <c r="K484" t="s">
        <v>35</v>
      </c>
      <c r="L484">
        <v>928</v>
      </c>
      <c r="M484">
        <v>2016</v>
      </c>
      <c r="N484">
        <v>2016</v>
      </c>
      <c r="P484" s="1">
        <v>43501</v>
      </c>
      <c r="Q484" t="s">
        <v>36</v>
      </c>
      <c r="R484" t="s">
        <v>2023</v>
      </c>
      <c r="S484" t="s">
        <v>36</v>
      </c>
      <c r="W484">
        <v>0</v>
      </c>
      <c r="Z484">
        <v>0</v>
      </c>
    </row>
    <row r="485" spans="1:26" x14ac:dyDescent="0.3">
      <c r="A485">
        <v>369410</v>
      </c>
      <c r="B485" t="s">
        <v>2024</v>
      </c>
      <c r="C485" t="s">
        <v>1654</v>
      </c>
      <c r="D485" t="s">
        <v>1655</v>
      </c>
      <c r="F485" t="str">
        <f>"0300030797"</f>
        <v>0300030797</v>
      </c>
      <c r="G485" t="str">
        <f>"9780300030792"</f>
        <v>9780300030792</v>
      </c>
      <c r="H485">
        <v>0</v>
      </c>
      <c r="I485">
        <v>4.0199999999999996</v>
      </c>
      <c r="J485" t="s">
        <v>356</v>
      </c>
      <c r="K485" t="s">
        <v>60</v>
      </c>
      <c r="L485">
        <v>276</v>
      </c>
      <c r="M485">
        <v>1984</v>
      </c>
      <c r="N485">
        <v>1982</v>
      </c>
      <c r="P485" s="1">
        <v>43493</v>
      </c>
      <c r="Q485" t="s">
        <v>36</v>
      </c>
      <c r="R485" t="s">
        <v>2025</v>
      </c>
      <c r="S485" t="s">
        <v>36</v>
      </c>
      <c r="W485">
        <v>0</v>
      </c>
      <c r="Z485">
        <v>0</v>
      </c>
    </row>
    <row r="486" spans="1:26" x14ac:dyDescent="0.3">
      <c r="A486">
        <v>956389</v>
      </c>
      <c r="B486" t="s">
        <v>2026</v>
      </c>
      <c r="C486" t="s">
        <v>2027</v>
      </c>
      <c r="D486" t="s">
        <v>2028</v>
      </c>
      <c r="E486" t="s">
        <v>2029</v>
      </c>
      <c r="F486" t="str">
        <f>"1931859477"</f>
        <v>1931859477</v>
      </c>
      <c r="G486" t="str">
        <f>"9781931859479"</f>
        <v>9781931859479</v>
      </c>
      <c r="H486">
        <v>0</v>
      </c>
      <c r="I486">
        <v>4.2699999999999996</v>
      </c>
      <c r="J486" t="s">
        <v>2030</v>
      </c>
      <c r="K486" t="s">
        <v>35</v>
      </c>
      <c r="L486">
        <v>240</v>
      </c>
      <c r="M486">
        <v>2007</v>
      </c>
      <c r="N486">
        <v>2007</v>
      </c>
      <c r="P486" s="1">
        <v>43492</v>
      </c>
      <c r="Q486" t="s">
        <v>36</v>
      </c>
      <c r="R486" t="s">
        <v>2031</v>
      </c>
      <c r="S486" t="s">
        <v>36</v>
      </c>
      <c r="W486">
        <v>0</v>
      </c>
      <c r="Z486">
        <v>0</v>
      </c>
    </row>
    <row r="487" spans="1:26" x14ac:dyDescent="0.3">
      <c r="A487">
        <v>2432550</v>
      </c>
      <c r="B487" t="s">
        <v>2032</v>
      </c>
      <c r="C487" t="s">
        <v>2033</v>
      </c>
      <c r="D487" t="s">
        <v>2034</v>
      </c>
      <c r="F487" t="str">
        <f>"1582434034"</f>
        <v>1582434034</v>
      </c>
      <c r="G487" t="str">
        <f>"9781582434032"</f>
        <v>9781582434032</v>
      </c>
      <c r="H487">
        <v>0</v>
      </c>
      <c r="I487">
        <v>3.77</v>
      </c>
      <c r="J487" t="s">
        <v>2035</v>
      </c>
      <c r="K487" t="s">
        <v>35</v>
      </c>
      <c r="L487">
        <v>304</v>
      </c>
      <c r="M487">
        <v>2008</v>
      </c>
      <c r="N487">
        <v>2007</v>
      </c>
      <c r="P487" s="1">
        <v>43492</v>
      </c>
      <c r="Q487" t="s">
        <v>36</v>
      </c>
      <c r="R487" t="s">
        <v>2036</v>
      </c>
      <c r="S487" t="s">
        <v>36</v>
      </c>
      <c r="W487">
        <v>0</v>
      </c>
      <c r="Z487">
        <v>0</v>
      </c>
    </row>
    <row r="488" spans="1:26" x14ac:dyDescent="0.3">
      <c r="A488">
        <v>88941</v>
      </c>
      <c r="B488" t="s">
        <v>2037</v>
      </c>
      <c r="C488" t="s">
        <v>2038</v>
      </c>
      <c r="D488" t="s">
        <v>2039</v>
      </c>
      <c r="F488" t="str">
        <f>"0942299329"</f>
        <v>0942299329</v>
      </c>
      <c r="G488" t="str">
        <f>"9780942299328"</f>
        <v>9780942299328</v>
      </c>
      <c r="H488">
        <v>0</v>
      </c>
      <c r="I488">
        <v>4.18</v>
      </c>
      <c r="J488" t="s">
        <v>2040</v>
      </c>
      <c r="K488" t="s">
        <v>60</v>
      </c>
      <c r="L488">
        <v>336</v>
      </c>
      <c r="M488">
        <v>2000</v>
      </c>
      <c r="N488">
        <v>1997</v>
      </c>
      <c r="P488" s="1">
        <v>43492</v>
      </c>
      <c r="Q488" t="s">
        <v>36</v>
      </c>
      <c r="R488" t="s">
        <v>2041</v>
      </c>
      <c r="S488" t="s">
        <v>36</v>
      </c>
      <c r="W488">
        <v>0</v>
      </c>
      <c r="Z488">
        <v>0</v>
      </c>
    </row>
    <row r="489" spans="1:26" x14ac:dyDescent="0.3">
      <c r="A489">
        <v>36482672</v>
      </c>
      <c r="B489" t="s">
        <v>2042</v>
      </c>
      <c r="C489" t="s">
        <v>242</v>
      </c>
      <c r="D489" t="s">
        <v>243</v>
      </c>
      <c r="F489" t="str">
        <f>"0241199417"</f>
        <v>0241199417</v>
      </c>
      <c r="G489" t="str">
        <f>"9780241199411"</f>
        <v>9780241199411</v>
      </c>
      <c r="H489">
        <v>0</v>
      </c>
      <c r="I489">
        <v>3.86</v>
      </c>
      <c r="J489" t="s">
        <v>99</v>
      </c>
      <c r="K489" t="s">
        <v>35</v>
      </c>
      <c r="L489">
        <v>176</v>
      </c>
      <c r="M489">
        <v>2018</v>
      </c>
      <c r="N489">
        <v>2018</v>
      </c>
      <c r="P489" s="1">
        <v>43442</v>
      </c>
      <c r="S489" t="s">
        <v>174</v>
      </c>
      <c r="W489">
        <v>1</v>
      </c>
      <c r="Z489">
        <v>0</v>
      </c>
    </row>
    <row r="490" spans="1:26" x14ac:dyDescent="0.3">
      <c r="A490">
        <v>20575435</v>
      </c>
      <c r="B490" t="s">
        <v>2043</v>
      </c>
      <c r="C490" t="s">
        <v>2044</v>
      </c>
      <c r="D490" t="s">
        <v>2045</v>
      </c>
      <c r="F490" t="str">
        <f>"0374227357"</f>
        <v>0374227357</v>
      </c>
      <c r="G490" t="str">
        <f>"9780374227357"</f>
        <v>9780374227357</v>
      </c>
      <c r="H490">
        <v>0</v>
      </c>
      <c r="I490">
        <v>4.3499999999999996</v>
      </c>
      <c r="J490" t="s">
        <v>351</v>
      </c>
      <c r="K490" t="s">
        <v>35</v>
      </c>
      <c r="L490">
        <v>672</v>
      </c>
      <c r="M490">
        <v>2014</v>
      </c>
      <c r="N490">
        <v>2014</v>
      </c>
      <c r="O490" s="1">
        <v>43491</v>
      </c>
      <c r="P490" s="1">
        <v>43482</v>
      </c>
      <c r="S490" t="s">
        <v>174</v>
      </c>
      <c r="W490">
        <v>1</v>
      </c>
      <c r="Z490">
        <v>0</v>
      </c>
    </row>
    <row r="491" spans="1:26" x14ac:dyDescent="0.3">
      <c r="A491">
        <v>348980</v>
      </c>
      <c r="B491" t="s">
        <v>2046</v>
      </c>
      <c r="C491" t="s">
        <v>2047</v>
      </c>
      <c r="D491" t="s">
        <v>2048</v>
      </c>
      <c r="E491" t="s">
        <v>2049</v>
      </c>
      <c r="F491" t="str">
        <f>"0801492637"</f>
        <v>0801492637</v>
      </c>
      <c r="G491" t="str">
        <f>"9780801492631"</f>
        <v>9780801492631</v>
      </c>
      <c r="H491">
        <v>0</v>
      </c>
      <c r="I491">
        <v>3.84</v>
      </c>
      <c r="J491" t="s">
        <v>1691</v>
      </c>
      <c r="K491" t="s">
        <v>60</v>
      </c>
      <c r="L491">
        <v>150</v>
      </c>
      <c r="M491">
        <v>1983</v>
      </c>
      <c r="N491">
        <v>1983</v>
      </c>
      <c r="P491" s="1">
        <v>43488</v>
      </c>
      <c r="Q491" t="s">
        <v>36</v>
      </c>
      <c r="R491" t="s">
        <v>2050</v>
      </c>
      <c r="S491" t="s">
        <v>36</v>
      </c>
      <c r="W491">
        <v>0</v>
      </c>
      <c r="Z491">
        <v>0</v>
      </c>
    </row>
    <row r="492" spans="1:26" x14ac:dyDescent="0.3">
      <c r="A492">
        <v>18963407</v>
      </c>
      <c r="B492" t="s">
        <v>2051</v>
      </c>
      <c r="C492" t="s">
        <v>2052</v>
      </c>
      <c r="D492" t="s">
        <v>2053</v>
      </c>
      <c r="E492" t="s">
        <v>1646</v>
      </c>
      <c r="F492" t="str">
        <f>""</f>
        <v/>
      </c>
      <c r="G492" t="str">
        <f>""</f>
        <v/>
      </c>
      <c r="H492">
        <v>0</v>
      </c>
      <c r="I492">
        <v>4.47</v>
      </c>
      <c r="J492" t="s">
        <v>2054</v>
      </c>
      <c r="K492" t="s">
        <v>69</v>
      </c>
      <c r="L492">
        <v>444</v>
      </c>
      <c r="M492">
        <v>2011</v>
      </c>
      <c r="N492">
        <v>2011</v>
      </c>
      <c r="P492" s="1">
        <v>43485</v>
      </c>
      <c r="Q492" t="s">
        <v>36</v>
      </c>
      <c r="R492" t="s">
        <v>2055</v>
      </c>
      <c r="S492" t="s">
        <v>36</v>
      </c>
      <c r="W492">
        <v>0</v>
      </c>
      <c r="Z492">
        <v>0</v>
      </c>
    </row>
    <row r="493" spans="1:26" x14ac:dyDescent="0.3">
      <c r="A493">
        <v>616631</v>
      </c>
      <c r="B493" t="s">
        <v>2056</v>
      </c>
      <c r="C493" t="s">
        <v>2057</v>
      </c>
      <c r="D493" t="s">
        <v>2058</v>
      </c>
      <c r="F493" t="str">
        <f>"0802800807"</f>
        <v>0802800807</v>
      </c>
      <c r="G493" t="str">
        <f>"9780802800800"</f>
        <v>9780802800800</v>
      </c>
      <c r="H493">
        <v>0</v>
      </c>
      <c r="I493">
        <v>4.05</v>
      </c>
      <c r="J493" t="s">
        <v>617</v>
      </c>
      <c r="K493" t="s">
        <v>60</v>
      </c>
      <c r="L493">
        <v>292</v>
      </c>
      <c r="M493">
        <v>1988</v>
      </c>
      <c r="N493">
        <v>1984</v>
      </c>
      <c r="P493" s="1">
        <v>43484</v>
      </c>
      <c r="Q493" t="s">
        <v>36</v>
      </c>
      <c r="R493" t="s">
        <v>2059</v>
      </c>
      <c r="S493" t="s">
        <v>36</v>
      </c>
      <c r="W493">
        <v>0</v>
      </c>
      <c r="Z493">
        <v>0</v>
      </c>
    </row>
    <row r="494" spans="1:26" x14ac:dyDescent="0.3">
      <c r="A494">
        <v>1531716</v>
      </c>
      <c r="B494" t="s">
        <v>2060</v>
      </c>
      <c r="C494" t="s">
        <v>2061</v>
      </c>
      <c r="D494" t="s">
        <v>2062</v>
      </c>
      <c r="F494" t="str">
        <f>"0226641929"</f>
        <v>0226641929</v>
      </c>
      <c r="G494" t="str">
        <f>"9780226641928"</f>
        <v>9780226641928</v>
      </c>
      <c r="H494">
        <v>0</v>
      </c>
      <c r="I494">
        <v>3.67</v>
      </c>
      <c r="J494" t="s">
        <v>950</v>
      </c>
      <c r="K494" t="s">
        <v>60</v>
      </c>
      <c r="L494">
        <v>192</v>
      </c>
      <c r="M494">
        <v>2001</v>
      </c>
      <c r="N494">
        <v>2001</v>
      </c>
      <c r="P494" s="1">
        <v>43484</v>
      </c>
      <c r="Q494" t="s">
        <v>36</v>
      </c>
      <c r="R494" t="s">
        <v>2063</v>
      </c>
      <c r="S494" t="s">
        <v>36</v>
      </c>
      <c r="W494">
        <v>0</v>
      </c>
      <c r="Z494">
        <v>0</v>
      </c>
    </row>
    <row r="495" spans="1:26" x14ac:dyDescent="0.3">
      <c r="A495">
        <v>1449409</v>
      </c>
      <c r="B495" t="s">
        <v>2064</v>
      </c>
      <c r="C495" t="s">
        <v>2065</v>
      </c>
      <c r="D495" t="s">
        <v>2066</v>
      </c>
      <c r="F495" t="str">
        <f>"0691029113"</f>
        <v>0691029113</v>
      </c>
      <c r="G495" t="str">
        <f>"9780691029115"</f>
        <v>9780691029115</v>
      </c>
      <c r="H495">
        <v>0</v>
      </c>
      <c r="I495">
        <v>3.94</v>
      </c>
      <c r="J495" t="s">
        <v>377</v>
      </c>
      <c r="K495" t="s">
        <v>60</v>
      </c>
      <c r="L495">
        <v>152</v>
      </c>
      <c r="M495">
        <v>1996</v>
      </c>
      <c r="N495">
        <v>1987</v>
      </c>
      <c r="P495" s="1">
        <v>43484</v>
      </c>
      <c r="Q495" t="s">
        <v>36</v>
      </c>
      <c r="R495" t="s">
        <v>2067</v>
      </c>
      <c r="S495" t="s">
        <v>36</v>
      </c>
      <c r="W495">
        <v>0</v>
      </c>
      <c r="Z495">
        <v>0</v>
      </c>
    </row>
    <row r="496" spans="1:26" x14ac:dyDescent="0.3">
      <c r="A496">
        <v>20578790</v>
      </c>
      <c r="B496" t="s">
        <v>2068</v>
      </c>
      <c r="C496" t="s">
        <v>759</v>
      </c>
      <c r="D496" t="s">
        <v>760</v>
      </c>
      <c r="F496" t="str">
        <f>"178074420X"</f>
        <v>178074420X</v>
      </c>
      <c r="G496" t="str">
        <f>"9781780744209"</f>
        <v>9781780744209</v>
      </c>
      <c r="H496">
        <v>0</v>
      </c>
      <c r="I496">
        <v>4.3600000000000003</v>
      </c>
      <c r="J496" t="s">
        <v>761</v>
      </c>
      <c r="K496" t="s">
        <v>35</v>
      </c>
      <c r="L496">
        <v>384</v>
      </c>
      <c r="M496">
        <v>2014</v>
      </c>
      <c r="N496">
        <v>2014</v>
      </c>
      <c r="P496" s="1">
        <v>43482</v>
      </c>
      <c r="Q496" t="s">
        <v>36</v>
      </c>
      <c r="R496" t="s">
        <v>2069</v>
      </c>
      <c r="S496" t="s">
        <v>36</v>
      </c>
      <c r="W496">
        <v>0</v>
      </c>
      <c r="Z496">
        <v>0</v>
      </c>
    </row>
    <row r="497" spans="1:26" x14ac:dyDescent="0.3">
      <c r="A497">
        <v>26789856</v>
      </c>
      <c r="B497" t="s">
        <v>2070</v>
      </c>
      <c r="C497" t="s">
        <v>2071</v>
      </c>
      <c r="D497" t="s">
        <v>2072</v>
      </c>
      <c r="F497" t="str">
        <f>""</f>
        <v/>
      </c>
      <c r="G497" t="str">
        <f>""</f>
        <v/>
      </c>
      <c r="H497">
        <v>0</v>
      </c>
      <c r="I497">
        <v>4.32</v>
      </c>
      <c r="J497" t="s">
        <v>377</v>
      </c>
      <c r="K497" t="s">
        <v>69</v>
      </c>
      <c r="L497">
        <v>617</v>
      </c>
      <c r="M497">
        <v>2015</v>
      </c>
      <c r="N497">
        <v>2015</v>
      </c>
      <c r="P497" s="1">
        <v>43482</v>
      </c>
      <c r="Q497" t="s">
        <v>36</v>
      </c>
      <c r="R497" t="s">
        <v>2073</v>
      </c>
      <c r="S497" t="s">
        <v>36</v>
      </c>
      <c r="W497">
        <v>0</v>
      </c>
      <c r="Z497">
        <v>0</v>
      </c>
    </row>
    <row r="498" spans="1:26" x14ac:dyDescent="0.3">
      <c r="A498">
        <v>25885765</v>
      </c>
      <c r="B498" t="s">
        <v>2074</v>
      </c>
      <c r="C498" t="s">
        <v>2075</v>
      </c>
      <c r="D498" t="s">
        <v>2076</v>
      </c>
      <c r="F498" t="str">
        <f>"0691153280"</f>
        <v>0691153280</v>
      </c>
      <c r="G498" t="str">
        <f>"9780691153285"</f>
        <v>9780691153285</v>
      </c>
      <c r="H498">
        <v>0</v>
      </c>
      <c r="I498">
        <v>4.1500000000000004</v>
      </c>
      <c r="J498" t="s">
        <v>377</v>
      </c>
      <c r="K498" t="s">
        <v>60</v>
      </c>
      <c r="L498">
        <v>248</v>
      </c>
      <c r="M498">
        <v>2015</v>
      </c>
      <c r="N498">
        <v>2015</v>
      </c>
      <c r="P498" s="1">
        <v>43482</v>
      </c>
      <c r="Q498" t="s">
        <v>36</v>
      </c>
      <c r="R498" t="s">
        <v>2077</v>
      </c>
      <c r="S498" t="s">
        <v>36</v>
      </c>
      <c r="W498">
        <v>0</v>
      </c>
      <c r="Z498">
        <v>0</v>
      </c>
    </row>
    <row r="499" spans="1:26" x14ac:dyDescent="0.3">
      <c r="A499">
        <v>6702163</v>
      </c>
      <c r="B499" t="s">
        <v>2078</v>
      </c>
      <c r="C499" t="s">
        <v>2079</v>
      </c>
      <c r="D499" t="s">
        <v>2080</v>
      </c>
      <c r="F499" t="str">
        <f>"019533096X"</f>
        <v>019533096X</v>
      </c>
      <c r="G499" t="str">
        <f>"9780195330960"</f>
        <v>9780195330960</v>
      </c>
      <c r="H499">
        <v>0</v>
      </c>
      <c r="I499">
        <v>4.17</v>
      </c>
      <c r="J499" t="s">
        <v>104</v>
      </c>
      <c r="K499" t="s">
        <v>35</v>
      </c>
      <c r="L499">
        <v>350</v>
      </c>
      <c r="M499">
        <v>2009</v>
      </c>
      <c r="N499">
        <v>2009</v>
      </c>
      <c r="P499" s="1">
        <v>43482</v>
      </c>
      <c r="Q499" t="s">
        <v>36</v>
      </c>
      <c r="R499" t="s">
        <v>2081</v>
      </c>
      <c r="S499" t="s">
        <v>36</v>
      </c>
      <c r="W499">
        <v>0</v>
      </c>
      <c r="Z499">
        <v>0</v>
      </c>
    </row>
    <row r="500" spans="1:26" x14ac:dyDescent="0.3">
      <c r="A500">
        <v>6526776</v>
      </c>
      <c r="B500" t="s">
        <v>2082</v>
      </c>
      <c r="C500" t="s">
        <v>2083</v>
      </c>
      <c r="D500" t="s">
        <v>2084</v>
      </c>
      <c r="F500" t="str">
        <f>"0521678749"</f>
        <v>0521678749</v>
      </c>
      <c r="G500" t="str">
        <f>"9780521678742"</f>
        <v>9780521678742</v>
      </c>
      <c r="H500">
        <v>0</v>
      </c>
      <c r="I500">
        <v>4.3499999999999996</v>
      </c>
      <c r="J500" t="s">
        <v>261</v>
      </c>
      <c r="K500" t="s">
        <v>60</v>
      </c>
      <c r="L500">
        <v>614</v>
      </c>
      <c r="M500">
        <v>2009</v>
      </c>
      <c r="N500">
        <v>2009</v>
      </c>
      <c r="P500" s="1">
        <v>43482</v>
      </c>
      <c r="Q500" t="s">
        <v>36</v>
      </c>
      <c r="R500" t="s">
        <v>2085</v>
      </c>
      <c r="S500" t="s">
        <v>36</v>
      </c>
      <c r="W500">
        <v>0</v>
      </c>
      <c r="Z500">
        <v>0</v>
      </c>
    </row>
    <row r="501" spans="1:26" x14ac:dyDescent="0.3">
      <c r="A501">
        <v>204128</v>
      </c>
      <c r="B501" t="s">
        <v>2086</v>
      </c>
      <c r="C501" t="s">
        <v>2087</v>
      </c>
      <c r="D501" t="s">
        <v>2088</v>
      </c>
      <c r="F501" t="str">
        <f>"1851682627"</f>
        <v>1851682627</v>
      </c>
      <c r="G501" t="str">
        <f>"9781851682621"</f>
        <v>9781851682621</v>
      </c>
      <c r="H501">
        <v>0</v>
      </c>
      <c r="I501">
        <v>4.42</v>
      </c>
      <c r="J501" t="s">
        <v>761</v>
      </c>
      <c r="K501" t="s">
        <v>60</v>
      </c>
      <c r="L501">
        <v>192</v>
      </c>
      <c r="M501">
        <v>2001</v>
      </c>
      <c r="N501">
        <v>2001</v>
      </c>
      <c r="P501" s="1">
        <v>43482</v>
      </c>
      <c r="Q501" t="s">
        <v>36</v>
      </c>
      <c r="R501" t="s">
        <v>2089</v>
      </c>
      <c r="S501" t="s">
        <v>36</v>
      </c>
      <c r="W501">
        <v>0</v>
      </c>
      <c r="Z501">
        <v>0</v>
      </c>
    </row>
    <row r="502" spans="1:26" x14ac:dyDescent="0.3">
      <c r="A502">
        <v>34324534</v>
      </c>
      <c r="B502" t="s">
        <v>2090</v>
      </c>
      <c r="C502" t="s">
        <v>1181</v>
      </c>
      <c r="D502" t="s">
        <v>1182</v>
      </c>
      <c r="F502" t="str">
        <f>"0300182910"</f>
        <v>0300182910</v>
      </c>
      <c r="G502" t="str">
        <f>"9780300182910"</f>
        <v>9780300182910</v>
      </c>
      <c r="H502">
        <v>0</v>
      </c>
      <c r="I502">
        <v>4.12</v>
      </c>
      <c r="J502" t="s">
        <v>356</v>
      </c>
      <c r="K502" t="s">
        <v>35</v>
      </c>
      <c r="L502">
        <v>312</v>
      </c>
      <c r="M502">
        <v>2017</v>
      </c>
      <c r="N502">
        <v>2017</v>
      </c>
      <c r="O502" s="1">
        <v>43482</v>
      </c>
      <c r="P502" s="1">
        <v>43470</v>
      </c>
      <c r="S502" t="s">
        <v>174</v>
      </c>
      <c r="W502">
        <v>1</v>
      </c>
      <c r="Z502">
        <v>0</v>
      </c>
    </row>
    <row r="503" spans="1:26" x14ac:dyDescent="0.3">
      <c r="A503">
        <v>38458392</v>
      </c>
      <c r="B503" t="s">
        <v>2091</v>
      </c>
      <c r="C503" t="s">
        <v>2092</v>
      </c>
      <c r="D503" t="s">
        <v>2093</v>
      </c>
      <c r="F503" t="str">
        <f>"1847925170"</f>
        <v>1847925170</v>
      </c>
      <c r="G503" t="str">
        <f>"9781847925176"</f>
        <v>9781847925176</v>
      </c>
      <c r="H503">
        <v>0</v>
      </c>
      <c r="I503">
        <v>4.32</v>
      </c>
      <c r="J503" t="s">
        <v>2094</v>
      </c>
      <c r="K503" t="s">
        <v>35</v>
      </c>
      <c r="L503">
        <v>480</v>
      </c>
      <c r="M503">
        <v>2018</v>
      </c>
      <c r="N503">
        <v>2018</v>
      </c>
      <c r="P503" s="1">
        <v>43477</v>
      </c>
      <c r="Q503" t="s">
        <v>36</v>
      </c>
      <c r="R503" t="s">
        <v>2095</v>
      </c>
      <c r="S503" t="s">
        <v>36</v>
      </c>
      <c r="W503">
        <v>0</v>
      </c>
      <c r="Z503">
        <v>0</v>
      </c>
    </row>
    <row r="504" spans="1:26" x14ac:dyDescent="0.3">
      <c r="A504">
        <v>13435168</v>
      </c>
      <c r="B504" t="s">
        <v>2096</v>
      </c>
      <c r="C504" t="s">
        <v>1905</v>
      </c>
      <c r="D504" t="s">
        <v>1906</v>
      </c>
      <c r="F504" t="str">
        <f>"0300152639"</f>
        <v>0300152639</v>
      </c>
      <c r="G504" t="str">
        <f>"9780300152630"</f>
        <v>9780300152630</v>
      </c>
      <c r="H504">
        <v>0</v>
      </c>
      <c r="I504">
        <v>4.09</v>
      </c>
      <c r="J504" t="s">
        <v>356</v>
      </c>
      <c r="K504" t="s">
        <v>35</v>
      </c>
      <c r="L504">
        <v>392</v>
      </c>
      <c r="M504">
        <v>2012</v>
      </c>
      <c r="N504">
        <v>2012</v>
      </c>
      <c r="P504" s="1">
        <v>43470</v>
      </c>
      <c r="S504" t="s">
        <v>174</v>
      </c>
      <c r="W504">
        <v>1</v>
      </c>
      <c r="Z504">
        <v>0</v>
      </c>
    </row>
    <row r="505" spans="1:26" x14ac:dyDescent="0.3">
      <c r="A505">
        <v>66421</v>
      </c>
      <c r="B505" t="s">
        <v>2097</v>
      </c>
      <c r="C505" t="s">
        <v>2075</v>
      </c>
      <c r="D505" t="s">
        <v>2076</v>
      </c>
      <c r="F505" t="str">
        <f>"0691086958"</f>
        <v>0691086958</v>
      </c>
      <c r="G505" t="str">
        <f>"9780691086958"</f>
        <v>9780691086958</v>
      </c>
      <c r="H505">
        <v>0</v>
      </c>
      <c r="I505">
        <v>4.1500000000000004</v>
      </c>
      <c r="J505" t="s">
        <v>377</v>
      </c>
      <c r="K505" t="s">
        <v>60</v>
      </c>
      <c r="L505">
        <v>233</v>
      </c>
      <c r="M505">
        <v>2004</v>
      </c>
      <c r="N505">
        <v>2004</v>
      </c>
      <c r="P505" s="1">
        <v>43464</v>
      </c>
      <c r="Q505" t="s">
        <v>36</v>
      </c>
      <c r="R505" t="s">
        <v>2098</v>
      </c>
      <c r="S505" t="s">
        <v>36</v>
      </c>
      <c r="W505">
        <v>0</v>
      </c>
      <c r="Z505">
        <v>0</v>
      </c>
    </row>
    <row r="506" spans="1:26" x14ac:dyDescent="0.3">
      <c r="A506">
        <v>28820444</v>
      </c>
      <c r="B506" t="s">
        <v>2099</v>
      </c>
      <c r="C506" t="s">
        <v>2100</v>
      </c>
      <c r="D506" t="s">
        <v>2101</v>
      </c>
      <c r="E506" t="s">
        <v>2102</v>
      </c>
      <c r="F506" t="str">
        <f>""</f>
        <v/>
      </c>
      <c r="G506" t="str">
        <f>"9780190496012"</f>
        <v>9780190496012</v>
      </c>
      <c r="H506">
        <v>0</v>
      </c>
      <c r="I506">
        <v>4.05</v>
      </c>
      <c r="J506" t="s">
        <v>756</v>
      </c>
      <c r="K506" t="s">
        <v>173</v>
      </c>
      <c r="L506">
        <v>408</v>
      </c>
      <c r="M506">
        <v>2017</v>
      </c>
      <c r="N506">
        <v>2017</v>
      </c>
      <c r="P506" s="1">
        <v>43464</v>
      </c>
      <c r="Q506" t="s">
        <v>36</v>
      </c>
      <c r="R506" t="s">
        <v>2103</v>
      </c>
      <c r="S506" t="s">
        <v>36</v>
      </c>
      <c r="W506">
        <v>0</v>
      </c>
      <c r="Z506">
        <v>0</v>
      </c>
    </row>
    <row r="507" spans="1:26" x14ac:dyDescent="0.3">
      <c r="A507">
        <v>19296692</v>
      </c>
      <c r="B507" t="s">
        <v>2104</v>
      </c>
      <c r="C507" t="s">
        <v>2102</v>
      </c>
      <c r="D507" t="s">
        <v>2105</v>
      </c>
      <c r="E507" t="s">
        <v>2106</v>
      </c>
      <c r="F507" t="str">
        <f>""</f>
        <v/>
      </c>
      <c r="G507" t="str">
        <f>""</f>
        <v/>
      </c>
      <c r="H507">
        <v>0</v>
      </c>
      <c r="I507">
        <v>3.25</v>
      </c>
      <c r="J507" t="s">
        <v>2107</v>
      </c>
      <c r="K507" t="s">
        <v>69</v>
      </c>
      <c r="L507">
        <v>73</v>
      </c>
      <c r="M507">
        <v>2006</v>
      </c>
      <c r="N507">
        <v>2006</v>
      </c>
      <c r="P507" s="1">
        <v>43464</v>
      </c>
      <c r="Q507" t="s">
        <v>36</v>
      </c>
      <c r="R507" t="s">
        <v>2108</v>
      </c>
      <c r="S507" t="s">
        <v>36</v>
      </c>
      <c r="W507">
        <v>0</v>
      </c>
      <c r="Z507">
        <v>0</v>
      </c>
    </row>
    <row r="508" spans="1:26" x14ac:dyDescent="0.3">
      <c r="A508">
        <v>18911450</v>
      </c>
      <c r="B508" t="s">
        <v>2109</v>
      </c>
      <c r="C508" t="s">
        <v>2102</v>
      </c>
      <c r="D508" t="s">
        <v>2105</v>
      </c>
      <c r="E508" t="s">
        <v>2110</v>
      </c>
      <c r="F508" t="str">
        <f>""</f>
        <v/>
      </c>
      <c r="G508" t="str">
        <f>""</f>
        <v/>
      </c>
      <c r="H508">
        <v>0</v>
      </c>
      <c r="I508">
        <v>3.68</v>
      </c>
      <c r="J508" t="s">
        <v>2107</v>
      </c>
      <c r="K508" t="s">
        <v>69</v>
      </c>
      <c r="L508">
        <v>47</v>
      </c>
      <c r="M508">
        <v>2011</v>
      </c>
      <c r="N508">
        <v>2011</v>
      </c>
      <c r="P508" s="1">
        <v>43464</v>
      </c>
      <c r="Q508" t="s">
        <v>36</v>
      </c>
      <c r="R508" t="s">
        <v>2111</v>
      </c>
      <c r="S508" t="s">
        <v>36</v>
      </c>
      <c r="W508">
        <v>0</v>
      </c>
      <c r="Z508">
        <v>0</v>
      </c>
    </row>
    <row r="509" spans="1:26" x14ac:dyDescent="0.3">
      <c r="A509">
        <v>51933</v>
      </c>
      <c r="B509" t="s">
        <v>2112</v>
      </c>
      <c r="C509" t="s">
        <v>2113</v>
      </c>
      <c r="D509" t="s">
        <v>2114</v>
      </c>
      <c r="E509" t="s">
        <v>2115</v>
      </c>
      <c r="F509" t="str">
        <f>"067972110X"</f>
        <v>067972110X</v>
      </c>
      <c r="G509" t="str">
        <f>"9780679721109"</f>
        <v>9780679721109</v>
      </c>
      <c r="H509">
        <v>0</v>
      </c>
      <c r="I509">
        <v>4.0999999999999996</v>
      </c>
      <c r="J509" t="s">
        <v>342</v>
      </c>
      <c r="K509" t="s">
        <v>60</v>
      </c>
      <c r="L509">
        <v>299</v>
      </c>
      <c r="M509">
        <v>1988</v>
      </c>
      <c r="N509">
        <v>1961</v>
      </c>
      <c r="P509" s="1">
        <v>43464</v>
      </c>
      <c r="Q509" t="s">
        <v>36</v>
      </c>
      <c r="R509" t="s">
        <v>2116</v>
      </c>
      <c r="S509" t="s">
        <v>36</v>
      </c>
      <c r="W509">
        <v>0</v>
      </c>
      <c r="Z509">
        <v>0</v>
      </c>
    </row>
    <row r="510" spans="1:26" x14ac:dyDescent="0.3">
      <c r="A510">
        <v>4129848</v>
      </c>
      <c r="B510" t="s">
        <v>2117</v>
      </c>
      <c r="C510" t="s">
        <v>2118</v>
      </c>
      <c r="D510" t="s">
        <v>2119</v>
      </c>
      <c r="F510" t="str">
        <f>"1904658407"</f>
        <v>1904658407</v>
      </c>
      <c r="G510" t="str">
        <f>"9781904658405"</f>
        <v>9781904658405</v>
      </c>
      <c r="H510">
        <v>0</v>
      </c>
      <c r="I510">
        <v>4.32</v>
      </c>
      <c r="J510" t="s">
        <v>2120</v>
      </c>
      <c r="K510" t="s">
        <v>60</v>
      </c>
      <c r="L510">
        <v>406</v>
      </c>
      <c r="M510">
        <v>2008</v>
      </c>
      <c r="N510">
        <v>2007</v>
      </c>
      <c r="P510" s="1">
        <v>43464</v>
      </c>
      <c r="Q510" t="s">
        <v>36</v>
      </c>
      <c r="R510" t="s">
        <v>2121</v>
      </c>
      <c r="S510" t="s">
        <v>36</v>
      </c>
      <c r="W510">
        <v>0</v>
      </c>
      <c r="Z510">
        <v>0</v>
      </c>
    </row>
    <row r="511" spans="1:26" x14ac:dyDescent="0.3">
      <c r="A511">
        <v>25823558</v>
      </c>
      <c r="B511" t="s">
        <v>2122</v>
      </c>
      <c r="C511" t="s">
        <v>2123</v>
      </c>
      <c r="D511" t="s">
        <v>2124</v>
      </c>
      <c r="F511" t="str">
        <f>"0190217014"</f>
        <v>0190217014</v>
      </c>
      <c r="G511" t="str">
        <f>"9780190217013"</f>
        <v>9780190217013</v>
      </c>
      <c r="H511">
        <v>0</v>
      </c>
      <c r="I511">
        <v>4.16</v>
      </c>
      <c r="J511" t="s">
        <v>756</v>
      </c>
      <c r="K511" t="s">
        <v>35</v>
      </c>
      <c r="L511">
        <v>416</v>
      </c>
      <c r="M511">
        <v>2015</v>
      </c>
      <c r="N511">
        <v>2015</v>
      </c>
      <c r="P511" s="1">
        <v>43464</v>
      </c>
      <c r="Q511" t="s">
        <v>36</v>
      </c>
      <c r="R511" t="s">
        <v>2125</v>
      </c>
      <c r="S511" t="s">
        <v>36</v>
      </c>
      <c r="W511">
        <v>0</v>
      </c>
      <c r="Z511">
        <v>0</v>
      </c>
    </row>
    <row r="512" spans="1:26" x14ac:dyDescent="0.3">
      <c r="A512">
        <v>401876</v>
      </c>
      <c r="B512" t="s">
        <v>2126</v>
      </c>
      <c r="C512" t="s">
        <v>2127</v>
      </c>
      <c r="D512" t="s">
        <v>2128</v>
      </c>
      <c r="E512" t="s">
        <v>2129</v>
      </c>
      <c r="F512" t="str">
        <f>"0385337388"</f>
        <v>0385337388</v>
      </c>
      <c r="G512" t="str">
        <f>"9780385337380"</f>
        <v>9780385337380</v>
      </c>
      <c r="H512">
        <v>0</v>
      </c>
      <c r="I512">
        <v>3.92</v>
      </c>
      <c r="J512" t="s">
        <v>2130</v>
      </c>
      <c r="K512" t="s">
        <v>60</v>
      </c>
      <c r="L512">
        <v>416</v>
      </c>
      <c r="M512">
        <v>2003</v>
      </c>
      <c r="N512">
        <v>1978</v>
      </c>
      <c r="P512" s="1">
        <v>43464</v>
      </c>
      <c r="Q512" t="s">
        <v>36</v>
      </c>
      <c r="R512" t="s">
        <v>2131</v>
      </c>
      <c r="S512" t="s">
        <v>36</v>
      </c>
      <c r="W512">
        <v>0</v>
      </c>
      <c r="Z512">
        <v>0</v>
      </c>
    </row>
    <row r="513" spans="1:26" x14ac:dyDescent="0.3">
      <c r="A513">
        <v>26831944</v>
      </c>
      <c r="B513" t="s">
        <v>2132</v>
      </c>
      <c r="C513" t="s">
        <v>2102</v>
      </c>
      <c r="D513" t="s">
        <v>2105</v>
      </c>
      <c r="F513" t="str">
        <f>"0198754620"</f>
        <v>0198754620</v>
      </c>
      <c r="G513" t="str">
        <f>"9780198754626"</f>
        <v>9780198754626</v>
      </c>
      <c r="H513">
        <v>0</v>
      </c>
      <c r="I513">
        <v>3.42</v>
      </c>
      <c r="J513" t="s">
        <v>756</v>
      </c>
      <c r="K513" t="s">
        <v>35</v>
      </c>
      <c r="L513">
        <v>368</v>
      </c>
      <c r="M513">
        <v>2016</v>
      </c>
      <c r="N513">
        <v>2016</v>
      </c>
      <c r="P513" s="1">
        <v>43464</v>
      </c>
      <c r="Q513" t="s">
        <v>36</v>
      </c>
      <c r="R513" t="s">
        <v>2133</v>
      </c>
      <c r="S513" t="s">
        <v>36</v>
      </c>
      <c r="W513">
        <v>0</v>
      </c>
      <c r="Z513">
        <v>0</v>
      </c>
    </row>
    <row r="514" spans="1:26" x14ac:dyDescent="0.3">
      <c r="A514">
        <v>112849</v>
      </c>
      <c r="B514" t="s">
        <v>2134</v>
      </c>
      <c r="C514" t="s">
        <v>2135</v>
      </c>
      <c r="D514" t="s">
        <v>2136</v>
      </c>
      <c r="F514" t="str">
        <f>"0812690699"</f>
        <v>0812690699</v>
      </c>
      <c r="G514" t="str">
        <f>"9780812690699"</f>
        <v>9780812690699</v>
      </c>
      <c r="H514">
        <v>0</v>
      </c>
      <c r="I514">
        <v>4.1100000000000003</v>
      </c>
      <c r="J514" t="s">
        <v>1818</v>
      </c>
      <c r="K514" t="s">
        <v>60</v>
      </c>
      <c r="L514">
        <v>288</v>
      </c>
      <c r="M514">
        <v>2000</v>
      </c>
      <c r="N514">
        <v>1973</v>
      </c>
      <c r="P514" s="1">
        <v>43464</v>
      </c>
      <c r="Q514" t="s">
        <v>36</v>
      </c>
      <c r="R514" t="s">
        <v>2137</v>
      </c>
      <c r="S514" t="s">
        <v>36</v>
      </c>
      <c r="W514">
        <v>0</v>
      </c>
      <c r="Z514">
        <v>0</v>
      </c>
    </row>
    <row r="515" spans="1:26" x14ac:dyDescent="0.3">
      <c r="A515">
        <v>6481280</v>
      </c>
      <c r="B515" t="s">
        <v>2138</v>
      </c>
      <c r="C515" t="s">
        <v>2139</v>
      </c>
      <c r="D515" t="s">
        <v>2140</v>
      </c>
      <c r="F515" t="str">
        <f>"0571225233"</f>
        <v>0571225233</v>
      </c>
      <c r="G515" t="str">
        <f>"9780571225231"</f>
        <v>9780571225231</v>
      </c>
      <c r="H515">
        <v>0</v>
      </c>
      <c r="I515">
        <v>4.09</v>
      </c>
      <c r="J515" t="s">
        <v>2141</v>
      </c>
      <c r="K515" t="s">
        <v>35</v>
      </c>
      <c r="L515">
        <v>434</v>
      </c>
      <c r="M515">
        <v>2010</v>
      </c>
      <c r="N515">
        <v>2007</v>
      </c>
      <c r="P515" s="1">
        <v>43464</v>
      </c>
      <c r="Q515" t="s">
        <v>36</v>
      </c>
      <c r="R515" t="s">
        <v>2142</v>
      </c>
      <c r="S515" t="s">
        <v>36</v>
      </c>
      <c r="W515">
        <v>0</v>
      </c>
      <c r="Z515">
        <v>0</v>
      </c>
    </row>
    <row r="516" spans="1:26" x14ac:dyDescent="0.3">
      <c r="A516">
        <v>20186</v>
      </c>
      <c r="B516" t="s">
        <v>2143</v>
      </c>
      <c r="C516" t="s">
        <v>1181</v>
      </c>
      <c r="D516" t="s">
        <v>1182</v>
      </c>
      <c r="F516" t="str">
        <f>"0300078153"</f>
        <v>0300078153</v>
      </c>
      <c r="G516" t="str">
        <f>"9780300078152"</f>
        <v>9780300078152</v>
      </c>
      <c r="H516">
        <v>0</v>
      </c>
      <c r="I516">
        <v>4.2</v>
      </c>
      <c r="J516" t="s">
        <v>356</v>
      </c>
      <c r="K516" t="s">
        <v>60</v>
      </c>
      <c r="L516">
        <v>445</v>
      </c>
      <c r="M516">
        <v>1998</v>
      </c>
      <c r="N516">
        <v>1998</v>
      </c>
      <c r="P516" s="1">
        <v>43140</v>
      </c>
      <c r="S516" t="s">
        <v>174</v>
      </c>
      <c r="W516">
        <v>1</v>
      </c>
      <c r="Z516">
        <v>0</v>
      </c>
    </row>
    <row r="517" spans="1:26" x14ac:dyDescent="0.3">
      <c r="A517">
        <v>372995</v>
      </c>
      <c r="B517" t="s">
        <v>2144</v>
      </c>
      <c r="C517" t="s">
        <v>2145</v>
      </c>
      <c r="D517" t="s">
        <v>2146</v>
      </c>
      <c r="F517" t="str">
        <f>"052140679X"</f>
        <v>052140679X</v>
      </c>
      <c r="G517" t="str">
        <f>"9780521406796"</f>
        <v>9780521406796</v>
      </c>
      <c r="H517">
        <v>0</v>
      </c>
      <c r="I517">
        <v>3.84</v>
      </c>
      <c r="J517" t="s">
        <v>261</v>
      </c>
      <c r="K517" t="s">
        <v>60</v>
      </c>
      <c r="L517">
        <v>348</v>
      </c>
      <c r="M517">
        <v>1993</v>
      </c>
      <c r="N517">
        <v>1988</v>
      </c>
      <c r="P517" s="1">
        <v>43461</v>
      </c>
      <c r="Q517" t="s">
        <v>36</v>
      </c>
      <c r="R517" t="s">
        <v>2147</v>
      </c>
      <c r="S517" t="s">
        <v>36</v>
      </c>
      <c r="W517">
        <v>0</v>
      </c>
      <c r="Z517">
        <v>0</v>
      </c>
    </row>
    <row r="518" spans="1:26" x14ac:dyDescent="0.3">
      <c r="A518">
        <v>9704856</v>
      </c>
      <c r="B518" t="s">
        <v>2148</v>
      </c>
      <c r="C518" t="s">
        <v>2044</v>
      </c>
      <c r="D518" t="s">
        <v>2045</v>
      </c>
      <c r="F518" t="str">
        <f>"0374227349"</f>
        <v>0374227349</v>
      </c>
      <c r="G518" t="str">
        <f>"9780374227340"</f>
        <v>9780374227340</v>
      </c>
      <c r="H518">
        <v>0</v>
      </c>
      <c r="I518">
        <v>4.16</v>
      </c>
      <c r="J518" t="s">
        <v>2149</v>
      </c>
      <c r="K518" t="s">
        <v>35</v>
      </c>
      <c r="L518">
        <v>585</v>
      </c>
      <c r="M518">
        <v>2011</v>
      </c>
      <c r="N518">
        <v>2011</v>
      </c>
      <c r="P518" s="1">
        <v>43448</v>
      </c>
      <c r="S518" t="s">
        <v>174</v>
      </c>
      <c r="W518">
        <v>1</v>
      </c>
      <c r="Z518">
        <v>0</v>
      </c>
    </row>
    <row r="519" spans="1:26" x14ac:dyDescent="0.3">
      <c r="A519">
        <v>124548</v>
      </c>
      <c r="B519" t="s">
        <v>2150</v>
      </c>
      <c r="C519" t="s">
        <v>242</v>
      </c>
      <c r="D519" t="s">
        <v>243</v>
      </c>
      <c r="F519" t="str">
        <f>"1565849876"</f>
        <v>1565849876</v>
      </c>
      <c r="G519" t="str">
        <f>"9781565849877"</f>
        <v>9781565849877</v>
      </c>
      <c r="H519">
        <v>0</v>
      </c>
      <c r="I519">
        <v>3.76</v>
      </c>
      <c r="J519" t="s">
        <v>2151</v>
      </c>
      <c r="K519" t="s">
        <v>60</v>
      </c>
      <c r="L519">
        <v>145</v>
      </c>
      <c r="M519">
        <v>2005</v>
      </c>
      <c r="N519">
        <v>2003</v>
      </c>
      <c r="P519" s="1">
        <v>43442</v>
      </c>
      <c r="Q519" t="s">
        <v>36</v>
      </c>
      <c r="R519" t="s">
        <v>2152</v>
      </c>
      <c r="S519" t="s">
        <v>36</v>
      </c>
      <c r="W519">
        <v>0</v>
      </c>
      <c r="Z519">
        <v>0</v>
      </c>
    </row>
    <row r="520" spans="1:26" x14ac:dyDescent="0.3">
      <c r="A520">
        <v>722231</v>
      </c>
      <c r="B520" t="s">
        <v>2153</v>
      </c>
      <c r="C520" t="s">
        <v>242</v>
      </c>
      <c r="D520" t="s">
        <v>243</v>
      </c>
      <c r="F520" t="str">
        <f>"1565845927"</f>
        <v>1565845927</v>
      </c>
      <c r="G520" t="str">
        <f>"9781565845923"</f>
        <v>9781565845923</v>
      </c>
      <c r="H520">
        <v>0</v>
      </c>
      <c r="I520">
        <v>3.82</v>
      </c>
      <c r="J520" t="s">
        <v>2151</v>
      </c>
      <c r="K520" t="s">
        <v>60</v>
      </c>
      <c r="L520">
        <v>272</v>
      </c>
      <c r="M520">
        <v>2000</v>
      </c>
      <c r="N520">
        <v>1998</v>
      </c>
      <c r="P520" s="1">
        <v>43442</v>
      </c>
      <c r="Q520" t="s">
        <v>36</v>
      </c>
      <c r="R520" t="s">
        <v>2154</v>
      </c>
      <c r="S520" t="s">
        <v>36</v>
      </c>
      <c r="W520">
        <v>0</v>
      </c>
      <c r="Z520">
        <v>0</v>
      </c>
    </row>
    <row r="521" spans="1:26" x14ac:dyDescent="0.3">
      <c r="A521">
        <v>22929481</v>
      </c>
      <c r="B521" t="s">
        <v>2155</v>
      </c>
      <c r="C521" t="s">
        <v>242</v>
      </c>
      <c r="D521" t="s">
        <v>243</v>
      </c>
      <c r="F521" t="str">
        <f>"0374261180"</f>
        <v>0374261180</v>
      </c>
      <c r="G521" t="str">
        <f>"9780374261184"</f>
        <v>9780374261184</v>
      </c>
      <c r="H521">
        <v>0</v>
      </c>
      <c r="I521">
        <v>3.87</v>
      </c>
      <c r="J521" t="s">
        <v>351</v>
      </c>
      <c r="K521" t="s">
        <v>35</v>
      </c>
      <c r="L521">
        <v>192</v>
      </c>
      <c r="M521">
        <v>2015</v>
      </c>
      <c r="N521">
        <v>2015</v>
      </c>
      <c r="P521" s="1">
        <v>43442</v>
      </c>
      <c r="Q521" t="s">
        <v>36</v>
      </c>
      <c r="R521" t="s">
        <v>2156</v>
      </c>
      <c r="S521" t="s">
        <v>36</v>
      </c>
      <c r="W521">
        <v>0</v>
      </c>
      <c r="Z521">
        <v>0</v>
      </c>
    </row>
    <row r="522" spans="1:26" x14ac:dyDescent="0.3">
      <c r="A522">
        <v>360648</v>
      </c>
      <c r="B522" t="s">
        <v>2157</v>
      </c>
      <c r="C522" t="s">
        <v>242</v>
      </c>
      <c r="D522" t="s">
        <v>243</v>
      </c>
      <c r="F522" t="str">
        <f>"0374105987"</f>
        <v>0374105987</v>
      </c>
      <c r="G522" t="str">
        <f>"9780374105983"</f>
        <v>9780374105983</v>
      </c>
      <c r="H522">
        <v>0</v>
      </c>
      <c r="I522">
        <v>3.95</v>
      </c>
      <c r="J522" t="s">
        <v>2149</v>
      </c>
      <c r="K522" t="s">
        <v>35</v>
      </c>
      <c r="L522">
        <v>242</v>
      </c>
      <c r="M522">
        <v>2007</v>
      </c>
      <c r="N522">
        <v>2007</v>
      </c>
      <c r="P522" s="1">
        <v>43442</v>
      </c>
      <c r="Q522" t="s">
        <v>36</v>
      </c>
      <c r="R522" t="s">
        <v>2158</v>
      </c>
      <c r="S522" t="s">
        <v>36</v>
      </c>
      <c r="W522">
        <v>0</v>
      </c>
      <c r="Z522">
        <v>0</v>
      </c>
    </row>
    <row r="523" spans="1:26" x14ac:dyDescent="0.3">
      <c r="A523">
        <v>341735</v>
      </c>
      <c r="B523" t="s">
        <v>2159</v>
      </c>
      <c r="C523" t="s">
        <v>2160</v>
      </c>
      <c r="D523" t="s">
        <v>2161</v>
      </c>
      <c r="F523" t="str">
        <f>"068816112X"</f>
        <v>068816112X</v>
      </c>
      <c r="G523" t="str">
        <f>"9780688161125"</f>
        <v>9780688161125</v>
      </c>
      <c r="H523">
        <v>0</v>
      </c>
      <c r="I523">
        <v>4.1500000000000004</v>
      </c>
      <c r="J523" t="s">
        <v>2162</v>
      </c>
      <c r="K523" t="s">
        <v>60</v>
      </c>
      <c r="L523">
        <v>311</v>
      </c>
      <c r="M523">
        <v>1998</v>
      </c>
      <c r="N523">
        <v>1987</v>
      </c>
      <c r="P523" s="1">
        <v>43421</v>
      </c>
      <c r="Q523" t="s">
        <v>36</v>
      </c>
      <c r="R523" t="s">
        <v>2163</v>
      </c>
      <c r="S523" t="s">
        <v>36</v>
      </c>
      <c r="W523">
        <v>0</v>
      </c>
      <c r="Z523">
        <v>0</v>
      </c>
    </row>
    <row r="524" spans="1:26" x14ac:dyDescent="0.3">
      <c r="A524">
        <v>18050103</v>
      </c>
      <c r="B524" t="s">
        <v>2164</v>
      </c>
      <c r="C524" t="s">
        <v>2165</v>
      </c>
      <c r="D524" t="s">
        <v>2166</v>
      </c>
      <c r="F524" t="str">
        <f>""</f>
        <v/>
      </c>
      <c r="G524" t="str">
        <f>"9781443405225"</f>
        <v>9781443405225</v>
      </c>
      <c r="H524">
        <v>4</v>
      </c>
      <c r="I524">
        <v>3.83</v>
      </c>
      <c r="J524" t="s">
        <v>2167</v>
      </c>
      <c r="K524" t="s">
        <v>35</v>
      </c>
      <c r="L524">
        <v>349</v>
      </c>
      <c r="M524">
        <v>2012</v>
      </c>
      <c r="N524">
        <v>2011</v>
      </c>
      <c r="O524" s="1">
        <v>42370</v>
      </c>
      <c r="P524" s="1">
        <v>42600</v>
      </c>
      <c r="S524" t="s">
        <v>174</v>
      </c>
      <c r="W524">
        <v>1</v>
      </c>
      <c r="Z524">
        <v>0</v>
      </c>
    </row>
    <row r="525" spans="1:26" x14ac:dyDescent="0.3">
      <c r="A525">
        <v>11140803</v>
      </c>
      <c r="B525" t="s">
        <v>2168</v>
      </c>
      <c r="C525" t="s">
        <v>2169</v>
      </c>
      <c r="D525" t="s">
        <v>2170</v>
      </c>
      <c r="F525" t="str">
        <f>"0670022969"</f>
        <v>0670022969</v>
      </c>
      <c r="G525" t="str">
        <f>"9780670022960"</f>
        <v>9780670022960</v>
      </c>
      <c r="H525">
        <v>0</v>
      </c>
      <c r="I525">
        <v>4.1900000000000004</v>
      </c>
      <c r="J525" t="s">
        <v>518</v>
      </c>
      <c r="K525" t="s">
        <v>35</v>
      </c>
      <c r="L525">
        <v>371</v>
      </c>
      <c r="M525">
        <v>2011</v>
      </c>
      <c r="N525">
        <v>2011</v>
      </c>
      <c r="P525" s="1">
        <v>43381</v>
      </c>
      <c r="Q525" t="s">
        <v>36</v>
      </c>
      <c r="R525" t="s">
        <v>2171</v>
      </c>
      <c r="S525" t="s">
        <v>36</v>
      </c>
      <c r="W525">
        <v>0</v>
      </c>
      <c r="Z525">
        <v>0</v>
      </c>
    </row>
    <row r="526" spans="1:26" x14ac:dyDescent="0.3">
      <c r="A526">
        <v>147099</v>
      </c>
      <c r="B526" t="s">
        <v>2172</v>
      </c>
      <c r="C526" t="s">
        <v>2173</v>
      </c>
      <c r="D526" t="s">
        <v>2174</v>
      </c>
      <c r="F526" t="str">
        <f>"0380578859"</f>
        <v>0380578859</v>
      </c>
      <c r="G526" t="str">
        <f>"9780380578856"</f>
        <v>9780380578856</v>
      </c>
      <c r="H526">
        <v>0</v>
      </c>
      <c r="I526">
        <v>3.99</v>
      </c>
      <c r="J526" t="s">
        <v>2175</v>
      </c>
      <c r="K526" t="s">
        <v>60</v>
      </c>
      <c r="L526">
        <v>427</v>
      </c>
      <c r="M526">
        <v>1982</v>
      </c>
      <c r="N526">
        <v>1981</v>
      </c>
      <c r="P526" s="1">
        <v>43381</v>
      </c>
      <c r="Q526" t="s">
        <v>36</v>
      </c>
      <c r="R526" t="s">
        <v>2176</v>
      </c>
      <c r="S526" t="s">
        <v>36</v>
      </c>
      <c r="W526">
        <v>0</v>
      </c>
      <c r="Z526">
        <v>0</v>
      </c>
    </row>
    <row r="527" spans="1:26" x14ac:dyDescent="0.3">
      <c r="A527">
        <v>6396809</v>
      </c>
      <c r="B527" t="s">
        <v>2177</v>
      </c>
      <c r="C527" t="s">
        <v>2178</v>
      </c>
      <c r="D527" t="s">
        <v>2179</v>
      </c>
      <c r="F527" t="str">
        <f>"0007280912"</f>
        <v>0007280912</v>
      </c>
      <c r="G527" t="str">
        <f>"9780007280919"</f>
        <v>9780007280919</v>
      </c>
      <c r="H527">
        <v>0</v>
      </c>
      <c r="I527">
        <v>3.81</v>
      </c>
      <c r="J527" t="s">
        <v>109</v>
      </c>
      <c r="K527" t="s">
        <v>60</v>
      </c>
      <c r="L527">
        <v>416</v>
      </c>
      <c r="M527">
        <v>2008</v>
      </c>
      <c r="N527">
        <v>2008</v>
      </c>
      <c r="P527" s="1">
        <v>43363</v>
      </c>
      <c r="Q527" t="s">
        <v>36</v>
      </c>
      <c r="R527" t="s">
        <v>2180</v>
      </c>
      <c r="S527" t="s">
        <v>36</v>
      </c>
      <c r="W527">
        <v>0</v>
      </c>
      <c r="Z527">
        <v>0</v>
      </c>
    </row>
    <row r="528" spans="1:26" x14ac:dyDescent="0.3">
      <c r="A528">
        <v>456253</v>
      </c>
      <c r="B528" t="s">
        <v>2181</v>
      </c>
      <c r="C528" t="s">
        <v>2182</v>
      </c>
      <c r="D528" t="s">
        <v>2183</v>
      </c>
      <c r="F528" t="str">
        <f>"1851684565"</f>
        <v>1851684565</v>
      </c>
      <c r="G528" t="str">
        <f>"9781851684564"</f>
        <v>9781851684564</v>
      </c>
      <c r="H528">
        <v>0</v>
      </c>
      <c r="I528">
        <v>4.17</v>
      </c>
      <c r="J528" t="s">
        <v>761</v>
      </c>
      <c r="K528" t="s">
        <v>60</v>
      </c>
      <c r="L528">
        <v>248</v>
      </c>
      <c r="M528">
        <v>2006</v>
      </c>
      <c r="N528">
        <v>2006</v>
      </c>
      <c r="P528" s="1">
        <v>43346</v>
      </c>
      <c r="Q528" t="s">
        <v>36</v>
      </c>
      <c r="R528" t="s">
        <v>2184</v>
      </c>
      <c r="S528" t="s">
        <v>36</v>
      </c>
      <c r="W528">
        <v>0</v>
      </c>
      <c r="Z528">
        <v>0</v>
      </c>
    </row>
    <row r="529" spans="1:26" x14ac:dyDescent="0.3">
      <c r="A529">
        <v>18513781</v>
      </c>
      <c r="B529" t="s">
        <v>2185</v>
      </c>
      <c r="C529" t="s">
        <v>2186</v>
      </c>
      <c r="D529" t="s">
        <v>2187</v>
      </c>
      <c r="E529" t="s">
        <v>2188</v>
      </c>
      <c r="F529" t="str">
        <f>""</f>
        <v/>
      </c>
      <c r="G529" t="str">
        <f>""</f>
        <v/>
      </c>
      <c r="H529">
        <v>0</v>
      </c>
      <c r="I529">
        <v>4.4800000000000004</v>
      </c>
      <c r="J529" t="s">
        <v>2189</v>
      </c>
      <c r="K529" t="s">
        <v>69</v>
      </c>
      <c r="L529">
        <v>241</v>
      </c>
      <c r="M529">
        <v>2013</v>
      </c>
      <c r="P529" s="1">
        <v>43346</v>
      </c>
      <c r="Q529" t="s">
        <v>36</v>
      </c>
      <c r="R529" t="s">
        <v>2190</v>
      </c>
      <c r="S529" t="s">
        <v>36</v>
      </c>
      <c r="W529">
        <v>0</v>
      </c>
      <c r="Z529">
        <v>0</v>
      </c>
    </row>
    <row r="530" spans="1:26" x14ac:dyDescent="0.3">
      <c r="A530">
        <v>144925</v>
      </c>
      <c r="B530" t="s">
        <v>2191</v>
      </c>
      <c r="C530" t="s">
        <v>2192</v>
      </c>
      <c r="D530" t="s">
        <v>2193</v>
      </c>
      <c r="F530" t="str">
        <f>"1594771537"</f>
        <v>1594771537</v>
      </c>
      <c r="G530" t="str">
        <f>"9781594771538"</f>
        <v>9781594771538</v>
      </c>
      <c r="H530">
        <v>0</v>
      </c>
      <c r="I530">
        <v>4.57</v>
      </c>
      <c r="J530" t="s">
        <v>2194</v>
      </c>
      <c r="K530" t="s">
        <v>60</v>
      </c>
      <c r="L530">
        <v>384</v>
      </c>
      <c r="M530">
        <v>2006</v>
      </c>
      <c r="N530">
        <v>1983</v>
      </c>
      <c r="P530" s="1">
        <v>43346</v>
      </c>
      <c r="Q530" t="s">
        <v>36</v>
      </c>
      <c r="R530" t="s">
        <v>2195</v>
      </c>
      <c r="S530" t="s">
        <v>36</v>
      </c>
      <c r="W530">
        <v>0</v>
      </c>
      <c r="Z530">
        <v>0</v>
      </c>
    </row>
    <row r="531" spans="1:26" x14ac:dyDescent="0.3">
      <c r="A531">
        <v>530114</v>
      </c>
      <c r="B531" t="s">
        <v>2196</v>
      </c>
      <c r="C531" t="s">
        <v>2197</v>
      </c>
      <c r="D531" t="s">
        <v>2198</v>
      </c>
      <c r="F531" t="str">
        <f>"0292709048"</f>
        <v>0292709048</v>
      </c>
      <c r="G531" t="str">
        <f>"9780292709041"</f>
        <v>9780292709041</v>
      </c>
      <c r="H531">
        <v>0</v>
      </c>
      <c r="I531">
        <v>4.28</v>
      </c>
      <c r="J531" t="s">
        <v>2199</v>
      </c>
      <c r="K531" t="s">
        <v>60</v>
      </c>
      <c r="L531">
        <v>272</v>
      </c>
      <c r="M531">
        <v>2002</v>
      </c>
      <c r="N531">
        <v>2002</v>
      </c>
      <c r="P531" s="1">
        <v>43346</v>
      </c>
      <c r="Q531" t="s">
        <v>36</v>
      </c>
      <c r="R531" t="s">
        <v>2200</v>
      </c>
      <c r="S531" t="s">
        <v>36</v>
      </c>
      <c r="W531">
        <v>0</v>
      </c>
      <c r="Z531">
        <v>0</v>
      </c>
    </row>
    <row r="532" spans="1:26" x14ac:dyDescent="0.3">
      <c r="A532">
        <v>7193774</v>
      </c>
      <c r="B532" t="s">
        <v>2201</v>
      </c>
      <c r="C532" t="s">
        <v>2202</v>
      </c>
      <c r="D532" t="s">
        <v>2203</v>
      </c>
      <c r="F532" t="str">
        <f>"031604119X"</f>
        <v>031604119X</v>
      </c>
      <c r="G532" t="str">
        <f>"9780316041195"</f>
        <v>9780316041195</v>
      </c>
      <c r="H532">
        <v>0</v>
      </c>
      <c r="I532">
        <v>3.99</v>
      </c>
      <c r="J532" t="s">
        <v>2204</v>
      </c>
      <c r="K532" t="s">
        <v>35</v>
      </c>
      <c r="L532">
        <v>336</v>
      </c>
      <c r="M532">
        <v>2010</v>
      </c>
      <c r="N532">
        <v>2010</v>
      </c>
      <c r="P532" s="1">
        <v>43346</v>
      </c>
      <c r="Q532" t="s">
        <v>36</v>
      </c>
      <c r="R532" t="s">
        <v>2205</v>
      </c>
      <c r="S532" t="s">
        <v>36</v>
      </c>
      <c r="W532">
        <v>0</v>
      </c>
      <c r="Z532">
        <v>0</v>
      </c>
    </row>
    <row r="533" spans="1:26" x14ac:dyDescent="0.3">
      <c r="A533">
        <v>752772</v>
      </c>
      <c r="B533" t="s">
        <v>2206</v>
      </c>
      <c r="C533" t="s">
        <v>2207</v>
      </c>
      <c r="D533" t="s">
        <v>2208</v>
      </c>
      <c r="F533" t="str">
        <f>"19023500"</f>
        <v>19023500</v>
      </c>
      <c r="G533" t="str">
        <f>"9781902350011"</f>
        <v>9781902350011</v>
      </c>
      <c r="H533">
        <v>0</v>
      </c>
      <c r="I533">
        <v>4.5599999999999996</v>
      </c>
      <c r="J533" t="s">
        <v>2209</v>
      </c>
      <c r="K533" t="s">
        <v>60</v>
      </c>
      <c r="L533">
        <v>30</v>
      </c>
      <c r="M533">
        <v>1999</v>
      </c>
      <c r="N533">
        <v>1995</v>
      </c>
      <c r="P533" s="1">
        <v>43346</v>
      </c>
      <c r="Q533" t="s">
        <v>36</v>
      </c>
      <c r="R533" t="s">
        <v>2210</v>
      </c>
      <c r="S533" t="s">
        <v>36</v>
      </c>
      <c r="W533">
        <v>0</v>
      </c>
      <c r="Z533">
        <v>0</v>
      </c>
    </row>
    <row r="534" spans="1:26" x14ac:dyDescent="0.3">
      <c r="A534">
        <v>113567</v>
      </c>
      <c r="B534" t="s">
        <v>2211</v>
      </c>
      <c r="C534" t="s">
        <v>2087</v>
      </c>
      <c r="D534" t="s">
        <v>2088</v>
      </c>
      <c r="F534" t="str">
        <f>"0061189030"</f>
        <v>0061189030</v>
      </c>
      <c r="G534" t="str">
        <f>"9780061189036"</f>
        <v>9780061189036</v>
      </c>
      <c r="H534">
        <v>0</v>
      </c>
      <c r="I534">
        <v>4.1500000000000004</v>
      </c>
      <c r="J534" t="s">
        <v>648</v>
      </c>
      <c r="K534" t="s">
        <v>60</v>
      </c>
      <c r="L534">
        <v>336</v>
      </c>
      <c r="M534">
        <v>2007</v>
      </c>
      <c r="N534">
        <v>2005</v>
      </c>
      <c r="P534" s="1">
        <v>43346</v>
      </c>
      <c r="Q534" t="s">
        <v>36</v>
      </c>
      <c r="R534" t="s">
        <v>2212</v>
      </c>
      <c r="S534" t="s">
        <v>36</v>
      </c>
      <c r="W534">
        <v>0</v>
      </c>
      <c r="Z534">
        <v>0</v>
      </c>
    </row>
    <row r="535" spans="1:26" x14ac:dyDescent="0.3">
      <c r="A535">
        <v>13330784</v>
      </c>
      <c r="B535" t="s">
        <v>2213</v>
      </c>
      <c r="C535" t="s">
        <v>2214</v>
      </c>
      <c r="D535" t="s">
        <v>2215</v>
      </c>
      <c r="F535" t="str">
        <f>"0307951170"</f>
        <v>0307951170</v>
      </c>
      <c r="G535" t="str">
        <f>"9780307951175"</f>
        <v>9780307951175</v>
      </c>
      <c r="H535">
        <v>0</v>
      </c>
      <c r="I535">
        <v>3.85</v>
      </c>
      <c r="J535" t="s">
        <v>342</v>
      </c>
      <c r="K535" t="s">
        <v>60</v>
      </c>
      <c r="L535">
        <v>208</v>
      </c>
      <c r="M535">
        <v>2012</v>
      </c>
      <c r="N535">
        <v>2012</v>
      </c>
      <c r="P535" s="1">
        <v>43346</v>
      </c>
      <c r="Q535" t="s">
        <v>36</v>
      </c>
      <c r="R535" t="s">
        <v>2216</v>
      </c>
      <c r="S535" t="s">
        <v>36</v>
      </c>
      <c r="W535">
        <v>0</v>
      </c>
      <c r="Z535">
        <v>0</v>
      </c>
    </row>
    <row r="536" spans="1:26" x14ac:dyDescent="0.3">
      <c r="A536">
        <v>9698125</v>
      </c>
      <c r="B536" t="s">
        <v>2217</v>
      </c>
      <c r="C536" t="s">
        <v>2218</v>
      </c>
      <c r="D536" t="s">
        <v>2219</v>
      </c>
      <c r="F536" t="str">
        <f>"0393070867"</f>
        <v>0393070867</v>
      </c>
      <c r="G536" t="str">
        <f>"9780393070866"</f>
        <v>9780393070866</v>
      </c>
      <c r="H536">
        <v>0</v>
      </c>
      <c r="I536">
        <v>4.22</v>
      </c>
      <c r="J536" t="s">
        <v>1362</v>
      </c>
      <c r="K536" t="s">
        <v>35</v>
      </c>
      <c r="L536">
        <v>352</v>
      </c>
      <c r="M536">
        <v>2011</v>
      </c>
      <c r="N536">
        <v>2011</v>
      </c>
      <c r="P536" s="1">
        <v>43346</v>
      </c>
      <c r="S536" t="s">
        <v>174</v>
      </c>
      <c r="W536">
        <v>1</v>
      </c>
      <c r="Z536">
        <v>0</v>
      </c>
    </row>
    <row r="537" spans="1:26" x14ac:dyDescent="0.3">
      <c r="A537">
        <v>18730593</v>
      </c>
      <c r="B537" t="s">
        <v>2220</v>
      </c>
      <c r="C537" t="s">
        <v>1233</v>
      </c>
      <c r="D537" t="s">
        <v>1234</v>
      </c>
      <c r="F537" t="str">
        <f>"0691144907"</f>
        <v>0691144907</v>
      </c>
      <c r="G537" t="str">
        <f>"9780691144900"</f>
        <v>9780691144900</v>
      </c>
      <c r="H537">
        <v>0</v>
      </c>
      <c r="I537">
        <v>3.96</v>
      </c>
      <c r="J537" t="s">
        <v>377</v>
      </c>
      <c r="K537" t="s">
        <v>35</v>
      </c>
      <c r="L537">
        <v>541</v>
      </c>
      <c r="M537">
        <v>2014</v>
      </c>
      <c r="N537">
        <v>2014</v>
      </c>
      <c r="P537" s="1">
        <v>43346</v>
      </c>
      <c r="S537" t="s">
        <v>174</v>
      </c>
      <c r="W537">
        <v>1</v>
      </c>
      <c r="Z537">
        <v>0</v>
      </c>
    </row>
    <row r="538" spans="1:26" x14ac:dyDescent="0.3">
      <c r="A538">
        <v>925439</v>
      </c>
      <c r="B538" t="s">
        <v>2221</v>
      </c>
      <c r="C538" t="s">
        <v>2222</v>
      </c>
      <c r="D538" t="s">
        <v>2223</v>
      </c>
      <c r="F538" t="str">
        <f>"0465006493"</f>
        <v>0465006493</v>
      </c>
      <c r="G538" t="str">
        <f>"9780465006496"</f>
        <v>9780465006496</v>
      </c>
      <c r="H538">
        <v>0</v>
      </c>
      <c r="I538">
        <v>3.91</v>
      </c>
      <c r="J538" t="s">
        <v>129</v>
      </c>
      <c r="K538" t="s">
        <v>60</v>
      </c>
      <c r="L538">
        <v>432</v>
      </c>
      <c r="M538">
        <v>2000</v>
      </c>
      <c r="N538">
        <v>1999</v>
      </c>
      <c r="P538" s="1">
        <v>43321</v>
      </c>
      <c r="Q538" t="s">
        <v>36</v>
      </c>
      <c r="R538" t="s">
        <v>2224</v>
      </c>
      <c r="S538" t="s">
        <v>36</v>
      </c>
      <c r="W538">
        <v>0</v>
      </c>
      <c r="Z538">
        <v>0</v>
      </c>
    </row>
    <row r="539" spans="1:26" x14ac:dyDescent="0.3">
      <c r="A539">
        <v>3302196</v>
      </c>
      <c r="B539" t="s">
        <v>2225</v>
      </c>
      <c r="C539" t="s">
        <v>2226</v>
      </c>
      <c r="D539" t="s">
        <v>2227</v>
      </c>
      <c r="F539" t="str">
        <f>"1845530578"</f>
        <v>1845530578</v>
      </c>
      <c r="G539" t="str">
        <f>"9781845530570"</f>
        <v>9781845530570</v>
      </c>
      <c r="H539">
        <v>0</v>
      </c>
      <c r="I539">
        <v>5</v>
      </c>
      <c r="J539" t="s">
        <v>2228</v>
      </c>
      <c r="K539" t="s">
        <v>60</v>
      </c>
      <c r="L539">
        <v>450</v>
      </c>
      <c r="M539">
        <v>2005</v>
      </c>
      <c r="N539">
        <v>2005</v>
      </c>
      <c r="P539" s="1">
        <v>43321</v>
      </c>
      <c r="Q539" t="s">
        <v>36</v>
      </c>
      <c r="R539" t="s">
        <v>2229</v>
      </c>
      <c r="S539" t="s">
        <v>36</v>
      </c>
      <c r="W539">
        <v>0</v>
      </c>
      <c r="Z539">
        <v>0</v>
      </c>
    </row>
    <row r="540" spans="1:26" x14ac:dyDescent="0.3">
      <c r="A540">
        <v>1568454</v>
      </c>
      <c r="B540" t="s">
        <v>2230</v>
      </c>
      <c r="C540" t="s">
        <v>2222</v>
      </c>
      <c r="D540" t="s">
        <v>2223</v>
      </c>
      <c r="F540" t="str">
        <f>"1563383896"</f>
        <v>1563383896</v>
      </c>
      <c r="G540" t="str">
        <f>"9781563383892"</f>
        <v>9781563383892</v>
      </c>
      <c r="H540">
        <v>0</v>
      </c>
      <c r="I540">
        <v>3.5</v>
      </c>
      <c r="J540" t="s">
        <v>194</v>
      </c>
      <c r="K540" t="s">
        <v>60</v>
      </c>
      <c r="M540">
        <v>2002</v>
      </c>
      <c r="N540">
        <v>1974</v>
      </c>
      <c r="P540" s="1">
        <v>43321</v>
      </c>
      <c r="Q540" t="s">
        <v>36</v>
      </c>
      <c r="R540" t="s">
        <v>2231</v>
      </c>
      <c r="S540" t="s">
        <v>36</v>
      </c>
      <c r="W540">
        <v>0</v>
      </c>
      <c r="Z540">
        <v>0</v>
      </c>
    </row>
    <row r="541" spans="1:26" x14ac:dyDescent="0.3">
      <c r="A541">
        <v>234504</v>
      </c>
      <c r="B541" t="s">
        <v>2232</v>
      </c>
      <c r="C541" t="s">
        <v>2233</v>
      </c>
      <c r="D541" t="s">
        <v>2234</v>
      </c>
      <c r="F541" t="str">
        <f>"1842122460"</f>
        <v>1842122460</v>
      </c>
      <c r="G541" t="str">
        <f>"9781842122464"</f>
        <v>9781842122464</v>
      </c>
      <c r="H541">
        <v>0</v>
      </c>
      <c r="I541">
        <v>3.81</v>
      </c>
      <c r="J541" t="s">
        <v>2235</v>
      </c>
      <c r="K541" t="s">
        <v>60</v>
      </c>
      <c r="M541">
        <v>2001</v>
      </c>
      <c r="N541">
        <v>1968</v>
      </c>
      <c r="P541" s="1">
        <v>43321</v>
      </c>
      <c r="Q541" t="s">
        <v>36</v>
      </c>
      <c r="R541" t="s">
        <v>2236</v>
      </c>
      <c r="S541" t="s">
        <v>36</v>
      </c>
      <c r="W541">
        <v>0</v>
      </c>
      <c r="Z541">
        <v>0</v>
      </c>
    </row>
    <row r="542" spans="1:26" x14ac:dyDescent="0.3">
      <c r="A542">
        <v>13724830</v>
      </c>
      <c r="B542" t="s">
        <v>2237</v>
      </c>
      <c r="C542" t="s">
        <v>2238</v>
      </c>
      <c r="D542" t="s">
        <v>2239</v>
      </c>
      <c r="F542" t="str">
        <f>"0521123976"</f>
        <v>0521123976</v>
      </c>
      <c r="G542" t="str">
        <f>"9780521123976"</f>
        <v>9780521123976</v>
      </c>
      <c r="H542">
        <v>0</v>
      </c>
      <c r="I542">
        <v>4.17</v>
      </c>
      <c r="J542" t="s">
        <v>261</v>
      </c>
      <c r="K542" t="s">
        <v>60</v>
      </c>
      <c r="L542">
        <v>212</v>
      </c>
      <c r="M542">
        <v>2012</v>
      </c>
      <c r="N542">
        <v>2012</v>
      </c>
      <c r="P542" s="1">
        <v>43321</v>
      </c>
      <c r="Q542" t="s">
        <v>36</v>
      </c>
      <c r="R542" t="s">
        <v>2240</v>
      </c>
      <c r="S542" t="s">
        <v>36</v>
      </c>
      <c r="W542">
        <v>0</v>
      </c>
      <c r="Z542">
        <v>0</v>
      </c>
    </row>
    <row r="543" spans="1:26" x14ac:dyDescent="0.3">
      <c r="A543">
        <v>15857393</v>
      </c>
      <c r="B543" t="s">
        <v>2241</v>
      </c>
      <c r="C543" t="s">
        <v>2242</v>
      </c>
      <c r="D543" t="s">
        <v>2243</v>
      </c>
      <c r="F543" t="str">
        <f>"0253007887"</f>
        <v>0253007887</v>
      </c>
      <c r="G543" t="str">
        <f>"9780253007889"</f>
        <v>9780253007889</v>
      </c>
      <c r="H543">
        <v>0</v>
      </c>
      <c r="I543">
        <v>3.4</v>
      </c>
      <c r="J543" t="s">
        <v>1087</v>
      </c>
      <c r="K543" t="s">
        <v>35</v>
      </c>
      <c r="L543">
        <v>376</v>
      </c>
      <c r="M543">
        <v>2013</v>
      </c>
      <c r="N543">
        <v>2013</v>
      </c>
      <c r="P543" s="1">
        <v>43321</v>
      </c>
      <c r="Q543" t="s">
        <v>36</v>
      </c>
      <c r="R543" t="s">
        <v>2244</v>
      </c>
      <c r="S543" t="s">
        <v>36</v>
      </c>
      <c r="W543">
        <v>0</v>
      </c>
      <c r="Z543">
        <v>0</v>
      </c>
    </row>
    <row r="544" spans="1:26" x14ac:dyDescent="0.3">
      <c r="A544">
        <v>738855</v>
      </c>
      <c r="B544" t="s">
        <v>2245</v>
      </c>
      <c r="C544" t="s">
        <v>2246</v>
      </c>
      <c r="D544" t="s">
        <v>2247</v>
      </c>
      <c r="F544" t="str">
        <f>"052153366X"</f>
        <v>052153366X</v>
      </c>
      <c r="G544" t="str">
        <f>"9780521533669"</f>
        <v>9780521533669</v>
      </c>
      <c r="H544">
        <v>0</v>
      </c>
      <c r="I544">
        <v>3.82</v>
      </c>
      <c r="J544" t="s">
        <v>261</v>
      </c>
      <c r="K544" t="s">
        <v>60</v>
      </c>
      <c r="L544">
        <v>242</v>
      </c>
      <c r="M544">
        <v>2004</v>
      </c>
      <c r="N544">
        <v>2004</v>
      </c>
      <c r="P544" s="1">
        <v>43321</v>
      </c>
      <c r="Q544" t="s">
        <v>36</v>
      </c>
      <c r="R544" t="s">
        <v>2248</v>
      </c>
      <c r="S544" t="s">
        <v>36</v>
      </c>
      <c r="W544">
        <v>0</v>
      </c>
      <c r="Z544">
        <v>0</v>
      </c>
    </row>
    <row r="545" spans="1:26" x14ac:dyDescent="0.3">
      <c r="A545">
        <v>7861541</v>
      </c>
      <c r="B545" t="s">
        <v>2249</v>
      </c>
      <c r="C545" t="s">
        <v>2238</v>
      </c>
      <c r="D545" t="s">
        <v>2239</v>
      </c>
      <c r="F545" t="str">
        <f>"1405132647"</f>
        <v>1405132647</v>
      </c>
      <c r="G545" t="str">
        <f>"9781405132640"</f>
        <v>9781405132640</v>
      </c>
      <c r="H545">
        <v>0</v>
      </c>
      <c r="I545">
        <v>3.68</v>
      </c>
      <c r="J545" t="s">
        <v>319</v>
      </c>
      <c r="K545" t="s">
        <v>35</v>
      </c>
      <c r="L545">
        <v>386</v>
      </c>
      <c r="M545">
        <v>2008</v>
      </c>
      <c r="N545">
        <v>2008</v>
      </c>
      <c r="P545" s="1">
        <v>43321</v>
      </c>
      <c r="Q545" t="s">
        <v>36</v>
      </c>
      <c r="R545" t="s">
        <v>2250</v>
      </c>
      <c r="S545" t="s">
        <v>36</v>
      </c>
      <c r="W545">
        <v>0</v>
      </c>
      <c r="Z545">
        <v>0</v>
      </c>
    </row>
    <row r="546" spans="1:26" x14ac:dyDescent="0.3">
      <c r="A546">
        <v>185540</v>
      </c>
      <c r="B546" t="s">
        <v>2251</v>
      </c>
      <c r="C546" t="s">
        <v>2252</v>
      </c>
      <c r="D546" t="s">
        <v>2253</v>
      </c>
      <c r="F546" t="str">
        <f>"1586483986"</f>
        <v>1586483986</v>
      </c>
      <c r="G546" t="str">
        <f>"9781586483982"</f>
        <v>9781586483982</v>
      </c>
      <c r="H546">
        <v>0</v>
      </c>
      <c r="I546">
        <v>4.17</v>
      </c>
      <c r="J546" t="s">
        <v>487</v>
      </c>
      <c r="K546" t="s">
        <v>60</v>
      </c>
      <c r="L546">
        <v>752</v>
      </c>
      <c r="M546">
        <v>2006</v>
      </c>
      <c r="N546">
        <v>2005</v>
      </c>
      <c r="P546" s="1">
        <v>43321</v>
      </c>
      <c r="Q546" t="s">
        <v>36</v>
      </c>
      <c r="R546" t="s">
        <v>2254</v>
      </c>
      <c r="S546" t="s">
        <v>36</v>
      </c>
      <c r="W546">
        <v>0</v>
      </c>
      <c r="Z546">
        <v>0</v>
      </c>
    </row>
    <row r="547" spans="1:26" x14ac:dyDescent="0.3">
      <c r="A547">
        <v>738856</v>
      </c>
      <c r="B547" t="s">
        <v>2255</v>
      </c>
      <c r="C547" t="s">
        <v>2256</v>
      </c>
      <c r="D547" t="s">
        <v>2257</v>
      </c>
      <c r="F547" t="str">
        <f>"0521682975"</f>
        <v>0521682975</v>
      </c>
      <c r="G547" t="str">
        <f>"9780521682978"</f>
        <v>9780521682978</v>
      </c>
      <c r="H547">
        <v>0</v>
      </c>
      <c r="I547">
        <v>3.36</v>
      </c>
      <c r="J547" t="s">
        <v>261</v>
      </c>
      <c r="K547" t="s">
        <v>60</v>
      </c>
      <c r="L547">
        <v>365</v>
      </c>
      <c r="M547">
        <v>2007</v>
      </c>
      <c r="N547">
        <v>1995</v>
      </c>
      <c r="P547" s="1">
        <v>43321</v>
      </c>
      <c r="Q547" t="s">
        <v>36</v>
      </c>
      <c r="R547" t="s">
        <v>2258</v>
      </c>
      <c r="S547" t="s">
        <v>36</v>
      </c>
      <c r="W547">
        <v>0</v>
      </c>
      <c r="Z547">
        <v>0</v>
      </c>
    </row>
    <row r="548" spans="1:26" x14ac:dyDescent="0.3">
      <c r="A548">
        <v>1418295</v>
      </c>
      <c r="B548" t="s">
        <v>2259</v>
      </c>
      <c r="C548" t="s">
        <v>2260</v>
      </c>
      <c r="D548" t="s">
        <v>2261</v>
      </c>
      <c r="F548" t="str">
        <f>"043508996X"</f>
        <v>043508996X</v>
      </c>
      <c r="G548" t="str">
        <f>"9780435089962"</f>
        <v>9780435089962</v>
      </c>
      <c r="H548">
        <v>0</v>
      </c>
      <c r="I548">
        <v>4.57</v>
      </c>
      <c r="J548" t="s">
        <v>2262</v>
      </c>
      <c r="K548" t="s">
        <v>60</v>
      </c>
      <c r="M548">
        <v>1996</v>
      </c>
      <c r="N548">
        <v>1996</v>
      </c>
      <c r="P548" s="1">
        <v>43321</v>
      </c>
      <c r="Q548" t="s">
        <v>36</v>
      </c>
      <c r="R548" t="s">
        <v>2263</v>
      </c>
      <c r="S548" t="s">
        <v>36</v>
      </c>
      <c r="W548">
        <v>0</v>
      </c>
      <c r="Z548">
        <v>0</v>
      </c>
    </row>
    <row r="549" spans="1:26" x14ac:dyDescent="0.3">
      <c r="A549">
        <v>3644205</v>
      </c>
      <c r="B549" t="s">
        <v>2264</v>
      </c>
      <c r="C549" t="s">
        <v>2265</v>
      </c>
      <c r="D549" t="s">
        <v>2266</v>
      </c>
      <c r="F549" t="str">
        <f>"0759104212"</f>
        <v>0759104212</v>
      </c>
      <c r="G549" t="str">
        <f>"9780759104211"</f>
        <v>9780759104211</v>
      </c>
      <c r="H549">
        <v>0</v>
      </c>
      <c r="I549">
        <v>4.33</v>
      </c>
      <c r="J549" t="s">
        <v>1300</v>
      </c>
      <c r="K549" t="s">
        <v>35</v>
      </c>
      <c r="L549">
        <v>214</v>
      </c>
      <c r="M549">
        <v>2006</v>
      </c>
      <c r="N549">
        <v>2006</v>
      </c>
      <c r="P549" s="1">
        <v>43321</v>
      </c>
      <c r="Q549" t="s">
        <v>36</v>
      </c>
      <c r="R549" t="s">
        <v>2267</v>
      </c>
      <c r="S549" t="s">
        <v>36</v>
      </c>
      <c r="W549">
        <v>0</v>
      </c>
      <c r="Z549">
        <v>0</v>
      </c>
    </row>
    <row r="550" spans="1:26" x14ac:dyDescent="0.3">
      <c r="A550">
        <v>16207673</v>
      </c>
      <c r="B550" t="s">
        <v>2268</v>
      </c>
      <c r="C550" t="s">
        <v>2269</v>
      </c>
      <c r="D550" t="s">
        <v>2270</v>
      </c>
      <c r="F550" t="str">
        <f>"0787660477"</f>
        <v>0787660477</v>
      </c>
      <c r="G550" t="str">
        <f>"9780787660475"</f>
        <v>9780787660475</v>
      </c>
      <c r="H550">
        <v>0</v>
      </c>
      <c r="I550">
        <v>4</v>
      </c>
      <c r="J550" t="s">
        <v>2271</v>
      </c>
      <c r="K550" t="s">
        <v>35</v>
      </c>
      <c r="L550">
        <v>424</v>
      </c>
      <c r="M550">
        <v>2003</v>
      </c>
      <c r="N550">
        <v>2003</v>
      </c>
      <c r="P550" s="1">
        <v>43321</v>
      </c>
      <c r="Q550" t="s">
        <v>36</v>
      </c>
      <c r="R550" t="s">
        <v>2272</v>
      </c>
      <c r="S550" t="s">
        <v>36</v>
      </c>
      <c r="W550">
        <v>0</v>
      </c>
      <c r="Z550">
        <v>0</v>
      </c>
    </row>
    <row r="551" spans="1:26" x14ac:dyDescent="0.3">
      <c r="A551">
        <v>3318218</v>
      </c>
      <c r="B551" t="s">
        <v>2273</v>
      </c>
      <c r="C551" t="s">
        <v>2274</v>
      </c>
      <c r="D551" t="s">
        <v>2275</v>
      </c>
      <c r="E551" t="s">
        <v>2276</v>
      </c>
      <c r="F551" t="str">
        <f>"052168157X"</f>
        <v>052168157X</v>
      </c>
      <c r="G551" t="str">
        <f>"9780521681575"</f>
        <v>9780521681575</v>
      </c>
      <c r="H551">
        <v>0</v>
      </c>
      <c r="I551">
        <v>3.7</v>
      </c>
      <c r="J551" t="s">
        <v>261</v>
      </c>
      <c r="K551" t="s">
        <v>60</v>
      </c>
      <c r="L551">
        <v>329</v>
      </c>
      <c r="M551">
        <v>2008</v>
      </c>
      <c r="N551">
        <v>1999</v>
      </c>
      <c r="P551" s="1">
        <v>43321</v>
      </c>
      <c r="Q551" t="s">
        <v>36</v>
      </c>
      <c r="R551" t="s">
        <v>2277</v>
      </c>
      <c r="S551" t="s">
        <v>36</v>
      </c>
      <c r="W551">
        <v>0</v>
      </c>
      <c r="Z551">
        <v>0</v>
      </c>
    </row>
    <row r="552" spans="1:26" x14ac:dyDescent="0.3">
      <c r="A552">
        <v>277585</v>
      </c>
      <c r="B552" t="s">
        <v>2278</v>
      </c>
      <c r="C552" t="s">
        <v>2279</v>
      </c>
      <c r="D552" t="s">
        <v>2280</v>
      </c>
      <c r="E552" t="s">
        <v>2281</v>
      </c>
      <c r="F552" t="str">
        <f>"1890951358"</f>
        <v>1890951358</v>
      </c>
      <c r="G552" t="str">
        <f>"9781890951351"</f>
        <v>9781890951351</v>
      </c>
      <c r="H552">
        <v>0</v>
      </c>
      <c r="I552">
        <v>3.5</v>
      </c>
      <c r="J552" t="s">
        <v>2282</v>
      </c>
      <c r="K552" t="s">
        <v>60</v>
      </c>
      <c r="L552">
        <v>503</v>
      </c>
      <c r="M552">
        <v>2006</v>
      </c>
      <c r="N552">
        <v>2003</v>
      </c>
      <c r="P552" s="1">
        <v>43321</v>
      </c>
      <c r="Q552" t="s">
        <v>36</v>
      </c>
      <c r="R552" t="s">
        <v>2283</v>
      </c>
      <c r="S552" t="s">
        <v>36</v>
      </c>
      <c r="W552">
        <v>0</v>
      </c>
      <c r="Z552">
        <v>0</v>
      </c>
    </row>
    <row r="553" spans="1:26" x14ac:dyDescent="0.3">
      <c r="A553">
        <v>874004</v>
      </c>
      <c r="B553" t="s">
        <v>2284</v>
      </c>
      <c r="C553" t="s">
        <v>2285</v>
      </c>
      <c r="D553" t="s">
        <v>2286</v>
      </c>
      <c r="F553" t="str">
        <f>"048626890X"</f>
        <v>048626890X</v>
      </c>
      <c r="G553" t="str">
        <f>"9780486268903"</f>
        <v>9780486268903</v>
      </c>
      <c r="H553">
        <v>0</v>
      </c>
      <c r="I553">
        <v>3.5</v>
      </c>
      <c r="J553" t="s">
        <v>559</v>
      </c>
      <c r="K553" t="s">
        <v>60</v>
      </c>
      <c r="L553">
        <v>624</v>
      </c>
      <c r="M553">
        <v>1991</v>
      </c>
      <c r="N553">
        <v>1971</v>
      </c>
      <c r="P553" s="1">
        <v>43321</v>
      </c>
      <c r="Q553" t="s">
        <v>36</v>
      </c>
      <c r="R553" t="s">
        <v>2287</v>
      </c>
      <c r="S553" t="s">
        <v>36</v>
      </c>
      <c r="W553">
        <v>0</v>
      </c>
      <c r="Z553">
        <v>0</v>
      </c>
    </row>
    <row r="554" spans="1:26" x14ac:dyDescent="0.3">
      <c r="A554">
        <v>2274641</v>
      </c>
      <c r="B554" t="s">
        <v>2288</v>
      </c>
      <c r="C554" t="s">
        <v>2289</v>
      </c>
      <c r="D554" t="s">
        <v>2290</v>
      </c>
      <c r="F554" t="str">
        <f>"056703254X"</f>
        <v>056703254X</v>
      </c>
      <c r="G554" t="str">
        <f>"9780567032546"</f>
        <v>9780567032546</v>
      </c>
      <c r="H554">
        <v>0</v>
      </c>
      <c r="I554">
        <v>3.65</v>
      </c>
      <c r="J554" t="s">
        <v>194</v>
      </c>
      <c r="K554" t="s">
        <v>60</v>
      </c>
      <c r="L554">
        <v>328</v>
      </c>
      <c r="M554">
        <v>2008</v>
      </c>
      <c r="N554">
        <v>2007</v>
      </c>
      <c r="P554" s="1">
        <v>43321</v>
      </c>
      <c r="Q554" t="s">
        <v>36</v>
      </c>
      <c r="R554" t="s">
        <v>2291</v>
      </c>
      <c r="S554" t="s">
        <v>36</v>
      </c>
      <c r="W554">
        <v>0</v>
      </c>
      <c r="Z554">
        <v>0</v>
      </c>
    </row>
    <row r="555" spans="1:26" x14ac:dyDescent="0.3">
      <c r="A555">
        <v>7374624</v>
      </c>
      <c r="B555" t="s">
        <v>2292</v>
      </c>
      <c r="C555" t="s">
        <v>2293</v>
      </c>
      <c r="D555" t="s">
        <v>2294</v>
      </c>
      <c r="F555" t="str">
        <f>"3161495314"</f>
        <v>3161495314</v>
      </c>
      <c r="G555" t="str">
        <f>"9783161495311"</f>
        <v>9783161495311</v>
      </c>
      <c r="H555">
        <v>0</v>
      </c>
      <c r="I555">
        <v>3</v>
      </c>
      <c r="J555" t="s">
        <v>2295</v>
      </c>
      <c r="K555" t="s">
        <v>60</v>
      </c>
      <c r="L555">
        <v>244</v>
      </c>
      <c r="M555">
        <v>2008</v>
      </c>
      <c r="N555">
        <v>2008</v>
      </c>
      <c r="P555" s="1">
        <v>43313</v>
      </c>
      <c r="Q555" t="s">
        <v>36</v>
      </c>
      <c r="R555" t="s">
        <v>2296</v>
      </c>
      <c r="S555" t="s">
        <v>36</v>
      </c>
      <c r="W555">
        <v>0</v>
      </c>
      <c r="Z555">
        <v>0</v>
      </c>
    </row>
    <row r="556" spans="1:26" x14ac:dyDescent="0.3">
      <c r="A556">
        <v>5388462</v>
      </c>
      <c r="B556" t="s">
        <v>2297</v>
      </c>
      <c r="C556" t="s">
        <v>2298</v>
      </c>
      <c r="D556" t="s">
        <v>2299</v>
      </c>
      <c r="F556" t="str">
        <f>"0521615992"</f>
        <v>0521615992</v>
      </c>
      <c r="G556" t="str">
        <f>"9780521615990"</f>
        <v>9780521615990</v>
      </c>
      <c r="H556">
        <v>0</v>
      </c>
      <c r="I556">
        <v>0</v>
      </c>
      <c r="J556" t="s">
        <v>261</v>
      </c>
      <c r="K556" t="s">
        <v>60</v>
      </c>
      <c r="L556">
        <v>268</v>
      </c>
      <c r="M556">
        <v>2004</v>
      </c>
      <c r="N556">
        <v>1972</v>
      </c>
      <c r="P556" s="1">
        <v>43313</v>
      </c>
      <c r="Q556" t="s">
        <v>36</v>
      </c>
      <c r="R556" t="s">
        <v>2300</v>
      </c>
      <c r="S556" t="s">
        <v>36</v>
      </c>
      <c r="W556">
        <v>0</v>
      </c>
      <c r="Z556">
        <v>0</v>
      </c>
    </row>
    <row r="557" spans="1:26" x14ac:dyDescent="0.3">
      <c r="A557">
        <v>18402878</v>
      </c>
      <c r="B557" t="s">
        <v>2301</v>
      </c>
      <c r="C557" t="s">
        <v>2302</v>
      </c>
      <c r="D557" t="s">
        <v>2303</v>
      </c>
      <c r="F557" t="str">
        <f>"0567127362"</f>
        <v>0567127362</v>
      </c>
      <c r="G557" t="str">
        <f>"9780567127365"</f>
        <v>9780567127365</v>
      </c>
      <c r="H557">
        <v>0</v>
      </c>
      <c r="I557">
        <v>0</v>
      </c>
      <c r="J557" t="s">
        <v>194</v>
      </c>
      <c r="K557" t="s">
        <v>60</v>
      </c>
      <c r="L557">
        <v>168</v>
      </c>
      <c r="M557">
        <v>2014</v>
      </c>
      <c r="N557">
        <v>2012</v>
      </c>
      <c r="P557" s="1">
        <v>43313</v>
      </c>
      <c r="Q557" t="s">
        <v>36</v>
      </c>
      <c r="R557" t="s">
        <v>2304</v>
      </c>
      <c r="S557" t="s">
        <v>36</v>
      </c>
      <c r="W557">
        <v>0</v>
      </c>
      <c r="Z557">
        <v>0</v>
      </c>
    </row>
    <row r="558" spans="1:26" x14ac:dyDescent="0.3">
      <c r="A558">
        <v>1386750</v>
      </c>
      <c r="B558" t="s">
        <v>2305</v>
      </c>
      <c r="C558" t="s">
        <v>2306</v>
      </c>
      <c r="D558" t="s">
        <v>2307</v>
      </c>
      <c r="E558" t="s">
        <v>2308</v>
      </c>
      <c r="F558" t="str">
        <f>"3161472861"</f>
        <v>3161472861</v>
      </c>
      <c r="G558" t="str">
        <f>"9783161472862"</f>
        <v>9783161472862</v>
      </c>
      <c r="H558">
        <v>0</v>
      </c>
      <c r="I558">
        <v>3</v>
      </c>
      <c r="J558" t="s">
        <v>2295</v>
      </c>
      <c r="K558" t="s">
        <v>60</v>
      </c>
      <c r="M558">
        <v>2000</v>
      </c>
      <c r="N558">
        <v>2000</v>
      </c>
      <c r="P558" s="1">
        <v>43313</v>
      </c>
      <c r="Q558" t="s">
        <v>36</v>
      </c>
      <c r="R558" t="s">
        <v>2309</v>
      </c>
      <c r="S558" t="s">
        <v>36</v>
      </c>
      <c r="W558">
        <v>0</v>
      </c>
      <c r="Z558">
        <v>0</v>
      </c>
    </row>
    <row r="559" spans="1:26" x14ac:dyDescent="0.3">
      <c r="A559">
        <v>18311654</v>
      </c>
      <c r="B559" t="s">
        <v>2310</v>
      </c>
      <c r="C559" t="s">
        <v>2311</v>
      </c>
      <c r="D559" t="s">
        <v>2312</v>
      </c>
      <c r="F559" t="str">
        <f>"0567067408"</f>
        <v>0567067408</v>
      </c>
      <c r="G559" t="str">
        <f>"9780567067401"</f>
        <v>9780567067401</v>
      </c>
      <c r="H559">
        <v>0</v>
      </c>
      <c r="I559">
        <v>3</v>
      </c>
      <c r="J559" t="s">
        <v>2313</v>
      </c>
      <c r="K559" t="s">
        <v>173</v>
      </c>
      <c r="L559">
        <v>231</v>
      </c>
      <c r="M559">
        <v>1993</v>
      </c>
      <c r="N559">
        <v>1993</v>
      </c>
      <c r="P559" s="1">
        <v>43313</v>
      </c>
      <c r="Q559" t="s">
        <v>36</v>
      </c>
      <c r="R559" t="s">
        <v>2314</v>
      </c>
      <c r="S559" t="s">
        <v>36</v>
      </c>
      <c r="W559">
        <v>0</v>
      </c>
      <c r="Z559">
        <v>0</v>
      </c>
    </row>
    <row r="560" spans="1:26" x14ac:dyDescent="0.3">
      <c r="A560">
        <v>5757549</v>
      </c>
      <c r="B560" t="s">
        <v>2315</v>
      </c>
      <c r="C560" t="s">
        <v>2316</v>
      </c>
      <c r="D560" t="s">
        <v>2317</v>
      </c>
      <c r="E560" t="s">
        <v>2318</v>
      </c>
      <c r="F560" t="str">
        <f>"0802862918"</f>
        <v>0802862918</v>
      </c>
      <c r="G560" t="str">
        <f>"9780802862914"</f>
        <v>9780802862914</v>
      </c>
      <c r="H560">
        <v>0</v>
      </c>
      <c r="I560">
        <v>3</v>
      </c>
      <c r="J560" t="s">
        <v>617</v>
      </c>
      <c r="K560" t="s">
        <v>60</v>
      </c>
      <c r="L560">
        <v>246</v>
      </c>
      <c r="M560">
        <v>2009</v>
      </c>
      <c r="N560">
        <v>2009</v>
      </c>
      <c r="P560" s="1">
        <v>43313</v>
      </c>
      <c r="Q560" t="s">
        <v>36</v>
      </c>
      <c r="R560" t="s">
        <v>2319</v>
      </c>
      <c r="S560" t="s">
        <v>36</v>
      </c>
      <c r="W560">
        <v>0</v>
      </c>
      <c r="Z560">
        <v>0</v>
      </c>
    </row>
    <row r="561" spans="1:26" x14ac:dyDescent="0.3">
      <c r="A561">
        <v>29903525</v>
      </c>
      <c r="B561" t="s">
        <v>2320</v>
      </c>
      <c r="C561" t="s">
        <v>2321</v>
      </c>
      <c r="D561" t="s">
        <v>2322</v>
      </c>
      <c r="F561" t="str">
        <f>"9004323694"</f>
        <v>9004323694</v>
      </c>
      <c r="G561" t="str">
        <f>"9789004323698"</f>
        <v>9789004323698</v>
      </c>
      <c r="H561">
        <v>0</v>
      </c>
      <c r="I561">
        <v>4</v>
      </c>
      <c r="J561" t="s">
        <v>178</v>
      </c>
      <c r="K561" t="s">
        <v>35</v>
      </c>
      <c r="L561">
        <v>392</v>
      </c>
      <c r="M561">
        <v>2016</v>
      </c>
      <c r="P561" s="1">
        <v>43313</v>
      </c>
      <c r="Q561" t="s">
        <v>36</v>
      </c>
      <c r="R561" t="s">
        <v>2323</v>
      </c>
      <c r="S561" t="s">
        <v>36</v>
      </c>
      <c r="W561">
        <v>0</v>
      </c>
      <c r="Z561">
        <v>0</v>
      </c>
    </row>
    <row r="562" spans="1:26" x14ac:dyDescent="0.3">
      <c r="A562">
        <v>3329395</v>
      </c>
      <c r="B562" t="s">
        <v>2324</v>
      </c>
      <c r="C562" t="s">
        <v>2325</v>
      </c>
      <c r="D562" t="s">
        <v>2326</v>
      </c>
      <c r="F562" t="str">
        <f>"3161492544"</f>
        <v>3161492544</v>
      </c>
      <c r="G562" t="str">
        <f>"9783161492549"</f>
        <v>9783161492549</v>
      </c>
      <c r="H562">
        <v>0</v>
      </c>
      <c r="I562">
        <v>3</v>
      </c>
      <c r="J562" t="s">
        <v>2295</v>
      </c>
      <c r="K562" t="s">
        <v>60</v>
      </c>
      <c r="L562">
        <v>175</v>
      </c>
      <c r="M562">
        <v>2007</v>
      </c>
      <c r="N562">
        <v>2007</v>
      </c>
      <c r="P562" s="1">
        <v>43313</v>
      </c>
      <c r="Q562" t="s">
        <v>36</v>
      </c>
      <c r="R562" t="s">
        <v>2327</v>
      </c>
      <c r="S562" t="s">
        <v>36</v>
      </c>
      <c r="W562">
        <v>0</v>
      </c>
      <c r="Z562">
        <v>0</v>
      </c>
    </row>
    <row r="563" spans="1:26" x14ac:dyDescent="0.3">
      <c r="A563">
        <v>29903</v>
      </c>
      <c r="B563" t="s">
        <v>2328</v>
      </c>
      <c r="C563" t="s">
        <v>2329</v>
      </c>
      <c r="D563" t="s">
        <v>2330</v>
      </c>
      <c r="F563" t="str">
        <f>"0385497695"</f>
        <v>0385497695</v>
      </c>
      <c r="G563" t="str">
        <f>"9780385497695"</f>
        <v>9780385497695</v>
      </c>
      <c r="H563">
        <v>0</v>
      </c>
      <c r="I563">
        <v>3.5</v>
      </c>
      <c r="J563" t="s">
        <v>700</v>
      </c>
      <c r="K563" t="s">
        <v>60</v>
      </c>
      <c r="L563">
        <v>192</v>
      </c>
      <c r="M563">
        <v>2001</v>
      </c>
      <c r="N563">
        <v>1999</v>
      </c>
      <c r="P563" s="1">
        <v>43312</v>
      </c>
      <c r="Q563" t="s">
        <v>36</v>
      </c>
      <c r="R563" t="s">
        <v>2331</v>
      </c>
      <c r="S563" t="s">
        <v>36</v>
      </c>
      <c r="W563">
        <v>0</v>
      </c>
      <c r="Z563">
        <v>0</v>
      </c>
    </row>
    <row r="564" spans="1:26" x14ac:dyDescent="0.3">
      <c r="A564">
        <v>64535</v>
      </c>
      <c r="B564" t="s">
        <v>2332</v>
      </c>
      <c r="C564" t="s">
        <v>2333</v>
      </c>
      <c r="D564" t="s">
        <v>2334</v>
      </c>
      <c r="F564" t="str">
        <f>""</f>
        <v/>
      </c>
      <c r="G564" t="str">
        <f>""</f>
        <v/>
      </c>
      <c r="H564">
        <v>0</v>
      </c>
      <c r="I564">
        <v>3.97</v>
      </c>
      <c r="J564" t="s">
        <v>524</v>
      </c>
      <c r="K564" t="s">
        <v>35</v>
      </c>
      <c r="L564">
        <v>1040</v>
      </c>
      <c r="M564">
        <v>2006</v>
      </c>
      <c r="N564">
        <v>2006</v>
      </c>
      <c r="P564" s="1">
        <v>43312</v>
      </c>
      <c r="Q564" t="s">
        <v>36</v>
      </c>
      <c r="R564" t="s">
        <v>2335</v>
      </c>
      <c r="S564" t="s">
        <v>36</v>
      </c>
      <c r="W564">
        <v>0</v>
      </c>
      <c r="Z564">
        <v>0</v>
      </c>
    </row>
    <row r="565" spans="1:26" x14ac:dyDescent="0.3">
      <c r="A565">
        <v>1337338</v>
      </c>
      <c r="B565" t="s">
        <v>2336</v>
      </c>
      <c r="C565" t="s">
        <v>2337</v>
      </c>
      <c r="D565" t="s">
        <v>2338</v>
      </c>
      <c r="F565" t="str">
        <f>"0198730977"</f>
        <v>0198730977</v>
      </c>
      <c r="G565" t="str">
        <f>"9780198730972"</f>
        <v>9780198730972</v>
      </c>
      <c r="H565">
        <v>0</v>
      </c>
      <c r="I565">
        <v>3.68</v>
      </c>
      <c r="J565" t="s">
        <v>1399</v>
      </c>
      <c r="K565" t="s">
        <v>60</v>
      </c>
      <c r="L565">
        <v>600</v>
      </c>
      <c r="M565">
        <v>1988</v>
      </c>
      <c r="N565">
        <v>1988</v>
      </c>
      <c r="P565" s="1">
        <v>43312</v>
      </c>
      <c r="Q565" t="s">
        <v>36</v>
      </c>
      <c r="R565" t="s">
        <v>2339</v>
      </c>
      <c r="S565" t="s">
        <v>36</v>
      </c>
      <c r="W565">
        <v>0</v>
      </c>
      <c r="Z565">
        <v>0</v>
      </c>
    </row>
    <row r="566" spans="1:26" x14ac:dyDescent="0.3">
      <c r="A566">
        <v>16539253</v>
      </c>
      <c r="B566" t="s">
        <v>2340</v>
      </c>
      <c r="C566" t="s">
        <v>392</v>
      </c>
      <c r="D566" t="s">
        <v>393</v>
      </c>
      <c r="F566" t="str">
        <f>"661265645X"</f>
        <v>661265645X</v>
      </c>
      <c r="G566" t="str">
        <f>"9786612656453"</f>
        <v>9786612656453</v>
      </c>
      <c r="H566">
        <v>0</v>
      </c>
      <c r="I566">
        <v>4.33</v>
      </c>
      <c r="J566" t="s">
        <v>819</v>
      </c>
      <c r="K566" t="s">
        <v>173</v>
      </c>
      <c r="L566">
        <v>317</v>
      </c>
      <c r="M566">
        <v>2010</v>
      </c>
      <c r="N566">
        <v>2010</v>
      </c>
      <c r="P566" s="1">
        <v>43312</v>
      </c>
      <c r="Q566" t="s">
        <v>36</v>
      </c>
      <c r="R566" t="s">
        <v>2341</v>
      </c>
      <c r="S566" t="s">
        <v>36</v>
      </c>
      <c r="W566">
        <v>0</v>
      </c>
      <c r="Z566">
        <v>0</v>
      </c>
    </row>
    <row r="567" spans="1:26" x14ac:dyDescent="0.3">
      <c r="A567">
        <v>34427236</v>
      </c>
      <c r="B567" t="s">
        <v>2342</v>
      </c>
      <c r="C567" t="s">
        <v>2343</v>
      </c>
      <c r="D567" t="s">
        <v>2344</v>
      </c>
      <c r="F567" t="str">
        <f>"074869577X"</f>
        <v>074869577X</v>
      </c>
      <c r="G567" t="str">
        <f>"9780748695775"</f>
        <v>9780748695775</v>
      </c>
      <c r="H567">
        <v>0</v>
      </c>
      <c r="I567">
        <v>4.1500000000000004</v>
      </c>
      <c r="J567" t="s">
        <v>2345</v>
      </c>
      <c r="K567" t="s">
        <v>60</v>
      </c>
      <c r="L567">
        <v>256</v>
      </c>
      <c r="M567">
        <v>2017</v>
      </c>
      <c r="P567" s="1">
        <v>43312</v>
      </c>
      <c r="Q567" t="s">
        <v>36</v>
      </c>
      <c r="R567" t="s">
        <v>2346</v>
      </c>
      <c r="S567" t="s">
        <v>36</v>
      </c>
      <c r="W567">
        <v>0</v>
      </c>
      <c r="Z567">
        <v>0</v>
      </c>
    </row>
    <row r="568" spans="1:26" x14ac:dyDescent="0.3">
      <c r="A568">
        <v>39305829</v>
      </c>
      <c r="B568" t="s">
        <v>2347</v>
      </c>
      <c r="C568" t="s">
        <v>2348</v>
      </c>
      <c r="D568" t="s">
        <v>2349</v>
      </c>
      <c r="F568" t="str">
        <f>""</f>
        <v/>
      </c>
      <c r="G568" t="str">
        <f>""</f>
        <v/>
      </c>
      <c r="H568">
        <v>0</v>
      </c>
      <c r="I568">
        <v>4.1500000000000004</v>
      </c>
      <c r="J568" t="s">
        <v>2350</v>
      </c>
      <c r="K568" t="s">
        <v>60</v>
      </c>
      <c r="L568">
        <v>358</v>
      </c>
      <c r="M568">
        <v>2018</v>
      </c>
      <c r="P568" s="1">
        <v>43312</v>
      </c>
      <c r="Q568" t="s">
        <v>36</v>
      </c>
      <c r="R568" t="s">
        <v>2351</v>
      </c>
      <c r="S568" t="s">
        <v>36</v>
      </c>
      <c r="W568">
        <v>0</v>
      </c>
      <c r="Z568">
        <v>0</v>
      </c>
    </row>
    <row r="569" spans="1:26" x14ac:dyDescent="0.3">
      <c r="A569">
        <v>14499966</v>
      </c>
      <c r="B569" t="s">
        <v>2352</v>
      </c>
      <c r="C569" t="s">
        <v>2353</v>
      </c>
      <c r="D569" t="s">
        <v>2354</v>
      </c>
      <c r="F569" t="str">
        <f>"1608997502"</f>
        <v>1608997502</v>
      </c>
      <c r="G569" t="str">
        <f>"9781608997503"</f>
        <v>9781608997503</v>
      </c>
      <c r="H569">
        <v>0</v>
      </c>
      <c r="I569">
        <v>3</v>
      </c>
      <c r="J569" t="s">
        <v>2355</v>
      </c>
      <c r="K569" t="s">
        <v>60</v>
      </c>
      <c r="L569">
        <v>320</v>
      </c>
      <c r="M569">
        <v>2010</v>
      </c>
      <c r="N569">
        <v>1986</v>
      </c>
      <c r="O569" s="1">
        <v>43312</v>
      </c>
      <c r="P569" s="1">
        <v>43070</v>
      </c>
      <c r="S569" t="s">
        <v>174</v>
      </c>
      <c r="W569">
        <v>1</v>
      </c>
      <c r="Z569">
        <v>0</v>
      </c>
    </row>
    <row r="570" spans="1:26" x14ac:dyDescent="0.3">
      <c r="A570">
        <v>1276871</v>
      </c>
      <c r="B570" t="s">
        <v>2356</v>
      </c>
      <c r="C570" t="s">
        <v>2353</v>
      </c>
      <c r="D570" t="s">
        <v>2354</v>
      </c>
      <c r="F570" t="str">
        <f>"0334026938"</f>
        <v>0334026938</v>
      </c>
      <c r="G570" t="str">
        <f>"9780334026938"</f>
        <v>9780334026938</v>
      </c>
      <c r="H570">
        <v>0</v>
      </c>
      <c r="I570">
        <v>0</v>
      </c>
      <c r="J570" t="s">
        <v>1266</v>
      </c>
      <c r="K570" t="s">
        <v>60</v>
      </c>
      <c r="L570">
        <v>256</v>
      </c>
      <c r="M570">
        <v>2012</v>
      </c>
      <c r="N570">
        <v>1997</v>
      </c>
      <c r="P570" s="1">
        <v>43312</v>
      </c>
      <c r="Q570" t="s">
        <v>36</v>
      </c>
      <c r="R570" t="s">
        <v>2357</v>
      </c>
      <c r="S570" t="s">
        <v>36</v>
      </c>
      <c r="W570">
        <v>0</v>
      </c>
      <c r="Z570">
        <v>0</v>
      </c>
    </row>
    <row r="571" spans="1:26" x14ac:dyDescent="0.3">
      <c r="A571">
        <v>175943</v>
      </c>
      <c r="B571" t="s">
        <v>2358</v>
      </c>
      <c r="C571" t="s">
        <v>1132</v>
      </c>
      <c r="D571" t="s">
        <v>1639</v>
      </c>
      <c r="F571" t="str">
        <f>"0802844995"</f>
        <v>0802844995</v>
      </c>
      <c r="G571" t="str">
        <f>"9780802844996"</f>
        <v>9780802844996</v>
      </c>
      <c r="H571">
        <v>0</v>
      </c>
      <c r="I571">
        <v>3.83</v>
      </c>
      <c r="J571" t="s">
        <v>884</v>
      </c>
      <c r="K571" t="s">
        <v>60</v>
      </c>
      <c r="L571">
        <v>374</v>
      </c>
      <c r="M571">
        <v>2000</v>
      </c>
      <c r="N571">
        <v>1996</v>
      </c>
      <c r="P571" s="1">
        <v>43311</v>
      </c>
      <c r="Q571" t="s">
        <v>36</v>
      </c>
      <c r="R571" t="s">
        <v>2359</v>
      </c>
      <c r="S571" t="s">
        <v>36</v>
      </c>
      <c r="W571">
        <v>0</v>
      </c>
      <c r="Z571">
        <v>0</v>
      </c>
    </row>
    <row r="572" spans="1:26" x14ac:dyDescent="0.3">
      <c r="A572">
        <v>25852784</v>
      </c>
      <c r="B572" t="s">
        <v>2360</v>
      </c>
      <c r="C572" t="s">
        <v>2361</v>
      </c>
      <c r="D572" t="s">
        <v>2362</v>
      </c>
      <c r="F572" t="str">
        <f>"0553447432"</f>
        <v>0553447432</v>
      </c>
      <c r="G572" t="str">
        <f>"9780553447439"</f>
        <v>9780553447439</v>
      </c>
      <c r="H572">
        <v>0</v>
      </c>
      <c r="I572">
        <v>4.47</v>
      </c>
      <c r="J572" t="s">
        <v>2363</v>
      </c>
      <c r="K572" t="s">
        <v>35</v>
      </c>
      <c r="L572">
        <v>418</v>
      </c>
      <c r="M572">
        <v>2016</v>
      </c>
      <c r="N572">
        <v>2016</v>
      </c>
      <c r="P572" s="1">
        <v>43311</v>
      </c>
      <c r="Q572" t="s">
        <v>36</v>
      </c>
      <c r="R572" t="s">
        <v>2364</v>
      </c>
      <c r="S572" t="s">
        <v>36</v>
      </c>
      <c r="W572">
        <v>0</v>
      </c>
      <c r="Z572">
        <v>0</v>
      </c>
    </row>
    <row r="573" spans="1:26" x14ac:dyDescent="0.3">
      <c r="A573">
        <v>37492815</v>
      </c>
      <c r="B573" t="s">
        <v>2365</v>
      </c>
      <c r="C573" t="s">
        <v>1303</v>
      </c>
      <c r="D573" t="s">
        <v>1304</v>
      </c>
      <c r="F573" t="str">
        <f>"1683590961"</f>
        <v>1683590961</v>
      </c>
      <c r="G573" t="str">
        <f>"9781683590965"</f>
        <v>9781683590965</v>
      </c>
      <c r="H573">
        <v>0</v>
      </c>
      <c r="I573">
        <v>4.4800000000000004</v>
      </c>
      <c r="J573" t="s">
        <v>2366</v>
      </c>
      <c r="K573" t="s">
        <v>60</v>
      </c>
      <c r="M573">
        <v>2018</v>
      </c>
      <c r="P573" s="1">
        <v>43309</v>
      </c>
      <c r="S573" t="s">
        <v>174</v>
      </c>
      <c r="W573">
        <v>1</v>
      </c>
      <c r="Z573">
        <v>0</v>
      </c>
    </row>
    <row r="574" spans="1:26" x14ac:dyDescent="0.3">
      <c r="A574">
        <v>35398513</v>
      </c>
      <c r="B574" t="s">
        <v>2367</v>
      </c>
      <c r="C574" t="s">
        <v>2368</v>
      </c>
      <c r="D574" t="s">
        <v>2369</v>
      </c>
      <c r="F574" t="str">
        <f>"0802874584"</f>
        <v>0802874584</v>
      </c>
      <c r="G574" t="str">
        <f>"9780802874580"</f>
        <v>9780802874580</v>
      </c>
      <c r="H574">
        <v>0</v>
      </c>
      <c r="I574">
        <v>4.55</v>
      </c>
      <c r="J574" t="s">
        <v>617</v>
      </c>
      <c r="K574" t="s">
        <v>60</v>
      </c>
      <c r="L574">
        <v>352</v>
      </c>
      <c r="M574">
        <v>2018</v>
      </c>
      <c r="P574" s="1">
        <v>43303</v>
      </c>
      <c r="Q574" t="s">
        <v>36</v>
      </c>
      <c r="R574" t="s">
        <v>2370</v>
      </c>
      <c r="S574" t="s">
        <v>36</v>
      </c>
      <c r="W574">
        <v>0</v>
      </c>
      <c r="Z574">
        <v>0</v>
      </c>
    </row>
    <row r="575" spans="1:26" x14ac:dyDescent="0.3">
      <c r="A575">
        <v>85924</v>
      </c>
      <c r="B575" t="s">
        <v>2371</v>
      </c>
      <c r="C575" t="s">
        <v>2372</v>
      </c>
      <c r="D575" t="s">
        <v>2373</v>
      </c>
      <c r="E575" t="s">
        <v>2374</v>
      </c>
      <c r="F575" t="str">
        <f>"1859841643"</f>
        <v>1859841643</v>
      </c>
      <c r="G575" t="str">
        <f>"9781859841648"</f>
        <v>9781859841648</v>
      </c>
      <c r="H575">
        <v>0</v>
      </c>
      <c r="I575">
        <v>3.95</v>
      </c>
      <c r="J575" t="s">
        <v>530</v>
      </c>
      <c r="K575" t="s">
        <v>60</v>
      </c>
      <c r="L575">
        <v>340</v>
      </c>
      <c r="M575">
        <v>1998</v>
      </c>
      <c r="N575">
        <v>1968</v>
      </c>
      <c r="P575" s="1">
        <v>43303</v>
      </c>
      <c r="Q575" t="s">
        <v>36</v>
      </c>
      <c r="R575" t="s">
        <v>2375</v>
      </c>
      <c r="S575" t="s">
        <v>36</v>
      </c>
      <c r="W575">
        <v>0</v>
      </c>
      <c r="Z575">
        <v>0</v>
      </c>
    </row>
    <row r="576" spans="1:26" x14ac:dyDescent="0.3">
      <c r="A576">
        <v>43219</v>
      </c>
      <c r="B576" t="s">
        <v>2376</v>
      </c>
      <c r="C576" t="s">
        <v>2377</v>
      </c>
      <c r="D576" t="s">
        <v>2378</v>
      </c>
      <c r="E576" t="s">
        <v>2379</v>
      </c>
      <c r="F576" t="str">
        <f>"1859843301"</f>
        <v>1859843301</v>
      </c>
      <c r="G576" t="str">
        <f>"9781859843307"</f>
        <v>9781859843307</v>
      </c>
      <c r="H576">
        <v>0</v>
      </c>
      <c r="I576">
        <v>3.88</v>
      </c>
      <c r="J576" t="s">
        <v>530</v>
      </c>
      <c r="K576" t="s">
        <v>60</v>
      </c>
      <c r="L576">
        <v>198</v>
      </c>
      <c r="M576">
        <v>2001</v>
      </c>
      <c r="N576">
        <v>1985</v>
      </c>
      <c r="P576" s="1">
        <v>43303</v>
      </c>
      <c r="Q576" t="s">
        <v>36</v>
      </c>
      <c r="R576" t="s">
        <v>2380</v>
      </c>
      <c r="S576" t="s">
        <v>36</v>
      </c>
      <c r="W576">
        <v>0</v>
      </c>
      <c r="Z576">
        <v>0</v>
      </c>
    </row>
    <row r="577" spans="1:26" x14ac:dyDescent="0.3">
      <c r="A577">
        <v>21945103</v>
      </c>
      <c r="B577" t="s">
        <v>2381</v>
      </c>
      <c r="C577" t="s">
        <v>2382</v>
      </c>
      <c r="D577" t="s">
        <v>2383</v>
      </c>
      <c r="F577" t="str">
        <f>"0300204566"</f>
        <v>0300204566</v>
      </c>
      <c r="G577" t="str">
        <f>"9780300204568"</f>
        <v>9780300204568</v>
      </c>
      <c r="H577">
        <v>0</v>
      </c>
      <c r="I577">
        <v>4.13</v>
      </c>
      <c r="J577" t="s">
        <v>356</v>
      </c>
      <c r="K577" t="s">
        <v>35</v>
      </c>
      <c r="L577">
        <v>336</v>
      </c>
      <c r="M577">
        <v>2014</v>
      </c>
      <c r="N577">
        <v>2014</v>
      </c>
      <c r="P577" s="1">
        <v>43301</v>
      </c>
      <c r="Q577" t="s">
        <v>36</v>
      </c>
      <c r="R577" t="s">
        <v>2384</v>
      </c>
      <c r="S577" t="s">
        <v>36</v>
      </c>
      <c r="W577">
        <v>0</v>
      </c>
      <c r="Z577">
        <v>0</v>
      </c>
    </row>
    <row r="578" spans="1:26" x14ac:dyDescent="0.3">
      <c r="A578">
        <v>29082183</v>
      </c>
      <c r="B578" t="s">
        <v>2385</v>
      </c>
      <c r="C578" t="s">
        <v>2386</v>
      </c>
      <c r="D578" t="s">
        <v>2387</v>
      </c>
      <c r="E578" t="s">
        <v>2388</v>
      </c>
      <c r="F578" t="str">
        <f>""</f>
        <v/>
      </c>
      <c r="G578" t="str">
        <f>""</f>
        <v/>
      </c>
      <c r="H578">
        <v>0</v>
      </c>
      <c r="I578">
        <v>4.01</v>
      </c>
      <c r="J578" t="s">
        <v>2389</v>
      </c>
      <c r="K578" t="s">
        <v>69</v>
      </c>
      <c r="L578">
        <v>159</v>
      </c>
      <c r="M578">
        <v>2016</v>
      </c>
      <c r="P578" s="1">
        <v>43301</v>
      </c>
      <c r="Q578" t="s">
        <v>36</v>
      </c>
      <c r="R578" t="s">
        <v>2390</v>
      </c>
      <c r="S578" t="s">
        <v>36</v>
      </c>
      <c r="W578">
        <v>0</v>
      </c>
      <c r="Z578">
        <v>0</v>
      </c>
    </row>
    <row r="579" spans="1:26" x14ac:dyDescent="0.3">
      <c r="A579">
        <v>27161156</v>
      </c>
      <c r="B579" t="s">
        <v>2391</v>
      </c>
      <c r="C579" t="s">
        <v>2392</v>
      </c>
      <c r="D579" t="s">
        <v>2393</v>
      </c>
      <c r="F579" t="str">
        <f>"0062300547"</f>
        <v>0062300547</v>
      </c>
      <c r="G579" t="str">
        <f>"9780062300546"</f>
        <v>9780062300546</v>
      </c>
      <c r="H579">
        <v>0</v>
      </c>
      <c r="I579">
        <v>3.92</v>
      </c>
      <c r="J579" t="s">
        <v>109</v>
      </c>
      <c r="K579" t="s">
        <v>35</v>
      </c>
      <c r="L579">
        <v>264</v>
      </c>
      <c r="M579">
        <v>2016</v>
      </c>
      <c r="N579">
        <v>2016</v>
      </c>
      <c r="P579" s="1">
        <v>43301</v>
      </c>
      <c r="S579" t="s">
        <v>174</v>
      </c>
      <c r="W579">
        <v>1</v>
      </c>
      <c r="Z579">
        <v>0</v>
      </c>
    </row>
    <row r="580" spans="1:26" x14ac:dyDescent="0.3">
      <c r="A580">
        <v>56540</v>
      </c>
      <c r="B580" t="s">
        <v>2394</v>
      </c>
      <c r="C580" t="s">
        <v>1233</v>
      </c>
      <c r="D580" t="s">
        <v>1234</v>
      </c>
      <c r="F580" t="str">
        <f>"0521536022"</f>
        <v>0521536022</v>
      </c>
      <c r="G580" t="str">
        <f>"9780521536028"</f>
        <v>9780521536028</v>
      </c>
      <c r="H580">
        <v>0</v>
      </c>
      <c r="I580">
        <v>3.7</v>
      </c>
      <c r="J580" t="s">
        <v>261</v>
      </c>
      <c r="K580" t="s">
        <v>60</v>
      </c>
      <c r="L580">
        <v>200</v>
      </c>
      <c r="M580">
        <v>2003</v>
      </c>
      <c r="N580">
        <v>2003</v>
      </c>
      <c r="P580" s="1">
        <v>43293</v>
      </c>
      <c r="S580" t="s">
        <v>174</v>
      </c>
      <c r="W580">
        <v>1</v>
      </c>
      <c r="Z580">
        <v>0</v>
      </c>
    </row>
    <row r="581" spans="1:26" x14ac:dyDescent="0.3">
      <c r="A581">
        <v>1014072</v>
      </c>
      <c r="B581" t="s">
        <v>2395</v>
      </c>
      <c r="C581" t="s">
        <v>370</v>
      </c>
      <c r="D581" t="s">
        <v>371</v>
      </c>
      <c r="F581" t="str">
        <f>"0195167686"</f>
        <v>0195167686</v>
      </c>
      <c r="G581" t="str">
        <f>"9780195167689"</f>
        <v>9780195167689</v>
      </c>
      <c r="H581">
        <v>0</v>
      </c>
      <c r="I581">
        <v>4.1900000000000004</v>
      </c>
      <c r="J581" t="s">
        <v>104</v>
      </c>
      <c r="K581" t="s">
        <v>60</v>
      </c>
      <c r="L581">
        <v>352</v>
      </c>
      <c r="M581">
        <v>2003</v>
      </c>
      <c r="N581">
        <v>2001</v>
      </c>
      <c r="P581" s="1">
        <v>43299</v>
      </c>
      <c r="S581" t="s">
        <v>174</v>
      </c>
      <c r="W581">
        <v>2</v>
      </c>
      <c r="Z581">
        <v>0</v>
      </c>
    </row>
    <row r="582" spans="1:26" x14ac:dyDescent="0.3">
      <c r="A582">
        <v>742680</v>
      </c>
      <c r="B582" t="s">
        <v>2396</v>
      </c>
      <c r="C582" t="s">
        <v>915</v>
      </c>
      <c r="D582" t="s">
        <v>916</v>
      </c>
      <c r="F582" t="str">
        <f>"0520244486"</f>
        <v>0520244486</v>
      </c>
      <c r="G582" t="str">
        <f>"9780520244481"</f>
        <v>9780520244481</v>
      </c>
      <c r="H582">
        <v>0</v>
      </c>
      <c r="I582">
        <v>3.75</v>
      </c>
      <c r="J582" t="s">
        <v>579</v>
      </c>
      <c r="K582" t="s">
        <v>60</v>
      </c>
      <c r="L582">
        <v>269</v>
      </c>
      <c r="M582">
        <v>2005</v>
      </c>
      <c r="N582">
        <v>2005</v>
      </c>
      <c r="P582" s="1">
        <v>43294</v>
      </c>
      <c r="S582" t="s">
        <v>174</v>
      </c>
      <c r="W582">
        <v>1</v>
      </c>
      <c r="Z582">
        <v>0</v>
      </c>
    </row>
    <row r="583" spans="1:26" x14ac:dyDescent="0.3">
      <c r="A583">
        <v>10820578</v>
      </c>
      <c r="B583" t="s">
        <v>2397</v>
      </c>
      <c r="C583" t="s">
        <v>2398</v>
      </c>
      <c r="D583" t="s">
        <v>2399</v>
      </c>
      <c r="E583" t="s">
        <v>2400</v>
      </c>
      <c r="F583" t="str">
        <f>"0691134847"</f>
        <v>0691134847</v>
      </c>
      <c r="G583" t="str">
        <f>"9780691134840"</f>
        <v>9780691134840</v>
      </c>
      <c r="H583">
        <v>0</v>
      </c>
      <c r="I583">
        <v>4.4000000000000004</v>
      </c>
      <c r="J583" t="s">
        <v>377</v>
      </c>
      <c r="K583" t="s">
        <v>35</v>
      </c>
      <c r="L583">
        <v>656</v>
      </c>
      <c r="M583">
        <v>2012</v>
      </c>
      <c r="N583">
        <v>2011</v>
      </c>
      <c r="P583" s="1">
        <v>43293</v>
      </c>
      <c r="Q583" t="s">
        <v>36</v>
      </c>
      <c r="R583" t="s">
        <v>2401</v>
      </c>
      <c r="S583" t="s">
        <v>36</v>
      </c>
      <c r="W583">
        <v>0</v>
      </c>
      <c r="Z583">
        <v>0</v>
      </c>
    </row>
    <row r="584" spans="1:26" x14ac:dyDescent="0.3">
      <c r="A584">
        <v>94583</v>
      </c>
      <c r="B584" t="s">
        <v>2402</v>
      </c>
      <c r="C584" t="s">
        <v>2403</v>
      </c>
      <c r="D584" t="s">
        <v>2404</v>
      </c>
      <c r="F584" t="str">
        <f>"0847689808"</f>
        <v>0847689808</v>
      </c>
      <c r="G584" t="str">
        <f>"9780847689804"</f>
        <v>9780847689804</v>
      </c>
      <c r="H584">
        <v>0</v>
      </c>
      <c r="I584">
        <v>3.82</v>
      </c>
      <c r="J584" t="s">
        <v>1300</v>
      </c>
      <c r="K584" t="s">
        <v>60</v>
      </c>
      <c r="L584">
        <v>336</v>
      </c>
      <c r="M584">
        <v>2000</v>
      </c>
      <c r="N584">
        <v>2000</v>
      </c>
      <c r="O584" s="1">
        <v>43293</v>
      </c>
      <c r="P584" s="1">
        <v>43253</v>
      </c>
      <c r="S584" t="s">
        <v>174</v>
      </c>
      <c r="W584">
        <v>1</v>
      </c>
      <c r="Z584">
        <v>0</v>
      </c>
    </row>
    <row r="585" spans="1:26" x14ac:dyDescent="0.3">
      <c r="A585">
        <v>884284</v>
      </c>
      <c r="B585" t="s">
        <v>2405</v>
      </c>
      <c r="C585" t="s">
        <v>2406</v>
      </c>
      <c r="D585" t="s">
        <v>2407</v>
      </c>
      <c r="F585" t="str">
        <f>"0415152852"</f>
        <v>0415152852</v>
      </c>
      <c r="G585" t="str">
        <f>"9780415152853"</f>
        <v>9780415152853</v>
      </c>
      <c r="H585">
        <v>0</v>
      </c>
      <c r="I585">
        <v>3.99</v>
      </c>
      <c r="J585" t="s">
        <v>119</v>
      </c>
      <c r="K585" t="s">
        <v>60</v>
      </c>
      <c r="L585">
        <v>323</v>
      </c>
      <c r="M585">
        <v>2002</v>
      </c>
      <c r="N585">
        <v>2002</v>
      </c>
      <c r="O585" s="1">
        <v>43293</v>
      </c>
      <c r="P585" s="1">
        <v>43253</v>
      </c>
      <c r="S585" t="s">
        <v>174</v>
      </c>
      <c r="W585">
        <v>1</v>
      </c>
      <c r="Z585">
        <v>0</v>
      </c>
    </row>
    <row r="586" spans="1:26" x14ac:dyDescent="0.3">
      <c r="A586">
        <v>292195</v>
      </c>
      <c r="B586" t="s">
        <v>2408</v>
      </c>
      <c r="C586" t="s">
        <v>2409</v>
      </c>
      <c r="D586" t="s">
        <v>2410</v>
      </c>
      <c r="E586" t="s">
        <v>2411</v>
      </c>
      <c r="F586" t="str">
        <f>"0192835890"</f>
        <v>0192835890</v>
      </c>
      <c r="G586" t="str">
        <f>"9780192835895"</f>
        <v>9780192835895</v>
      </c>
      <c r="H586">
        <v>0</v>
      </c>
      <c r="I586">
        <v>4.01</v>
      </c>
      <c r="J586" t="s">
        <v>756</v>
      </c>
      <c r="K586" t="s">
        <v>60</v>
      </c>
      <c r="L586">
        <v>339</v>
      </c>
      <c r="M586">
        <v>1998</v>
      </c>
      <c r="N586">
        <v>-1750</v>
      </c>
      <c r="P586" s="1">
        <v>43287</v>
      </c>
      <c r="Q586" t="s">
        <v>36</v>
      </c>
      <c r="R586" t="s">
        <v>2412</v>
      </c>
      <c r="S586" t="s">
        <v>36</v>
      </c>
      <c r="W586">
        <v>0</v>
      </c>
      <c r="Z586">
        <v>0</v>
      </c>
    </row>
    <row r="587" spans="1:26" x14ac:dyDescent="0.3">
      <c r="A587">
        <v>441274</v>
      </c>
      <c r="B587" t="s">
        <v>2413</v>
      </c>
      <c r="C587" t="s">
        <v>493</v>
      </c>
      <c r="D587" t="s">
        <v>494</v>
      </c>
      <c r="E587" t="s">
        <v>2414</v>
      </c>
      <c r="F587" t="str">
        <f>"1420925091"</f>
        <v>1420925091</v>
      </c>
      <c r="G587" t="str">
        <f>"9781420925098"</f>
        <v>9781420925098</v>
      </c>
      <c r="H587">
        <v>0</v>
      </c>
      <c r="I587">
        <v>3.92</v>
      </c>
      <c r="J587" t="s">
        <v>2415</v>
      </c>
      <c r="K587" t="s">
        <v>60</v>
      </c>
      <c r="L587">
        <v>88</v>
      </c>
      <c r="M587">
        <v>2005</v>
      </c>
      <c r="N587">
        <v>1895</v>
      </c>
      <c r="O587" s="1">
        <v>43287</v>
      </c>
      <c r="P587" s="1">
        <v>43253</v>
      </c>
      <c r="S587" t="s">
        <v>174</v>
      </c>
      <c r="W587">
        <v>1</v>
      </c>
      <c r="Z587">
        <v>0</v>
      </c>
    </row>
    <row r="588" spans="1:26" x14ac:dyDescent="0.3">
      <c r="A588">
        <v>12729790</v>
      </c>
      <c r="B588" t="s">
        <v>2416</v>
      </c>
      <c r="C588" t="s">
        <v>2417</v>
      </c>
      <c r="D588" t="s">
        <v>2418</v>
      </c>
      <c r="F588" t="str">
        <f>"1250005132"</f>
        <v>1250005132</v>
      </c>
      <c r="G588" t="str">
        <f>"9781250005137"</f>
        <v>9781250005137</v>
      </c>
      <c r="H588">
        <v>0</v>
      </c>
      <c r="I588">
        <v>3.74</v>
      </c>
      <c r="J588" t="s">
        <v>2419</v>
      </c>
      <c r="L588">
        <v>336</v>
      </c>
      <c r="M588">
        <v>2012</v>
      </c>
      <c r="N588">
        <v>2012</v>
      </c>
      <c r="P588" s="1">
        <v>43280</v>
      </c>
      <c r="Q588" t="s">
        <v>36</v>
      </c>
      <c r="R588" t="s">
        <v>2420</v>
      </c>
      <c r="S588" t="s">
        <v>36</v>
      </c>
      <c r="W588">
        <v>0</v>
      </c>
      <c r="Z588">
        <v>0</v>
      </c>
    </row>
    <row r="589" spans="1:26" x14ac:dyDescent="0.3">
      <c r="A589">
        <v>80449</v>
      </c>
      <c r="B589" t="s">
        <v>2421</v>
      </c>
      <c r="C589" t="s">
        <v>493</v>
      </c>
      <c r="D589" t="s">
        <v>494</v>
      </c>
      <c r="E589" t="s">
        <v>2422</v>
      </c>
      <c r="F589" t="str">
        <f>"019283617X"</f>
        <v>019283617X</v>
      </c>
      <c r="G589" t="str">
        <f>"9780192836175"</f>
        <v>9780192836175</v>
      </c>
      <c r="H589">
        <v>0</v>
      </c>
      <c r="I589">
        <v>4.12</v>
      </c>
      <c r="J589" t="s">
        <v>104</v>
      </c>
      <c r="K589" t="s">
        <v>60</v>
      </c>
      <c r="L589">
        <v>208</v>
      </c>
      <c r="M589">
        <v>1999</v>
      </c>
      <c r="N589">
        <v>1887</v>
      </c>
      <c r="O589" s="1">
        <v>43253</v>
      </c>
      <c r="P589" s="1">
        <v>43271</v>
      </c>
      <c r="S589" t="s">
        <v>174</v>
      </c>
      <c r="W589">
        <v>2</v>
      </c>
      <c r="Z589">
        <v>0</v>
      </c>
    </row>
    <row r="590" spans="1:26" x14ac:dyDescent="0.3">
      <c r="A590">
        <v>486578</v>
      </c>
      <c r="B590" t="s">
        <v>2423</v>
      </c>
      <c r="C590" t="s">
        <v>2424</v>
      </c>
      <c r="D590" t="s">
        <v>2425</v>
      </c>
      <c r="E590" t="s">
        <v>2426</v>
      </c>
      <c r="F590" t="str">
        <f>"0631070303"</f>
        <v>0631070303</v>
      </c>
      <c r="G590" t="str">
        <f>"9780631070306"</f>
        <v>9780631070306</v>
      </c>
      <c r="H590">
        <v>0</v>
      </c>
      <c r="I590">
        <v>3.93</v>
      </c>
      <c r="J590" t="s">
        <v>319</v>
      </c>
      <c r="K590" t="s">
        <v>35</v>
      </c>
      <c r="L590">
        <v>162</v>
      </c>
      <c r="M590">
        <v>1991</v>
      </c>
      <c r="N590">
        <v>1961</v>
      </c>
      <c r="P590" s="1">
        <v>43269</v>
      </c>
      <c r="Q590" t="s">
        <v>36</v>
      </c>
      <c r="R590" t="s">
        <v>2427</v>
      </c>
      <c r="S590" t="s">
        <v>36</v>
      </c>
      <c r="W590">
        <v>0</v>
      </c>
      <c r="Z590">
        <v>0</v>
      </c>
    </row>
    <row r="591" spans="1:26" x14ac:dyDescent="0.3">
      <c r="A591">
        <v>33396862</v>
      </c>
      <c r="B591" t="s">
        <v>2428</v>
      </c>
      <c r="C591" t="s">
        <v>2424</v>
      </c>
      <c r="D591" t="s">
        <v>2425</v>
      </c>
      <c r="F591" t="str">
        <f>""</f>
        <v/>
      </c>
      <c r="G591" t="str">
        <f>""</f>
        <v/>
      </c>
      <c r="H591">
        <v>0</v>
      </c>
      <c r="I591">
        <v>4.05</v>
      </c>
      <c r="J591" t="s">
        <v>2429</v>
      </c>
      <c r="K591" t="s">
        <v>858</v>
      </c>
      <c r="L591">
        <v>16</v>
      </c>
      <c r="M591">
        <v>1958</v>
      </c>
      <c r="P591" s="1">
        <v>43269</v>
      </c>
      <c r="Q591" t="s">
        <v>36</v>
      </c>
      <c r="R591" t="s">
        <v>2430</v>
      </c>
      <c r="S591" t="s">
        <v>36</v>
      </c>
      <c r="W591">
        <v>0</v>
      </c>
      <c r="Z591">
        <v>0</v>
      </c>
    </row>
    <row r="592" spans="1:26" x14ac:dyDescent="0.3">
      <c r="A592">
        <v>12435959</v>
      </c>
      <c r="B592" t="s">
        <v>2431</v>
      </c>
      <c r="C592" t="s">
        <v>2424</v>
      </c>
      <c r="D592" t="s">
        <v>2425</v>
      </c>
      <c r="E592" t="s">
        <v>2432</v>
      </c>
      <c r="F592" t="str">
        <f>"1845402324"</f>
        <v>1845402324</v>
      </c>
      <c r="G592" t="str">
        <f>"9781845402327"</f>
        <v>9781845402327</v>
      </c>
      <c r="H592">
        <v>0</v>
      </c>
      <c r="I592">
        <v>4.3</v>
      </c>
      <c r="J592" t="s">
        <v>2433</v>
      </c>
      <c r="K592" t="s">
        <v>35</v>
      </c>
      <c r="L592">
        <v>250</v>
      </c>
      <c r="M592">
        <v>2011</v>
      </c>
      <c r="N592">
        <v>2011</v>
      </c>
      <c r="P592" s="1">
        <v>43269</v>
      </c>
      <c r="Q592" t="s">
        <v>36</v>
      </c>
      <c r="R592" t="s">
        <v>2434</v>
      </c>
      <c r="S592" t="s">
        <v>36</v>
      </c>
      <c r="W592">
        <v>0</v>
      </c>
      <c r="Z592">
        <v>0</v>
      </c>
    </row>
    <row r="593" spans="1:26" x14ac:dyDescent="0.3">
      <c r="A593">
        <v>331667</v>
      </c>
      <c r="B593" t="s">
        <v>2435</v>
      </c>
      <c r="C593" t="s">
        <v>2424</v>
      </c>
      <c r="D593" t="s">
        <v>2425</v>
      </c>
      <c r="F593" t="str">
        <f>"0674003993"</f>
        <v>0674003993</v>
      </c>
      <c r="G593" t="str">
        <f>"9780674003996"</f>
        <v>9780674003996</v>
      </c>
      <c r="H593">
        <v>0</v>
      </c>
      <c r="I593">
        <v>4.03</v>
      </c>
      <c r="J593" t="s">
        <v>155</v>
      </c>
      <c r="K593" t="s">
        <v>60</v>
      </c>
      <c r="L593">
        <v>106</v>
      </c>
      <c r="M593">
        <v>2000</v>
      </c>
      <c r="N593">
        <v>1963</v>
      </c>
      <c r="P593" s="1">
        <v>43269</v>
      </c>
      <c r="Q593" t="s">
        <v>36</v>
      </c>
      <c r="R593" t="s">
        <v>2436</v>
      </c>
      <c r="S593" t="s">
        <v>36</v>
      </c>
      <c r="W593">
        <v>0</v>
      </c>
      <c r="Z593">
        <v>0</v>
      </c>
    </row>
    <row r="594" spans="1:26" x14ac:dyDescent="0.3">
      <c r="A594">
        <v>25429421</v>
      </c>
      <c r="B594" t="s">
        <v>2437</v>
      </c>
      <c r="C594" t="s">
        <v>2438</v>
      </c>
      <c r="D594" t="s">
        <v>2439</v>
      </c>
      <c r="F594" t="str">
        <f>"1909697737"</f>
        <v>1909697737</v>
      </c>
      <c r="G594" t="str">
        <f>"9781909697737"</f>
        <v>9781909697737</v>
      </c>
      <c r="H594">
        <v>0</v>
      </c>
      <c r="I594">
        <v>4.29</v>
      </c>
      <c r="J594" t="s">
        <v>2440</v>
      </c>
      <c r="K594" t="s">
        <v>35</v>
      </c>
      <c r="L594">
        <v>461</v>
      </c>
      <c r="M594">
        <v>2015</v>
      </c>
      <c r="N594">
        <v>2015</v>
      </c>
      <c r="P594" s="1">
        <v>43268</v>
      </c>
      <c r="Q594" t="s">
        <v>36</v>
      </c>
      <c r="R594" t="s">
        <v>2441</v>
      </c>
      <c r="S594" t="s">
        <v>36</v>
      </c>
      <c r="W594">
        <v>0</v>
      </c>
      <c r="Z594">
        <v>0</v>
      </c>
    </row>
    <row r="595" spans="1:26" x14ac:dyDescent="0.3">
      <c r="A595">
        <v>10263</v>
      </c>
      <c r="B595" t="s">
        <v>2442</v>
      </c>
      <c r="C595" t="s">
        <v>370</v>
      </c>
      <c r="D595" t="s">
        <v>371</v>
      </c>
      <c r="E595" t="s">
        <v>2443</v>
      </c>
      <c r="F595" t="str">
        <f>"080283972X"</f>
        <v>080283972X</v>
      </c>
      <c r="G595" t="str">
        <f>"9780802839725"</f>
        <v>9780802839725</v>
      </c>
      <c r="H595">
        <v>0</v>
      </c>
      <c r="I595">
        <v>4.0199999999999996</v>
      </c>
      <c r="J595" t="s">
        <v>617</v>
      </c>
      <c r="K595" t="s">
        <v>60</v>
      </c>
      <c r="L595">
        <v>243</v>
      </c>
      <c r="M595">
        <v>2002</v>
      </c>
      <c r="N595">
        <v>1990</v>
      </c>
      <c r="P595" s="1">
        <v>43266</v>
      </c>
      <c r="S595" t="s">
        <v>174</v>
      </c>
      <c r="W595">
        <v>1</v>
      </c>
      <c r="Z595">
        <v>0</v>
      </c>
    </row>
    <row r="596" spans="1:26" x14ac:dyDescent="0.3">
      <c r="A596">
        <v>7135089</v>
      </c>
      <c r="B596" t="s">
        <v>2444</v>
      </c>
      <c r="C596" t="s">
        <v>1860</v>
      </c>
      <c r="D596" t="s">
        <v>1861</v>
      </c>
      <c r="E596" t="s">
        <v>1862</v>
      </c>
      <c r="F596" t="str">
        <f>"0804761604"</f>
        <v>0804761604</v>
      </c>
      <c r="G596" t="str">
        <f>"9780804761604"</f>
        <v>9780804761604</v>
      </c>
      <c r="H596">
        <v>0</v>
      </c>
      <c r="I596">
        <v>3.88</v>
      </c>
      <c r="J596" t="s">
        <v>293</v>
      </c>
      <c r="K596" t="s">
        <v>60</v>
      </c>
      <c r="L596">
        <v>152</v>
      </c>
      <c r="M596">
        <v>2009</v>
      </c>
      <c r="N596">
        <v>2003</v>
      </c>
      <c r="P596" s="1">
        <v>43254</v>
      </c>
      <c r="S596" t="s">
        <v>174</v>
      </c>
      <c r="W596">
        <v>1</v>
      </c>
      <c r="Z596">
        <v>0</v>
      </c>
    </row>
    <row r="597" spans="1:26" x14ac:dyDescent="0.3">
      <c r="A597">
        <v>6101996</v>
      </c>
      <c r="B597" t="s">
        <v>2445</v>
      </c>
      <c r="C597" t="s">
        <v>2446</v>
      </c>
      <c r="D597" t="s">
        <v>2447</v>
      </c>
      <c r="F597" t="str">
        <f>"0061173932"</f>
        <v>0061173932</v>
      </c>
      <c r="G597" t="str">
        <f>"9780061173936"</f>
        <v>9780061173936</v>
      </c>
      <c r="H597">
        <v>0</v>
      </c>
      <c r="I597">
        <v>3.94</v>
      </c>
      <c r="J597" t="s">
        <v>2448</v>
      </c>
      <c r="K597" t="s">
        <v>35</v>
      </c>
      <c r="L597">
        <v>304</v>
      </c>
      <c r="M597">
        <v>2009</v>
      </c>
      <c r="N597">
        <v>2009</v>
      </c>
      <c r="P597" s="1">
        <v>43253</v>
      </c>
      <c r="S597" t="s">
        <v>174</v>
      </c>
      <c r="W597">
        <v>1</v>
      </c>
      <c r="Z597">
        <v>0</v>
      </c>
    </row>
    <row r="598" spans="1:26" x14ac:dyDescent="0.3">
      <c r="A598">
        <v>15843192</v>
      </c>
      <c r="B598" t="s">
        <v>2449</v>
      </c>
      <c r="C598" t="s">
        <v>2450</v>
      </c>
      <c r="D598" t="s">
        <v>2451</v>
      </c>
      <c r="F598" t="str">
        <f>"0465074987"</f>
        <v>0465074987</v>
      </c>
      <c r="G598" t="str">
        <f>"9780465074983"</f>
        <v>9780465074983</v>
      </c>
      <c r="H598">
        <v>0</v>
      </c>
      <c r="I598">
        <v>3.79</v>
      </c>
      <c r="J598" t="s">
        <v>129</v>
      </c>
      <c r="K598" t="s">
        <v>35</v>
      </c>
      <c r="L598">
        <v>296</v>
      </c>
      <c r="M598">
        <v>2013</v>
      </c>
      <c r="N598">
        <v>2013</v>
      </c>
      <c r="P598" s="1">
        <v>43250</v>
      </c>
      <c r="Q598" t="s">
        <v>36</v>
      </c>
      <c r="R598" t="s">
        <v>2452</v>
      </c>
      <c r="S598" t="s">
        <v>36</v>
      </c>
      <c r="W598">
        <v>0</v>
      </c>
      <c r="Z598">
        <v>0</v>
      </c>
    </row>
    <row r="599" spans="1:26" x14ac:dyDescent="0.3">
      <c r="A599">
        <v>12321</v>
      </c>
      <c r="B599" t="s">
        <v>2453</v>
      </c>
      <c r="C599" t="s">
        <v>493</v>
      </c>
      <c r="D599" t="s">
        <v>494</v>
      </c>
      <c r="E599" t="s">
        <v>2454</v>
      </c>
      <c r="F599" t="str">
        <f>"014044923X"</f>
        <v>014044923X</v>
      </c>
      <c r="G599" t="str">
        <f>"9780140449235"</f>
        <v>9780140449235</v>
      </c>
      <c r="H599">
        <v>0</v>
      </c>
      <c r="I599">
        <v>4</v>
      </c>
      <c r="J599" t="s">
        <v>409</v>
      </c>
      <c r="K599" t="s">
        <v>60</v>
      </c>
      <c r="L599">
        <v>240</v>
      </c>
      <c r="M599">
        <v>2003</v>
      </c>
      <c r="N599">
        <v>1886</v>
      </c>
      <c r="O599" s="1">
        <v>43249</v>
      </c>
      <c r="P599" s="1">
        <v>43249</v>
      </c>
      <c r="S599" t="s">
        <v>174</v>
      </c>
      <c r="W599">
        <v>1</v>
      </c>
      <c r="Z599">
        <v>0</v>
      </c>
    </row>
    <row r="600" spans="1:26" x14ac:dyDescent="0.3">
      <c r="A600">
        <v>482752</v>
      </c>
      <c r="B600" t="s">
        <v>2455</v>
      </c>
      <c r="C600" t="s">
        <v>2456</v>
      </c>
      <c r="D600" t="s">
        <v>2457</v>
      </c>
      <c r="F600" t="str">
        <f>"019926547X"</f>
        <v>019926547X</v>
      </c>
      <c r="G600" t="str">
        <f>"9780199265473"</f>
        <v>9780199265473</v>
      </c>
      <c r="H600">
        <v>0</v>
      </c>
      <c r="I600">
        <v>3.99</v>
      </c>
      <c r="J600" t="s">
        <v>1399</v>
      </c>
      <c r="K600" t="s">
        <v>60</v>
      </c>
      <c r="L600">
        <v>136</v>
      </c>
      <c r="M600">
        <v>2003</v>
      </c>
      <c r="N600">
        <v>2001</v>
      </c>
      <c r="O600" s="1">
        <v>43245</v>
      </c>
      <c r="P600" s="1">
        <v>43240</v>
      </c>
      <c r="S600" t="s">
        <v>174</v>
      </c>
      <c r="W600">
        <v>1</v>
      </c>
      <c r="Z600">
        <v>0</v>
      </c>
    </row>
    <row r="601" spans="1:26" x14ac:dyDescent="0.3">
      <c r="A601">
        <v>23493708</v>
      </c>
      <c r="B601" t="s">
        <v>2458</v>
      </c>
      <c r="C601" t="s">
        <v>2459</v>
      </c>
      <c r="D601" t="s">
        <v>2460</v>
      </c>
      <c r="F601" t="str">
        <f>"1591847478"</f>
        <v>1591847478</v>
      </c>
      <c r="G601" t="str">
        <f>"9781591847472"</f>
        <v>9781591847472</v>
      </c>
      <c r="H601">
        <v>0</v>
      </c>
      <c r="I601">
        <v>3.78</v>
      </c>
      <c r="J601" t="s">
        <v>134</v>
      </c>
      <c r="K601" t="s">
        <v>35</v>
      </c>
      <c r="L601">
        <v>240</v>
      </c>
      <c r="M601">
        <v>2015</v>
      </c>
      <c r="N601">
        <v>2015</v>
      </c>
      <c r="O601" s="1">
        <v>43145</v>
      </c>
      <c r="P601" s="1">
        <v>43071</v>
      </c>
      <c r="Q601" t="s">
        <v>36</v>
      </c>
      <c r="R601" t="s">
        <v>2461</v>
      </c>
      <c r="S601" t="s">
        <v>36</v>
      </c>
      <c r="W601">
        <v>0</v>
      </c>
      <c r="Z601">
        <v>0</v>
      </c>
    </row>
    <row r="602" spans="1:26" x14ac:dyDescent="0.3">
      <c r="A602">
        <v>13237694</v>
      </c>
      <c r="B602" t="s">
        <v>2462</v>
      </c>
      <c r="C602" t="s">
        <v>2463</v>
      </c>
      <c r="D602" t="s">
        <v>2464</v>
      </c>
      <c r="F602" t="str">
        <f>"046502954X"</f>
        <v>046502954X</v>
      </c>
      <c r="G602" t="str">
        <f>"9780465029549"</f>
        <v>9780465029549</v>
      </c>
      <c r="H602">
        <v>0</v>
      </c>
      <c r="I602">
        <v>3.78</v>
      </c>
      <c r="J602" t="s">
        <v>129</v>
      </c>
      <c r="K602" t="s">
        <v>35</v>
      </c>
      <c r="L602">
        <v>224</v>
      </c>
      <c r="M602">
        <v>2012</v>
      </c>
      <c r="N602">
        <v>2012</v>
      </c>
      <c r="O602" s="1">
        <v>43215</v>
      </c>
      <c r="P602" s="1">
        <v>43215</v>
      </c>
      <c r="S602" t="s">
        <v>174</v>
      </c>
      <c r="W602">
        <v>2</v>
      </c>
      <c r="Z602">
        <v>0</v>
      </c>
    </row>
    <row r="603" spans="1:26" x14ac:dyDescent="0.3">
      <c r="A603">
        <v>694906</v>
      </c>
      <c r="B603" t="s">
        <v>2465</v>
      </c>
      <c r="C603" t="s">
        <v>2463</v>
      </c>
      <c r="D603" t="s">
        <v>2464</v>
      </c>
      <c r="F603" t="str">
        <f>"0465027261"</f>
        <v>0465027261</v>
      </c>
      <c r="G603" t="str">
        <f>"9780465027262"</f>
        <v>9780465027262</v>
      </c>
      <c r="H603">
        <v>0</v>
      </c>
      <c r="I603">
        <v>3.92</v>
      </c>
      <c r="J603" t="s">
        <v>129</v>
      </c>
      <c r="K603" t="s">
        <v>60</v>
      </c>
      <c r="L603">
        <v>240</v>
      </c>
      <c r="M603">
        <v>1998</v>
      </c>
      <c r="N603">
        <v>1997</v>
      </c>
      <c r="O603" s="1">
        <v>43206</v>
      </c>
      <c r="P603" s="1">
        <v>43140</v>
      </c>
      <c r="S603" t="s">
        <v>174</v>
      </c>
      <c r="W603">
        <v>2</v>
      </c>
      <c r="Z603">
        <v>0</v>
      </c>
    </row>
    <row r="604" spans="1:26" x14ac:dyDescent="0.3">
      <c r="A604">
        <v>29974795</v>
      </c>
      <c r="B604" t="s">
        <v>2466</v>
      </c>
      <c r="C604" t="s">
        <v>2467</v>
      </c>
      <c r="D604" t="s">
        <v>2468</v>
      </c>
      <c r="E604" t="s">
        <v>2469</v>
      </c>
      <c r="F604" t="str">
        <f>""</f>
        <v/>
      </c>
      <c r="G604" t="str">
        <f>""</f>
        <v/>
      </c>
      <c r="H604">
        <v>0</v>
      </c>
      <c r="I604">
        <v>4.37</v>
      </c>
      <c r="J604" t="s">
        <v>648</v>
      </c>
      <c r="K604" t="s">
        <v>69</v>
      </c>
      <c r="L604">
        <v>2272</v>
      </c>
      <c r="M604">
        <v>2017</v>
      </c>
      <c r="N604">
        <v>393</v>
      </c>
      <c r="P604" s="1">
        <v>43066</v>
      </c>
      <c r="Q604" t="s">
        <v>36</v>
      </c>
      <c r="R604" t="s">
        <v>2470</v>
      </c>
      <c r="S604" t="s">
        <v>36</v>
      </c>
      <c r="W604">
        <v>0</v>
      </c>
      <c r="Z604">
        <v>0</v>
      </c>
    </row>
    <row r="605" spans="1:26" x14ac:dyDescent="0.3">
      <c r="A605">
        <v>18693858</v>
      </c>
      <c r="B605" t="s">
        <v>2471</v>
      </c>
      <c r="C605" t="s">
        <v>2472</v>
      </c>
      <c r="D605" t="s">
        <v>2473</v>
      </c>
      <c r="F605" t="str">
        <f>"1591846625"</f>
        <v>1591846625</v>
      </c>
      <c r="G605" t="str">
        <f>"9781591846628"</f>
        <v>9781591846628</v>
      </c>
      <c r="H605">
        <v>0</v>
      </c>
      <c r="I605">
        <v>3.86</v>
      </c>
      <c r="J605" t="s">
        <v>124</v>
      </c>
      <c r="K605" t="s">
        <v>35</v>
      </c>
      <c r="L605">
        <v>288</v>
      </c>
      <c r="M605">
        <v>2014</v>
      </c>
      <c r="N605">
        <v>2014</v>
      </c>
      <c r="P605" s="1">
        <v>43149</v>
      </c>
      <c r="Q605" t="s">
        <v>36</v>
      </c>
      <c r="R605" t="s">
        <v>2474</v>
      </c>
      <c r="S605" t="s">
        <v>36</v>
      </c>
      <c r="W605">
        <v>0</v>
      </c>
      <c r="Z605">
        <v>0</v>
      </c>
    </row>
    <row r="606" spans="1:26" x14ac:dyDescent="0.3">
      <c r="A606">
        <v>21413849</v>
      </c>
      <c r="B606" t="s">
        <v>2475</v>
      </c>
      <c r="C606" t="s">
        <v>2476</v>
      </c>
      <c r="D606" t="s">
        <v>2477</v>
      </c>
      <c r="F606" t="str">
        <f>"1610394550"</f>
        <v>1610394550</v>
      </c>
      <c r="G606" t="str">
        <f>"9781610394550"</f>
        <v>9781610394550</v>
      </c>
      <c r="H606">
        <v>0</v>
      </c>
      <c r="I606">
        <v>3.96</v>
      </c>
      <c r="J606" t="s">
        <v>487</v>
      </c>
      <c r="K606" t="s">
        <v>35</v>
      </c>
      <c r="L606">
        <v>256</v>
      </c>
      <c r="M606">
        <v>2014</v>
      </c>
      <c r="N606">
        <v>2014</v>
      </c>
      <c r="O606" s="1">
        <v>43149</v>
      </c>
      <c r="P606" s="1">
        <v>43140</v>
      </c>
      <c r="S606" t="s">
        <v>174</v>
      </c>
      <c r="W606">
        <v>1</v>
      </c>
      <c r="Z606">
        <v>0</v>
      </c>
    </row>
    <row r="607" spans="1:26" x14ac:dyDescent="0.3">
      <c r="A607">
        <v>34466869</v>
      </c>
      <c r="B607" t="s">
        <v>2478</v>
      </c>
      <c r="C607" t="s">
        <v>2446</v>
      </c>
      <c r="D607" t="s">
        <v>2447</v>
      </c>
      <c r="E607" t="s">
        <v>2479</v>
      </c>
      <c r="F607" t="str">
        <f>"1508238332"</f>
        <v>1508238332</v>
      </c>
      <c r="G607" t="str">
        <f>"9781508238331"</f>
        <v>9781508238331</v>
      </c>
      <c r="H607">
        <v>0</v>
      </c>
      <c r="I607">
        <v>3.91</v>
      </c>
      <c r="J607" t="s">
        <v>866</v>
      </c>
      <c r="K607" t="s">
        <v>867</v>
      </c>
      <c r="L607">
        <v>15</v>
      </c>
      <c r="M607">
        <v>2017</v>
      </c>
      <c r="N607">
        <v>2017</v>
      </c>
      <c r="O607" s="1">
        <v>43148</v>
      </c>
      <c r="P607" s="1">
        <v>43144</v>
      </c>
      <c r="S607" t="s">
        <v>174</v>
      </c>
      <c r="W607">
        <v>1</v>
      </c>
      <c r="Z607">
        <v>0</v>
      </c>
    </row>
    <row r="608" spans="1:26" x14ac:dyDescent="0.3">
      <c r="A608">
        <v>18956</v>
      </c>
      <c r="B608" t="s">
        <v>2480</v>
      </c>
      <c r="C608" t="s">
        <v>2481</v>
      </c>
      <c r="D608" t="s">
        <v>2482</v>
      </c>
      <c r="F608" t="str">
        <f>"0805080759"</f>
        <v>0805080759</v>
      </c>
      <c r="G608" t="str">
        <f>"9780805080759"</f>
        <v>9780805080759</v>
      </c>
      <c r="H608">
        <v>0</v>
      </c>
      <c r="I608">
        <v>4.33</v>
      </c>
      <c r="J608" t="s">
        <v>2483</v>
      </c>
      <c r="K608" t="s">
        <v>60</v>
      </c>
      <c r="L608">
        <v>646</v>
      </c>
      <c r="M608">
        <v>2006</v>
      </c>
      <c r="N608">
        <v>1991</v>
      </c>
      <c r="O608" s="1">
        <v>43145</v>
      </c>
      <c r="P608" s="1">
        <v>43122</v>
      </c>
      <c r="S608" t="s">
        <v>174</v>
      </c>
      <c r="W608">
        <v>1</v>
      </c>
      <c r="Z608">
        <v>0</v>
      </c>
    </row>
    <row r="609" spans="1:26" x14ac:dyDescent="0.3">
      <c r="A609">
        <v>49552</v>
      </c>
      <c r="B609" t="s">
        <v>2484</v>
      </c>
      <c r="C609" t="s">
        <v>367</v>
      </c>
      <c r="D609" t="s">
        <v>368</v>
      </c>
      <c r="E609" t="s">
        <v>2485</v>
      </c>
      <c r="F609" t="str">
        <f>""</f>
        <v/>
      </c>
      <c r="G609" t="str">
        <f>""</f>
        <v/>
      </c>
      <c r="H609">
        <v>0</v>
      </c>
      <c r="I609">
        <v>3.99</v>
      </c>
      <c r="J609" t="s">
        <v>2486</v>
      </c>
      <c r="K609" t="s">
        <v>60</v>
      </c>
      <c r="L609">
        <v>123</v>
      </c>
      <c r="M609">
        <v>1989</v>
      </c>
      <c r="N609">
        <v>1942</v>
      </c>
      <c r="O609" s="1">
        <v>43145</v>
      </c>
      <c r="P609" s="1">
        <v>43122</v>
      </c>
      <c r="S609" t="s">
        <v>174</v>
      </c>
      <c r="W609">
        <v>1</v>
      </c>
      <c r="Z609">
        <v>0</v>
      </c>
    </row>
    <row r="610" spans="1:26" x14ac:dyDescent="0.3">
      <c r="A610">
        <v>29101486</v>
      </c>
      <c r="B610" t="s">
        <v>2487</v>
      </c>
      <c r="C610" t="s">
        <v>2488</v>
      </c>
      <c r="D610" t="s">
        <v>2489</v>
      </c>
      <c r="F610" t="str">
        <f>"1610397398"</f>
        <v>1610397398</v>
      </c>
      <c r="G610" t="str">
        <f>"9781610397391"</f>
        <v>9781610397391</v>
      </c>
      <c r="H610">
        <v>0</v>
      </c>
      <c r="I610">
        <v>4.28</v>
      </c>
      <c r="J610" t="s">
        <v>487</v>
      </c>
      <c r="K610" t="s">
        <v>35</v>
      </c>
      <c r="L610">
        <v>400</v>
      </c>
      <c r="M610">
        <v>2016</v>
      </c>
      <c r="N610">
        <v>2015</v>
      </c>
      <c r="O610" s="1">
        <v>43145</v>
      </c>
      <c r="P610" s="1">
        <v>43140</v>
      </c>
      <c r="S610" t="s">
        <v>174</v>
      </c>
      <c r="W610">
        <v>1</v>
      </c>
      <c r="Z610">
        <v>0</v>
      </c>
    </row>
    <row r="611" spans="1:26" x14ac:dyDescent="0.3">
      <c r="A611">
        <v>4200839</v>
      </c>
      <c r="B611" t="s">
        <v>2490</v>
      </c>
      <c r="C611" t="s">
        <v>2491</v>
      </c>
      <c r="D611" t="s">
        <v>2492</v>
      </c>
      <c r="F611" t="str">
        <f>"0815738692"</f>
        <v>0815738692</v>
      </c>
      <c r="G611" t="str">
        <f>"9780815738695"</f>
        <v>9780815738695</v>
      </c>
      <c r="H611">
        <v>0</v>
      </c>
      <c r="I611">
        <v>3.25</v>
      </c>
      <c r="J611" t="s">
        <v>1077</v>
      </c>
      <c r="K611" t="s">
        <v>60</v>
      </c>
      <c r="L611">
        <v>232</v>
      </c>
      <c r="M611">
        <v>2008</v>
      </c>
      <c r="N611">
        <v>2008</v>
      </c>
      <c r="P611" s="1">
        <v>43144</v>
      </c>
      <c r="Q611" t="s">
        <v>443</v>
      </c>
      <c r="R611" t="s">
        <v>2493</v>
      </c>
      <c r="S611" t="s">
        <v>36</v>
      </c>
      <c r="W611">
        <v>0</v>
      </c>
      <c r="Z611">
        <v>0</v>
      </c>
    </row>
    <row r="612" spans="1:26" x14ac:dyDescent="0.3">
      <c r="A612">
        <v>859573</v>
      </c>
      <c r="B612" t="s">
        <v>2494</v>
      </c>
      <c r="C612" t="s">
        <v>2495</v>
      </c>
      <c r="D612" t="s">
        <v>2496</v>
      </c>
      <c r="F612" t="str">
        <f>"0801885914"</f>
        <v>0801885914</v>
      </c>
      <c r="G612" t="str">
        <f>"9780801885914"</f>
        <v>9780801885914</v>
      </c>
      <c r="H612">
        <v>0</v>
      </c>
      <c r="I612">
        <v>3.66</v>
      </c>
      <c r="J612" t="s">
        <v>1283</v>
      </c>
      <c r="K612" t="s">
        <v>60</v>
      </c>
      <c r="L612">
        <v>208</v>
      </c>
      <c r="M612">
        <v>2007</v>
      </c>
      <c r="N612">
        <v>2007</v>
      </c>
      <c r="P612" s="1">
        <v>43144</v>
      </c>
      <c r="Q612" t="s">
        <v>443</v>
      </c>
      <c r="R612" t="s">
        <v>2497</v>
      </c>
      <c r="S612" t="s">
        <v>36</v>
      </c>
      <c r="W612">
        <v>0</v>
      </c>
      <c r="Z612">
        <v>0</v>
      </c>
    </row>
    <row r="613" spans="1:26" x14ac:dyDescent="0.3">
      <c r="A613">
        <v>16096109</v>
      </c>
      <c r="B613" t="s">
        <v>2498</v>
      </c>
      <c r="C613" t="s">
        <v>2499</v>
      </c>
      <c r="D613" t="s">
        <v>2500</v>
      </c>
      <c r="E613" t="s">
        <v>2501</v>
      </c>
      <c r="F613" t="str">
        <f>"1848546203"</f>
        <v>1848546203</v>
      </c>
      <c r="G613" t="str">
        <f>"9781848546202"</f>
        <v>9781848546202</v>
      </c>
      <c r="H613">
        <v>0</v>
      </c>
      <c r="I613">
        <v>3.33</v>
      </c>
      <c r="J613" t="s">
        <v>2502</v>
      </c>
      <c r="K613" t="s">
        <v>35</v>
      </c>
      <c r="L613">
        <v>336</v>
      </c>
      <c r="M613">
        <v>2013</v>
      </c>
      <c r="N613">
        <v>2013</v>
      </c>
      <c r="P613" s="1">
        <v>43144</v>
      </c>
      <c r="Q613" t="s">
        <v>443</v>
      </c>
      <c r="R613" t="s">
        <v>2503</v>
      </c>
      <c r="S613" t="s">
        <v>36</v>
      </c>
      <c r="W613">
        <v>0</v>
      </c>
      <c r="Z613">
        <v>0</v>
      </c>
    </row>
    <row r="614" spans="1:26" x14ac:dyDescent="0.3">
      <c r="A614">
        <v>1740015</v>
      </c>
      <c r="B614" t="s">
        <v>2504</v>
      </c>
      <c r="C614" t="s">
        <v>2501</v>
      </c>
      <c r="D614" t="s">
        <v>2505</v>
      </c>
      <c r="E614" t="s">
        <v>2506</v>
      </c>
      <c r="F614" t="str">
        <f>"1592403247"</f>
        <v>1592403247</v>
      </c>
      <c r="G614" t="str">
        <f>"9781592403240"</f>
        <v>9781592403240</v>
      </c>
      <c r="H614">
        <v>0</v>
      </c>
      <c r="I614">
        <v>3.55</v>
      </c>
      <c r="J614" t="s">
        <v>2507</v>
      </c>
      <c r="K614" t="s">
        <v>35</v>
      </c>
      <c r="L614">
        <v>288</v>
      </c>
      <c r="M614">
        <v>2007</v>
      </c>
      <c r="N614">
        <v>2007</v>
      </c>
      <c r="P614" s="1">
        <v>43144</v>
      </c>
      <c r="Q614" t="s">
        <v>443</v>
      </c>
      <c r="R614" t="s">
        <v>2508</v>
      </c>
      <c r="S614" t="s">
        <v>36</v>
      </c>
      <c r="W614">
        <v>0</v>
      </c>
      <c r="Z614">
        <v>0</v>
      </c>
    </row>
    <row r="615" spans="1:26" x14ac:dyDescent="0.3">
      <c r="A615">
        <v>242357</v>
      </c>
      <c r="B615" t="s">
        <v>2509</v>
      </c>
      <c r="C615" t="s">
        <v>2501</v>
      </c>
      <c r="D615" t="s">
        <v>2505</v>
      </c>
      <c r="F615" t="str">
        <f>"0742552373"</f>
        <v>0742552373</v>
      </c>
      <c r="G615" t="str">
        <f>"9780742552371"</f>
        <v>9780742552371</v>
      </c>
      <c r="H615">
        <v>0</v>
      </c>
      <c r="I615">
        <v>4.45</v>
      </c>
      <c r="J615" t="s">
        <v>1300</v>
      </c>
      <c r="K615" t="s">
        <v>60</v>
      </c>
      <c r="L615">
        <v>230</v>
      </c>
      <c r="M615">
        <v>2006</v>
      </c>
      <c r="N615">
        <v>2006</v>
      </c>
      <c r="P615" s="1">
        <v>43144</v>
      </c>
      <c r="Q615" t="s">
        <v>443</v>
      </c>
      <c r="R615" t="s">
        <v>2510</v>
      </c>
      <c r="S615" t="s">
        <v>36</v>
      </c>
      <c r="W615">
        <v>0</v>
      </c>
      <c r="Z615">
        <v>0</v>
      </c>
    </row>
    <row r="616" spans="1:26" x14ac:dyDescent="0.3">
      <c r="A616">
        <v>74175</v>
      </c>
      <c r="B616" t="s">
        <v>2511</v>
      </c>
      <c r="C616" t="s">
        <v>2512</v>
      </c>
      <c r="D616" t="s">
        <v>2513</v>
      </c>
      <c r="F616" t="str">
        <f>"1592402224"</f>
        <v>1592402224</v>
      </c>
      <c r="G616" t="str">
        <f>"9781592402229"</f>
        <v>9781592402229</v>
      </c>
      <c r="H616">
        <v>0</v>
      </c>
      <c r="I616">
        <v>3.93</v>
      </c>
      <c r="J616" t="s">
        <v>2507</v>
      </c>
      <c r="K616" t="s">
        <v>35</v>
      </c>
      <c r="L616">
        <v>640</v>
      </c>
      <c r="M616">
        <v>2006</v>
      </c>
      <c r="N616">
        <v>2006</v>
      </c>
      <c r="P616" s="1">
        <v>43144</v>
      </c>
      <c r="Q616" t="s">
        <v>443</v>
      </c>
      <c r="R616" t="s">
        <v>2514</v>
      </c>
      <c r="S616" t="s">
        <v>36</v>
      </c>
      <c r="W616">
        <v>0</v>
      </c>
      <c r="Z616">
        <v>0</v>
      </c>
    </row>
    <row r="617" spans="1:26" x14ac:dyDescent="0.3">
      <c r="A617">
        <v>18244</v>
      </c>
      <c r="B617" t="s">
        <v>2515</v>
      </c>
      <c r="C617" t="s">
        <v>2512</v>
      </c>
      <c r="D617" t="s">
        <v>2513</v>
      </c>
      <c r="F617" t="str">
        <f>"046500721X"</f>
        <v>046500721X</v>
      </c>
      <c r="G617" t="str">
        <f>"9780465007219"</f>
        <v>9780465007219</v>
      </c>
      <c r="H617">
        <v>0</v>
      </c>
      <c r="I617">
        <v>4</v>
      </c>
      <c r="J617" t="s">
        <v>129</v>
      </c>
      <c r="K617" t="s">
        <v>60</v>
      </c>
      <c r="L617">
        <v>464</v>
      </c>
      <c r="M617">
        <v>2003</v>
      </c>
      <c r="N617">
        <v>2002</v>
      </c>
      <c r="P617" s="1">
        <v>43144</v>
      </c>
      <c r="Q617" t="s">
        <v>443</v>
      </c>
      <c r="R617" t="s">
        <v>2516</v>
      </c>
      <c r="S617" t="s">
        <v>36</v>
      </c>
      <c r="W617">
        <v>0</v>
      </c>
      <c r="Z617">
        <v>0</v>
      </c>
    </row>
    <row r="618" spans="1:26" x14ac:dyDescent="0.3">
      <c r="A618">
        <v>13812166</v>
      </c>
      <c r="B618" t="s">
        <v>2517</v>
      </c>
      <c r="C618" t="s">
        <v>2512</v>
      </c>
      <c r="D618" t="s">
        <v>2513</v>
      </c>
      <c r="F618" t="str">
        <f>"0871404249"</f>
        <v>0871404249</v>
      </c>
      <c r="G618" t="str">
        <f>"9780871404244"</f>
        <v>9780871404244</v>
      </c>
      <c r="H618">
        <v>0</v>
      </c>
      <c r="I618">
        <v>4.0599999999999996</v>
      </c>
      <c r="J618" t="s">
        <v>2518</v>
      </c>
      <c r="K618" t="s">
        <v>35</v>
      </c>
      <c r="L618">
        <v>784</v>
      </c>
      <c r="M618">
        <v>2013</v>
      </c>
      <c r="N618">
        <v>2013</v>
      </c>
      <c r="P618" s="1">
        <v>43144</v>
      </c>
      <c r="Q618" t="s">
        <v>443</v>
      </c>
      <c r="R618" t="s">
        <v>2519</v>
      </c>
      <c r="S618" t="s">
        <v>36</v>
      </c>
      <c r="W618">
        <v>0</v>
      </c>
      <c r="Z618">
        <v>0</v>
      </c>
    </row>
    <row r="619" spans="1:26" x14ac:dyDescent="0.3">
      <c r="A619">
        <v>2141214</v>
      </c>
      <c r="B619" t="s">
        <v>2520</v>
      </c>
      <c r="C619" t="s">
        <v>2521</v>
      </c>
      <c r="D619" t="s">
        <v>2522</v>
      </c>
      <c r="F619" t="str">
        <f>"0262522853"</f>
        <v>0262522853</v>
      </c>
      <c r="G619" t="str">
        <f>"9780262522854"</f>
        <v>9780262522854</v>
      </c>
      <c r="H619">
        <v>0</v>
      </c>
      <c r="I619">
        <v>3</v>
      </c>
      <c r="J619" t="s">
        <v>1045</v>
      </c>
      <c r="K619" t="s">
        <v>60</v>
      </c>
      <c r="L619">
        <v>160</v>
      </c>
      <c r="M619">
        <v>2000</v>
      </c>
      <c r="N619">
        <v>2000</v>
      </c>
      <c r="P619" s="1">
        <v>43144</v>
      </c>
      <c r="Q619" t="s">
        <v>443</v>
      </c>
      <c r="R619" t="s">
        <v>2523</v>
      </c>
      <c r="S619" t="s">
        <v>36</v>
      </c>
      <c r="W619">
        <v>0</v>
      </c>
      <c r="Z619">
        <v>0</v>
      </c>
    </row>
    <row r="620" spans="1:26" x14ac:dyDescent="0.3">
      <c r="A620">
        <v>25674549</v>
      </c>
      <c r="B620" t="s">
        <v>2524</v>
      </c>
      <c r="C620" t="s">
        <v>2521</v>
      </c>
      <c r="D620" t="s">
        <v>2522</v>
      </c>
      <c r="E620" t="s">
        <v>2525</v>
      </c>
      <c r="F620" t="str">
        <f>""</f>
        <v/>
      </c>
      <c r="G620" t="str">
        <f>""</f>
        <v/>
      </c>
      <c r="H620">
        <v>0</v>
      </c>
      <c r="I620">
        <v>4</v>
      </c>
      <c r="J620" t="s">
        <v>2526</v>
      </c>
      <c r="K620" t="s">
        <v>69</v>
      </c>
      <c r="L620">
        <v>72</v>
      </c>
      <c r="M620">
        <v>2015</v>
      </c>
      <c r="N620">
        <v>2015</v>
      </c>
      <c r="P620" s="1">
        <v>43144</v>
      </c>
      <c r="Q620" t="s">
        <v>443</v>
      </c>
      <c r="R620" t="s">
        <v>2527</v>
      </c>
      <c r="S620" t="s">
        <v>36</v>
      </c>
      <c r="W620">
        <v>0</v>
      </c>
      <c r="Z620">
        <v>0</v>
      </c>
    </row>
    <row r="621" spans="1:26" x14ac:dyDescent="0.3">
      <c r="A621">
        <v>16248652</v>
      </c>
      <c r="B621" t="s">
        <v>2528</v>
      </c>
      <c r="C621" t="s">
        <v>2006</v>
      </c>
      <c r="D621" t="s">
        <v>2007</v>
      </c>
      <c r="E621" t="s">
        <v>2529</v>
      </c>
      <c r="F621" t="str">
        <f>"0262019124"</f>
        <v>0262019124</v>
      </c>
      <c r="G621" t="str">
        <f>"9780262019125"</f>
        <v>9780262019125</v>
      </c>
      <c r="H621">
        <v>0</v>
      </c>
      <c r="I621">
        <v>4.22</v>
      </c>
      <c r="J621" t="s">
        <v>1045</v>
      </c>
      <c r="K621" t="s">
        <v>35</v>
      </c>
      <c r="L621">
        <v>224</v>
      </c>
      <c r="M621">
        <v>2013</v>
      </c>
      <c r="N621">
        <v>2013</v>
      </c>
      <c r="P621" s="1">
        <v>43144</v>
      </c>
      <c r="Q621" t="s">
        <v>443</v>
      </c>
      <c r="R621" t="s">
        <v>2530</v>
      </c>
      <c r="S621" t="s">
        <v>36</v>
      </c>
      <c r="W621">
        <v>0</v>
      </c>
      <c r="Z621">
        <v>0</v>
      </c>
    </row>
    <row r="622" spans="1:26" x14ac:dyDescent="0.3">
      <c r="A622">
        <v>15836350</v>
      </c>
      <c r="B622" t="s">
        <v>2531</v>
      </c>
      <c r="C622" t="s">
        <v>2521</v>
      </c>
      <c r="D622" t="s">
        <v>2522</v>
      </c>
      <c r="E622" t="s">
        <v>2532</v>
      </c>
      <c r="F622" t="str">
        <f>"087609535X"</f>
        <v>087609535X</v>
      </c>
      <c r="G622" t="str">
        <f>"9780876095355"</f>
        <v>9780876095355</v>
      </c>
      <c r="H622">
        <v>0</v>
      </c>
      <c r="I622">
        <v>3.67</v>
      </c>
      <c r="J622" t="s">
        <v>2533</v>
      </c>
      <c r="K622" t="s">
        <v>60</v>
      </c>
      <c r="L622">
        <v>90</v>
      </c>
      <c r="M622">
        <v>2012</v>
      </c>
      <c r="N622">
        <v>2012</v>
      </c>
      <c r="P622" s="1">
        <v>43144</v>
      </c>
      <c r="Q622" t="s">
        <v>443</v>
      </c>
      <c r="R622" t="s">
        <v>2534</v>
      </c>
      <c r="S622" t="s">
        <v>36</v>
      </c>
      <c r="W622">
        <v>0</v>
      </c>
      <c r="Z622">
        <v>0</v>
      </c>
    </row>
    <row r="623" spans="1:26" x14ac:dyDescent="0.3">
      <c r="A623">
        <v>27311801</v>
      </c>
      <c r="B623" t="s">
        <v>2535</v>
      </c>
      <c r="C623" t="s">
        <v>2521</v>
      </c>
      <c r="D623" t="s">
        <v>2522</v>
      </c>
      <c r="E623" t="s">
        <v>2536</v>
      </c>
      <c r="F623" t="str">
        <f>"0674737210"</f>
        <v>0674737210</v>
      </c>
      <c r="G623" t="str">
        <f>"9780674737211"</f>
        <v>9780674737211</v>
      </c>
      <c r="H623">
        <v>0</v>
      </c>
      <c r="I623">
        <v>3.93</v>
      </c>
      <c r="J623" t="s">
        <v>524</v>
      </c>
      <c r="K623" t="s">
        <v>35</v>
      </c>
      <c r="L623">
        <v>384</v>
      </c>
      <c r="M623">
        <v>2016</v>
      </c>
      <c r="P623" s="1">
        <v>43144</v>
      </c>
      <c r="Q623" t="s">
        <v>443</v>
      </c>
      <c r="R623" t="s">
        <v>2537</v>
      </c>
      <c r="S623" t="s">
        <v>36</v>
      </c>
      <c r="W623">
        <v>0</v>
      </c>
      <c r="Z623">
        <v>0</v>
      </c>
    </row>
    <row r="624" spans="1:26" x14ac:dyDescent="0.3">
      <c r="A624">
        <v>29507071</v>
      </c>
      <c r="B624" t="s">
        <v>2538</v>
      </c>
      <c r="C624" t="s">
        <v>2521</v>
      </c>
      <c r="D624" t="s">
        <v>2522</v>
      </c>
      <c r="E624" t="s">
        <v>2539</v>
      </c>
      <c r="F624" t="str">
        <f>""</f>
        <v/>
      </c>
      <c r="G624" t="str">
        <f>""</f>
        <v/>
      </c>
      <c r="H624">
        <v>0</v>
      </c>
      <c r="I624">
        <v>3.4</v>
      </c>
      <c r="J624" t="s">
        <v>2526</v>
      </c>
      <c r="K624" t="s">
        <v>69</v>
      </c>
      <c r="L624">
        <v>66</v>
      </c>
      <c r="M624">
        <v>2016</v>
      </c>
      <c r="P624" s="1">
        <v>43144</v>
      </c>
      <c r="Q624" t="s">
        <v>443</v>
      </c>
      <c r="R624" t="s">
        <v>2540</v>
      </c>
      <c r="S624" t="s">
        <v>36</v>
      </c>
      <c r="W624">
        <v>0</v>
      </c>
      <c r="Z624">
        <v>0</v>
      </c>
    </row>
    <row r="625" spans="1:26" x14ac:dyDescent="0.3">
      <c r="A625">
        <v>5912429</v>
      </c>
      <c r="B625" t="s">
        <v>2541</v>
      </c>
      <c r="C625" t="s">
        <v>2542</v>
      </c>
      <c r="D625" t="s">
        <v>2543</v>
      </c>
      <c r="E625" t="s">
        <v>2544</v>
      </c>
      <c r="F625" t="str">
        <f>"1584873620"</f>
        <v>1584873620</v>
      </c>
      <c r="G625" t="str">
        <f>"9781584873624"</f>
        <v>9781584873624</v>
      </c>
      <c r="H625">
        <v>0</v>
      </c>
      <c r="I625">
        <v>2.86</v>
      </c>
      <c r="J625" t="s">
        <v>2545</v>
      </c>
      <c r="K625" t="s">
        <v>35</v>
      </c>
      <c r="L625">
        <v>90</v>
      </c>
      <c r="M625">
        <v>2008</v>
      </c>
      <c r="N625">
        <v>2008</v>
      </c>
      <c r="P625" s="1">
        <v>43144</v>
      </c>
      <c r="Q625" t="s">
        <v>443</v>
      </c>
      <c r="R625" t="s">
        <v>2546</v>
      </c>
      <c r="S625" t="s">
        <v>36</v>
      </c>
      <c r="W625">
        <v>0</v>
      </c>
      <c r="Z625">
        <v>0</v>
      </c>
    </row>
    <row r="626" spans="1:26" x14ac:dyDescent="0.3">
      <c r="A626">
        <v>9881636</v>
      </c>
      <c r="B626" t="s">
        <v>2547</v>
      </c>
      <c r="C626" t="s">
        <v>2542</v>
      </c>
      <c r="D626" t="s">
        <v>2543</v>
      </c>
      <c r="F626" t="str">
        <f>""</f>
        <v/>
      </c>
      <c r="G626" t="str">
        <f>""</f>
        <v/>
      </c>
      <c r="H626">
        <v>0</v>
      </c>
      <c r="I626">
        <v>4</v>
      </c>
      <c r="L626">
        <v>50</v>
      </c>
      <c r="N626">
        <v>2014</v>
      </c>
      <c r="P626" s="1">
        <v>43144</v>
      </c>
      <c r="Q626" t="s">
        <v>443</v>
      </c>
      <c r="R626" t="s">
        <v>2548</v>
      </c>
      <c r="S626" t="s">
        <v>36</v>
      </c>
      <c r="W626">
        <v>0</v>
      </c>
      <c r="Z626">
        <v>0</v>
      </c>
    </row>
    <row r="627" spans="1:26" x14ac:dyDescent="0.3">
      <c r="A627">
        <v>12927637</v>
      </c>
      <c r="B627" t="s">
        <v>2549</v>
      </c>
      <c r="C627" t="s">
        <v>2542</v>
      </c>
      <c r="D627" t="s">
        <v>2543</v>
      </c>
      <c r="F627" t="str">
        <f>""</f>
        <v/>
      </c>
      <c r="G627" t="str">
        <f>"2940013194328"</f>
        <v>2940013194328</v>
      </c>
      <c r="H627">
        <v>0</v>
      </c>
      <c r="I627">
        <v>0</v>
      </c>
      <c r="J627" t="s">
        <v>2550</v>
      </c>
      <c r="K627" t="s">
        <v>2551</v>
      </c>
      <c r="L627">
        <v>0</v>
      </c>
      <c r="M627">
        <v>2011</v>
      </c>
      <c r="N627">
        <v>2011</v>
      </c>
      <c r="P627" s="1">
        <v>43144</v>
      </c>
      <c r="Q627" t="s">
        <v>443</v>
      </c>
      <c r="R627" t="s">
        <v>2552</v>
      </c>
      <c r="S627" t="s">
        <v>36</v>
      </c>
      <c r="W627">
        <v>0</v>
      </c>
      <c r="Z627">
        <v>0</v>
      </c>
    </row>
    <row r="628" spans="1:26" x14ac:dyDescent="0.3">
      <c r="A628">
        <v>2244574</v>
      </c>
      <c r="B628" t="s">
        <v>2553</v>
      </c>
      <c r="C628" t="s">
        <v>2542</v>
      </c>
      <c r="D628" t="s">
        <v>2543</v>
      </c>
      <c r="F628" t="str">
        <f>"1410218112"</f>
        <v>1410218112</v>
      </c>
      <c r="G628" t="str">
        <f>"9781410218117"</f>
        <v>9781410218117</v>
      </c>
      <c r="H628">
        <v>0</v>
      </c>
      <c r="I628">
        <v>4</v>
      </c>
      <c r="J628" t="s">
        <v>2554</v>
      </c>
      <c r="K628" t="s">
        <v>60</v>
      </c>
      <c r="L628">
        <v>72</v>
      </c>
      <c r="M628">
        <v>2004</v>
      </c>
      <c r="N628">
        <v>2002</v>
      </c>
      <c r="P628" s="1">
        <v>43144</v>
      </c>
      <c r="Q628" t="s">
        <v>443</v>
      </c>
      <c r="R628" t="s">
        <v>2555</v>
      </c>
      <c r="S628" t="s">
        <v>36</v>
      </c>
      <c r="W628">
        <v>0</v>
      </c>
      <c r="Z628">
        <v>0</v>
      </c>
    </row>
    <row r="629" spans="1:26" x14ac:dyDescent="0.3">
      <c r="A629">
        <v>949451</v>
      </c>
      <c r="B629" t="s">
        <v>2556</v>
      </c>
      <c r="C629" t="s">
        <v>2542</v>
      </c>
      <c r="D629" t="s">
        <v>2543</v>
      </c>
      <c r="F629" t="str">
        <f>"0691116458"</f>
        <v>0691116458</v>
      </c>
      <c r="G629" t="str">
        <f>"9780691116457"</f>
        <v>9780691116457</v>
      </c>
      <c r="H629">
        <v>0</v>
      </c>
      <c r="I629">
        <v>4.09</v>
      </c>
      <c r="J629" t="s">
        <v>377</v>
      </c>
      <c r="K629" t="s">
        <v>35</v>
      </c>
      <c r="L629">
        <v>352</v>
      </c>
      <c r="M629">
        <v>2004</v>
      </c>
      <c r="N629">
        <v>2004</v>
      </c>
      <c r="P629" s="1">
        <v>43144</v>
      </c>
      <c r="Q629" t="s">
        <v>443</v>
      </c>
      <c r="R629" t="s">
        <v>2557</v>
      </c>
      <c r="S629" t="s">
        <v>36</v>
      </c>
      <c r="W629">
        <v>0</v>
      </c>
      <c r="Z629">
        <v>0</v>
      </c>
    </row>
    <row r="630" spans="1:26" x14ac:dyDescent="0.3">
      <c r="A630">
        <v>299918</v>
      </c>
      <c r="B630" t="s">
        <v>2558</v>
      </c>
      <c r="C630" t="s">
        <v>2559</v>
      </c>
      <c r="D630" t="s">
        <v>2560</v>
      </c>
      <c r="E630" t="s">
        <v>2561</v>
      </c>
      <c r="F630" t="str">
        <f>"0847685535"</f>
        <v>0847685535</v>
      </c>
      <c r="G630" t="str">
        <f>"9780847685530"</f>
        <v>9780847685530</v>
      </c>
      <c r="H630">
        <v>0</v>
      </c>
      <c r="I630">
        <v>3.43</v>
      </c>
      <c r="J630" t="s">
        <v>1300</v>
      </c>
      <c r="K630" t="s">
        <v>60</v>
      </c>
      <c r="L630">
        <v>264</v>
      </c>
      <c r="M630">
        <v>1998</v>
      </c>
      <c r="N630">
        <v>1998</v>
      </c>
      <c r="P630" s="1">
        <v>43144</v>
      </c>
      <c r="Q630" t="s">
        <v>443</v>
      </c>
      <c r="R630" t="s">
        <v>2562</v>
      </c>
      <c r="S630" t="s">
        <v>36</v>
      </c>
      <c r="W630">
        <v>0</v>
      </c>
      <c r="Z630">
        <v>0</v>
      </c>
    </row>
    <row r="631" spans="1:26" x14ac:dyDescent="0.3">
      <c r="A631">
        <v>7417760</v>
      </c>
      <c r="B631" t="s">
        <v>2563</v>
      </c>
      <c r="C631" t="s">
        <v>2559</v>
      </c>
      <c r="D631" t="s">
        <v>2560</v>
      </c>
      <c r="F631" t="str">
        <f>"0813380251"</f>
        <v>0813380251</v>
      </c>
      <c r="G631" t="str">
        <f>"9780813380254"</f>
        <v>9780813380254</v>
      </c>
      <c r="H631">
        <v>0</v>
      </c>
      <c r="I631">
        <v>4</v>
      </c>
      <c r="J631" t="s">
        <v>2564</v>
      </c>
      <c r="K631" t="s">
        <v>60</v>
      </c>
      <c r="L631">
        <v>220</v>
      </c>
      <c r="M631">
        <v>1990</v>
      </c>
      <c r="N631">
        <v>1990</v>
      </c>
      <c r="P631" s="1">
        <v>43144</v>
      </c>
      <c r="Q631" t="s">
        <v>443</v>
      </c>
      <c r="R631" t="s">
        <v>2565</v>
      </c>
      <c r="S631" t="s">
        <v>36</v>
      </c>
      <c r="W631">
        <v>0</v>
      </c>
      <c r="Z631">
        <v>0</v>
      </c>
    </row>
    <row r="632" spans="1:26" x14ac:dyDescent="0.3">
      <c r="A632">
        <v>15074404</v>
      </c>
      <c r="B632" t="s">
        <v>2566</v>
      </c>
      <c r="C632" t="s">
        <v>2559</v>
      </c>
      <c r="D632" t="s">
        <v>2560</v>
      </c>
      <c r="E632" t="s">
        <v>2567</v>
      </c>
      <c r="F632" t="str">
        <f>"1601270771"</f>
        <v>1601270771</v>
      </c>
      <c r="G632" t="str">
        <f>"9781601270771"</f>
        <v>9781601270771</v>
      </c>
      <c r="H632">
        <v>0</v>
      </c>
      <c r="I632">
        <v>4</v>
      </c>
      <c r="J632" t="s">
        <v>2568</v>
      </c>
      <c r="K632" t="s">
        <v>60</v>
      </c>
      <c r="L632">
        <v>250</v>
      </c>
      <c r="M632">
        <v>2011</v>
      </c>
      <c r="N632">
        <v>2011</v>
      </c>
      <c r="P632" s="1">
        <v>43144</v>
      </c>
      <c r="Q632" t="s">
        <v>443</v>
      </c>
      <c r="R632" t="s">
        <v>2569</v>
      </c>
      <c r="S632" t="s">
        <v>36</v>
      </c>
      <c r="W632">
        <v>0</v>
      </c>
      <c r="Z632">
        <v>0</v>
      </c>
    </row>
    <row r="633" spans="1:26" x14ac:dyDescent="0.3">
      <c r="A633">
        <v>6375093</v>
      </c>
      <c r="B633" t="s">
        <v>2570</v>
      </c>
      <c r="C633" t="s">
        <v>2571</v>
      </c>
      <c r="D633" t="s">
        <v>2572</v>
      </c>
      <c r="F633" t="str">
        <f>"0521519314"</f>
        <v>0521519314</v>
      </c>
      <c r="G633" t="str">
        <f>"9780521519311"</f>
        <v>9780521519311</v>
      </c>
      <c r="H633">
        <v>0</v>
      </c>
      <c r="I633">
        <v>4.1100000000000003</v>
      </c>
      <c r="J633" t="s">
        <v>261</v>
      </c>
      <c r="K633" t="s">
        <v>35</v>
      </c>
      <c r="L633">
        <v>230</v>
      </c>
      <c r="M633">
        <v>2009</v>
      </c>
      <c r="N633">
        <v>2009</v>
      </c>
      <c r="P633" s="1">
        <v>43144</v>
      </c>
      <c r="Q633" t="s">
        <v>443</v>
      </c>
      <c r="R633" t="s">
        <v>2573</v>
      </c>
      <c r="S633" t="s">
        <v>36</v>
      </c>
      <c r="W633">
        <v>0</v>
      </c>
      <c r="Z633">
        <v>0</v>
      </c>
    </row>
    <row r="634" spans="1:26" x14ac:dyDescent="0.3">
      <c r="A634">
        <v>6375094</v>
      </c>
      <c r="B634" t="s">
        <v>2574</v>
      </c>
      <c r="C634" t="s">
        <v>2571</v>
      </c>
      <c r="D634" t="s">
        <v>2572</v>
      </c>
      <c r="E634" t="s">
        <v>2575</v>
      </c>
      <c r="F634" t="str">
        <f>"8178299488"</f>
        <v>8178299488</v>
      </c>
      <c r="G634" t="str">
        <f>"9788178299488"</f>
        <v>9788178299488</v>
      </c>
      <c r="H634">
        <v>0</v>
      </c>
      <c r="I634">
        <v>4.2</v>
      </c>
      <c r="J634" t="s">
        <v>2576</v>
      </c>
      <c r="K634" t="s">
        <v>35</v>
      </c>
      <c r="L634">
        <v>344</v>
      </c>
      <c r="M634">
        <v>2009</v>
      </c>
      <c r="N634">
        <v>2009</v>
      </c>
      <c r="P634" s="1">
        <v>43144</v>
      </c>
      <c r="Q634" t="s">
        <v>443</v>
      </c>
      <c r="R634" t="s">
        <v>2577</v>
      </c>
      <c r="S634" t="s">
        <v>36</v>
      </c>
      <c r="W634">
        <v>0</v>
      </c>
      <c r="Z634">
        <v>0</v>
      </c>
    </row>
    <row r="635" spans="1:26" x14ac:dyDescent="0.3">
      <c r="A635">
        <v>951651</v>
      </c>
      <c r="B635" t="s">
        <v>2578</v>
      </c>
      <c r="C635" t="s">
        <v>440</v>
      </c>
      <c r="D635" t="s">
        <v>441</v>
      </c>
      <c r="F635" t="str">
        <f>"0876092121"</f>
        <v>0876092121</v>
      </c>
      <c r="G635" t="str">
        <f>"9780876092125"</f>
        <v>9780876092125</v>
      </c>
      <c r="H635">
        <v>0</v>
      </c>
      <c r="I635">
        <v>3.4</v>
      </c>
      <c r="J635" t="s">
        <v>2526</v>
      </c>
      <c r="K635" t="s">
        <v>60</v>
      </c>
      <c r="M635">
        <v>1998</v>
      </c>
      <c r="N635">
        <v>1998</v>
      </c>
      <c r="P635" s="1">
        <v>43144</v>
      </c>
      <c r="Q635" t="s">
        <v>443</v>
      </c>
      <c r="R635" t="s">
        <v>2579</v>
      </c>
      <c r="S635" t="s">
        <v>36</v>
      </c>
      <c r="W635">
        <v>0</v>
      </c>
      <c r="Z635">
        <v>0</v>
      </c>
    </row>
    <row r="636" spans="1:26" x14ac:dyDescent="0.3">
      <c r="A636">
        <v>4588852</v>
      </c>
      <c r="B636" t="s">
        <v>2580</v>
      </c>
      <c r="C636" t="s">
        <v>2581</v>
      </c>
      <c r="D636" t="s">
        <v>2582</v>
      </c>
      <c r="F636" t="str">
        <f>"0061558397"</f>
        <v>0061558397</v>
      </c>
      <c r="G636" t="str">
        <f>"9780061558399"</f>
        <v>9780061558399</v>
      </c>
      <c r="H636">
        <v>0</v>
      </c>
      <c r="I636">
        <v>3.68</v>
      </c>
      <c r="J636" t="s">
        <v>109</v>
      </c>
      <c r="K636" t="s">
        <v>35</v>
      </c>
      <c r="L636">
        <v>368</v>
      </c>
      <c r="M636">
        <v>2008</v>
      </c>
      <c r="N636">
        <v>2008</v>
      </c>
      <c r="P636" s="1">
        <v>43144</v>
      </c>
      <c r="Q636" t="s">
        <v>443</v>
      </c>
      <c r="R636" t="s">
        <v>2583</v>
      </c>
      <c r="S636" t="s">
        <v>36</v>
      </c>
      <c r="W636">
        <v>0</v>
      </c>
      <c r="Z636">
        <v>0</v>
      </c>
    </row>
    <row r="637" spans="1:26" x14ac:dyDescent="0.3">
      <c r="A637">
        <v>28700663</v>
      </c>
      <c r="B637" t="s">
        <v>2584</v>
      </c>
      <c r="C637" t="s">
        <v>2581</v>
      </c>
      <c r="D637" t="s">
        <v>2582</v>
      </c>
      <c r="E637" t="s">
        <v>2585</v>
      </c>
      <c r="F637" t="str">
        <f>"0876096615"</f>
        <v>0876096615</v>
      </c>
      <c r="G637" t="str">
        <f>"9780876096611"</f>
        <v>9780876096611</v>
      </c>
      <c r="H637">
        <v>0</v>
      </c>
      <c r="I637">
        <v>3.6</v>
      </c>
      <c r="J637" t="s">
        <v>2526</v>
      </c>
      <c r="K637" t="s">
        <v>60</v>
      </c>
      <c r="L637">
        <v>244</v>
      </c>
      <c r="M637">
        <v>2016</v>
      </c>
      <c r="P637" s="1">
        <v>43144</v>
      </c>
      <c r="Q637" t="s">
        <v>443</v>
      </c>
      <c r="R637" t="s">
        <v>2586</v>
      </c>
      <c r="S637" t="s">
        <v>36</v>
      </c>
      <c r="W637">
        <v>0</v>
      </c>
      <c r="Z637">
        <v>0</v>
      </c>
    </row>
    <row r="638" spans="1:26" x14ac:dyDescent="0.3">
      <c r="A638">
        <v>1109651</v>
      </c>
      <c r="B638" t="s">
        <v>2587</v>
      </c>
      <c r="C638" t="s">
        <v>440</v>
      </c>
      <c r="D638" t="s">
        <v>441</v>
      </c>
      <c r="F638" t="str">
        <f>"0815733518"</f>
        <v>0815733518</v>
      </c>
      <c r="G638" t="str">
        <f>"9780815733515"</f>
        <v>9780815733515</v>
      </c>
      <c r="H638">
        <v>0</v>
      </c>
      <c r="I638">
        <v>3</v>
      </c>
      <c r="J638" t="s">
        <v>1077</v>
      </c>
      <c r="K638" t="s">
        <v>60</v>
      </c>
      <c r="L638">
        <v>251</v>
      </c>
      <c r="M638">
        <v>1999</v>
      </c>
      <c r="N638">
        <v>1999</v>
      </c>
      <c r="P638" s="1">
        <v>43144</v>
      </c>
      <c r="Q638" t="s">
        <v>443</v>
      </c>
      <c r="R638" t="s">
        <v>2588</v>
      </c>
      <c r="S638" t="s">
        <v>36</v>
      </c>
      <c r="W638">
        <v>0</v>
      </c>
      <c r="Z638">
        <v>0</v>
      </c>
    </row>
    <row r="639" spans="1:26" x14ac:dyDescent="0.3">
      <c r="A639">
        <v>951655</v>
      </c>
      <c r="B639" t="s">
        <v>2589</v>
      </c>
      <c r="C639" t="s">
        <v>440</v>
      </c>
      <c r="D639" t="s">
        <v>441</v>
      </c>
      <c r="F639" t="str">
        <f>"0300045557"</f>
        <v>0300045557</v>
      </c>
      <c r="G639" t="str">
        <f>"9780300045550"</f>
        <v>9780300045550</v>
      </c>
      <c r="H639">
        <v>0</v>
      </c>
      <c r="I639">
        <v>2.75</v>
      </c>
      <c r="J639" t="s">
        <v>356</v>
      </c>
      <c r="K639" t="s">
        <v>35</v>
      </c>
      <c r="L639">
        <v>192</v>
      </c>
      <c r="M639">
        <v>1990</v>
      </c>
      <c r="N639">
        <v>1990</v>
      </c>
      <c r="P639" s="1">
        <v>43144</v>
      </c>
      <c r="Q639" t="s">
        <v>443</v>
      </c>
      <c r="R639" t="s">
        <v>2590</v>
      </c>
      <c r="S639" t="s">
        <v>36</v>
      </c>
      <c r="W639">
        <v>0</v>
      </c>
      <c r="Z639">
        <v>0</v>
      </c>
    </row>
    <row r="640" spans="1:26" x14ac:dyDescent="0.3">
      <c r="A640">
        <v>113798</v>
      </c>
      <c r="B640" t="s">
        <v>2591</v>
      </c>
      <c r="C640" t="s">
        <v>440</v>
      </c>
      <c r="D640" t="s">
        <v>441</v>
      </c>
      <c r="F640" t="str">
        <f>"0815733550"</f>
        <v>0815733550</v>
      </c>
      <c r="G640" t="str">
        <f>"9780815733553"</f>
        <v>9780815733553</v>
      </c>
      <c r="H640">
        <v>0</v>
      </c>
      <c r="I640">
        <v>3.38</v>
      </c>
      <c r="J640" t="s">
        <v>1077</v>
      </c>
      <c r="K640" t="s">
        <v>60</v>
      </c>
      <c r="L640">
        <v>211</v>
      </c>
      <c r="M640">
        <v>2000</v>
      </c>
      <c r="N640">
        <v>2000</v>
      </c>
      <c r="P640" s="1">
        <v>43144</v>
      </c>
      <c r="Q640" t="s">
        <v>443</v>
      </c>
      <c r="R640" t="s">
        <v>2592</v>
      </c>
      <c r="S640" t="s">
        <v>36</v>
      </c>
      <c r="W640">
        <v>0</v>
      </c>
      <c r="Z640">
        <v>0</v>
      </c>
    </row>
    <row r="641" spans="1:26" x14ac:dyDescent="0.3">
      <c r="A641">
        <v>1109650</v>
      </c>
      <c r="B641" t="s">
        <v>2593</v>
      </c>
      <c r="C641" t="s">
        <v>440</v>
      </c>
      <c r="D641" t="s">
        <v>441</v>
      </c>
      <c r="F641" t="str">
        <f>"0395675855"</f>
        <v>0395675855</v>
      </c>
      <c r="G641" t="str">
        <f>"9780395675854"</f>
        <v>9780395675854</v>
      </c>
      <c r="H641">
        <v>0</v>
      </c>
      <c r="I641">
        <v>2.88</v>
      </c>
      <c r="J641" t="s">
        <v>2594</v>
      </c>
      <c r="K641" t="s">
        <v>35</v>
      </c>
      <c r="M641">
        <v>1994</v>
      </c>
      <c r="N641">
        <v>1994</v>
      </c>
      <c r="P641" s="1">
        <v>43144</v>
      </c>
      <c r="Q641" t="s">
        <v>443</v>
      </c>
      <c r="R641" t="s">
        <v>2595</v>
      </c>
      <c r="S641" t="s">
        <v>36</v>
      </c>
      <c r="W641">
        <v>0</v>
      </c>
      <c r="Z641">
        <v>0</v>
      </c>
    </row>
    <row r="642" spans="1:26" x14ac:dyDescent="0.3">
      <c r="A642">
        <v>63068</v>
      </c>
      <c r="B642" t="s">
        <v>2596</v>
      </c>
      <c r="C642" t="s">
        <v>440</v>
      </c>
      <c r="D642" t="s">
        <v>441</v>
      </c>
      <c r="F642" t="str">
        <f>"0815733534"</f>
        <v>0815733534</v>
      </c>
      <c r="G642" t="str">
        <f>"9780815733539"</f>
        <v>9780815733539</v>
      </c>
      <c r="H642">
        <v>0</v>
      </c>
      <c r="I642">
        <v>3.94</v>
      </c>
      <c r="J642" t="s">
        <v>1077</v>
      </c>
      <c r="K642" t="s">
        <v>60</v>
      </c>
      <c r="L642">
        <v>220</v>
      </c>
      <c r="M642">
        <v>1999</v>
      </c>
      <c r="N642">
        <v>1998</v>
      </c>
      <c r="P642" s="1">
        <v>43144</v>
      </c>
      <c r="Q642" t="s">
        <v>443</v>
      </c>
      <c r="R642" t="s">
        <v>2597</v>
      </c>
      <c r="S642" t="s">
        <v>36</v>
      </c>
      <c r="W642">
        <v>0</v>
      </c>
      <c r="Z642">
        <v>0</v>
      </c>
    </row>
    <row r="643" spans="1:26" x14ac:dyDescent="0.3">
      <c r="A643">
        <v>951650</v>
      </c>
      <c r="B643" t="s">
        <v>2598</v>
      </c>
      <c r="C643" t="s">
        <v>440</v>
      </c>
      <c r="D643" t="s">
        <v>441</v>
      </c>
      <c r="F643" t="str">
        <f>"0876091982"</f>
        <v>0876091982</v>
      </c>
      <c r="G643" t="str">
        <f>"9780876091982"</f>
        <v>9780876091982</v>
      </c>
      <c r="H643">
        <v>0</v>
      </c>
      <c r="I643">
        <v>3.33</v>
      </c>
      <c r="J643" t="s">
        <v>2526</v>
      </c>
      <c r="K643" t="s">
        <v>60</v>
      </c>
      <c r="L643">
        <v>148</v>
      </c>
      <c r="M643">
        <v>1997</v>
      </c>
      <c r="N643">
        <v>1997</v>
      </c>
      <c r="P643" s="1">
        <v>43144</v>
      </c>
      <c r="Q643" t="s">
        <v>443</v>
      </c>
      <c r="R643" t="s">
        <v>2599</v>
      </c>
      <c r="S643" t="s">
        <v>36</v>
      </c>
      <c r="W643">
        <v>0</v>
      </c>
      <c r="Z643">
        <v>0</v>
      </c>
    </row>
    <row r="644" spans="1:26" x14ac:dyDescent="0.3">
      <c r="A644">
        <v>414226</v>
      </c>
      <c r="B644" t="s">
        <v>2600</v>
      </c>
      <c r="C644" t="s">
        <v>440</v>
      </c>
      <c r="D644" t="s">
        <v>441</v>
      </c>
      <c r="F644" t="str">
        <f>"087003135X"</f>
        <v>087003135X</v>
      </c>
      <c r="G644" t="str">
        <f>"9780870031359"</f>
        <v>9780870031359</v>
      </c>
      <c r="H644">
        <v>0</v>
      </c>
      <c r="I644">
        <v>3.27</v>
      </c>
      <c r="J644" t="s">
        <v>2601</v>
      </c>
      <c r="K644" t="s">
        <v>60</v>
      </c>
      <c r="L644">
        <v>320</v>
      </c>
      <c r="M644">
        <v>1999</v>
      </c>
      <c r="N644">
        <v>1994</v>
      </c>
      <c r="P644" s="1">
        <v>43144</v>
      </c>
      <c r="Q644" t="s">
        <v>443</v>
      </c>
      <c r="R644" t="s">
        <v>2602</v>
      </c>
      <c r="S644" t="s">
        <v>36</v>
      </c>
      <c r="W644">
        <v>0</v>
      </c>
      <c r="Z644">
        <v>0</v>
      </c>
    </row>
    <row r="645" spans="1:26" x14ac:dyDescent="0.3">
      <c r="A645">
        <v>6400155</v>
      </c>
      <c r="B645" t="s">
        <v>2603</v>
      </c>
      <c r="C645" t="s">
        <v>440</v>
      </c>
      <c r="D645" t="s">
        <v>441</v>
      </c>
      <c r="F645" t="str">
        <f>"1416549021"</f>
        <v>1416549021</v>
      </c>
      <c r="G645" t="str">
        <f>"9781416549024"</f>
        <v>9781416549024</v>
      </c>
      <c r="H645">
        <v>0</v>
      </c>
      <c r="I645">
        <v>3.76</v>
      </c>
      <c r="J645" t="s">
        <v>807</v>
      </c>
      <c r="K645" t="s">
        <v>35</v>
      </c>
      <c r="L645">
        <v>352</v>
      </c>
      <c r="M645">
        <v>2009</v>
      </c>
      <c r="N645">
        <v>2009</v>
      </c>
      <c r="P645" s="1">
        <v>43144</v>
      </c>
      <c r="Q645" t="s">
        <v>443</v>
      </c>
      <c r="R645" t="s">
        <v>2604</v>
      </c>
      <c r="S645" t="s">
        <v>36</v>
      </c>
      <c r="W645">
        <v>0</v>
      </c>
      <c r="Z645">
        <v>0</v>
      </c>
    </row>
    <row r="646" spans="1:26" x14ac:dyDescent="0.3">
      <c r="A646">
        <v>1090492</v>
      </c>
      <c r="B646" t="s">
        <v>2605</v>
      </c>
      <c r="C646" t="s">
        <v>440</v>
      </c>
      <c r="D646" t="s">
        <v>441</v>
      </c>
      <c r="F646" t="str">
        <f>"1586482769"</f>
        <v>1586482769</v>
      </c>
      <c r="G646" t="str">
        <f>"9781586482763"</f>
        <v>9781586482763</v>
      </c>
      <c r="H646">
        <v>0</v>
      </c>
      <c r="I646">
        <v>3.58</v>
      </c>
      <c r="J646" t="s">
        <v>487</v>
      </c>
      <c r="K646" t="s">
        <v>35</v>
      </c>
      <c r="L646">
        <v>256</v>
      </c>
      <c r="M646">
        <v>2005</v>
      </c>
      <c r="N646">
        <v>2005</v>
      </c>
      <c r="P646" s="1">
        <v>43144</v>
      </c>
      <c r="Q646" t="s">
        <v>443</v>
      </c>
      <c r="R646" t="s">
        <v>2606</v>
      </c>
      <c r="S646" t="s">
        <v>36</v>
      </c>
      <c r="W646">
        <v>0</v>
      </c>
      <c r="Z646">
        <v>0</v>
      </c>
    </row>
    <row r="647" spans="1:26" x14ac:dyDescent="0.3">
      <c r="A647">
        <v>16043559</v>
      </c>
      <c r="B647" t="s">
        <v>2607</v>
      </c>
      <c r="C647" t="s">
        <v>440</v>
      </c>
      <c r="D647" t="s">
        <v>441</v>
      </c>
      <c r="F647" t="str">
        <f>"0465057985"</f>
        <v>0465057985</v>
      </c>
      <c r="G647" t="str">
        <f>"9780465057986"</f>
        <v>9780465057986</v>
      </c>
      <c r="H647">
        <v>0</v>
      </c>
      <c r="I647">
        <v>3.53</v>
      </c>
      <c r="J647" t="s">
        <v>129</v>
      </c>
      <c r="K647" t="s">
        <v>35</v>
      </c>
      <c r="L647">
        <v>208</v>
      </c>
      <c r="M647">
        <v>2013</v>
      </c>
      <c r="N647">
        <v>2013</v>
      </c>
      <c r="P647" s="1">
        <v>43144</v>
      </c>
      <c r="Q647" t="s">
        <v>443</v>
      </c>
      <c r="R647" t="s">
        <v>2608</v>
      </c>
      <c r="S647" t="s">
        <v>36</v>
      </c>
      <c r="W647">
        <v>0</v>
      </c>
      <c r="Z647">
        <v>0</v>
      </c>
    </row>
    <row r="648" spans="1:26" x14ac:dyDescent="0.3">
      <c r="A648">
        <v>36722606</v>
      </c>
      <c r="B648" t="s">
        <v>2609</v>
      </c>
      <c r="C648" t="s">
        <v>2610</v>
      </c>
      <c r="D648" t="s">
        <v>2611</v>
      </c>
      <c r="F648" t="str">
        <f>"0262037688"</f>
        <v>0262037688</v>
      </c>
      <c r="G648" t="str">
        <f>"9780262037686"</f>
        <v>9780262037686</v>
      </c>
      <c r="H648">
        <v>0</v>
      </c>
      <c r="I648">
        <v>4.13</v>
      </c>
      <c r="J648" t="s">
        <v>1045</v>
      </c>
      <c r="K648" t="s">
        <v>35</v>
      </c>
      <c r="L648">
        <v>392</v>
      </c>
      <c r="M648">
        <v>2018</v>
      </c>
      <c r="N648">
        <v>2018</v>
      </c>
      <c r="P648" s="1">
        <v>43144</v>
      </c>
      <c r="Q648" t="s">
        <v>443</v>
      </c>
      <c r="R648" t="s">
        <v>2612</v>
      </c>
      <c r="S648" t="s">
        <v>36</v>
      </c>
      <c r="W648">
        <v>0</v>
      </c>
      <c r="Z648">
        <v>0</v>
      </c>
    </row>
    <row r="649" spans="1:26" x14ac:dyDescent="0.3">
      <c r="A649">
        <v>35187192</v>
      </c>
      <c r="B649" t="s">
        <v>2613</v>
      </c>
      <c r="C649" t="s">
        <v>2512</v>
      </c>
      <c r="D649" t="s">
        <v>2513</v>
      </c>
      <c r="F649" t="str">
        <f>"0871409410"</f>
        <v>0871409410</v>
      </c>
      <c r="G649" t="str">
        <f>"9780871409416"</f>
        <v>9780871409416</v>
      </c>
      <c r="H649">
        <v>0</v>
      </c>
      <c r="I649">
        <v>4.2</v>
      </c>
      <c r="J649" t="s">
        <v>2518</v>
      </c>
      <c r="K649" t="s">
        <v>35</v>
      </c>
      <c r="L649">
        <v>768</v>
      </c>
      <c r="M649">
        <v>2018</v>
      </c>
      <c r="N649">
        <v>2018</v>
      </c>
      <c r="P649" s="1">
        <v>43144</v>
      </c>
      <c r="Q649" t="s">
        <v>443</v>
      </c>
      <c r="R649" t="s">
        <v>2614</v>
      </c>
      <c r="S649" t="s">
        <v>36</v>
      </c>
      <c r="W649">
        <v>0</v>
      </c>
      <c r="Z649">
        <v>0</v>
      </c>
    </row>
    <row r="650" spans="1:26" x14ac:dyDescent="0.3">
      <c r="A650">
        <v>35297577</v>
      </c>
      <c r="B650" t="s">
        <v>2615</v>
      </c>
      <c r="C650" t="s">
        <v>2616</v>
      </c>
      <c r="D650" t="s">
        <v>2617</v>
      </c>
      <c r="F650" t="str">
        <f>"1501102370"</f>
        <v>1501102370</v>
      </c>
      <c r="G650" t="str">
        <f>"9781501102370"</f>
        <v>9781501102370</v>
      </c>
      <c r="H650">
        <v>0</v>
      </c>
      <c r="I650">
        <v>4.09</v>
      </c>
      <c r="J650" t="s">
        <v>807</v>
      </c>
      <c r="K650" t="s">
        <v>35</v>
      </c>
      <c r="L650">
        <v>624</v>
      </c>
      <c r="M650">
        <v>2018</v>
      </c>
      <c r="N650">
        <v>2018</v>
      </c>
      <c r="P650" s="1">
        <v>43144</v>
      </c>
      <c r="Q650" t="s">
        <v>443</v>
      </c>
      <c r="R650" t="s">
        <v>2618</v>
      </c>
      <c r="S650" t="s">
        <v>36</v>
      </c>
      <c r="W650">
        <v>0</v>
      </c>
      <c r="Z650">
        <v>0</v>
      </c>
    </row>
    <row r="651" spans="1:26" x14ac:dyDescent="0.3">
      <c r="A651">
        <v>34889271</v>
      </c>
      <c r="B651" t="s">
        <v>2619</v>
      </c>
      <c r="C651" t="s">
        <v>2620</v>
      </c>
      <c r="D651" t="s">
        <v>2621</v>
      </c>
      <c r="F651" t="str">
        <f>"0231185480"</f>
        <v>0231185480</v>
      </c>
      <c r="G651" t="str">
        <f>"9780231185486"</f>
        <v>9780231185486</v>
      </c>
      <c r="H651">
        <v>0</v>
      </c>
      <c r="I651">
        <v>4</v>
      </c>
      <c r="J651" t="s">
        <v>1696</v>
      </c>
      <c r="K651" t="s">
        <v>35</v>
      </c>
      <c r="L651">
        <v>376</v>
      </c>
      <c r="M651">
        <v>2018</v>
      </c>
      <c r="N651">
        <v>2018</v>
      </c>
      <c r="P651" s="1">
        <v>43144</v>
      </c>
      <c r="Q651" t="s">
        <v>443</v>
      </c>
      <c r="R651" t="s">
        <v>2622</v>
      </c>
      <c r="S651" t="s">
        <v>36</v>
      </c>
      <c r="W651">
        <v>0</v>
      </c>
      <c r="Z651">
        <v>0</v>
      </c>
    </row>
    <row r="652" spans="1:26" x14ac:dyDescent="0.3">
      <c r="A652">
        <v>32335741</v>
      </c>
      <c r="B652" t="s">
        <v>2623</v>
      </c>
      <c r="C652" t="s">
        <v>2571</v>
      </c>
      <c r="D652" t="s">
        <v>2572</v>
      </c>
      <c r="F652" t="str">
        <f>"0190494522"</f>
        <v>0190494522</v>
      </c>
      <c r="G652" t="str">
        <f>"9780190494520"</f>
        <v>9780190494520</v>
      </c>
      <c r="H652">
        <v>0</v>
      </c>
      <c r="I652">
        <v>3.86</v>
      </c>
      <c r="J652" t="s">
        <v>104</v>
      </c>
      <c r="K652" t="s">
        <v>35</v>
      </c>
      <c r="L652">
        <v>360</v>
      </c>
      <c r="M652">
        <v>2018</v>
      </c>
      <c r="P652" s="1">
        <v>43144</v>
      </c>
      <c r="Q652" t="s">
        <v>443</v>
      </c>
      <c r="R652" t="s">
        <v>2624</v>
      </c>
      <c r="S652" t="s">
        <v>36</v>
      </c>
      <c r="W652">
        <v>0</v>
      </c>
      <c r="Z652">
        <v>0</v>
      </c>
    </row>
    <row r="653" spans="1:26" x14ac:dyDescent="0.3">
      <c r="A653">
        <v>32877330</v>
      </c>
      <c r="B653" t="s">
        <v>2625</v>
      </c>
      <c r="C653" t="s">
        <v>2581</v>
      </c>
      <c r="D653" t="s">
        <v>2582</v>
      </c>
      <c r="F653" t="str">
        <f>""</f>
        <v/>
      </c>
      <c r="G653" t="str">
        <f>""</f>
        <v/>
      </c>
      <c r="H653">
        <v>0</v>
      </c>
      <c r="I653">
        <v>4.1399999999999997</v>
      </c>
      <c r="J653" t="s">
        <v>1300</v>
      </c>
      <c r="K653" t="s">
        <v>69</v>
      </c>
      <c r="L653">
        <v>258</v>
      </c>
      <c r="M653">
        <v>2016</v>
      </c>
      <c r="P653" s="1">
        <v>43144</v>
      </c>
      <c r="Q653" t="s">
        <v>443</v>
      </c>
      <c r="R653" t="s">
        <v>2626</v>
      </c>
      <c r="S653" t="s">
        <v>36</v>
      </c>
      <c r="W653">
        <v>0</v>
      </c>
      <c r="Z653">
        <v>0</v>
      </c>
    </row>
    <row r="654" spans="1:26" x14ac:dyDescent="0.3">
      <c r="A654">
        <v>29358555</v>
      </c>
      <c r="B654" t="s">
        <v>2627</v>
      </c>
      <c r="C654" t="s">
        <v>2628</v>
      </c>
      <c r="D654" t="s">
        <v>2629</v>
      </c>
      <c r="F654" t="str">
        <f>"1594204845"</f>
        <v>1594204845</v>
      </c>
      <c r="G654" t="str">
        <f>"9781594204845"</f>
        <v>9781594204845</v>
      </c>
      <c r="H654">
        <v>0</v>
      </c>
      <c r="I654">
        <v>4.32</v>
      </c>
      <c r="J654" t="s">
        <v>442</v>
      </c>
      <c r="K654" t="s">
        <v>35</v>
      </c>
      <c r="L654">
        <v>800</v>
      </c>
      <c r="M654">
        <v>2016</v>
      </c>
      <c r="N654">
        <v>2016</v>
      </c>
      <c r="P654" s="1">
        <v>43144</v>
      </c>
      <c r="Q654" t="s">
        <v>443</v>
      </c>
      <c r="R654" t="s">
        <v>2630</v>
      </c>
      <c r="S654" t="s">
        <v>36</v>
      </c>
      <c r="W654">
        <v>0</v>
      </c>
      <c r="Z654">
        <v>0</v>
      </c>
    </row>
    <row r="655" spans="1:26" x14ac:dyDescent="0.3">
      <c r="A655">
        <v>29952647</v>
      </c>
      <c r="B655" t="s">
        <v>2631</v>
      </c>
      <c r="C655" t="s">
        <v>2495</v>
      </c>
      <c r="D655" t="s">
        <v>2496</v>
      </c>
      <c r="F655" t="str">
        <f>"0190611413"</f>
        <v>0190611413</v>
      </c>
      <c r="G655" t="str">
        <f>"9780190611415"</f>
        <v>9780190611415</v>
      </c>
      <c r="H655">
        <v>0</v>
      </c>
      <c r="I655">
        <v>3.78</v>
      </c>
      <c r="J655" t="s">
        <v>104</v>
      </c>
      <c r="K655" t="s">
        <v>35</v>
      </c>
      <c r="L655">
        <v>360</v>
      </c>
      <c r="M655">
        <v>2017</v>
      </c>
      <c r="N655">
        <v>2017</v>
      </c>
      <c r="P655" s="1">
        <v>43144</v>
      </c>
      <c r="Q655" t="s">
        <v>443</v>
      </c>
      <c r="R655" t="s">
        <v>2632</v>
      </c>
      <c r="S655" t="s">
        <v>36</v>
      </c>
      <c r="W655">
        <v>0</v>
      </c>
      <c r="Z655">
        <v>0</v>
      </c>
    </row>
    <row r="656" spans="1:26" x14ac:dyDescent="0.3">
      <c r="A656">
        <v>29430865</v>
      </c>
      <c r="B656" t="s">
        <v>2633</v>
      </c>
      <c r="C656" t="s">
        <v>2634</v>
      </c>
      <c r="D656" t="s">
        <v>2635</v>
      </c>
      <c r="F656" t="str">
        <f>"1451667868"</f>
        <v>1451667868</v>
      </c>
      <c r="G656" t="str">
        <f>"9781451667868"</f>
        <v>9781451667868</v>
      </c>
      <c r="H656">
        <v>0</v>
      </c>
      <c r="I656">
        <v>3.87</v>
      </c>
      <c r="J656" t="s">
        <v>2636</v>
      </c>
      <c r="K656" t="s">
        <v>35</v>
      </c>
      <c r="L656">
        <v>336</v>
      </c>
      <c r="M656">
        <v>2017</v>
      </c>
      <c r="N656">
        <v>2017</v>
      </c>
      <c r="P656" s="1">
        <v>43144</v>
      </c>
      <c r="Q656" t="s">
        <v>443</v>
      </c>
      <c r="R656" t="s">
        <v>2637</v>
      </c>
      <c r="S656" t="s">
        <v>36</v>
      </c>
      <c r="W656">
        <v>0</v>
      </c>
      <c r="Z656">
        <v>0</v>
      </c>
    </row>
    <row r="657" spans="1:26" x14ac:dyDescent="0.3">
      <c r="A657">
        <v>34890804</v>
      </c>
      <c r="B657" t="s">
        <v>2638</v>
      </c>
      <c r="C657" t="s">
        <v>2639</v>
      </c>
      <c r="D657" t="s">
        <v>2640</v>
      </c>
      <c r="F657" t="str">
        <f>"1108415628"</f>
        <v>1108415628</v>
      </c>
      <c r="G657" t="str">
        <f>"9781108415620"</f>
        <v>9781108415620</v>
      </c>
      <c r="H657">
        <v>0</v>
      </c>
      <c r="I657">
        <v>3.78</v>
      </c>
      <c r="J657" t="s">
        <v>261</v>
      </c>
      <c r="K657" t="s">
        <v>35</v>
      </c>
      <c r="L657">
        <v>310</v>
      </c>
      <c r="M657">
        <v>2017</v>
      </c>
      <c r="P657" s="1">
        <v>43144</v>
      </c>
      <c r="Q657" t="s">
        <v>443</v>
      </c>
      <c r="R657" t="s">
        <v>2641</v>
      </c>
      <c r="S657" t="s">
        <v>36</v>
      </c>
      <c r="W657">
        <v>0</v>
      </c>
      <c r="Z657">
        <v>0</v>
      </c>
    </row>
    <row r="658" spans="1:26" x14ac:dyDescent="0.3">
      <c r="A658">
        <v>34315087</v>
      </c>
      <c r="B658" t="s">
        <v>2642</v>
      </c>
      <c r="C658" t="s">
        <v>2643</v>
      </c>
      <c r="D658" t="s">
        <v>2644</v>
      </c>
      <c r="F658" t="str">
        <f>"0815731590"</f>
        <v>0815731590</v>
      </c>
      <c r="G658" t="str">
        <f>"9780815731597"</f>
        <v>9780815731597</v>
      </c>
      <c r="H658">
        <v>0</v>
      </c>
      <c r="I658">
        <v>3.76</v>
      </c>
      <c r="J658" t="s">
        <v>1077</v>
      </c>
      <c r="K658" t="s">
        <v>35</v>
      </c>
      <c r="L658">
        <v>352</v>
      </c>
      <c r="M658">
        <v>2017</v>
      </c>
      <c r="P658" s="1">
        <v>43144</v>
      </c>
      <c r="Q658" t="s">
        <v>443</v>
      </c>
      <c r="R658" t="s">
        <v>2645</v>
      </c>
      <c r="S658" t="s">
        <v>36</v>
      </c>
      <c r="W658">
        <v>0</v>
      </c>
      <c r="Z658">
        <v>0</v>
      </c>
    </row>
    <row r="659" spans="1:26" x14ac:dyDescent="0.3">
      <c r="A659">
        <v>33197518</v>
      </c>
      <c r="B659" t="s">
        <v>2646</v>
      </c>
      <c r="C659" t="s">
        <v>2647</v>
      </c>
      <c r="D659" t="s">
        <v>2648</v>
      </c>
      <c r="F659" t="str">
        <f>"0231182465"</f>
        <v>0231182465</v>
      </c>
      <c r="G659" t="str">
        <f>"9780231182461"</f>
        <v>9780231182461</v>
      </c>
      <c r="H659">
        <v>0</v>
      </c>
      <c r="I659">
        <v>3.75</v>
      </c>
      <c r="J659" t="s">
        <v>1696</v>
      </c>
      <c r="K659" t="s">
        <v>35</v>
      </c>
      <c r="L659">
        <v>344</v>
      </c>
      <c r="M659">
        <v>2017</v>
      </c>
      <c r="P659" s="1">
        <v>43144</v>
      </c>
      <c r="Q659" t="s">
        <v>443</v>
      </c>
      <c r="R659" t="s">
        <v>2649</v>
      </c>
      <c r="S659" t="s">
        <v>36</v>
      </c>
      <c r="W659">
        <v>0</v>
      </c>
      <c r="Z659">
        <v>0</v>
      </c>
    </row>
    <row r="660" spans="1:26" x14ac:dyDescent="0.3">
      <c r="A660">
        <v>12408727</v>
      </c>
      <c r="B660" t="s">
        <v>2650</v>
      </c>
      <c r="C660" t="s">
        <v>2651</v>
      </c>
      <c r="D660" t="s">
        <v>2652</v>
      </c>
      <c r="F660" t="str">
        <f>"0199753709"</f>
        <v>0199753709</v>
      </c>
      <c r="G660" t="str">
        <f>"9780199753703"</f>
        <v>9780199753703</v>
      </c>
      <c r="H660">
        <v>0</v>
      </c>
      <c r="I660">
        <v>4.25</v>
      </c>
      <c r="J660" t="s">
        <v>104</v>
      </c>
      <c r="K660" t="s">
        <v>35</v>
      </c>
      <c r="L660">
        <v>289</v>
      </c>
      <c r="M660">
        <v>2011</v>
      </c>
      <c r="N660">
        <v>2011</v>
      </c>
      <c r="P660" s="1">
        <v>43144</v>
      </c>
      <c r="Q660" t="s">
        <v>36</v>
      </c>
      <c r="R660" t="s">
        <v>2653</v>
      </c>
      <c r="S660" t="s">
        <v>36</v>
      </c>
      <c r="W660">
        <v>0</v>
      </c>
      <c r="Z660">
        <v>0</v>
      </c>
    </row>
    <row r="661" spans="1:26" x14ac:dyDescent="0.3">
      <c r="A661">
        <v>29241529</v>
      </c>
      <c r="B661" t="s">
        <v>2654</v>
      </c>
      <c r="C661" t="s">
        <v>2655</v>
      </c>
      <c r="D661" t="s">
        <v>2656</v>
      </c>
      <c r="F661" t="str">
        <f>"0802867952"</f>
        <v>0802867952</v>
      </c>
      <c r="G661" t="str">
        <f>"9780802867957"</f>
        <v>9780802867957</v>
      </c>
      <c r="H661">
        <v>0</v>
      </c>
      <c r="I661">
        <v>4.25</v>
      </c>
      <c r="J661" t="s">
        <v>617</v>
      </c>
      <c r="K661" t="s">
        <v>35</v>
      </c>
      <c r="L661">
        <v>659</v>
      </c>
      <c r="M661">
        <v>2016</v>
      </c>
      <c r="P661" s="1">
        <v>43144</v>
      </c>
      <c r="Q661" t="s">
        <v>36</v>
      </c>
      <c r="R661" t="s">
        <v>2657</v>
      </c>
      <c r="S661" t="s">
        <v>36</v>
      </c>
      <c r="W661">
        <v>0</v>
      </c>
      <c r="Z661">
        <v>0</v>
      </c>
    </row>
    <row r="662" spans="1:26" x14ac:dyDescent="0.3">
      <c r="A662">
        <v>26763202</v>
      </c>
      <c r="B662" t="s">
        <v>2658</v>
      </c>
      <c r="C662" t="s">
        <v>2659</v>
      </c>
      <c r="D662" t="s">
        <v>2660</v>
      </c>
      <c r="F662" t="str">
        <f>"1498236251"</f>
        <v>1498236251</v>
      </c>
      <c r="G662" t="str">
        <f>"9781498236256"</f>
        <v>9781498236256</v>
      </c>
      <c r="H662">
        <v>0</v>
      </c>
      <c r="I662">
        <v>4.1399999999999997</v>
      </c>
      <c r="J662" t="s">
        <v>2661</v>
      </c>
      <c r="K662" t="s">
        <v>35</v>
      </c>
      <c r="L662">
        <v>388</v>
      </c>
      <c r="M662">
        <v>2015</v>
      </c>
      <c r="N662">
        <v>2015</v>
      </c>
      <c r="P662" s="1">
        <v>43144</v>
      </c>
      <c r="Q662" t="s">
        <v>36</v>
      </c>
      <c r="R662" t="s">
        <v>2662</v>
      </c>
      <c r="S662" t="s">
        <v>36</v>
      </c>
      <c r="W662">
        <v>0</v>
      </c>
      <c r="Z662">
        <v>0</v>
      </c>
    </row>
    <row r="663" spans="1:26" x14ac:dyDescent="0.3">
      <c r="A663">
        <v>38311251</v>
      </c>
      <c r="B663" t="s">
        <v>2663</v>
      </c>
      <c r="C663" t="s">
        <v>2664</v>
      </c>
      <c r="D663" t="s">
        <v>2665</v>
      </c>
      <c r="E663" t="s">
        <v>2666</v>
      </c>
      <c r="F663" t="str">
        <f>""</f>
        <v/>
      </c>
      <c r="G663" t="str">
        <f>"9781543923339"</f>
        <v>9781543923339</v>
      </c>
      <c r="H663">
        <v>0</v>
      </c>
      <c r="I663">
        <v>1</v>
      </c>
      <c r="J663" t="s">
        <v>2667</v>
      </c>
      <c r="K663" t="s">
        <v>173</v>
      </c>
      <c r="M663">
        <v>2018</v>
      </c>
      <c r="P663" s="1">
        <v>43140</v>
      </c>
      <c r="Q663" t="s">
        <v>36</v>
      </c>
      <c r="R663" t="s">
        <v>2668</v>
      </c>
      <c r="S663" t="s">
        <v>36</v>
      </c>
      <c r="W663">
        <v>0</v>
      </c>
      <c r="Z663">
        <v>0</v>
      </c>
    </row>
    <row r="664" spans="1:26" x14ac:dyDescent="0.3">
      <c r="A664">
        <v>13535210</v>
      </c>
      <c r="B664" t="s">
        <v>2669</v>
      </c>
      <c r="C664" t="s">
        <v>2670</v>
      </c>
      <c r="D664" t="s">
        <v>2671</v>
      </c>
      <c r="F664" t="str">
        <f>""</f>
        <v/>
      </c>
      <c r="G664" t="str">
        <f>""</f>
        <v/>
      </c>
      <c r="H664">
        <v>0</v>
      </c>
      <c r="I664">
        <v>3.97</v>
      </c>
      <c r="J664" t="s">
        <v>166</v>
      </c>
      <c r="K664" t="s">
        <v>69</v>
      </c>
      <c r="L664">
        <v>496</v>
      </c>
      <c r="M664">
        <v>2012</v>
      </c>
      <c r="N664">
        <v>2012</v>
      </c>
      <c r="P664" s="1">
        <v>43140</v>
      </c>
      <c r="Q664" t="s">
        <v>36</v>
      </c>
      <c r="R664" t="s">
        <v>2672</v>
      </c>
      <c r="S664" t="s">
        <v>36</v>
      </c>
      <c r="W664">
        <v>0</v>
      </c>
      <c r="Z664">
        <v>0</v>
      </c>
    </row>
    <row r="665" spans="1:26" x14ac:dyDescent="0.3">
      <c r="A665">
        <v>25813952</v>
      </c>
      <c r="B665" t="s">
        <v>2673</v>
      </c>
      <c r="C665" t="s">
        <v>2674</v>
      </c>
      <c r="D665" t="s">
        <v>2675</v>
      </c>
      <c r="F665" t="str">
        <f>"1476735409"</f>
        <v>1476735409</v>
      </c>
      <c r="G665" t="str">
        <f>"9781476735405"</f>
        <v>9781476735405</v>
      </c>
      <c r="H665">
        <v>0</v>
      </c>
      <c r="I665">
        <v>3.87</v>
      </c>
      <c r="J665" t="s">
        <v>139</v>
      </c>
      <c r="K665" t="s">
        <v>35</v>
      </c>
      <c r="L665">
        <v>560</v>
      </c>
      <c r="M665">
        <v>2017</v>
      </c>
      <c r="N665">
        <v>2017</v>
      </c>
      <c r="P665" s="1">
        <v>43140</v>
      </c>
      <c r="Q665" t="s">
        <v>36</v>
      </c>
      <c r="R665" t="s">
        <v>2676</v>
      </c>
      <c r="S665" t="s">
        <v>36</v>
      </c>
      <c r="W665">
        <v>0</v>
      </c>
      <c r="Z665">
        <v>0</v>
      </c>
    </row>
    <row r="666" spans="1:26" x14ac:dyDescent="0.3">
      <c r="A666">
        <v>34497935</v>
      </c>
      <c r="B666" t="s">
        <v>2677</v>
      </c>
      <c r="C666" t="s">
        <v>2678</v>
      </c>
      <c r="D666" t="s">
        <v>2679</v>
      </c>
      <c r="F666" t="str">
        <f>"1107017955"</f>
        <v>1107017955</v>
      </c>
      <c r="G666" t="str">
        <f>"9781107017955"</f>
        <v>9781107017955</v>
      </c>
      <c r="H666">
        <v>0</v>
      </c>
      <c r="I666">
        <v>4.34</v>
      </c>
      <c r="J666" t="s">
        <v>261</v>
      </c>
      <c r="K666" t="s">
        <v>35</v>
      </c>
      <c r="L666">
        <v>284</v>
      </c>
      <c r="M666">
        <v>2017</v>
      </c>
      <c r="P666" s="1">
        <v>43140</v>
      </c>
      <c r="Q666" t="s">
        <v>36</v>
      </c>
      <c r="R666" t="s">
        <v>2680</v>
      </c>
      <c r="S666" t="s">
        <v>36</v>
      </c>
      <c r="W666">
        <v>0</v>
      </c>
      <c r="Z666">
        <v>0</v>
      </c>
    </row>
    <row r="667" spans="1:26" x14ac:dyDescent="0.3">
      <c r="A667">
        <v>22557531</v>
      </c>
      <c r="B667" t="s">
        <v>2681</v>
      </c>
      <c r="C667" t="s">
        <v>2682</v>
      </c>
      <c r="D667" t="s">
        <v>2683</v>
      </c>
      <c r="F667" t="str">
        <f>"1476795193"</f>
        <v>1476795193</v>
      </c>
      <c r="G667" t="str">
        <f>"9781476795195"</f>
        <v>9781476795195</v>
      </c>
      <c r="H667">
        <v>0</v>
      </c>
      <c r="I667">
        <v>3.92</v>
      </c>
      <c r="J667" t="s">
        <v>139</v>
      </c>
      <c r="K667" t="s">
        <v>35</v>
      </c>
      <c r="L667">
        <v>464</v>
      </c>
      <c r="M667">
        <v>2014</v>
      </c>
      <c r="N667">
        <v>2014</v>
      </c>
      <c r="P667" s="1">
        <v>43140</v>
      </c>
      <c r="Q667" t="s">
        <v>36</v>
      </c>
      <c r="R667" t="s">
        <v>2684</v>
      </c>
      <c r="S667" t="s">
        <v>36</v>
      </c>
      <c r="W667">
        <v>0</v>
      </c>
      <c r="Z667">
        <v>0</v>
      </c>
    </row>
    <row r="668" spans="1:26" x14ac:dyDescent="0.3">
      <c r="A668">
        <v>25898135</v>
      </c>
      <c r="B668" t="s">
        <v>2685</v>
      </c>
      <c r="C668" t="s">
        <v>1981</v>
      </c>
      <c r="D668" t="s">
        <v>1982</v>
      </c>
      <c r="F668" t="str">
        <f>"1610393058"</f>
        <v>1610393058</v>
      </c>
      <c r="G668" t="str">
        <f>"9781610393058"</f>
        <v>9781610393058</v>
      </c>
      <c r="H668">
        <v>0</v>
      </c>
      <c r="I668">
        <v>3.76</v>
      </c>
      <c r="J668" t="s">
        <v>487</v>
      </c>
      <c r="K668" t="s">
        <v>35</v>
      </c>
      <c r="L668">
        <v>400</v>
      </c>
      <c r="M668">
        <v>2017</v>
      </c>
      <c r="N668">
        <v>2016</v>
      </c>
      <c r="P668" s="1">
        <v>43140</v>
      </c>
      <c r="Q668" t="s">
        <v>36</v>
      </c>
      <c r="R668" t="s">
        <v>2686</v>
      </c>
      <c r="S668" t="s">
        <v>36</v>
      </c>
      <c r="W668">
        <v>0</v>
      </c>
      <c r="Z668">
        <v>0</v>
      </c>
    </row>
    <row r="669" spans="1:26" x14ac:dyDescent="0.3">
      <c r="A669">
        <v>33413964</v>
      </c>
      <c r="B669" t="s">
        <v>2687</v>
      </c>
      <c r="C669" t="s">
        <v>2688</v>
      </c>
      <c r="D669" t="s">
        <v>2689</v>
      </c>
      <c r="F669" t="str">
        <f>"0547423063"</f>
        <v>0547423063</v>
      </c>
      <c r="G669" t="str">
        <f>"9780547423067"</f>
        <v>9780547423067</v>
      </c>
      <c r="H669">
        <v>0</v>
      </c>
      <c r="I669">
        <v>4.28</v>
      </c>
      <c r="J669" t="s">
        <v>1207</v>
      </c>
      <c r="K669" t="s">
        <v>35</v>
      </c>
      <c r="L669">
        <v>608</v>
      </c>
      <c r="M669">
        <v>2017</v>
      </c>
      <c r="N669">
        <v>2017</v>
      </c>
      <c r="P669" s="1">
        <v>43140</v>
      </c>
      <c r="Q669" t="s">
        <v>36</v>
      </c>
      <c r="R669" t="s">
        <v>2690</v>
      </c>
      <c r="S669" t="s">
        <v>36</v>
      </c>
      <c r="W669">
        <v>0</v>
      </c>
      <c r="Z669">
        <v>0</v>
      </c>
    </row>
    <row r="670" spans="1:26" x14ac:dyDescent="0.3">
      <c r="A670">
        <v>22891</v>
      </c>
      <c r="B670" t="s">
        <v>2691</v>
      </c>
      <c r="C670" t="s">
        <v>2692</v>
      </c>
      <c r="D670" t="s">
        <v>2693</v>
      </c>
      <c r="F670" t="str">
        <f>"0231126999"</f>
        <v>0231126999</v>
      </c>
      <c r="G670" t="str">
        <f>"9780231126991"</f>
        <v>9780231126991</v>
      </c>
      <c r="H670">
        <v>0</v>
      </c>
      <c r="I670">
        <v>3.96</v>
      </c>
      <c r="J670" t="s">
        <v>1696</v>
      </c>
      <c r="K670" t="s">
        <v>60</v>
      </c>
      <c r="L670">
        <v>432</v>
      </c>
      <c r="M670">
        <v>2006</v>
      </c>
      <c r="N670">
        <v>1998</v>
      </c>
      <c r="P670" s="1">
        <v>43140</v>
      </c>
      <c r="Q670" t="s">
        <v>36</v>
      </c>
      <c r="R670" t="s">
        <v>2694</v>
      </c>
      <c r="S670" t="s">
        <v>36</v>
      </c>
      <c r="W670">
        <v>0</v>
      </c>
      <c r="Z670">
        <v>0</v>
      </c>
    </row>
    <row r="671" spans="1:26" x14ac:dyDescent="0.3">
      <c r="A671">
        <v>24192341</v>
      </c>
      <c r="B671" t="s">
        <v>2695</v>
      </c>
      <c r="C671" t="s">
        <v>2696</v>
      </c>
      <c r="D671" t="s">
        <v>2697</v>
      </c>
      <c r="F671" t="str">
        <f>"0745687946"</f>
        <v>0745687946</v>
      </c>
      <c r="G671" t="str">
        <f>"9780745687940"</f>
        <v>9780745687940</v>
      </c>
      <c r="H671">
        <v>0</v>
      </c>
      <c r="I671">
        <v>3.82</v>
      </c>
      <c r="J671" t="s">
        <v>1498</v>
      </c>
      <c r="K671" t="s">
        <v>60</v>
      </c>
      <c r="L671">
        <v>188</v>
      </c>
      <c r="M671">
        <v>2015</v>
      </c>
      <c r="N671">
        <v>2015</v>
      </c>
      <c r="P671" s="1">
        <v>43140</v>
      </c>
      <c r="Q671" t="s">
        <v>36</v>
      </c>
      <c r="R671" t="s">
        <v>2698</v>
      </c>
      <c r="S671" t="s">
        <v>36</v>
      </c>
      <c r="W671">
        <v>0</v>
      </c>
      <c r="Z671">
        <v>0</v>
      </c>
    </row>
    <row r="672" spans="1:26" x14ac:dyDescent="0.3">
      <c r="A672">
        <v>17942066</v>
      </c>
      <c r="B672" t="s">
        <v>2699</v>
      </c>
      <c r="C672" t="s">
        <v>2700</v>
      </c>
      <c r="D672" t="s">
        <v>2701</v>
      </c>
      <c r="F672" t="str">
        <f>"1400848458"</f>
        <v>1400848458</v>
      </c>
      <c r="G672" t="str">
        <f>"9781400848454"</f>
        <v>9781400848454</v>
      </c>
      <c r="H672">
        <v>0</v>
      </c>
      <c r="I672">
        <v>4.07</v>
      </c>
      <c r="J672" t="s">
        <v>377</v>
      </c>
      <c r="K672" t="s">
        <v>173</v>
      </c>
      <c r="L672">
        <v>384</v>
      </c>
      <c r="M672">
        <v>2014</v>
      </c>
      <c r="N672">
        <v>2013</v>
      </c>
      <c r="P672" s="1">
        <v>43140</v>
      </c>
      <c r="Q672" t="s">
        <v>36</v>
      </c>
      <c r="R672" t="s">
        <v>2702</v>
      </c>
      <c r="S672" t="s">
        <v>36</v>
      </c>
      <c r="W672">
        <v>0</v>
      </c>
      <c r="Z672">
        <v>0</v>
      </c>
    </row>
    <row r="673" spans="1:26" x14ac:dyDescent="0.3">
      <c r="A673">
        <v>30462615</v>
      </c>
      <c r="B673" t="s">
        <v>2703</v>
      </c>
      <c r="C673" t="s">
        <v>2704</v>
      </c>
      <c r="D673" t="s">
        <v>2705</v>
      </c>
      <c r="F673" t="str">
        <f>"1107069106"</f>
        <v>1107069106</v>
      </c>
      <c r="G673" t="str">
        <f>"9781107069107"</f>
        <v>9781107069107</v>
      </c>
      <c r="H673">
        <v>0</v>
      </c>
      <c r="I673">
        <v>3.5</v>
      </c>
      <c r="J673" t="s">
        <v>261</v>
      </c>
      <c r="K673" t="s">
        <v>35</v>
      </c>
      <c r="L673">
        <v>340</v>
      </c>
      <c r="M673">
        <v>2016</v>
      </c>
      <c r="P673" s="1">
        <v>43140</v>
      </c>
      <c r="Q673" t="s">
        <v>36</v>
      </c>
      <c r="R673" t="s">
        <v>2706</v>
      </c>
      <c r="S673" t="s">
        <v>36</v>
      </c>
      <c r="W673">
        <v>0</v>
      </c>
      <c r="Z673">
        <v>0</v>
      </c>
    </row>
    <row r="674" spans="1:26" x14ac:dyDescent="0.3">
      <c r="A674">
        <v>34919098</v>
      </c>
      <c r="B674" t="s">
        <v>2707</v>
      </c>
      <c r="C674" t="s">
        <v>2708</v>
      </c>
      <c r="D674" t="s">
        <v>2709</v>
      </c>
      <c r="F674" t="str">
        <f>"1501707566"</f>
        <v>1501707566</v>
      </c>
      <c r="G674" t="str">
        <f>"9781501707568"</f>
        <v>9781501707568</v>
      </c>
      <c r="H674">
        <v>0</v>
      </c>
      <c r="I674">
        <v>3.86</v>
      </c>
      <c r="J674" t="s">
        <v>1691</v>
      </c>
      <c r="K674" t="s">
        <v>35</v>
      </c>
      <c r="L674">
        <v>220</v>
      </c>
      <c r="M674">
        <v>2017</v>
      </c>
      <c r="P674" s="1">
        <v>43140</v>
      </c>
      <c r="Q674" t="s">
        <v>36</v>
      </c>
      <c r="R674" t="s">
        <v>2710</v>
      </c>
      <c r="S674" t="s">
        <v>36</v>
      </c>
      <c r="W674">
        <v>0</v>
      </c>
      <c r="Z674">
        <v>0</v>
      </c>
    </row>
    <row r="675" spans="1:26" x14ac:dyDescent="0.3">
      <c r="A675">
        <v>78107</v>
      </c>
      <c r="B675" t="s">
        <v>2711</v>
      </c>
      <c r="C675" t="s">
        <v>2712</v>
      </c>
      <c r="D675" t="s">
        <v>2713</v>
      </c>
      <c r="F675" t="str">
        <f>"0805068848"</f>
        <v>0805068848</v>
      </c>
      <c r="G675" t="str">
        <f>"9780805068849"</f>
        <v>9780805068849</v>
      </c>
      <c r="H675">
        <v>0</v>
      </c>
      <c r="I675">
        <v>4.2</v>
      </c>
      <c r="J675" t="s">
        <v>2714</v>
      </c>
      <c r="K675" t="s">
        <v>60</v>
      </c>
      <c r="L675">
        <v>635</v>
      </c>
      <c r="M675">
        <v>2001</v>
      </c>
      <c r="N675">
        <v>1989</v>
      </c>
      <c r="P675" s="1">
        <v>43140</v>
      </c>
      <c r="Q675" t="s">
        <v>36</v>
      </c>
      <c r="R675" t="s">
        <v>2715</v>
      </c>
      <c r="S675" t="s">
        <v>36</v>
      </c>
      <c r="W675">
        <v>0</v>
      </c>
      <c r="Z675">
        <v>0</v>
      </c>
    </row>
    <row r="676" spans="1:26" x14ac:dyDescent="0.3">
      <c r="A676">
        <v>17713393</v>
      </c>
      <c r="B676" t="s">
        <v>2716</v>
      </c>
      <c r="C676" t="s">
        <v>2717</v>
      </c>
      <c r="D676" t="s">
        <v>2718</v>
      </c>
      <c r="F676" t="str">
        <f>"019967261X"</f>
        <v>019967261X</v>
      </c>
      <c r="G676" t="str">
        <f>"9780199672615"</f>
        <v>9780199672615</v>
      </c>
      <c r="H676">
        <v>0</v>
      </c>
      <c r="I676">
        <v>4.3099999999999996</v>
      </c>
      <c r="J676" t="s">
        <v>104</v>
      </c>
      <c r="K676" t="s">
        <v>35</v>
      </c>
      <c r="L676">
        <v>361</v>
      </c>
      <c r="M676">
        <v>2013</v>
      </c>
      <c r="N676">
        <v>2013</v>
      </c>
      <c r="P676" s="1">
        <v>43140</v>
      </c>
      <c r="Q676" t="s">
        <v>36</v>
      </c>
      <c r="R676" t="s">
        <v>2719</v>
      </c>
      <c r="S676" t="s">
        <v>36</v>
      </c>
      <c r="W676">
        <v>0</v>
      </c>
      <c r="Z676">
        <v>0</v>
      </c>
    </row>
    <row r="677" spans="1:26" x14ac:dyDescent="0.3">
      <c r="A677">
        <v>34927477</v>
      </c>
      <c r="B677" t="s">
        <v>2720</v>
      </c>
      <c r="C677" t="s">
        <v>2721</v>
      </c>
      <c r="D677" t="s">
        <v>2722</v>
      </c>
      <c r="E677" t="s">
        <v>2723</v>
      </c>
      <c r="F677" t="str">
        <f>"0190851163"</f>
        <v>0190851163</v>
      </c>
      <c r="G677" t="str">
        <f>"9780190851163"</f>
        <v>9780190851163</v>
      </c>
      <c r="H677">
        <v>0</v>
      </c>
      <c r="I677">
        <v>4</v>
      </c>
      <c r="J677" t="s">
        <v>104</v>
      </c>
      <c r="K677" t="s">
        <v>35</v>
      </c>
      <c r="L677">
        <v>488</v>
      </c>
      <c r="M677">
        <v>2017</v>
      </c>
      <c r="P677" s="1">
        <v>43140</v>
      </c>
      <c r="Q677" t="s">
        <v>36</v>
      </c>
      <c r="R677" t="s">
        <v>2724</v>
      </c>
      <c r="S677" t="s">
        <v>36</v>
      </c>
      <c r="W677">
        <v>0</v>
      </c>
      <c r="Z677">
        <v>0</v>
      </c>
    </row>
    <row r="678" spans="1:26" x14ac:dyDescent="0.3">
      <c r="A678">
        <v>31850683</v>
      </c>
      <c r="B678" t="s">
        <v>2725</v>
      </c>
      <c r="C678" t="s">
        <v>2726</v>
      </c>
      <c r="D678" t="s">
        <v>2727</v>
      </c>
      <c r="F678" t="str">
        <f>"0190668016"</f>
        <v>0190668016</v>
      </c>
      <c r="G678" t="str">
        <f>"9780190668013"</f>
        <v>9780190668013</v>
      </c>
      <c r="H678">
        <v>0</v>
      </c>
      <c r="I678">
        <v>4.12</v>
      </c>
      <c r="J678" t="s">
        <v>104</v>
      </c>
      <c r="K678" t="s">
        <v>35</v>
      </c>
      <c r="L678">
        <v>256</v>
      </c>
      <c r="M678">
        <v>2017</v>
      </c>
      <c r="P678" s="1">
        <v>43140</v>
      </c>
      <c r="Q678" t="s">
        <v>36</v>
      </c>
      <c r="R678" t="s">
        <v>2728</v>
      </c>
      <c r="S678" t="s">
        <v>36</v>
      </c>
      <c r="W678">
        <v>0</v>
      </c>
      <c r="Z678">
        <v>0</v>
      </c>
    </row>
    <row r="679" spans="1:26" x14ac:dyDescent="0.3">
      <c r="A679">
        <v>37659</v>
      </c>
      <c r="B679" t="s">
        <v>2729</v>
      </c>
      <c r="C679" t="s">
        <v>2730</v>
      </c>
      <c r="D679" t="s">
        <v>2731</v>
      </c>
      <c r="F679" t="str">
        <f>"0393304930"</f>
        <v>0393304930</v>
      </c>
      <c r="G679" t="str">
        <f>"9780393304930"</f>
        <v>9780393304930</v>
      </c>
      <c r="H679">
        <v>0</v>
      </c>
      <c r="I679">
        <v>3.86</v>
      </c>
      <c r="J679" t="s">
        <v>144</v>
      </c>
      <c r="K679" t="s">
        <v>60</v>
      </c>
      <c r="L679">
        <v>352</v>
      </c>
      <c r="M679">
        <v>1988</v>
      </c>
      <c r="N679">
        <v>1959</v>
      </c>
      <c r="P679" s="1">
        <v>43140</v>
      </c>
      <c r="Q679" t="s">
        <v>36</v>
      </c>
      <c r="R679" t="s">
        <v>2732</v>
      </c>
      <c r="S679" t="s">
        <v>36</v>
      </c>
      <c r="W679">
        <v>0</v>
      </c>
      <c r="Z679">
        <v>0</v>
      </c>
    </row>
    <row r="680" spans="1:26" x14ac:dyDescent="0.3">
      <c r="A680">
        <v>33898299</v>
      </c>
      <c r="B680" t="s">
        <v>2733</v>
      </c>
      <c r="C680" t="s">
        <v>2734</v>
      </c>
      <c r="D680" t="s">
        <v>2735</v>
      </c>
      <c r="F680" t="str">
        <f>"0521761174"</f>
        <v>0521761174</v>
      </c>
      <c r="G680" t="str">
        <f>"9780521761178"</f>
        <v>9780521761178</v>
      </c>
      <c r="H680">
        <v>0</v>
      </c>
      <c r="I680">
        <v>4.18</v>
      </c>
      <c r="J680" t="s">
        <v>261</v>
      </c>
      <c r="K680" t="s">
        <v>35</v>
      </c>
      <c r="L680">
        <v>280</v>
      </c>
      <c r="M680">
        <v>2017</v>
      </c>
      <c r="N680">
        <v>2017</v>
      </c>
      <c r="P680" s="1">
        <v>43140</v>
      </c>
      <c r="Q680" t="s">
        <v>36</v>
      </c>
      <c r="R680" t="s">
        <v>2736</v>
      </c>
      <c r="S680" t="s">
        <v>36</v>
      </c>
      <c r="W680">
        <v>0</v>
      </c>
      <c r="Z680">
        <v>0</v>
      </c>
    </row>
    <row r="681" spans="1:26" x14ac:dyDescent="0.3">
      <c r="A681">
        <v>35880367</v>
      </c>
      <c r="B681" t="s">
        <v>2737</v>
      </c>
      <c r="C681" t="s">
        <v>2738</v>
      </c>
      <c r="D681" t="s">
        <v>2739</v>
      </c>
      <c r="F681" t="str">
        <f>"1107148731"</f>
        <v>1107148731</v>
      </c>
      <c r="G681" t="str">
        <f>"9781107148734"</f>
        <v>9781107148734</v>
      </c>
      <c r="H681">
        <v>0</v>
      </c>
      <c r="I681">
        <v>3.8</v>
      </c>
      <c r="J681" t="s">
        <v>261</v>
      </c>
      <c r="K681" t="s">
        <v>35</v>
      </c>
      <c r="L681">
        <v>298</v>
      </c>
      <c r="M681">
        <v>2017</v>
      </c>
      <c r="N681">
        <v>2017</v>
      </c>
      <c r="P681" s="1">
        <v>43140</v>
      </c>
      <c r="Q681" t="s">
        <v>36</v>
      </c>
      <c r="R681" t="s">
        <v>2740</v>
      </c>
      <c r="S681" t="s">
        <v>36</v>
      </c>
      <c r="W681">
        <v>0</v>
      </c>
      <c r="Z681">
        <v>0</v>
      </c>
    </row>
    <row r="682" spans="1:26" x14ac:dyDescent="0.3">
      <c r="A682">
        <v>30462794</v>
      </c>
      <c r="B682" t="s">
        <v>2741</v>
      </c>
      <c r="C682" t="s">
        <v>2742</v>
      </c>
      <c r="D682" t="s">
        <v>2743</v>
      </c>
      <c r="F682" t="str">
        <f>"1107139848"</f>
        <v>1107139848</v>
      </c>
      <c r="G682" t="str">
        <f>"9781107139848"</f>
        <v>9781107139848</v>
      </c>
      <c r="H682">
        <v>0</v>
      </c>
      <c r="I682">
        <v>4.43</v>
      </c>
      <c r="J682" t="s">
        <v>261</v>
      </c>
      <c r="K682" t="s">
        <v>35</v>
      </c>
      <c r="L682">
        <v>336</v>
      </c>
      <c r="M682">
        <v>2016</v>
      </c>
      <c r="P682" s="1">
        <v>43140</v>
      </c>
      <c r="Q682" t="s">
        <v>36</v>
      </c>
      <c r="R682" t="s">
        <v>2744</v>
      </c>
      <c r="S682" t="s">
        <v>36</v>
      </c>
      <c r="W682">
        <v>0</v>
      </c>
      <c r="Z682">
        <v>0</v>
      </c>
    </row>
    <row r="683" spans="1:26" x14ac:dyDescent="0.3">
      <c r="A683">
        <v>32714222</v>
      </c>
      <c r="B683" t="s">
        <v>2745</v>
      </c>
      <c r="C683" t="s">
        <v>2746</v>
      </c>
      <c r="D683" t="s">
        <v>2747</v>
      </c>
      <c r="F683" t="str">
        <f>"0300223285"</f>
        <v>0300223285</v>
      </c>
      <c r="G683" t="str">
        <f>"9780300223286"</f>
        <v>9780300223286</v>
      </c>
      <c r="H683">
        <v>0</v>
      </c>
      <c r="I683">
        <v>3.87</v>
      </c>
      <c r="J683" t="s">
        <v>356</v>
      </c>
      <c r="K683" t="s">
        <v>35</v>
      </c>
      <c r="L683">
        <v>288</v>
      </c>
      <c r="M683">
        <v>2017</v>
      </c>
      <c r="N683">
        <v>2017</v>
      </c>
      <c r="P683" s="1">
        <v>43140</v>
      </c>
      <c r="Q683" t="s">
        <v>36</v>
      </c>
      <c r="R683" t="s">
        <v>2748</v>
      </c>
      <c r="S683" t="s">
        <v>36</v>
      </c>
      <c r="W683">
        <v>0</v>
      </c>
      <c r="Z683">
        <v>0</v>
      </c>
    </row>
    <row r="684" spans="1:26" x14ac:dyDescent="0.3">
      <c r="A684">
        <v>25677429</v>
      </c>
      <c r="B684" t="s">
        <v>2749</v>
      </c>
      <c r="C684" t="s">
        <v>2750</v>
      </c>
      <c r="D684" t="s">
        <v>2751</v>
      </c>
      <c r="F684" t="str">
        <f>"1478960973"</f>
        <v>1478960973</v>
      </c>
      <c r="G684" t="str">
        <f>"9781478960973"</f>
        <v>9781478960973</v>
      </c>
      <c r="H684">
        <v>0</v>
      </c>
      <c r="I684">
        <v>4.0199999999999996</v>
      </c>
      <c r="J684" t="s">
        <v>2752</v>
      </c>
      <c r="K684" t="s">
        <v>1786</v>
      </c>
      <c r="M684">
        <v>2015</v>
      </c>
      <c r="N684">
        <v>2015</v>
      </c>
      <c r="P684" s="1">
        <v>43140</v>
      </c>
      <c r="Q684" t="s">
        <v>36</v>
      </c>
      <c r="R684" t="s">
        <v>2753</v>
      </c>
      <c r="S684" t="s">
        <v>36</v>
      </c>
      <c r="W684">
        <v>0</v>
      </c>
      <c r="Z684">
        <v>0</v>
      </c>
    </row>
    <row r="685" spans="1:26" x14ac:dyDescent="0.3">
      <c r="A685">
        <v>6478768</v>
      </c>
      <c r="B685" t="s">
        <v>2754</v>
      </c>
      <c r="C685" t="s">
        <v>2755</v>
      </c>
      <c r="D685" t="s">
        <v>2756</v>
      </c>
      <c r="F685" t="str">
        <f>"1594201854"</f>
        <v>1594201854</v>
      </c>
      <c r="G685" t="str">
        <f>"9781594201851"</f>
        <v>9781594201851</v>
      </c>
      <c r="H685">
        <v>0</v>
      </c>
      <c r="I685">
        <v>3.78</v>
      </c>
      <c r="J685" t="s">
        <v>442</v>
      </c>
      <c r="K685" t="s">
        <v>35</v>
      </c>
      <c r="L685">
        <v>778</v>
      </c>
      <c r="M685">
        <v>2009</v>
      </c>
      <c r="N685">
        <v>2008</v>
      </c>
      <c r="P685" s="1">
        <v>43140</v>
      </c>
      <c r="Q685" t="s">
        <v>36</v>
      </c>
      <c r="R685" t="s">
        <v>2757</v>
      </c>
      <c r="S685" t="s">
        <v>36</v>
      </c>
      <c r="W685">
        <v>0</v>
      </c>
      <c r="Z685">
        <v>0</v>
      </c>
    </row>
    <row r="686" spans="1:26" x14ac:dyDescent="0.3">
      <c r="A686">
        <v>4414920</v>
      </c>
      <c r="B686" t="s">
        <v>2758</v>
      </c>
      <c r="C686" t="s">
        <v>2759</v>
      </c>
      <c r="D686" t="s">
        <v>2760</v>
      </c>
      <c r="F686" t="str">
        <f>"0195373197"</f>
        <v>0195373197</v>
      </c>
      <c r="G686" t="str">
        <f>"9780195373196"</f>
        <v>9780195373196</v>
      </c>
      <c r="H686">
        <v>0</v>
      </c>
      <c r="I686">
        <v>3.87</v>
      </c>
      <c r="J686" t="s">
        <v>104</v>
      </c>
      <c r="K686" t="s">
        <v>60</v>
      </c>
      <c r="L686">
        <v>320</v>
      </c>
      <c r="M686">
        <v>2008</v>
      </c>
      <c r="N686">
        <v>2007</v>
      </c>
      <c r="P686" s="1">
        <v>43140</v>
      </c>
      <c r="Q686" t="s">
        <v>36</v>
      </c>
      <c r="R686" t="s">
        <v>2761</v>
      </c>
      <c r="S686" t="s">
        <v>36</v>
      </c>
      <c r="W686">
        <v>0</v>
      </c>
      <c r="Z686">
        <v>0</v>
      </c>
    </row>
    <row r="687" spans="1:26" x14ac:dyDescent="0.3">
      <c r="A687">
        <v>1556533</v>
      </c>
      <c r="B687" t="s">
        <v>2762</v>
      </c>
      <c r="C687" t="s">
        <v>2763</v>
      </c>
      <c r="D687" t="s">
        <v>2764</v>
      </c>
      <c r="E687" t="s">
        <v>2765</v>
      </c>
      <c r="F687" t="str">
        <f>"0226731448"</f>
        <v>0226731448</v>
      </c>
      <c r="G687" t="str">
        <f>"9780226731445"</f>
        <v>9780226731445</v>
      </c>
      <c r="H687">
        <v>0</v>
      </c>
      <c r="I687">
        <v>3.82</v>
      </c>
      <c r="J687" t="s">
        <v>2766</v>
      </c>
      <c r="K687" t="s">
        <v>60</v>
      </c>
      <c r="L687">
        <v>398</v>
      </c>
      <c r="M687">
        <v>1992</v>
      </c>
      <c r="N687">
        <v>1992</v>
      </c>
      <c r="P687" s="1">
        <v>43140</v>
      </c>
      <c r="Q687" t="s">
        <v>36</v>
      </c>
      <c r="R687" t="s">
        <v>2767</v>
      </c>
      <c r="S687" t="s">
        <v>36</v>
      </c>
      <c r="W687">
        <v>0</v>
      </c>
      <c r="Z687">
        <v>0</v>
      </c>
    </row>
    <row r="688" spans="1:26" x14ac:dyDescent="0.3">
      <c r="A688">
        <v>919658</v>
      </c>
      <c r="B688" t="s">
        <v>2768</v>
      </c>
      <c r="C688" t="s">
        <v>2769</v>
      </c>
      <c r="D688" t="s">
        <v>2770</v>
      </c>
      <c r="F688" t="str">
        <f>"0520039548"</f>
        <v>0520039548</v>
      </c>
      <c r="G688" t="str">
        <f>"9780520039544"</f>
        <v>9780520039544</v>
      </c>
      <c r="H688">
        <v>0</v>
      </c>
      <c r="I688">
        <v>3.46</v>
      </c>
      <c r="J688" t="s">
        <v>579</v>
      </c>
      <c r="K688" t="s">
        <v>60</v>
      </c>
      <c r="L688">
        <v>332</v>
      </c>
      <c r="M688">
        <v>1979</v>
      </c>
      <c r="N688">
        <v>1979</v>
      </c>
      <c r="P688" s="1">
        <v>43140</v>
      </c>
      <c r="Q688" t="s">
        <v>36</v>
      </c>
      <c r="R688" t="s">
        <v>2771</v>
      </c>
      <c r="S688" t="s">
        <v>36</v>
      </c>
      <c r="W688">
        <v>0</v>
      </c>
      <c r="Z688">
        <v>0</v>
      </c>
    </row>
    <row r="689" spans="1:26" x14ac:dyDescent="0.3">
      <c r="A689">
        <v>1302001</v>
      </c>
      <c r="B689" t="s">
        <v>2772</v>
      </c>
      <c r="C689" t="s">
        <v>2773</v>
      </c>
      <c r="D689" t="s">
        <v>2774</v>
      </c>
      <c r="F689" t="str">
        <f>"0691010730"</f>
        <v>0691010730</v>
      </c>
      <c r="G689" t="str">
        <f>"9780691010731"</f>
        <v>9780691010731</v>
      </c>
      <c r="H689">
        <v>0</v>
      </c>
      <c r="I689">
        <v>3.91</v>
      </c>
      <c r="J689" t="s">
        <v>377</v>
      </c>
      <c r="K689" t="s">
        <v>60</v>
      </c>
      <c r="L689">
        <v>320</v>
      </c>
      <c r="M689">
        <v>1988</v>
      </c>
      <c r="N689">
        <v>1988</v>
      </c>
      <c r="P689" s="1">
        <v>43140</v>
      </c>
      <c r="Q689" t="s">
        <v>36</v>
      </c>
      <c r="R689" t="s">
        <v>2775</v>
      </c>
      <c r="S689" t="s">
        <v>36</v>
      </c>
      <c r="W689">
        <v>0</v>
      </c>
      <c r="Z689">
        <v>0</v>
      </c>
    </row>
    <row r="690" spans="1:26" x14ac:dyDescent="0.3">
      <c r="A690">
        <v>23336508</v>
      </c>
      <c r="B690" t="s">
        <v>2776</v>
      </c>
      <c r="C690" t="s">
        <v>2777</v>
      </c>
      <c r="D690" t="s">
        <v>2778</v>
      </c>
      <c r="F690" t="str">
        <f>"0190202599"</f>
        <v>0190202599</v>
      </c>
      <c r="G690" t="str">
        <f>"9780190202590"</f>
        <v>9780190202590</v>
      </c>
      <c r="H690">
        <v>0</v>
      </c>
      <c r="I690">
        <v>3.87</v>
      </c>
      <c r="J690" t="s">
        <v>104</v>
      </c>
      <c r="K690" t="s">
        <v>35</v>
      </c>
      <c r="L690">
        <v>416</v>
      </c>
      <c r="M690">
        <v>2015</v>
      </c>
      <c r="N690">
        <v>2015</v>
      </c>
      <c r="P690" s="1">
        <v>43140</v>
      </c>
      <c r="Q690" t="s">
        <v>36</v>
      </c>
      <c r="R690" t="s">
        <v>2779</v>
      </c>
      <c r="S690" t="s">
        <v>36</v>
      </c>
      <c r="W690">
        <v>0</v>
      </c>
      <c r="Z690">
        <v>0</v>
      </c>
    </row>
    <row r="691" spans="1:26" x14ac:dyDescent="0.3">
      <c r="A691">
        <v>529579</v>
      </c>
      <c r="B691" t="s">
        <v>2780</v>
      </c>
      <c r="C691" t="s">
        <v>2781</v>
      </c>
      <c r="D691" t="s">
        <v>2782</v>
      </c>
      <c r="F691" t="str">
        <f>"038551705X"</f>
        <v>038551705X</v>
      </c>
      <c r="G691" t="str">
        <f>"9780385517058"</f>
        <v>9780385517058</v>
      </c>
      <c r="H691">
        <v>0</v>
      </c>
      <c r="I691">
        <v>3.67</v>
      </c>
      <c r="J691" t="s">
        <v>55</v>
      </c>
      <c r="K691" t="s">
        <v>35</v>
      </c>
      <c r="L691">
        <v>272</v>
      </c>
      <c r="M691">
        <v>2009</v>
      </c>
      <c r="N691">
        <v>2008</v>
      </c>
      <c r="P691" s="1">
        <v>43140</v>
      </c>
      <c r="Q691" t="s">
        <v>36</v>
      </c>
      <c r="R691" t="s">
        <v>2783</v>
      </c>
      <c r="S691" t="s">
        <v>36</v>
      </c>
      <c r="W691">
        <v>0</v>
      </c>
      <c r="Z691">
        <v>0</v>
      </c>
    </row>
    <row r="692" spans="1:26" x14ac:dyDescent="0.3">
      <c r="A692">
        <v>18140032</v>
      </c>
      <c r="B692" t="s">
        <v>2784</v>
      </c>
      <c r="C692" t="s">
        <v>2785</v>
      </c>
      <c r="D692" t="s">
        <v>2786</v>
      </c>
      <c r="F692" t="str">
        <f>"1780329474"</f>
        <v>1780329474</v>
      </c>
      <c r="G692" t="str">
        <f>"9781780329475"</f>
        <v>9781780329475</v>
      </c>
      <c r="H692">
        <v>0</v>
      </c>
      <c r="I692">
        <v>3.65</v>
      </c>
      <c r="J692" t="s">
        <v>1883</v>
      </c>
      <c r="K692" t="s">
        <v>60</v>
      </c>
      <c r="L692">
        <v>480</v>
      </c>
      <c r="M692">
        <v>2014</v>
      </c>
      <c r="N692">
        <v>2014</v>
      </c>
      <c r="P692" s="1">
        <v>43140</v>
      </c>
      <c r="Q692" t="s">
        <v>36</v>
      </c>
      <c r="R692" t="s">
        <v>2787</v>
      </c>
      <c r="S692" t="s">
        <v>36</v>
      </c>
      <c r="W692">
        <v>0</v>
      </c>
      <c r="Z692">
        <v>0</v>
      </c>
    </row>
    <row r="693" spans="1:26" x14ac:dyDescent="0.3">
      <c r="A693">
        <v>23508260</v>
      </c>
      <c r="B693" t="s">
        <v>2788</v>
      </c>
      <c r="C693" t="s">
        <v>2789</v>
      </c>
      <c r="D693" t="s">
        <v>2790</v>
      </c>
      <c r="F693" t="str">
        <f>"0816692432"</f>
        <v>0816692432</v>
      </c>
      <c r="G693" t="str">
        <f>"9780816692439"</f>
        <v>9780816692439</v>
      </c>
      <c r="H693">
        <v>0</v>
      </c>
      <c r="I693">
        <v>4.08</v>
      </c>
      <c r="J693" t="s">
        <v>2791</v>
      </c>
      <c r="K693" t="s">
        <v>60</v>
      </c>
      <c r="L693">
        <v>200</v>
      </c>
      <c r="M693">
        <v>2015</v>
      </c>
      <c r="N693">
        <v>2015</v>
      </c>
      <c r="P693" s="1">
        <v>43140</v>
      </c>
      <c r="Q693" t="s">
        <v>36</v>
      </c>
      <c r="R693" t="s">
        <v>2792</v>
      </c>
      <c r="S693" t="s">
        <v>36</v>
      </c>
      <c r="W693">
        <v>0</v>
      </c>
      <c r="Z693">
        <v>0</v>
      </c>
    </row>
    <row r="694" spans="1:26" x14ac:dyDescent="0.3">
      <c r="A694">
        <v>25598138</v>
      </c>
      <c r="B694" t="s">
        <v>2793</v>
      </c>
      <c r="C694" t="s">
        <v>2794</v>
      </c>
      <c r="D694" t="s">
        <v>2795</v>
      </c>
      <c r="F694" t="str">
        <f>""</f>
        <v/>
      </c>
      <c r="G694" t="str">
        <f>""</f>
        <v/>
      </c>
      <c r="H694">
        <v>0</v>
      </c>
      <c r="I694">
        <v>4.01</v>
      </c>
      <c r="J694" t="s">
        <v>2796</v>
      </c>
      <c r="K694" t="s">
        <v>69</v>
      </c>
      <c r="L694">
        <v>282</v>
      </c>
      <c r="M694">
        <v>2015</v>
      </c>
      <c r="N694">
        <v>2015</v>
      </c>
      <c r="P694" s="1">
        <v>43140</v>
      </c>
      <c r="Q694" t="s">
        <v>36</v>
      </c>
      <c r="R694" t="s">
        <v>2797</v>
      </c>
      <c r="S694" t="s">
        <v>36</v>
      </c>
      <c r="W694">
        <v>0</v>
      </c>
      <c r="Z694">
        <v>0</v>
      </c>
    </row>
    <row r="695" spans="1:26" x14ac:dyDescent="0.3">
      <c r="A695">
        <v>17890644</v>
      </c>
      <c r="B695" t="s">
        <v>2798</v>
      </c>
      <c r="C695" t="s">
        <v>2799</v>
      </c>
      <c r="D695" t="s">
        <v>2800</v>
      </c>
      <c r="F695" t="str">
        <f>"0812245342"</f>
        <v>0812245342</v>
      </c>
      <c r="G695" t="str">
        <f>"9780812245349"</f>
        <v>9780812245349</v>
      </c>
      <c r="H695">
        <v>0</v>
      </c>
      <c r="I695">
        <v>5</v>
      </c>
      <c r="J695" t="s">
        <v>1231</v>
      </c>
      <c r="K695" t="s">
        <v>35</v>
      </c>
      <c r="L695">
        <v>308</v>
      </c>
      <c r="M695">
        <v>2013</v>
      </c>
      <c r="N695">
        <v>2013</v>
      </c>
      <c r="P695" s="1">
        <v>43140</v>
      </c>
      <c r="Q695" t="s">
        <v>36</v>
      </c>
      <c r="R695" t="s">
        <v>2801</v>
      </c>
      <c r="S695" t="s">
        <v>36</v>
      </c>
      <c r="W695">
        <v>0</v>
      </c>
      <c r="Z695">
        <v>0</v>
      </c>
    </row>
    <row r="696" spans="1:26" x14ac:dyDescent="0.3">
      <c r="A696">
        <v>22865014</v>
      </c>
      <c r="B696" t="s">
        <v>2802</v>
      </c>
      <c r="C696" t="s">
        <v>2803</v>
      </c>
      <c r="D696" t="s">
        <v>2804</v>
      </c>
      <c r="F696" t="str">
        <f>"0190227230"</f>
        <v>0190227230</v>
      </c>
      <c r="G696" t="str">
        <f>"9780190227234"</f>
        <v>9780190227234</v>
      </c>
      <c r="H696">
        <v>0</v>
      </c>
      <c r="I696">
        <v>4.25</v>
      </c>
      <c r="J696" t="s">
        <v>104</v>
      </c>
      <c r="K696" t="s">
        <v>35</v>
      </c>
      <c r="L696">
        <v>256</v>
      </c>
      <c r="M696">
        <v>2015</v>
      </c>
      <c r="N696">
        <v>2015</v>
      </c>
      <c r="P696" s="1">
        <v>43140</v>
      </c>
      <c r="Q696" t="s">
        <v>36</v>
      </c>
      <c r="R696" t="s">
        <v>2805</v>
      </c>
      <c r="S696" t="s">
        <v>36</v>
      </c>
      <c r="W696">
        <v>0</v>
      </c>
      <c r="Z696">
        <v>0</v>
      </c>
    </row>
    <row r="697" spans="1:26" x14ac:dyDescent="0.3">
      <c r="A697">
        <v>20467944</v>
      </c>
      <c r="B697" t="s">
        <v>2806</v>
      </c>
      <c r="C697" t="s">
        <v>2807</v>
      </c>
      <c r="D697" t="s">
        <v>2808</v>
      </c>
      <c r="F697" t="str">
        <f>"184904290X"</f>
        <v>184904290X</v>
      </c>
      <c r="G697" t="str">
        <f>"9781849042901"</f>
        <v>9781849042901</v>
      </c>
      <c r="H697">
        <v>0</v>
      </c>
      <c r="I697">
        <v>4.5</v>
      </c>
      <c r="J697" t="s">
        <v>2809</v>
      </c>
      <c r="K697" t="s">
        <v>35</v>
      </c>
      <c r="L697">
        <v>362</v>
      </c>
      <c r="M697">
        <v>2014</v>
      </c>
      <c r="N697">
        <v>2014</v>
      </c>
      <c r="P697" s="1">
        <v>43140</v>
      </c>
      <c r="Q697" t="s">
        <v>36</v>
      </c>
      <c r="R697" t="s">
        <v>2810</v>
      </c>
      <c r="S697" t="s">
        <v>36</v>
      </c>
      <c r="W697">
        <v>0</v>
      </c>
      <c r="Z697">
        <v>0</v>
      </c>
    </row>
    <row r="698" spans="1:26" x14ac:dyDescent="0.3">
      <c r="A698">
        <v>275420</v>
      </c>
      <c r="B698" t="s">
        <v>2811</v>
      </c>
      <c r="C698" t="s">
        <v>2812</v>
      </c>
      <c r="D698" t="s">
        <v>2813</v>
      </c>
      <c r="F698" t="str">
        <f>"0521670047"</f>
        <v>0521670047</v>
      </c>
      <c r="G698" t="str">
        <f>"9780521670043"</f>
        <v>9780521670043</v>
      </c>
      <c r="H698">
        <v>0</v>
      </c>
      <c r="I698">
        <v>4.2</v>
      </c>
      <c r="J698" t="s">
        <v>261</v>
      </c>
      <c r="K698" t="s">
        <v>60</v>
      </c>
      <c r="L698">
        <v>485</v>
      </c>
      <c r="M698">
        <v>2006</v>
      </c>
      <c r="N698">
        <v>2002</v>
      </c>
      <c r="P698" s="1">
        <v>43140</v>
      </c>
      <c r="Q698" t="s">
        <v>36</v>
      </c>
      <c r="R698" t="s">
        <v>2814</v>
      </c>
      <c r="S698" t="s">
        <v>36</v>
      </c>
      <c r="W698">
        <v>0</v>
      </c>
      <c r="Z698">
        <v>0</v>
      </c>
    </row>
    <row r="699" spans="1:26" x14ac:dyDescent="0.3">
      <c r="A699">
        <v>1622307</v>
      </c>
      <c r="B699" t="s">
        <v>2815</v>
      </c>
      <c r="C699" t="s">
        <v>2816</v>
      </c>
      <c r="D699" t="s">
        <v>2817</v>
      </c>
      <c r="F699" t="str">
        <f>"0691119015"</f>
        <v>0691119015</v>
      </c>
      <c r="G699" t="str">
        <f>"9780691119014"</f>
        <v>9780691119014</v>
      </c>
      <c r="H699">
        <v>0</v>
      </c>
      <c r="I699">
        <v>3.92</v>
      </c>
      <c r="J699" t="s">
        <v>377</v>
      </c>
      <c r="K699" t="s">
        <v>35</v>
      </c>
      <c r="L699">
        <v>391</v>
      </c>
      <c r="M699">
        <v>2006</v>
      </c>
      <c r="N699">
        <v>2006</v>
      </c>
      <c r="P699" s="1">
        <v>43140</v>
      </c>
      <c r="Q699" t="s">
        <v>36</v>
      </c>
      <c r="R699" t="s">
        <v>2818</v>
      </c>
      <c r="S699" t="s">
        <v>36</v>
      </c>
      <c r="W699">
        <v>0</v>
      </c>
      <c r="Z699">
        <v>0</v>
      </c>
    </row>
    <row r="700" spans="1:26" x14ac:dyDescent="0.3">
      <c r="A700">
        <v>25102558</v>
      </c>
      <c r="B700" t="s">
        <v>2819</v>
      </c>
      <c r="C700" t="s">
        <v>2820</v>
      </c>
      <c r="D700" t="s">
        <v>2821</v>
      </c>
      <c r="E700" t="s">
        <v>2822</v>
      </c>
      <c r="F700" t="str">
        <f>"1783602074"</f>
        <v>1783602074</v>
      </c>
      <c r="G700" t="str">
        <f>"9781783602070"</f>
        <v>9781783602070</v>
      </c>
      <c r="H700">
        <v>0</v>
      </c>
      <c r="I700">
        <v>4.12</v>
      </c>
      <c r="J700" t="s">
        <v>1883</v>
      </c>
      <c r="K700" t="s">
        <v>60</v>
      </c>
      <c r="L700">
        <v>304</v>
      </c>
      <c r="M700">
        <v>2015</v>
      </c>
      <c r="N700">
        <v>2015</v>
      </c>
      <c r="P700" s="1">
        <v>43140</v>
      </c>
      <c r="Q700" t="s">
        <v>36</v>
      </c>
      <c r="R700" t="s">
        <v>2823</v>
      </c>
      <c r="S700" t="s">
        <v>36</v>
      </c>
      <c r="W700">
        <v>0</v>
      </c>
      <c r="Z700">
        <v>0</v>
      </c>
    </row>
    <row r="701" spans="1:26" x14ac:dyDescent="0.3">
      <c r="A701">
        <v>2579878</v>
      </c>
      <c r="B701" t="s">
        <v>2824</v>
      </c>
      <c r="C701" t="s">
        <v>2822</v>
      </c>
      <c r="D701" t="s">
        <v>2825</v>
      </c>
      <c r="E701" t="s">
        <v>2820</v>
      </c>
      <c r="F701" t="str">
        <f>"1842778668"</f>
        <v>1842778668</v>
      </c>
      <c r="G701" t="str">
        <f>"9781842778661"</f>
        <v>9781842778661</v>
      </c>
      <c r="H701">
        <v>0</v>
      </c>
      <c r="I701">
        <v>3.97</v>
      </c>
      <c r="J701" t="s">
        <v>1883</v>
      </c>
      <c r="K701" t="s">
        <v>60</v>
      </c>
      <c r="L701">
        <v>288</v>
      </c>
      <c r="M701">
        <v>2007</v>
      </c>
      <c r="N701">
        <v>2007</v>
      </c>
      <c r="P701" s="1">
        <v>43140</v>
      </c>
      <c r="Q701" t="s">
        <v>36</v>
      </c>
      <c r="R701" t="s">
        <v>2826</v>
      </c>
      <c r="S701" t="s">
        <v>36</v>
      </c>
      <c r="W701">
        <v>0</v>
      </c>
      <c r="Z701">
        <v>0</v>
      </c>
    </row>
    <row r="702" spans="1:26" x14ac:dyDescent="0.3">
      <c r="A702">
        <v>117205</v>
      </c>
      <c r="B702" t="s">
        <v>2827</v>
      </c>
      <c r="C702" t="s">
        <v>2828</v>
      </c>
      <c r="D702" t="s">
        <v>2829</v>
      </c>
      <c r="F702" t="str">
        <f>"0691050910"</f>
        <v>0691050910</v>
      </c>
      <c r="G702" t="str">
        <f>"9780691050911"</f>
        <v>9780691050911</v>
      </c>
      <c r="H702">
        <v>0</v>
      </c>
      <c r="I702">
        <v>3.64</v>
      </c>
      <c r="J702" t="s">
        <v>377</v>
      </c>
      <c r="K702" t="s">
        <v>60</v>
      </c>
      <c r="L702">
        <v>320</v>
      </c>
      <c r="M702">
        <v>2000</v>
      </c>
      <c r="N702">
        <v>2000</v>
      </c>
      <c r="P702" s="1">
        <v>43140</v>
      </c>
      <c r="Q702" t="s">
        <v>36</v>
      </c>
      <c r="R702" t="s">
        <v>2830</v>
      </c>
      <c r="S702" t="s">
        <v>36</v>
      </c>
      <c r="W702">
        <v>0</v>
      </c>
      <c r="Z702">
        <v>0</v>
      </c>
    </row>
    <row r="703" spans="1:26" x14ac:dyDescent="0.3">
      <c r="A703">
        <v>467945</v>
      </c>
      <c r="B703" t="s">
        <v>2831</v>
      </c>
      <c r="C703" t="s">
        <v>2832</v>
      </c>
      <c r="D703" t="s">
        <v>2833</v>
      </c>
      <c r="F703" t="str">
        <f>"0826468306"</f>
        <v>0826468306</v>
      </c>
      <c r="G703" t="str">
        <f>"9780826468307"</f>
        <v>9780826468307</v>
      </c>
      <c r="H703">
        <v>0</v>
      </c>
      <c r="I703">
        <v>3.8</v>
      </c>
      <c r="J703" t="s">
        <v>194</v>
      </c>
      <c r="K703" t="s">
        <v>60</v>
      </c>
      <c r="L703">
        <v>290</v>
      </c>
      <c r="M703">
        <v>2002</v>
      </c>
      <c r="N703">
        <v>2000</v>
      </c>
      <c r="P703" s="1">
        <v>43140</v>
      </c>
      <c r="S703" t="s">
        <v>174</v>
      </c>
      <c r="W703">
        <v>1</v>
      </c>
      <c r="Z703">
        <v>0</v>
      </c>
    </row>
    <row r="704" spans="1:26" x14ac:dyDescent="0.3">
      <c r="A704">
        <v>16073230</v>
      </c>
      <c r="B704" t="s">
        <v>2834</v>
      </c>
      <c r="C704" t="s">
        <v>2835</v>
      </c>
      <c r="D704" t="s">
        <v>2836</v>
      </c>
      <c r="F704" t="str">
        <f>"0300181213"</f>
        <v>0300181213</v>
      </c>
      <c r="G704" t="str">
        <f>"9780300181210"</f>
        <v>9780300181210</v>
      </c>
      <c r="H704">
        <v>0</v>
      </c>
      <c r="I704">
        <v>4.09</v>
      </c>
      <c r="J704" t="s">
        <v>356</v>
      </c>
      <c r="K704" t="s">
        <v>35</v>
      </c>
      <c r="L704">
        <v>400</v>
      </c>
      <c r="M704">
        <v>2013</v>
      </c>
      <c r="N704">
        <v>2013</v>
      </c>
      <c r="P704" s="1">
        <v>43140</v>
      </c>
      <c r="Q704" t="s">
        <v>36</v>
      </c>
      <c r="R704" t="s">
        <v>2837</v>
      </c>
      <c r="S704" t="s">
        <v>36</v>
      </c>
      <c r="W704">
        <v>0</v>
      </c>
      <c r="Z704">
        <v>0</v>
      </c>
    </row>
    <row r="705" spans="1:26" x14ac:dyDescent="0.3">
      <c r="A705">
        <v>681508</v>
      </c>
      <c r="B705" t="s">
        <v>2838</v>
      </c>
      <c r="C705" t="s">
        <v>2839</v>
      </c>
      <c r="D705" t="s">
        <v>2840</v>
      </c>
      <c r="F705" t="str">
        <f>"0486282708"</f>
        <v>0486282708</v>
      </c>
      <c r="G705" t="str">
        <f>"9780486282701"</f>
        <v>9780486282701</v>
      </c>
      <c r="H705">
        <v>0</v>
      </c>
      <c r="I705">
        <v>3.9</v>
      </c>
      <c r="J705" t="s">
        <v>559</v>
      </c>
      <c r="K705" t="s">
        <v>60</v>
      </c>
      <c r="L705">
        <v>116</v>
      </c>
      <c r="M705">
        <v>1995</v>
      </c>
      <c r="N705">
        <v>1907</v>
      </c>
      <c r="P705" s="1">
        <v>43107</v>
      </c>
      <c r="Q705" t="s">
        <v>36</v>
      </c>
      <c r="R705" t="s">
        <v>2841</v>
      </c>
      <c r="S705" t="s">
        <v>36</v>
      </c>
      <c r="W705">
        <v>0</v>
      </c>
      <c r="Z705">
        <v>0</v>
      </c>
    </row>
    <row r="706" spans="1:26" x14ac:dyDescent="0.3">
      <c r="A706">
        <v>3192724</v>
      </c>
      <c r="B706" t="s">
        <v>2842</v>
      </c>
      <c r="C706" t="s">
        <v>2843</v>
      </c>
      <c r="D706" t="s">
        <v>2844</v>
      </c>
      <c r="F706" t="str">
        <f>"0199273413"</f>
        <v>0199273413</v>
      </c>
      <c r="G706" t="str">
        <f>"9780199273416"</f>
        <v>9780199273416</v>
      </c>
      <c r="H706">
        <v>0</v>
      </c>
      <c r="I706">
        <v>4.2</v>
      </c>
      <c r="J706" t="s">
        <v>2845</v>
      </c>
      <c r="K706" t="s">
        <v>35</v>
      </c>
      <c r="L706">
        <v>268</v>
      </c>
      <c r="M706">
        <v>2005</v>
      </c>
      <c r="N706">
        <v>2005</v>
      </c>
      <c r="P706" s="1">
        <v>43106</v>
      </c>
      <c r="Q706" t="s">
        <v>36</v>
      </c>
      <c r="R706" t="s">
        <v>2846</v>
      </c>
      <c r="S706" t="s">
        <v>36</v>
      </c>
      <c r="W706">
        <v>0</v>
      </c>
      <c r="Z706">
        <v>0</v>
      </c>
    </row>
    <row r="707" spans="1:26" x14ac:dyDescent="0.3">
      <c r="A707">
        <v>6554098</v>
      </c>
      <c r="B707" t="s">
        <v>2847</v>
      </c>
      <c r="C707" t="s">
        <v>1247</v>
      </c>
      <c r="D707" t="s">
        <v>1248</v>
      </c>
      <c r="F707" t="str">
        <f>""</f>
        <v/>
      </c>
      <c r="G707" t="str">
        <f>""</f>
        <v/>
      </c>
      <c r="H707">
        <v>0</v>
      </c>
      <c r="I707">
        <v>4.29</v>
      </c>
      <c r="N707">
        <v>1991</v>
      </c>
      <c r="P707" s="1">
        <v>43071</v>
      </c>
      <c r="S707" t="s">
        <v>174</v>
      </c>
      <c r="W707">
        <v>1</v>
      </c>
      <c r="Z707">
        <v>0</v>
      </c>
    </row>
    <row r="708" spans="1:26" x14ac:dyDescent="0.3">
      <c r="A708">
        <v>107274</v>
      </c>
      <c r="B708" t="s">
        <v>2848</v>
      </c>
      <c r="C708" t="s">
        <v>2446</v>
      </c>
      <c r="D708" t="s">
        <v>2447</v>
      </c>
      <c r="F708" t="str">
        <f>"019512474X"</f>
        <v>019512474X</v>
      </c>
      <c r="G708" t="str">
        <f>"9780195124743"</f>
        <v>9780195124743</v>
      </c>
      <c r="H708">
        <v>0</v>
      </c>
      <c r="I708">
        <v>4.12</v>
      </c>
      <c r="J708" t="s">
        <v>756</v>
      </c>
      <c r="K708" t="s">
        <v>60</v>
      </c>
      <c r="L708">
        <v>288</v>
      </c>
      <c r="M708">
        <v>2001</v>
      </c>
      <c r="N708">
        <v>1999</v>
      </c>
      <c r="P708" s="1">
        <v>43094</v>
      </c>
      <c r="Q708" t="s">
        <v>36</v>
      </c>
      <c r="R708" t="s">
        <v>2849</v>
      </c>
      <c r="S708" t="s">
        <v>36</v>
      </c>
      <c r="W708">
        <v>0</v>
      </c>
      <c r="Z708">
        <v>0</v>
      </c>
    </row>
    <row r="709" spans="1:26" x14ac:dyDescent="0.3">
      <c r="A709">
        <v>28591283</v>
      </c>
      <c r="B709" t="s">
        <v>2850</v>
      </c>
      <c r="C709" t="s">
        <v>2851</v>
      </c>
      <c r="D709" t="s">
        <v>2852</v>
      </c>
      <c r="F709" t="str">
        <f>""</f>
        <v/>
      </c>
      <c r="G709" t="str">
        <f>""</f>
        <v/>
      </c>
      <c r="H709">
        <v>0</v>
      </c>
      <c r="I709">
        <v>3.91</v>
      </c>
      <c r="J709" t="s">
        <v>1794</v>
      </c>
      <c r="K709" t="s">
        <v>69</v>
      </c>
      <c r="L709">
        <v>752</v>
      </c>
      <c r="M709">
        <v>2017</v>
      </c>
      <c r="N709">
        <v>2017</v>
      </c>
      <c r="P709" s="1">
        <v>43089</v>
      </c>
      <c r="S709" t="s">
        <v>174</v>
      </c>
      <c r="W709">
        <v>1</v>
      </c>
      <c r="Z709">
        <v>0</v>
      </c>
    </row>
    <row r="710" spans="1:26" x14ac:dyDescent="0.3">
      <c r="A710">
        <v>87505</v>
      </c>
      <c r="B710" t="s">
        <v>2853</v>
      </c>
      <c r="C710" t="s">
        <v>474</v>
      </c>
      <c r="D710" t="s">
        <v>475</v>
      </c>
      <c r="F710" t="str">
        <f>"0415935369"</f>
        <v>0415935369</v>
      </c>
      <c r="G710" t="str">
        <f>"9780415935364"</f>
        <v>9780415935364</v>
      </c>
      <c r="H710">
        <v>0</v>
      </c>
      <c r="I710">
        <v>4.08</v>
      </c>
      <c r="J710" t="s">
        <v>119</v>
      </c>
      <c r="K710" t="s">
        <v>60</v>
      </c>
      <c r="L710">
        <v>378</v>
      </c>
      <c r="M710">
        <v>2002</v>
      </c>
      <c r="N710">
        <v>2001</v>
      </c>
      <c r="P710" s="1">
        <v>43089</v>
      </c>
      <c r="Q710" t="s">
        <v>36</v>
      </c>
      <c r="R710" t="s">
        <v>2854</v>
      </c>
      <c r="S710" t="s">
        <v>36</v>
      </c>
      <c r="W710">
        <v>0</v>
      </c>
      <c r="Z710">
        <v>0</v>
      </c>
    </row>
    <row r="711" spans="1:26" x14ac:dyDescent="0.3">
      <c r="A711">
        <v>21926865</v>
      </c>
      <c r="B711" t="s">
        <v>2855</v>
      </c>
      <c r="C711" t="s">
        <v>2856</v>
      </c>
      <c r="D711" t="s">
        <v>2857</v>
      </c>
      <c r="F711" t="str">
        <f>"1455583669"</f>
        <v>1455583669</v>
      </c>
      <c r="G711" t="str">
        <f>"9781455583669"</f>
        <v>9781455583669</v>
      </c>
      <c r="H711">
        <v>0</v>
      </c>
      <c r="I711">
        <v>4.3499999999999996</v>
      </c>
      <c r="J711" t="s">
        <v>1003</v>
      </c>
      <c r="K711" t="s">
        <v>35</v>
      </c>
      <c r="L711">
        <v>384</v>
      </c>
      <c r="M711">
        <v>2014</v>
      </c>
      <c r="N711">
        <v>2014</v>
      </c>
      <c r="P711" s="1">
        <v>43082</v>
      </c>
      <c r="S711" t="s">
        <v>174</v>
      </c>
      <c r="W711">
        <v>1</v>
      </c>
      <c r="Z711">
        <v>0</v>
      </c>
    </row>
    <row r="712" spans="1:26" x14ac:dyDescent="0.3">
      <c r="A712">
        <v>33573796</v>
      </c>
      <c r="B712" t="s">
        <v>2858</v>
      </c>
      <c r="C712" t="s">
        <v>2856</v>
      </c>
      <c r="D712" t="s">
        <v>2857</v>
      </c>
      <c r="F712" t="str">
        <f>"099850520X"</f>
        <v>099850520X</v>
      </c>
      <c r="G712" t="str">
        <f>"9780998505206"</f>
        <v>9780998505206</v>
      </c>
      <c r="H712">
        <v>0</v>
      </c>
      <c r="I712">
        <v>4.26</v>
      </c>
      <c r="J712" t="s">
        <v>2859</v>
      </c>
      <c r="K712" t="s">
        <v>35</v>
      </c>
      <c r="L712">
        <v>422</v>
      </c>
      <c r="M712">
        <v>2017</v>
      </c>
      <c r="N712">
        <v>2017</v>
      </c>
      <c r="P712" s="1">
        <v>43082</v>
      </c>
      <c r="S712" t="s">
        <v>174</v>
      </c>
      <c r="W712">
        <v>1</v>
      </c>
      <c r="Z712">
        <v>0</v>
      </c>
    </row>
    <row r="713" spans="1:26" x14ac:dyDescent="0.3">
      <c r="A713">
        <v>22470</v>
      </c>
      <c r="B713" t="s">
        <v>2860</v>
      </c>
      <c r="C713" t="s">
        <v>2861</v>
      </c>
      <c r="D713" t="s">
        <v>2862</v>
      </c>
      <c r="F713" t="str">
        <f>"0679731180"</f>
        <v>0679731180</v>
      </c>
      <c r="G713" t="str">
        <f>"9780679731184"</f>
        <v>9780679731184</v>
      </c>
      <c r="H713">
        <v>0</v>
      </c>
      <c r="I713">
        <v>3.91</v>
      </c>
      <c r="J713" t="s">
        <v>342</v>
      </c>
      <c r="K713" t="s">
        <v>60</v>
      </c>
      <c r="L713">
        <v>240</v>
      </c>
      <c r="M713">
        <v>1996</v>
      </c>
      <c r="N713">
        <v>1995</v>
      </c>
      <c r="O713" s="1">
        <v>43082</v>
      </c>
      <c r="P713" s="1">
        <v>43081</v>
      </c>
      <c r="S713" t="s">
        <v>174</v>
      </c>
      <c r="W713">
        <v>1</v>
      </c>
      <c r="Z713">
        <v>0</v>
      </c>
    </row>
    <row r="714" spans="1:26" x14ac:dyDescent="0.3">
      <c r="A714">
        <v>12733884</v>
      </c>
      <c r="B714" t="s">
        <v>2863</v>
      </c>
      <c r="C714" t="s">
        <v>2864</v>
      </c>
      <c r="D714" t="s">
        <v>2865</v>
      </c>
      <c r="F714" t="str">
        <f>"1610390849"</f>
        <v>1610390849</v>
      </c>
      <c r="G714" t="str">
        <f>"9781610390842"</f>
        <v>9781610390842</v>
      </c>
      <c r="H714">
        <v>0</v>
      </c>
      <c r="I714">
        <v>3.69</v>
      </c>
      <c r="J714" t="s">
        <v>487</v>
      </c>
      <c r="K714" t="s">
        <v>35</v>
      </c>
      <c r="L714">
        <v>288</v>
      </c>
      <c r="M714">
        <v>2012</v>
      </c>
      <c r="N714">
        <v>2012</v>
      </c>
      <c r="P714" s="1">
        <v>43072</v>
      </c>
      <c r="Q714" t="s">
        <v>36</v>
      </c>
      <c r="R714" t="s">
        <v>2866</v>
      </c>
      <c r="S714" t="s">
        <v>36</v>
      </c>
      <c r="W714">
        <v>0</v>
      </c>
      <c r="Z714">
        <v>0</v>
      </c>
    </row>
    <row r="715" spans="1:26" x14ac:dyDescent="0.3">
      <c r="A715">
        <v>50927</v>
      </c>
      <c r="B715" t="s">
        <v>2867</v>
      </c>
      <c r="C715" t="s">
        <v>2868</v>
      </c>
      <c r="D715" t="s">
        <v>2869</v>
      </c>
      <c r="F715" t="str">
        <f>"1556525877"</f>
        <v>1556525877</v>
      </c>
      <c r="G715" t="str">
        <f>"9781556525872"</f>
        <v>9781556525872</v>
      </c>
      <c r="H715">
        <v>0</v>
      </c>
      <c r="I715">
        <v>3.65</v>
      </c>
      <c r="J715" t="s">
        <v>2870</v>
      </c>
      <c r="K715" t="s">
        <v>60</v>
      </c>
      <c r="L715">
        <v>144</v>
      </c>
      <c r="M715">
        <v>2005</v>
      </c>
      <c r="N715">
        <v>2002</v>
      </c>
      <c r="P715" s="1">
        <v>43072</v>
      </c>
      <c r="Q715" t="s">
        <v>36</v>
      </c>
      <c r="R715" t="s">
        <v>2871</v>
      </c>
      <c r="S715" t="s">
        <v>36</v>
      </c>
      <c r="W715">
        <v>0</v>
      </c>
      <c r="Z715">
        <v>0</v>
      </c>
    </row>
    <row r="716" spans="1:26" x14ac:dyDescent="0.3">
      <c r="A716">
        <v>258230</v>
      </c>
      <c r="B716" t="s">
        <v>2872</v>
      </c>
      <c r="C716" t="s">
        <v>2873</v>
      </c>
      <c r="D716" t="s">
        <v>2874</v>
      </c>
      <c r="F716" t="str">
        <f>"0521273765"</f>
        <v>0521273765</v>
      </c>
      <c r="G716" t="str">
        <f>"9780521273763"</f>
        <v>9780521273763</v>
      </c>
      <c r="H716">
        <v>0</v>
      </c>
      <c r="I716">
        <v>4.01</v>
      </c>
      <c r="J716" t="s">
        <v>261</v>
      </c>
      <c r="K716" t="s">
        <v>60</v>
      </c>
      <c r="L716">
        <v>288</v>
      </c>
      <c r="M716">
        <v>1984</v>
      </c>
      <c r="N716">
        <v>1981</v>
      </c>
      <c r="P716" s="1">
        <v>43071</v>
      </c>
      <c r="Q716" t="s">
        <v>36</v>
      </c>
      <c r="R716" t="s">
        <v>2875</v>
      </c>
      <c r="S716" t="s">
        <v>36</v>
      </c>
      <c r="W716">
        <v>0</v>
      </c>
      <c r="Z716">
        <v>0</v>
      </c>
    </row>
    <row r="717" spans="1:26" x14ac:dyDescent="0.3">
      <c r="A717">
        <v>786373</v>
      </c>
      <c r="B717" t="s">
        <v>2876</v>
      </c>
      <c r="C717" t="s">
        <v>2877</v>
      </c>
      <c r="D717" t="s">
        <v>2878</v>
      </c>
      <c r="F717" t="str">
        <f>"0521469600"</f>
        <v>0521469600</v>
      </c>
      <c r="G717" t="str">
        <f>"9780521469609"</f>
        <v>9780521469609</v>
      </c>
      <c r="H717">
        <v>0</v>
      </c>
      <c r="I717">
        <v>3.97</v>
      </c>
      <c r="J717" t="s">
        <v>261</v>
      </c>
      <c r="K717" t="s">
        <v>60</v>
      </c>
      <c r="L717">
        <v>447</v>
      </c>
      <c r="M717">
        <v>1999</v>
      </c>
      <c r="N717">
        <v>1995</v>
      </c>
      <c r="P717" s="1">
        <v>43071</v>
      </c>
      <c r="Q717" t="s">
        <v>36</v>
      </c>
      <c r="R717" t="s">
        <v>2879</v>
      </c>
      <c r="S717" t="s">
        <v>36</v>
      </c>
      <c r="W717">
        <v>0</v>
      </c>
      <c r="Z717">
        <v>0</v>
      </c>
    </row>
    <row r="718" spans="1:26" x14ac:dyDescent="0.3">
      <c r="A718">
        <v>1031046</v>
      </c>
      <c r="B718" t="s">
        <v>2880</v>
      </c>
      <c r="C718" t="s">
        <v>2881</v>
      </c>
      <c r="D718" t="s">
        <v>2882</v>
      </c>
      <c r="F718" t="str">
        <f>"0075548526"</f>
        <v>0075548526</v>
      </c>
      <c r="G718" t="str">
        <f>"9780075548522"</f>
        <v>9780075548522</v>
      </c>
      <c r="H718">
        <v>0</v>
      </c>
      <c r="I718">
        <v>3.92</v>
      </c>
      <c r="J718" t="s">
        <v>2883</v>
      </c>
      <c r="K718" t="s">
        <v>60</v>
      </c>
      <c r="L718">
        <v>250</v>
      </c>
      <c r="M718">
        <v>1979</v>
      </c>
      <c r="N718">
        <v>1979</v>
      </c>
      <c r="P718" s="1">
        <v>43071</v>
      </c>
      <c r="Q718" t="s">
        <v>36</v>
      </c>
      <c r="R718" t="s">
        <v>2884</v>
      </c>
      <c r="S718" t="s">
        <v>36</v>
      </c>
      <c r="W718">
        <v>0</v>
      </c>
      <c r="Z718">
        <v>0</v>
      </c>
    </row>
    <row r="719" spans="1:26" x14ac:dyDescent="0.3">
      <c r="A719">
        <v>12112539</v>
      </c>
      <c r="B719" t="s">
        <v>2885</v>
      </c>
      <c r="C719" t="s">
        <v>2886</v>
      </c>
      <c r="D719" t="s">
        <v>2887</v>
      </c>
      <c r="F719" t="str">
        <f>"0199832706"</f>
        <v>0199832706</v>
      </c>
      <c r="G719" t="str">
        <f>"9780199832705"</f>
        <v>9780199832705</v>
      </c>
      <c r="H719">
        <v>0</v>
      </c>
      <c r="I719">
        <v>3.84</v>
      </c>
      <c r="J719" t="s">
        <v>104</v>
      </c>
      <c r="K719" t="s">
        <v>35</v>
      </c>
      <c r="L719">
        <v>656</v>
      </c>
      <c r="M719">
        <v>2012</v>
      </c>
      <c r="N719">
        <v>2012</v>
      </c>
      <c r="P719" s="1">
        <v>43071</v>
      </c>
      <c r="Q719" t="s">
        <v>36</v>
      </c>
      <c r="R719" t="s">
        <v>2888</v>
      </c>
      <c r="S719" t="s">
        <v>36</v>
      </c>
      <c r="W719">
        <v>0</v>
      </c>
      <c r="Z719">
        <v>0</v>
      </c>
    </row>
    <row r="720" spans="1:26" x14ac:dyDescent="0.3">
      <c r="A720">
        <v>25098610</v>
      </c>
      <c r="B720" t="s">
        <v>2889</v>
      </c>
      <c r="C720" t="s">
        <v>483</v>
      </c>
      <c r="D720" t="s">
        <v>484</v>
      </c>
      <c r="F720" t="str">
        <f>""</f>
        <v/>
      </c>
      <c r="G720" t="str">
        <f>""</f>
        <v/>
      </c>
      <c r="H720">
        <v>0</v>
      </c>
      <c r="I720">
        <v>3.85</v>
      </c>
      <c r="J720" t="s">
        <v>2890</v>
      </c>
      <c r="K720" t="s">
        <v>69</v>
      </c>
      <c r="L720">
        <v>152</v>
      </c>
      <c r="M720">
        <v>2015</v>
      </c>
      <c r="N720">
        <v>2015</v>
      </c>
      <c r="P720" s="1">
        <v>43071</v>
      </c>
      <c r="Q720" t="s">
        <v>36</v>
      </c>
      <c r="R720" t="s">
        <v>2891</v>
      </c>
      <c r="S720" t="s">
        <v>36</v>
      </c>
      <c r="W720">
        <v>0</v>
      </c>
      <c r="Z720">
        <v>0</v>
      </c>
    </row>
    <row r="721" spans="1:26" x14ac:dyDescent="0.3">
      <c r="A721">
        <v>9485087</v>
      </c>
      <c r="B721" t="s">
        <v>2892</v>
      </c>
      <c r="C721" t="s">
        <v>2893</v>
      </c>
      <c r="D721" t="s">
        <v>2894</v>
      </c>
      <c r="E721" t="s">
        <v>2895</v>
      </c>
      <c r="F721" t="str">
        <f>"0520264312"</f>
        <v>0520264312</v>
      </c>
      <c r="G721" t="str">
        <f>"9780520264311"</f>
        <v>9780520264311</v>
      </c>
      <c r="H721">
        <v>0</v>
      </c>
      <c r="I721">
        <v>3.88</v>
      </c>
      <c r="J721" t="s">
        <v>579</v>
      </c>
      <c r="K721" t="s">
        <v>35</v>
      </c>
      <c r="L721">
        <v>288</v>
      </c>
      <c r="M721">
        <v>2011</v>
      </c>
      <c r="N721">
        <v>2008</v>
      </c>
      <c r="P721" s="1">
        <v>43071</v>
      </c>
      <c r="Q721" t="s">
        <v>36</v>
      </c>
      <c r="R721" t="s">
        <v>2896</v>
      </c>
      <c r="S721" t="s">
        <v>36</v>
      </c>
      <c r="W721">
        <v>0</v>
      </c>
      <c r="Z721">
        <v>0</v>
      </c>
    </row>
    <row r="722" spans="1:26" x14ac:dyDescent="0.3">
      <c r="A722">
        <v>10265</v>
      </c>
      <c r="B722" t="s">
        <v>2897</v>
      </c>
      <c r="C722" t="s">
        <v>370</v>
      </c>
      <c r="D722" t="s">
        <v>371</v>
      </c>
      <c r="F722" t="str">
        <f>"0800634853"</f>
        <v>0800634853</v>
      </c>
      <c r="G722" t="str">
        <f>"9780800634858"</f>
        <v>9780800634858</v>
      </c>
      <c r="H722">
        <v>0</v>
      </c>
      <c r="I722">
        <v>3.97</v>
      </c>
      <c r="J722" t="s">
        <v>1951</v>
      </c>
      <c r="K722" t="s">
        <v>60</v>
      </c>
      <c r="L722">
        <v>208</v>
      </c>
      <c r="M722">
        <v>2004</v>
      </c>
      <c r="N722">
        <v>2004</v>
      </c>
      <c r="O722" s="1">
        <v>43071</v>
      </c>
      <c r="P722" s="1">
        <v>43065</v>
      </c>
      <c r="S722" t="s">
        <v>174</v>
      </c>
      <c r="W722">
        <v>1</v>
      </c>
      <c r="Z722">
        <v>0</v>
      </c>
    </row>
    <row r="723" spans="1:26" x14ac:dyDescent="0.3">
      <c r="A723">
        <v>30285131</v>
      </c>
      <c r="B723" t="s">
        <v>2898</v>
      </c>
      <c r="C723" t="s">
        <v>2899</v>
      </c>
      <c r="D723" t="s">
        <v>2900</v>
      </c>
      <c r="F723" t="str">
        <f>"0871403730"</f>
        <v>0871403730</v>
      </c>
      <c r="G723" t="str">
        <f>"9780871403735"</f>
        <v>9780871403735</v>
      </c>
      <c r="H723">
        <v>0</v>
      </c>
      <c r="I723">
        <v>3.66</v>
      </c>
      <c r="J723" t="s">
        <v>2901</v>
      </c>
      <c r="K723" t="s">
        <v>35</v>
      </c>
      <c r="L723">
        <v>432</v>
      </c>
      <c r="M723">
        <v>2017</v>
      </c>
      <c r="N723">
        <v>2017</v>
      </c>
      <c r="P723" s="1">
        <v>43070</v>
      </c>
      <c r="Q723" t="s">
        <v>36</v>
      </c>
      <c r="R723" t="s">
        <v>2902</v>
      </c>
      <c r="S723" t="s">
        <v>36</v>
      </c>
      <c r="W723">
        <v>0</v>
      </c>
      <c r="Z723">
        <v>0</v>
      </c>
    </row>
    <row r="724" spans="1:26" x14ac:dyDescent="0.3">
      <c r="A724">
        <v>11612989</v>
      </c>
      <c r="B724" t="s">
        <v>2903</v>
      </c>
      <c r="C724" t="s">
        <v>2904</v>
      </c>
      <c r="D724" t="s">
        <v>2905</v>
      </c>
      <c r="E724" t="s">
        <v>2906</v>
      </c>
      <c r="F724" t="str">
        <f>"161039044X"</f>
        <v>161039044X</v>
      </c>
      <c r="G724" t="str">
        <f>"9781610390446"</f>
        <v>9781610390446</v>
      </c>
      <c r="H724">
        <v>0</v>
      </c>
      <c r="I724">
        <v>4.28</v>
      </c>
      <c r="J724" t="s">
        <v>487</v>
      </c>
      <c r="K724" t="s">
        <v>35</v>
      </c>
      <c r="L724">
        <v>352</v>
      </c>
      <c r="M724">
        <v>2011</v>
      </c>
      <c r="N724">
        <v>2011</v>
      </c>
      <c r="P724" s="1">
        <v>43070</v>
      </c>
      <c r="S724" t="s">
        <v>174</v>
      </c>
      <c r="W724">
        <v>1</v>
      </c>
      <c r="Z724">
        <v>0</v>
      </c>
    </row>
    <row r="725" spans="1:26" x14ac:dyDescent="0.3">
      <c r="A725">
        <v>116879</v>
      </c>
      <c r="B725" t="s">
        <v>2907</v>
      </c>
      <c r="C725" t="s">
        <v>2908</v>
      </c>
      <c r="D725" t="s">
        <v>2909</v>
      </c>
      <c r="F725" t="str">
        <f>"0691122482"</f>
        <v>0691122482</v>
      </c>
      <c r="G725" t="str">
        <f>"9780691122489"</f>
        <v>9780691122489</v>
      </c>
      <c r="H725">
        <v>0</v>
      </c>
      <c r="I725">
        <v>3.72</v>
      </c>
      <c r="J725" t="s">
        <v>377</v>
      </c>
      <c r="K725" t="s">
        <v>60</v>
      </c>
      <c r="L725">
        <v>290</v>
      </c>
      <c r="M725">
        <v>2005</v>
      </c>
      <c r="N725">
        <v>1984</v>
      </c>
      <c r="P725" s="1">
        <v>43070</v>
      </c>
      <c r="Q725" t="s">
        <v>36</v>
      </c>
      <c r="R725" t="s">
        <v>2910</v>
      </c>
      <c r="S725" t="s">
        <v>36</v>
      </c>
      <c r="W725">
        <v>0</v>
      </c>
      <c r="Z725">
        <v>0</v>
      </c>
    </row>
    <row r="726" spans="1:26" x14ac:dyDescent="0.3">
      <c r="A726">
        <v>116876</v>
      </c>
      <c r="B726" t="s">
        <v>2911</v>
      </c>
      <c r="C726" t="s">
        <v>2912</v>
      </c>
      <c r="D726" t="s">
        <v>2913</v>
      </c>
      <c r="E726" t="s">
        <v>2914</v>
      </c>
      <c r="F726" t="str">
        <f>"007289539X"</f>
        <v>007289539X</v>
      </c>
      <c r="G726" t="str">
        <f>"9780072895391"</f>
        <v>9780072895391</v>
      </c>
      <c r="H726">
        <v>0</v>
      </c>
      <c r="I726">
        <v>4.09</v>
      </c>
      <c r="J726" t="s">
        <v>1592</v>
      </c>
      <c r="K726" t="s">
        <v>60</v>
      </c>
      <c r="L726">
        <v>752</v>
      </c>
      <c r="M726">
        <v>2005</v>
      </c>
      <c r="N726">
        <v>1948</v>
      </c>
      <c r="P726" s="1">
        <v>43070</v>
      </c>
      <c r="Q726" t="s">
        <v>36</v>
      </c>
      <c r="R726" t="s">
        <v>2915</v>
      </c>
      <c r="S726" t="s">
        <v>36</v>
      </c>
      <c r="W726">
        <v>0</v>
      </c>
      <c r="Z726">
        <v>0</v>
      </c>
    </row>
    <row r="727" spans="1:26" x14ac:dyDescent="0.3">
      <c r="A727">
        <v>113730</v>
      </c>
      <c r="B727" t="s">
        <v>2916</v>
      </c>
      <c r="C727" t="s">
        <v>2917</v>
      </c>
      <c r="D727" t="s">
        <v>2918</v>
      </c>
      <c r="F727" t="str">
        <f>"0300002211"</f>
        <v>0300002211</v>
      </c>
      <c r="G727" t="str">
        <f>"9780300002218"</f>
        <v>9780300002218</v>
      </c>
      <c r="H727">
        <v>0</v>
      </c>
      <c r="I727">
        <v>4.0999999999999996</v>
      </c>
      <c r="J727" t="s">
        <v>356</v>
      </c>
      <c r="K727" t="s">
        <v>60</v>
      </c>
      <c r="L727">
        <v>300</v>
      </c>
      <c r="M727">
        <v>1967</v>
      </c>
      <c r="N727">
        <v>1967</v>
      </c>
      <c r="P727" s="1">
        <v>43070</v>
      </c>
      <c r="Q727" t="s">
        <v>36</v>
      </c>
      <c r="R727" t="s">
        <v>2919</v>
      </c>
      <c r="S727" t="s">
        <v>36</v>
      </c>
      <c r="W727">
        <v>0</v>
      </c>
      <c r="Z727">
        <v>0</v>
      </c>
    </row>
    <row r="728" spans="1:26" x14ac:dyDescent="0.3">
      <c r="A728">
        <v>1426009</v>
      </c>
      <c r="B728" t="s">
        <v>2920</v>
      </c>
      <c r="C728" t="s">
        <v>2921</v>
      </c>
      <c r="D728" t="s">
        <v>2922</v>
      </c>
      <c r="F728" t="str">
        <f>"0691100497"</f>
        <v>0691100497</v>
      </c>
      <c r="G728" t="str">
        <f>"9780691100494"</f>
        <v>9780691100494</v>
      </c>
      <c r="H728">
        <v>0</v>
      </c>
      <c r="I728">
        <v>4.0999999999999996</v>
      </c>
      <c r="J728" t="s">
        <v>377</v>
      </c>
      <c r="K728" t="s">
        <v>60</v>
      </c>
      <c r="L728">
        <v>464</v>
      </c>
      <c r="M728">
        <v>1976</v>
      </c>
      <c r="N728">
        <v>1976</v>
      </c>
      <c r="P728" s="1">
        <v>43070</v>
      </c>
      <c r="Q728" t="s">
        <v>36</v>
      </c>
      <c r="R728" t="s">
        <v>2923</v>
      </c>
      <c r="S728" t="s">
        <v>36</v>
      </c>
      <c r="W728">
        <v>0</v>
      </c>
      <c r="Z728">
        <v>0</v>
      </c>
    </row>
    <row r="729" spans="1:26" x14ac:dyDescent="0.3">
      <c r="A729">
        <v>20211434</v>
      </c>
      <c r="B729" t="s">
        <v>2924</v>
      </c>
      <c r="C729" t="s">
        <v>2925</v>
      </c>
      <c r="D729" t="s">
        <v>2926</v>
      </c>
      <c r="E729" t="s">
        <v>2927</v>
      </c>
      <c r="F729" t="str">
        <f>""</f>
        <v/>
      </c>
      <c r="G729" t="str">
        <f>""</f>
        <v/>
      </c>
      <c r="H729">
        <v>0</v>
      </c>
      <c r="I729">
        <v>4.4000000000000004</v>
      </c>
      <c r="J729" t="s">
        <v>2928</v>
      </c>
      <c r="K729" t="s">
        <v>69</v>
      </c>
      <c r="L729">
        <v>340</v>
      </c>
      <c r="M729">
        <v>2010</v>
      </c>
      <c r="N729">
        <v>1273</v>
      </c>
      <c r="P729" s="1">
        <v>43066</v>
      </c>
      <c r="Q729" t="s">
        <v>36</v>
      </c>
      <c r="R729" t="s">
        <v>2929</v>
      </c>
      <c r="S729" t="s">
        <v>36</v>
      </c>
      <c r="W729">
        <v>0</v>
      </c>
      <c r="Z729">
        <v>0</v>
      </c>
    </row>
    <row r="730" spans="1:26" x14ac:dyDescent="0.3">
      <c r="A730">
        <v>19669336</v>
      </c>
      <c r="B730" t="s">
        <v>2930</v>
      </c>
      <c r="C730" t="s">
        <v>2931</v>
      </c>
      <c r="D730" t="s">
        <v>2932</v>
      </c>
      <c r="F730" t="str">
        <f>""</f>
        <v/>
      </c>
      <c r="G730" t="str">
        <f>""</f>
        <v/>
      </c>
      <c r="H730">
        <v>0</v>
      </c>
      <c r="I730">
        <v>4.0999999999999996</v>
      </c>
      <c r="J730" t="s">
        <v>2928</v>
      </c>
      <c r="K730" t="s">
        <v>69</v>
      </c>
      <c r="L730">
        <v>336</v>
      </c>
      <c r="M730">
        <v>2008</v>
      </c>
      <c r="N730">
        <v>1990</v>
      </c>
      <c r="P730" s="1">
        <v>43066</v>
      </c>
      <c r="Q730" t="s">
        <v>36</v>
      </c>
      <c r="R730" t="s">
        <v>2933</v>
      </c>
      <c r="S730" t="s">
        <v>36</v>
      </c>
      <c r="W730">
        <v>0</v>
      </c>
      <c r="Z730">
        <v>0</v>
      </c>
    </row>
    <row r="731" spans="1:26" x14ac:dyDescent="0.3">
      <c r="A731">
        <v>29502393</v>
      </c>
      <c r="B731" t="s">
        <v>2934</v>
      </c>
      <c r="C731" t="s">
        <v>2935</v>
      </c>
      <c r="D731" t="s">
        <v>2936</v>
      </c>
      <c r="F731" t="str">
        <f>"0465044727"</f>
        <v>0465044727</v>
      </c>
      <c r="G731" t="str">
        <f>"9780465044726"</f>
        <v>9780465044726</v>
      </c>
      <c r="H731">
        <v>0</v>
      </c>
      <c r="I731">
        <v>3.88</v>
      </c>
      <c r="J731" t="s">
        <v>129</v>
      </c>
      <c r="K731" t="s">
        <v>35</v>
      </c>
      <c r="L731">
        <v>304</v>
      </c>
      <c r="M731">
        <v>2017</v>
      </c>
      <c r="N731">
        <v>2017</v>
      </c>
      <c r="P731" s="1">
        <v>43066</v>
      </c>
      <c r="Q731" t="s">
        <v>36</v>
      </c>
      <c r="R731" t="s">
        <v>2937</v>
      </c>
      <c r="S731" t="s">
        <v>36</v>
      </c>
      <c r="W731">
        <v>0</v>
      </c>
      <c r="Z731">
        <v>0</v>
      </c>
    </row>
    <row r="732" spans="1:26" x14ac:dyDescent="0.3">
      <c r="A732">
        <v>594218</v>
      </c>
      <c r="B732" t="s">
        <v>2938</v>
      </c>
      <c r="C732" t="s">
        <v>1925</v>
      </c>
      <c r="D732" t="s">
        <v>1926</v>
      </c>
      <c r="F732" t="str">
        <f>"094434478X"</f>
        <v>094434478X</v>
      </c>
      <c r="G732" t="str">
        <f>"9780944344781"</f>
        <v>9780944344781</v>
      </c>
      <c r="H732">
        <v>0</v>
      </c>
      <c r="I732">
        <v>3.56</v>
      </c>
      <c r="J732" t="s">
        <v>1250</v>
      </c>
      <c r="K732" t="s">
        <v>60</v>
      </c>
      <c r="L732">
        <v>166</v>
      </c>
      <c r="M732">
        <v>1999</v>
      </c>
      <c r="N732">
        <v>1999</v>
      </c>
      <c r="P732" s="1">
        <v>43066</v>
      </c>
      <c r="Q732" t="s">
        <v>36</v>
      </c>
      <c r="R732" t="s">
        <v>2939</v>
      </c>
      <c r="S732" t="s">
        <v>36</v>
      </c>
      <c r="W732">
        <v>0</v>
      </c>
      <c r="Z732">
        <v>0</v>
      </c>
    </row>
    <row r="733" spans="1:26" x14ac:dyDescent="0.3">
      <c r="A733">
        <v>13627519</v>
      </c>
      <c r="B733" t="s">
        <v>2940</v>
      </c>
      <c r="C733" t="s">
        <v>2446</v>
      </c>
      <c r="D733" t="s">
        <v>2447</v>
      </c>
      <c r="F733" t="str">
        <f>"0199928037"</f>
        <v>0199928037</v>
      </c>
      <c r="G733" t="str">
        <f>"9780199928033"</f>
        <v>9780199928033</v>
      </c>
      <c r="H733">
        <v>0</v>
      </c>
      <c r="I733">
        <v>4.17</v>
      </c>
      <c r="J733" t="s">
        <v>756</v>
      </c>
      <c r="K733" t="s">
        <v>35</v>
      </c>
      <c r="L733">
        <v>608</v>
      </c>
      <c r="M733">
        <v>2012</v>
      </c>
      <c r="N733">
        <v>2012</v>
      </c>
      <c r="P733" s="1">
        <v>43066</v>
      </c>
      <c r="Q733" t="s">
        <v>36</v>
      </c>
      <c r="R733" t="s">
        <v>2941</v>
      </c>
      <c r="S733" t="s">
        <v>36</v>
      </c>
      <c r="W733">
        <v>0</v>
      </c>
      <c r="Z733">
        <v>0</v>
      </c>
    </row>
    <row r="734" spans="1:26" x14ac:dyDescent="0.3">
      <c r="A734">
        <v>107276</v>
      </c>
      <c r="B734" t="s">
        <v>2942</v>
      </c>
      <c r="C734" t="s">
        <v>2446</v>
      </c>
      <c r="D734" t="s">
        <v>2447</v>
      </c>
      <c r="F734" t="str">
        <f>"0195102797"</f>
        <v>0195102797</v>
      </c>
      <c r="G734" t="str">
        <f>"9780195102796"</f>
        <v>9780195102796</v>
      </c>
      <c r="H734">
        <v>0</v>
      </c>
      <c r="I734">
        <v>4.0999999999999996</v>
      </c>
      <c r="J734" t="s">
        <v>104</v>
      </c>
      <c r="K734" t="s">
        <v>60</v>
      </c>
      <c r="L734">
        <v>314</v>
      </c>
      <c r="M734">
        <v>1997</v>
      </c>
      <c r="N734">
        <v>1993</v>
      </c>
      <c r="P734" s="1">
        <v>43066</v>
      </c>
      <c r="Q734" t="s">
        <v>36</v>
      </c>
      <c r="R734" t="s">
        <v>2943</v>
      </c>
      <c r="S734" t="s">
        <v>36</v>
      </c>
      <c r="W734">
        <v>0</v>
      </c>
      <c r="Z734">
        <v>0</v>
      </c>
    </row>
    <row r="735" spans="1:26" x14ac:dyDescent="0.3">
      <c r="A735">
        <v>179080</v>
      </c>
      <c r="B735" t="s">
        <v>2944</v>
      </c>
      <c r="C735" t="s">
        <v>1925</v>
      </c>
      <c r="D735" t="s">
        <v>1926</v>
      </c>
      <c r="F735" t="str">
        <f>"0944344496"</f>
        <v>0944344496</v>
      </c>
      <c r="G735" t="str">
        <f>"9780944344491"</f>
        <v>9780944344491</v>
      </c>
      <c r="H735">
        <v>0</v>
      </c>
      <c r="I735">
        <v>4.24</v>
      </c>
      <c r="J735" t="s">
        <v>1250</v>
      </c>
      <c r="K735" t="s">
        <v>60</v>
      </c>
      <c r="L735">
        <v>480</v>
      </c>
      <c r="M735">
        <v>1995</v>
      </c>
      <c r="N735">
        <v>1991</v>
      </c>
      <c r="P735" s="1">
        <v>43066</v>
      </c>
      <c r="Q735" t="s">
        <v>36</v>
      </c>
      <c r="R735" t="s">
        <v>2945</v>
      </c>
      <c r="S735" t="s">
        <v>36</v>
      </c>
      <c r="W735">
        <v>0</v>
      </c>
      <c r="Z735">
        <v>0</v>
      </c>
    </row>
    <row r="736" spans="1:26" x14ac:dyDescent="0.3">
      <c r="A736">
        <v>179088</v>
      </c>
      <c r="B736" t="s">
        <v>2946</v>
      </c>
      <c r="C736" t="s">
        <v>2947</v>
      </c>
      <c r="D736" t="s">
        <v>2948</v>
      </c>
      <c r="E736" t="s">
        <v>2949</v>
      </c>
      <c r="F736" t="str">
        <f>"006063040X"</f>
        <v>006063040X</v>
      </c>
      <c r="G736" t="str">
        <f>"9780060630409"</f>
        <v>9780060630409</v>
      </c>
      <c r="H736">
        <v>0</v>
      </c>
      <c r="I736">
        <v>4.1100000000000003</v>
      </c>
      <c r="J736" t="s">
        <v>648</v>
      </c>
      <c r="K736" t="s">
        <v>60</v>
      </c>
      <c r="L736">
        <v>576</v>
      </c>
      <c r="M736">
        <v>1996</v>
      </c>
      <c r="N736">
        <v>1993</v>
      </c>
      <c r="P736" s="1">
        <v>43066</v>
      </c>
      <c r="Q736" t="s">
        <v>36</v>
      </c>
      <c r="R736" t="s">
        <v>2950</v>
      </c>
      <c r="S736" t="s">
        <v>36</v>
      </c>
      <c r="W736">
        <v>0</v>
      </c>
      <c r="Z736">
        <v>0</v>
      </c>
    </row>
    <row r="737" spans="1:26" x14ac:dyDescent="0.3">
      <c r="A737">
        <v>29432796</v>
      </c>
      <c r="B737" t="s">
        <v>2951</v>
      </c>
      <c r="C737" t="s">
        <v>2952</v>
      </c>
      <c r="D737" t="s">
        <v>2953</v>
      </c>
      <c r="F737" t="str">
        <f>"1451697856"</f>
        <v>1451697856</v>
      </c>
      <c r="G737" t="str">
        <f>"9781451697858"</f>
        <v>9781451697858</v>
      </c>
      <c r="H737">
        <v>0</v>
      </c>
      <c r="I737">
        <v>3.88</v>
      </c>
      <c r="J737" t="s">
        <v>1443</v>
      </c>
      <c r="K737" t="s">
        <v>173</v>
      </c>
      <c r="L737">
        <v>304</v>
      </c>
      <c r="M737">
        <v>2016</v>
      </c>
      <c r="N737">
        <v>2016</v>
      </c>
      <c r="P737" s="1">
        <v>43066</v>
      </c>
      <c r="Q737" t="s">
        <v>36</v>
      </c>
      <c r="R737" t="s">
        <v>2954</v>
      </c>
      <c r="S737" t="s">
        <v>36</v>
      </c>
      <c r="W737">
        <v>0</v>
      </c>
      <c r="Z737">
        <v>0</v>
      </c>
    </row>
    <row r="738" spans="1:26" x14ac:dyDescent="0.3">
      <c r="A738">
        <v>967775</v>
      </c>
      <c r="B738" t="s">
        <v>2955</v>
      </c>
      <c r="C738" t="s">
        <v>1953</v>
      </c>
      <c r="D738" t="s">
        <v>1954</v>
      </c>
      <c r="F738" t="str">
        <f>"074323586X"</f>
        <v>074323586X</v>
      </c>
      <c r="G738" t="str">
        <f>"9780743235860"</f>
        <v>9780743235860</v>
      </c>
      <c r="H738">
        <v>0</v>
      </c>
      <c r="I738">
        <v>4.3099999999999996</v>
      </c>
      <c r="J738" t="s">
        <v>1443</v>
      </c>
      <c r="K738" t="s">
        <v>35</v>
      </c>
      <c r="L738">
        <v>819</v>
      </c>
      <c r="M738">
        <v>2007</v>
      </c>
      <c r="N738">
        <v>2007</v>
      </c>
      <c r="P738" s="1">
        <v>43065</v>
      </c>
      <c r="Q738" t="s">
        <v>36</v>
      </c>
      <c r="R738" t="s">
        <v>2956</v>
      </c>
      <c r="S738" t="s">
        <v>36</v>
      </c>
      <c r="W738">
        <v>0</v>
      </c>
      <c r="Z738">
        <v>0</v>
      </c>
    </row>
    <row r="739" spans="1:26" x14ac:dyDescent="0.3">
      <c r="A739">
        <v>771073</v>
      </c>
      <c r="B739" t="s">
        <v>2957</v>
      </c>
      <c r="C739" t="s">
        <v>2958</v>
      </c>
      <c r="D739" t="s">
        <v>2959</v>
      </c>
      <c r="F739" t="str">
        <f>"0060821086"</f>
        <v>0060821086</v>
      </c>
      <c r="G739" t="str">
        <f>"9780060821081"</f>
        <v>9780060821081</v>
      </c>
      <c r="H739">
        <v>0</v>
      </c>
      <c r="I739">
        <v>3.68</v>
      </c>
      <c r="J739" t="s">
        <v>2960</v>
      </c>
      <c r="K739" t="s">
        <v>35</v>
      </c>
      <c r="L739">
        <v>256</v>
      </c>
      <c r="M739">
        <v>2005</v>
      </c>
      <c r="N739">
        <v>2005</v>
      </c>
      <c r="P739" s="1">
        <v>43065</v>
      </c>
      <c r="Q739" t="s">
        <v>36</v>
      </c>
      <c r="R739" t="s">
        <v>2961</v>
      </c>
      <c r="S739" t="s">
        <v>36</v>
      </c>
      <c r="W739">
        <v>0</v>
      </c>
      <c r="Z739">
        <v>0</v>
      </c>
    </row>
    <row r="740" spans="1:26" x14ac:dyDescent="0.3">
      <c r="A740">
        <v>339131</v>
      </c>
      <c r="B740" t="s">
        <v>2962</v>
      </c>
      <c r="C740" t="s">
        <v>2963</v>
      </c>
      <c r="D740" t="s">
        <v>2964</v>
      </c>
      <c r="F740" t="str">
        <f>"074328724X"</f>
        <v>074328724X</v>
      </c>
      <c r="G740" t="str">
        <f>"9780743287241"</f>
        <v>9780743287241</v>
      </c>
      <c r="H740">
        <v>0</v>
      </c>
      <c r="I740">
        <v>3.92</v>
      </c>
      <c r="J740" t="s">
        <v>139</v>
      </c>
      <c r="K740" t="s">
        <v>60</v>
      </c>
      <c r="L740">
        <v>400</v>
      </c>
      <c r="M740">
        <v>2007</v>
      </c>
      <c r="N740">
        <v>2006</v>
      </c>
      <c r="P740" s="1">
        <v>43065</v>
      </c>
      <c r="Q740" t="s">
        <v>36</v>
      </c>
      <c r="R740" t="s">
        <v>2965</v>
      </c>
      <c r="S740" t="s">
        <v>36</v>
      </c>
      <c r="W740">
        <v>0</v>
      </c>
      <c r="Z740">
        <v>0</v>
      </c>
    </row>
    <row r="741" spans="1:26" x14ac:dyDescent="0.3">
      <c r="A741">
        <v>6655952</v>
      </c>
      <c r="B741" t="s">
        <v>2966</v>
      </c>
      <c r="C741" t="s">
        <v>2967</v>
      </c>
      <c r="D741" t="s">
        <v>2968</v>
      </c>
      <c r="E741" t="s">
        <v>1934</v>
      </c>
      <c r="F741" t="str">
        <f>"0310280958"</f>
        <v>0310280958</v>
      </c>
      <c r="G741" t="str">
        <f>"9780310280958"</f>
        <v>9780310280958</v>
      </c>
      <c r="H741">
        <v>0</v>
      </c>
      <c r="I741">
        <v>3.98</v>
      </c>
      <c r="J741" t="s">
        <v>2969</v>
      </c>
      <c r="K741" t="s">
        <v>35</v>
      </c>
      <c r="L741">
        <v>799</v>
      </c>
      <c r="M741">
        <v>2009</v>
      </c>
      <c r="N741">
        <v>1991</v>
      </c>
      <c r="P741" s="1">
        <v>43065</v>
      </c>
      <c r="Q741" t="s">
        <v>36</v>
      </c>
      <c r="R741" t="s">
        <v>2970</v>
      </c>
      <c r="S741" t="s">
        <v>36</v>
      </c>
      <c r="W741">
        <v>0</v>
      </c>
      <c r="Z741">
        <v>0</v>
      </c>
    </row>
    <row r="742" spans="1:26" x14ac:dyDescent="0.3">
      <c r="A742">
        <v>77089</v>
      </c>
      <c r="B742" t="s">
        <v>2971</v>
      </c>
      <c r="C742" t="s">
        <v>2947</v>
      </c>
      <c r="D742" t="s">
        <v>2948</v>
      </c>
      <c r="F742" t="str">
        <f>"0060629789"</f>
        <v>0060629789</v>
      </c>
      <c r="G742" t="str">
        <f>"9780060629786"</f>
        <v>9780060629786</v>
      </c>
      <c r="H742">
        <v>0</v>
      </c>
      <c r="I742">
        <v>3.91</v>
      </c>
      <c r="J742" t="s">
        <v>2960</v>
      </c>
      <c r="K742" t="s">
        <v>35</v>
      </c>
      <c r="L742">
        <v>569</v>
      </c>
      <c r="M742">
        <v>1997</v>
      </c>
      <c r="N742">
        <v>1997</v>
      </c>
      <c r="P742" s="1">
        <v>43065</v>
      </c>
      <c r="Q742" t="s">
        <v>36</v>
      </c>
      <c r="R742" t="s">
        <v>2972</v>
      </c>
      <c r="S742" t="s">
        <v>36</v>
      </c>
      <c r="W742">
        <v>0</v>
      </c>
      <c r="Z742">
        <v>0</v>
      </c>
    </row>
    <row r="743" spans="1:26" x14ac:dyDescent="0.3">
      <c r="A743">
        <v>151882</v>
      </c>
      <c r="B743" t="s">
        <v>2973</v>
      </c>
      <c r="C743" t="s">
        <v>2974</v>
      </c>
      <c r="D743" t="s">
        <v>2975</v>
      </c>
      <c r="F743" t="str">
        <f>"006073065X"</f>
        <v>006073065X</v>
      </c>
      <c r="G743" t="str">
        <f>"9780060730659"</f>
        <v>9780060730659</v>
      </c>
      <c r="H743">
        <v>0</v>
      </c>
      <c r="I743">
        <v>4.34</v>
      </c>
      <c r="J743" t="s">
        <v>648</v>
      </c>
      <c r="K743" t="s">
        <v>60</v>
      </c>
      <c r="L743">
        <v>400</v>
      </c>
      <c r="M743">
        <v>2005</v>
      </c>
      <c r="N743">
        <v>2003</v>
      </c>
      <c r="P743" s="1">
        <v>43065</v>
      </c>
      <c r="Q743" t="s">
        <v>36</v>
      </c>
      <c r="R743" t="s">
        <v>2976</v>
      </c>
      <c r="S743" t="s">
        <v>36</v>
      </c>
      <c r="W743">
        <v>0</v>
      </c>
      <c r="Z743">
        <v>0</v>
      </c>
    </row>
    <row r="744" spans="1:26" x14ac:dyDescent="0.3">
      <c r="A744">
        <v>610018</v>
      </c>
      <c r="B744" t="s">
        <v>2977</v>
      </c>
      <c r="C744" t="s">
        <v>2978</v>
      </c>
      <c r="D744" t="s">
        <v>2979</v>
      </c>
      <c r="F744" t="str">
        <f>"0060616296"</f>
        <v>0060616296</v>
      </c>
      <c r="G744" t="str">
        <f>"9780060616298"</f>
        <v>9780060616298</v>
      </c>
      <c r="H744">
        <v>0</v>
      </c>
      <c r="I744">
        <v>4.0599999999999996</v>
      </c>
      <c r="J744" t="s">
        <v>648</v>
      </c>
      <c r="K744" t="s">
        <v>60</v>
      </c>
      <c r="L744">
        <v>544</v>
      </c>
      <c r="M744">
        <v>1993</v>
      </c>
      <c r="N744">
        <v>1991</v>
      </c>
      <c r="P744" s="1">
        <v>43065</v>
      </c>
      <c r="Q744" t="s">
        <v>36</v>
      </c>
      <c r="R744" t="s">
        <v>2980</v>
      </c>
      <c r="S744" t="s">
        <v>36</v>
      </c>
      <c r="W744">
        <v>0</v>
      </c>
      <c r="Z744">
        <v>0</v>
      </c>
    </row>
    <row r="745" spans="1:26" x14ac:dyDescent="0.3">
      <c r="A745">
        <v>25135194</v>
      </c>
      <c r="B745" t="s">
        <v>2981</v>
      </c>
      <c r="C745" t="s">
        <v>2982</v>
      </c>
      <c r="D745" t="s">
        <v>2983</v>
      </c>
      <c r="F745" t="str">
        <f>"1783961414"</f>
        <v>1783961414</v>
      </c>
      <c r="G745" t="str">
        <f>"9781783961412"</f>
        <v>9781783961412</v>
      </c>
      <c r="H745">
        <v>0</v>
      </c>
      <c r="I745">
        <v>4.21</v>
      </c>
      <c r="J745" t="s">
        <v>2984</v>
      </c>
      <c r="K745" t="s">
        <v>35</v>
      </c>
      <c r="L745">
        <v>256</v>
      </c>
      <c r="M745">
        <v>2015</v>
      </c>
      <c r="N745">
        <v>2015</v>
      </c>
      <c r="O745" s="1">
        <v>43063</v>
      </c>
      <c r="P745" s="1">
        <v>43061</v>
      </c>
      <c r="S745" t="s">
        <v>174</v>
      </c>
      <c r="W745">
        <v>1</v>
      </c>
      <c r="Z745">
        <v>0</v>
      </c>
    </row>
    <row r="746" spans="1:26" x14ac:dyDescent="0.3">
      <c r="A746">
        <v>20256480</v>
      </c>
      <c r="B746" t="s">
        <v>2985</v>
      </c>
      <c r="C746" t="s">
        <v>2986</v>
      </c>
      <c r="D746" t="s">
        <v>2987</v>
      </c>
      <c r="F746" t="str">
        <f>"1610170954"</f>
        <v>1610170954</v>
      </c>
      <c r="G746" t="str">
        <f>"9781610170956"</f>
        <v>9781610170956</v>
      </c>
      <c r="H746">
        <v>0</v>
      </c>
      <c r="I746">
        <v>3.88</v>
      </c>
      <c r="J746" t="s">
        <v>2988</v>
      </c>
      <c r="K746" t="s">
        <v>35</v>
      </c>
      <c r="L746">
        <v>376</v>
      </c>
      <c r="M746">
        <v>2016</v>
      </c>
      <c r="N746">
        <v>2014</v>
      </c>
      <c r="P746" s="1">
        <v>43061</v>
      </c>
      <c r="S746" t="s">
        <v>174</v>
      </c>
      <c r="W746">
        <v>1</v>
      </c>
      <c r="Z746">
        <v>0</v>
      </c>
    </row>
    <row r="747" spans="1:26" x14ac:dyDescent="0.3">
      <c r="A747">
        <v>22638154</v>
      </c>
      <c r="B747" t="s">
        <v>2989</v>
      </c>
      <c r="C747" t="s">
        <v>1426</v>
      </c>
      <c r="D747" t="s">
        <v>1427</v>
      </c>
      <c r="F747" t="str">
        <f>""</f>
        <v/>
      </c>
      <c r="G747" t="str">
        <f>""</f>
        <v/>
      </c>
      <c r="H747">
        <v>0</v>
      </c>
      <c r="I747">
        <v>3.37</v>
      </c>
      <c r="J747" t="s">
        <v>1040</v>
      </c>
      <c r="K747" t="s">
        <v>69</v>
      </c>
      <c r="L747">
        <v>400</v>
      </c>
      <c r="M747">
        <v>2015</v>
      </c>
      <c r="N747">
        <v>2015</v>
      </c>
      <c r="P747" s="1">
        <v>43051</v>
      </c>
      <c r="S747" t="s">
        <v>174</v>
      </c>
      <c r="W747">
        <v>1</v>
      </c>
      <c r="Z747">
        <v>0</v>
      </c>
    </row>
    <row r="748" spans="1:26" x14ac:dyDescent="0.3">
      <c r="A748">
        <v>25300818</v>
      </c>
      <c r="B748" t="s">
        <v>2990</v>
      </c>
      <c r="C748" t="s">
        <v>2991</v>
      </c>
      <c r="D748" t="s">
        <v>2992</v>
      </c>
      <c r="F748" t="str">
        <f>"0307958337"</f>
        <v>0307958337</v>
      </c>
      <c r="G748" t="str">
        <f>"9780307958334"</f>
        <v>9780307958334</v>
      </c>
      <c r="H748">
        <v>0</v>
      </c>
      <c r="I748">
        <v>3.77</v>
      </c>
      <c r="J748" t="s">
        <v>476</v>
      </c>
      <c r="K748" t="s">
        <v>173</v>
      </c>
      <c r="L748">
        <v>304</v>
      </c>
      <c r="M748">
        <v>2015</v>
      </c>
      <c r="N748">
        <v>2015</v>
      </c>
      <c r="O748" s="1">
        <v>43061</v>
      </c>
      <c r="P748" s="1">
        <v>43000</v>
      </c>
      <c r="S748" t="s">
        <v>174</v>
      </c>
      <c r="W748">
        <v>1</v>
      </c>
      <c r="Z748">
        <v>0</v>
      </c>
    </row>
    <row r="749" spans="1:26" x14ac:dyDescent="0.3">
      <c r="A749">
        <v>23692271</v>
      </c>
      <c r="B749" t="s">
        <v>2993</v>
      </c>
      <c r="C749" t="s">
        <v>2994</v>
      </c>
      <c r="D749" t="s">
        <v>2995</v>
      </c>
      <c r="F749" t="str">
        <f>""</f>
        <v/>
      </c>
      <c r="G749" t="str">
        <f>""</f>
        <v/>
      </c>
      <c r="H749">
        <v>5</v>
      </c>
      <c r="I749">
        <v>4.41</v>
      </c>
      <c r="J749" t="s">
        <v>342</v>
      </c>
      <c r="K749" t="s">
        <v>60</v>
      </c>
      <c r="L749">
        <v>512</v>
      </c>
      <c r="M749">
        <v>2015</v>
      </c>
      <c r="N749">
        <v>2011</v>
      </c>
      <c r="O749" s="1">
        <v>43051</v>
      </c>
      <c r="P749" s="1">
        <v>43000</v>
      </c>
      <c r="S749" t="s">
        <v>174</v>
      </c>
      <c r="W749">
        <v>1</v>
      </c>
      <c r="Z749">
        <v>0</v>
      </c>
    </row>
    <row r="750" spans="1:26" x14ac:dyDescent="0.3">
      <c r="A750">
        <v>9238885</v>
      </c>
      <c r="B750" t="s">
        <v>2996</v>
      </c>
      <c r="C750" t="s">
        <v>2997</v>
      </c>
      <c r="D750" t="s">
        <v>2998</v>
      </c>
      <c r="F750" t="str">
        <f>"019974727X"</f>
        <v>019974727X</v>
      </c>
      <c r="G750" t="str">
        <f>"9780199747276"</f>
        <v>9780199747276</v>
      </c>
      <c r="H750">
        <v>0</v>
      </c>
      <c r="I750">
        <v>3.92</v>
      </c>
      <c r="J750" t="s">
        <v>104</v>
      </c>
      <c r="K750" t="s">
        <v>35</v>
      </c>
      <c r="L750">
        <v>878</v>
      </c>
      <c r="M750">
        <v>2010</v>
      </c>
      <c r="N750">
        <v>2010</v>
      </c>
      <c r="P750" s="1">
        <v>43051</v>
      </c>
      <c r="Q750" t="s">
        <v>36</v>
      </c>
      <c r="R750" t="s">
        <v>2999</v>
      </c>
      <c r="S750" t="s">
        <v>36</v>
      </c>
      <c r="W750">
        <v>0</v>
      </c>
      <c r="Z750">
        <v>0</v>
      </c>
    </row>
    <row r="751" spans="1:26" x14ac:dyDescent="0.3">
      <c r="A751">
        <v>18378022</v>
      </c>
      <c r="B751" t="s">
        <v>3000</v>
      </c>
      <c r="C751" t="s">
        <v>354</v>
      </c>
      <c r="D751" t="s">
        <v>355</v>
      </c>
      <c r="F751" t="str">
        <f>"0393349276"</f>
        <v>0393349276</v>
      </c>
      <c r="G751" t="str">
        <f>"9780393349276"</f>
        <v>9780393349276</v>
      </c>
      <c r="H751">
        <v>0</v>
      </c>
      <c r="I751">
        <v>3.99</v>
      </c>
      <c r="J751" t="s">
        <v>144</v>
      </c>
      <c r="K751" t="s">
        <v>60</v>
      </c>
      <c r="L751">
        <v>592</v>
      </c>
      <c r="M751">
        <v>2014</v>
      </c>
      <c r="N751">
        <v>2001</v>
      </c>
      <c r="P751" s="1">
        <v>42605</v>
      </c>
      <c r="S751" t="s">
        <v>174</v>
      </c>
      <c r="W751">
        <v>1</v>
      </c>
      <c r="Z751">
        <v>0</v>
      </c>
    </row>
    <row r="752" spans="1:26" x14ac:dyDescent="0.3">
      <c r="A752">
        <v>9140160</v>
      </c>
      <c r="B752" t="s">
        <v>3001</v>
      </c>
      <c r="C752" t="s">
        <v>354</v>
      </c>
      <c r="D752" t="s">
        <v>355</v>
      </c>
      <c r="F752" t="str">
        <f>"0199758735"</f>
        <v>0199758735</v>
      </c>
      <c r="G752" t="str">
        <f>"9780199758739"</f>
        <v>9780199758739</v>
      </c>
      <c r="H752">
        <v>0</v>
      </c>
      <c r="I752">
        <v>3.4</v>
      </c>
      <c r="J752" t="s">
        <v>104</v>
      </c>
      <c r="K752" t="s">
        <v>35</v>
      </c>
      <c r="L752">
        <v>142</v>
      </c>
      <c r="M752">
        <v>2011</v>
      </c>
      <c r="N752">
        <v>2010</v>
      </c>
      <c r="P752" s="1">
        <v>42853</v>
      </c>
      <c r="S752" t="s">
        <v>174</v>
      </c>
      <c r="W752">
        <v>1</v>
      </c>
      <c r="Z752">
        <v>0</v>
      </c>
    </row>
    <row r="753" spans="1:26" x14ac:dyDescent="0.3">
      <c r="A753">
        <v>7562764</v>
      </c>
      <c r="B753" t="s">
        <v>3002</v>
      </c>
      <c r="C753" t="s">
        <v>3003</v>
      </c>
      <c r="D753" t="s">
        <v>3004</v>
      </c>
      <c r="F753" t="str">
        <f>"0575088877"</f>
        <v>0575088877</v>
      </c>
      <c r="G753" t="str">
        <f>"9780575088870"</f>
        <v>9780575088870</v>
      </c>
      <c r="H753">
        <v>0</v>
      </c>
      <c r="I753">
        <v>3.84</v>
      </c>
      <c r="J753" t="s">
        <v>1794</v>
      </c>
      <c r="K753" t="s">
        <v>35</v>
      </c>
      <c r="L753">
        <v>336</v>
      </c>
      <c r="M753">
        <v>2010</v>
      </c>
      <c r="N753">
        <v>2010</v>
      </c>
      <c r="P753" s="1">
        <v>42704</v>
      </c>
      <c r="Q753" t="s">
        <v>36</v>
      </c>
      <c r="R753" t="s">
        <v>3005</v>
      </c>
      <c r="S753" t="s">
        <v>36</v>
      </c>
      <c r="W753">
        <v>0</v>
      </c>
      <c r="Z753">
        <v>0</v>
      </c>
    </row>
    <row r="754" spans="1:26" x14ac:dyDescent="0.3">
      <c r="A754">
        <v>55227</v>
      </c>
      <c r="B754" t="s">
        <v>3006</v>
      </c>
      <c r="C754" t="s">
        <v>1080</v>
      </c>
      <c r="D754" t="s">
        <v>1081</v>
      </c>
      <c r="F754" t="str">
        <f>"0805082840"</f>
        <v>0805082840</v>
      </c>
      <c r="G754" t="str">
        <f>"9780805082845"</f>
        <v>9780805082845</v>
      </c>
      <c r="H754">
        <v>0</v>
      </c>
      <c r="I754">
        <v>3.99</v>
      </c>
      <c r="J754" t="s">
        <v>3007</v>
      </c>
      <c r="K754" t="s">
        <v>60</v>
      </c>
      <c r="L754">
        <v>311</v>
      </c>
      <c r="M754">
        <v>2007</v>
      </c>
      <c r="N754">
        <v>2006</v>
      </c>
      <c r="P754" s="1">
        <v>42687</v>
      </c>
      <c r="Q754" t="s">
        <v>36</v>
      </c>
      <c r="R754" t="s">
        <v>3008</v>
      </c>
      <c r="S754" t="s">
        <v>36</v>
      </c>
      <c r="W754">
        <v>0</v>
      </c>
      <c r="Z754">
        <v>0</v>
      </c>
    </row>
    <row r="755" spans="1:26" x14ac:dyDescent="0.3">
      <c r="A755">
        <v>287773</v>
      </c>
      <c r="B755" t="s">
        <v>3009</v>
      </c>
      <c r="C755" t="s">
        <v>3010</v>
      </c>
      <c r="D755" t="s">
        <v>3011</v>
      </c>
      <c r="E755" t="s">
        <v>3012</v>
      </c>
      <c r="F755" t="str">
        <f>"1576754634"</f>
        <v>1576754634</v>
      </c>
      <c r="G755" t="str">
        <f>"9781576754634"</f>
        <v>9781576754634</v>
      </c>
      <c r="H755">
        <v>0</v>
      </c>
      <c r="I755">
        <v>4.12</v>
      </c>
      <c r="J755" t="s">
        <v>3013</v>
      </c>
      <c r="K755" t="s">
        <v>60</v>
      </c>
      <c r="L755">
        <v>249</v>
      </c>
      <c r="M755">
        <v>2007</v>
      </c>
      <c r="N755">
        <v>2006</v>
      </c>
      <c r="P755" s="1">
        <v>42687</v>
      </c>
      <c r="Q755" t="s">
        <v>36</v>
      </c>
      <c r="R755" t="s">
        <v>3014</v>
      </c>
      <c r="S755" t="s">
        <v>36</v>
      </c>
      <c r="W755">
        <v>0</v>
      </c>
      <c r="Z755">
        <v>0</v>
      </c>
    </row>
    <row r="756" spans="1:26" x14ac:dyDescent="0.3">
      <c r="A756">
        <v>61132</v>
      </c>
      <c r="B756" t="s">
        <v>3015</v>
      </c>
      <c r="C756" t="s">
        <v>3016</v>
      </c>
      <c r="D756" t="s">
        <v>3017</v>
      </c>
      <c r="E756" t="s">
        <v>3018</v>
      </c>
      <c r="F756" t="str">
        <f>"0452285674"</f>
        <v>0452285674</v>
      </c>
      <c r="G756" t="str">
        <f>"9780452285675"</f>
        <v>9780452285675</v>
      </c>
      <c r="H756">
        <v>0</v>
      </c>
      <c r="I756">
        <v>3.98</v>
      </c>
      <c r="J756" t="s">
        <v>3019</v>
      </c>
      <c r="K756" t="s">
        <v>60</v>
      </c>
      <c r="L756">
        <v>416</v>
      </c>
      <c r="M756">
        <v>2004</v>
      </c>
      <c r="N756">
        <v>2002</v>
      </c>
      <c r="P756" s="1">
        <v>42687</v>
      </c>
      <c r="Q756" t="s">
        <v>36</v>
      </c>
      <c r="R756" t="s">
        <v>3020</v>
      </c>
      <c r="S756" t="s">
        <v>36</v>
      </c>
      <c r="W756">
        <v>0</v>
      </c>
      <c r="Z756">
        <v>0</v>
      </c>
    </row>
    <row r="757" spans="1:26" x14ac:dyDescent="0.3">
      <c r="A757">
        <v>883318</v>
      </c>
      <c r="B757" t="s">
        <v>3021</v>
      </c>
      <c r="C757" t="s">
        <v>3022</v>
      </c>
      <c r="D757" t="s">
        <v>3023</v>
      </c>
      <c r="F757" t="str">
        <f>"0679462945"</f>
        <v>0679462945</v>
      </c>
      <c r="G757" t="str">
        <f>"9780679462941"</f>
        <v>9780679462941</v>
      </c>
      <c r="H757">
        <v>0</v>
      </c>
      <c r="I757">
        <v>4.22</v>
      </c>
      <c r="J757" t="s">
        <v>745</v>
      </c>
      <c r="K757" t="s">
        <v>35</v>
      </c>
      <c r="L757">
        <v>240</v>
      </c>
      <c r="M757">
        <v>2001</v>
      </c>
      <c r="N757">
        <v>2001</v>
      </c>
      <c r="P757" s="1">
        <v>42687</v>
      </c>
      <c r="Q757" t="s">
        <v>36</v>
      </c>
      <c r="R757" t="s">
        <v>3024</v>
      </c>
      <c r="S757" t="s">
        <v>36</v>
      </c>
      <c r="W757">
        <v>0</v>
      </c>
      <c r="Z757">
        <v>0</v>
      </c>
    </row>
    <row r="758" spans="1:26" x14ac:dyDescent="0.3">
      <c r="A758">
        <v>12617</v>
      </c>
      <c r="B758" t="s">
        <v>3025</v>
      </c>
      <c r="C758" t="s">
        <v>3026</v>
      </c>
      <c r="D758" t="s">
        <v>3027</v>
      </c>
      <c r="E758" t="s">
        <v>1080</v>
      </c>
      <c r="F758" t="str">
        <f>"0375714499"</f>
        <v>0375714499</v>
      </c>
      <c r="G758" t="str">
        <f>"9780375714498"</f>
        <v>9780375714498</v>
      </c>
      <c r="H758">
        <v>0</v>
      </c>
      <c r="I758">
        <v>4.25</v>
      </c>
      <c r="J758" t="s">
        <v>313</v>
      </c>
      <c r="K758" t="s">
        <v>60</v>
      </c>
      <c r="L758">
        <v>412</v>
      </c>
      <c r="M758">
        <v>2002</v>
      </c>
      <c r="N758">
        <v>1988</v>
      </c>
      <c r="P758" s="1">
        <v>42687</v>
      </c>
      <c r="Q758" t="s">
        <v>36</v>
      </c>
      <c r="R758" t="s">
        <v>3028</v>
      </c>
      <c r="S758" t="s">
        <v>36</v>
      </c>
      <c r="W758">
        <v>0</v>
      </c>
      <c r="Z758">
        <v>0</v>
      </c>
    </row>
    <row r="759" spans="1:26" x14ac:dyDescent="0.3">
      <c r="A759">
        <v>2159</v>
      </c>
      <c r="B759" t="s">
        <v>3029</v>
      </c>
      <c r="C759" t="s">
        <v>3030</v>
      </c>
      <c r="D759" t="s">
        <v>3031</v>
      </c>
      <c r="F759" t="str">
        <f>"0452287081"</f>
        <v>0452287081</v>
      </c>
      <c r="G759" t="str">
        <f>"9780452287082"</f>
        <v>9780452287082</v>
      </c>
      <c r="H759">
        <v>0</v>
      </c>
      <c r="I759">
        <v>3.86</v>
      </c>
      <c r="J759" t="s">
        <v>3032</v>
      </c>
      <c r="K759" t="s">
        <v>60</v>
      </c>
      <c r="L759">
        <v>303</v>
      </c>
      <c r="M759">
        <v>2005</v>
      </c>
      <c r="N759">
        <v>2004</v>
      </c>
      <c r="P759" s="1">
        <v>42687</v>
      </c>
      <c r="Q759" t="s">
        <v>36</v>
      </c>
      <c r="R759" t="s">
        <v>3033</v>
      </c>
      <c r="S759" t="s">
        <v>36</v>
      </c>
      <c r="W759">
        <v>0</v>
      </c>
      <c r="Z759">
        <v>0</v>
      </c>
    </row>
    <row r="760" spans="1:26" x14ac:dyDescent="0.3">
      <c r="A760">
        <v>102748</v>
      </c>
      <c r="B760" t="s">
        <v>3034</v>
      </c>
      <c r="C760" t="s">
        <v>3035</v>
      </c>
      <c r="D760" t="s">
        <v>3036</v>
      </c>
      <c r="F760" t="str">
        <f>"0679721134"</f>
        <v>0679721134</v>
      </c>
      <c r="G760" t="str">
        <f>"9780679721130"</f>
        <v>9780679721130</v>
      </c>
      <c r="H760">
        <v>0</v>
      </c>
      <c r="I760">
        <v>3.75</v>
      </c>
      <c r="J760" t="s">
        <v>342</v>
      </c>
      <c r="K760" t="s">
        <v>60</v>
      </c>
      <c r="L760">
        <v>196</v>
      </c>
      <c r="M760">
        <v>1989</v>
      </c>
      <c r="N760">
        <v>1969</v>
      </c>
      <c r="P760" s="1">
        <v>42687</v>
      </c>
      <c r="Q760" t="s">
        <v>36</v>
      </c>
      <c r="R760" t="s">
        <v>3037</v>
      </c>
      <c r="S760" t="s">
        <v>36</v>
      </c>
      <c r="W760">
        <v>0</v>
      </c>
      <c r="Z760">
        <v>0</v>
      </c>
    </row>
    <row r="761" spans="1:26" x14ac:dyDescent="0.3">
      <c r="A761">
        <v>582067</v>
      </c>
      <c r="B761" t="s">
        <v>3038</v>
      </c>
      <c r="C761" t="s">
        <v>3039</v>
      </c>
      <c r="D761" t="s">
        <v>3040</v>
      </c>
      <c r="F761" t="str">
        <f>"0394703170"</f>
        <v>0394703170</v>
      </c>
      <c r="G761" t="str">
        <f>"9780394703176"</f>
        <v>9780394703176</v>
      </c>
      <c r="H761">
        <v>0</v>
      </c>
      <c r="I761">
        <v>4.1399999999999997</v>
      </c>
      <c r="J761" t="s">
        <v>342</v>
      </c>
      <c r="K761" t="s">
        <v>60</v>
      </c>
      <c r="L761">
        <v>434</v>
      </c>
      <c r="M761">
        <v>1964</v>
      </c>
      <c r="N761">
        <v>1963</v>
      </c>
      <c r="P761" s="1">
        <v>42687</v>
      </c>
      <c r="Q761" t="s">
        <v>36</v>
      </c>
      <c r="R761" t="s">
        <v>3041</v>
      </c>
      <c r="S761" t="s">
        <v>36</v>
      </c>
      <c r="W761">
        <v>0</v>
      </c>
      <c r="Z761">
        <v>0</v>
      </c>
    </row>
    <row r="762" spans="1:26" x14ac:dyDescent="0.3">
      <c r="A762">
        <v>24694051</v>
      </c>
      <c r="B762" t="s">
        <v>3042</v>
      </c>
      <c r="C762" t="s">
        <v>3043</v>
      </c>
      <c r="D762" t="s">
        <v>3044</v>
      </c>
      <c r="F762" t="str">
        <f>"1621573788"</f>
        <v>1621573788</v>
      </c>
      <c r="G762" t="str">
        <f>"9781621573784"</f>
        <v>9781621573784</v>
      </c>
      <c r="H762">
        <v>0</v>
      </c>
      <c r="I762">
        <v>3.8</v>
      </c>
      <c r="J762" t="s">
        <v>3045</v>
      </c>
      <c r="K762" t="s">
        <v>35</v>
      </c>
      <c r="L762">
        <v>256</v>
      </c>
      <c r="M762">
        <v>2015</v>
      </c>
      <c r="N762">
        <v>2015</v>
      </c>
      <c r="P762" s="1">
        <v>42687</v>
      </c>
      <c r="Q762" t="s">
        <v>36</v>
      </c>
      <c r="R762" t="s">
        <v>3046</v>
      </c>
      <c r="S762" t="s">
        <v>36</v>
      </c>
      <c r="W762">
        <v>0</v>
      </c>
      <c r="Z762">
        <v>0</v>
      </c>
    </row>
    <row r="763" spans="1:26" x14ac:dyDescent="0.3">
      <c r="A763">
        <v>15738193</v>
      </c>
      <c r="B763" t="s">
        <v>3047</v>
      </c>
      <c r="C763" t="s">
        <v>3048</v>
      </c>
      <c r="D763" t="s">
        <v>3049</v>
      </c>
      <c r="F763" t="str">
        <f>"1118141067"</f>
        <v>1118141067</v>
      </c>
      <c r="G763" t="str">
        <f>"9781118141069"</f>
        <v>9781118141069</v>
      </c>
      <c r="H763">
        <v>0</v>
      </c>
      <c r="I763">
        <v>3.78</v>
      </c>
      <c r="J763" t="s">
        <v>3050</v>
      </c>
      <c r="K763" t="s">
        <v>35</v>
      </c>
      <c r="L763">
        <v>288</v>
      </c>
      <c r="M763">
        <v>2012</v>
      </c>
      <c r="N763">
        <v>2012</v>
      </c>
      <c r="P763" s="1">
        <v>42687</v>
      </c>
      <c r="Q763" t="s">
        <v>36</v>
      </c>
      <c r="R763" t="s">
        <v>3051</v>
      </c>
      <c r="S763" t="s">
        <v>36</v>
      </c>
      <c r="W763">
        <v>0</v>
      </c>
      <c r="Z763">
        <v>0</v>
      </c>
    </row>
    <row r="764" spans="1:26" x14ac:dyDescent="0.3">
      <c r="A764">
        <v>13331179</v>
      </c>
      <c r="B764" t="s">
        <v>3052</v>
      </c>
      <c r="C764" t="s">
        <v>3053</v>
      </c>
      <c r="D764" t="s">
        <v>3054</v>
      </c>
      <c r="F764" t="str">
        <f>"0449013677"</f>
        <v>0449013677</v>
      </c>
      <c r="G764" t="str">
        <f>"9780449013670"</f>
        <v>9780449013670</v>
      </c>
      <c r="H764">
        <v>0</v>
      </c>
      <c r="I764">
        <v>3.99</v>
      </c>
      <c r="J764" t="s">
        <v>3055</v>
      </c>
      <c r="K764" t="s">
        <v>867</v>
      </c>
      <c r="L764">
        <v>12</v>
      </c>
      <c r="M764">
        <v>2012</v>
      </c>
      <c r="N764">
        <v>2012</v>
      </c>
      <c r="P764" s="1">
        <v>42687</v>
      </c>
      <c r="Q764" t="s">
        <v>36</v>
      </c>
      <c r="R764" t="s">
        <v>3056</v>
      </c>
      <c r="S764" t="s">
        <v>36</v>
      </c>
      <c r="W764">
        <v>0</v>
      </c>
      <c r="Z764">
        <v>0</v>
      </c>
    </row>
    <row r="765" spans="1:26" x14ac:dyDescent="0.3">
      <c r="A765">
        <v>12669812</v>
      </c>
      <c r="B765" t="s">
        <v>3057</v>
      </c>
      <c r="C765" t="s">
        <v>3058</v>
      </c>
      <c r="D765" t="s">
        <v>3059</v>
      </c>
      <c r="F765" t="str">
        <f>"0062107992"</f>
        <v>0062107992</v>
      </c>
      <c r="G765" t="str">
        <f>"9780062107992"</f>
        <v>9780062107992</v>
      </c>
      <c r="H765">
        <v>0</v>
      </c>
      <c r="I765">
        <v>3.95</v>
      </c>
      <c r="J765" t="s">
        <v>3060</v>
      </c>
      <c r="K765" t="s">
        <v>35</v>
      </c>
      <c r="L765">
        <v>432</v>
      </c>
      <c r="M765">
        <v>2012</v>
      </c>
      <c r="N765">
        <v>2012</v>
      </c>
      <c r="P765" s="1">
        <v>42687</v>
      </c>
      <c r="Q765" t="s">
        <v>36</v>
      </c>
      <c r="R765" t="s">
        <v>3061</v>
      </c>
      <c r="S765" t="s">
        <v>36</v>
      </c>
      <c r="W765">
        <v>0</v>
      </c>
      <c r="Z765">
        <v>0</v>
      </c>
    </row>
    <row r="766" spans="1:26" x14ac:dyDescent="0.3">
      <c r="A766">
        <v>13622997</v>
      </c>
      <c r="B766" t="s">
        <v>3062</v>
      </c>
      <c r="C766" t="s">
        <v>3063</v>
      </c>
      <c r="D766" t="s">
        <v>3064</v>
      </c>
      <c r="E766" t="s">
        <v>3065</v>
      </c>
      <c r="F766" t="str">
        <f>"0465031331"</f>
        <v>0465031331</v>
      </c>
      <c r="G766" t="str">
        <f>"9780465031337"</f>
        <v>9780465031337</v>
      </c>
      <c r="H766">
        <v>0</v>
      </c>
      <c r="I766">
        <v>3.91</v>
      </c>
      <c r="J766" t="s">
        <v>129</v>
      </c>
      <c r="K766" t="s">
        <v>35</v>
      </c>
      <c r="L766">
        <v>225</v>
      </c>
      <c r="M766">
        <v>2012</v>
      </c>
      <c r="N766">
        <v>2012</v>
      </c>
      <c r="P766" s="1">
        <v>42687</v>
      </c>
      <c r="Q766" t="s">
        <v>36</v>
      </c>
      <c r="R766" t="s">
        <v>3066</v>
      </c>
      <c r="S766" t="s">
        <v>36</v>
      </c>
      <c r="W766">
        <v>0</v>
      </c>
      <c r="Z766">
        <v>0</v>
      </c>
    </row>
    <row r="767" spans="1:26" x14ac:dyDescent="0.3">
      <c r="A767">
        <v>13122094</v>
      </c>
      <c r="B767" t="s">
        <v>3067</v>
      </c>
      <c r="C767" t="s">
        <v>3068</v>
      </c>
      <c r="D767" t="s">
        <v>3069</v>
      </c>
      <c r="E767" t="s">
        <v>3070</v>
      </c>
      <c r="F767" t="str">
        <f>"1608192016"</f>
        <v>1608192016</v>
      </c>
      <c r="G767" t="str">
        <f>"9781608192014"</f>
        <v>9781608192014</v>
      </c>
      <c r="H767">
        <v>0</v>
      </c>
      <c r="I767">
        <v>3.81</v>
      </c>
      <c r="J767" t="s">
        <v>3071</v>
      </c>
      <c r="K767" t="s">
        <v>35</v>
      </c>
      <c r="L767">
        <v>336</v>
      </c>
      <c r="M767">
        <v>2012</v>
      </c>
      <c r="N767">
        <v>2012</v>
      </c>
      <c r="P767" s="1">
        <v>42687</v>
      </c>
      <c r="Q767" t="s">
        <v>36</v>
      </c>
      <c r="R767" t="s">
        <v>3072</v>
      </c>
      <c r="S767" t="s">
        <v>36</v>
      </c>
      <c r="W767">
        <v>0</v>
      </c>
      <c r="Z767">
        <v>0</v>
      </c>
    </row>
    <row r="768" spans="1:26" x14ac:dyDescent="0.3">
      <c r="A768">
        <v>13151179</v>
      </c>
      <c r="B768" t="s">
        <v>3073</v>
      </c>
      <c r="C768" t="s">
        <v>3074</v>
      </c>
      <c r="D768" t="s">
        <v>3075</v>
      </c>
      <c r="F768" t="str">
        <f>"0307720454"</f>
        <v>0307720454</v>
      </c>
      <c r="G768" t="str">
        <f>"9780307720450"</f>
        <v>9780307720450</v>
      </c>
      <c r="H768">
        <v>0</v>
      </c>
      <c r="I768">
        <v>4</v>
      </c>
      <c r="J768" t="s">
        <v>188</v>
      </c>
      <c r="K768" t="s">
        <v>35</v>
      </c>
      <c r="L768">
        <v>304</v>
      </c>
      <c r="M768">
        <v>2012</v>
      </c>
      <c r="N768">
        <v>2012</v>
      </c>
      <c r="P768" s="1">
        <v>42687</v>
      </c>
      <c r="Q768" t="s">
        <v>36</v>
      </c>
      <c r="R768" t="s">
        <v>3076</v>
      </c>
      <c r="S768" t="s">
        <v>36</v>
      </c>
      <c r="W768">
        <v>0</v>
      </c>
      <c r="Z768">
        <v>0</v>
      </c>
    </row>
    <row r="769" spans="1:26" x14ac:dyDescent="0.3">
      <c r="A769">
        <v>12143200</v>
      </c>
      <c r="B769" t="s">
        <v>3077</v>
      </c>
      <c r="C769" t="s">
        <v>3078</v>
      </c>
      <c r="D769" t="s">
        <v>3079</v>
      </c>
      <c r="F769" t="str">
        <f>"0307970388"</f>
        <v>0307970388</v>
      </c>
      <c r="G769" t="str">
        <f>"9780307970381"</f>
        <v>9780307970381</v>
      </c>
      <c r="H769">
        <v>0</v>
      </c>
      <c r="I769">
        <v>4.07</v>
      </c>
      <c r="J769" t="s">
        <v>3055</v>
      </c>
      <c r="L769">
        <v>288</v>
      </c>
      <c r="M769">
        <v>2012</v>
      </c>
      <c r="N769">
        <v>2012</v>
      </c>
      <c r="P769" s="1">
        <v>42687</v>
      </c>
      <c r="Q769" t="s">
        <v>36</v>
      </c>
      <c r="R769" t="s">
        <v>3080</v>
      </c>
      <c r="S769" t="s">
        <v>36</v>
      </c>
      <c r="W769">
        <v>0</v>
      </c>
      <c r="Z769">
        <v>0</v>
      </c>
    </row>
    <row r="770" spans="1:26" x14ac:dyDescent="0.3">
      <c r="A770">
        <v>28364047</v>
      </c>
      <c r="B770" t="s">
        <v>3081</v>
      </c>
      <c r="C770" t="s">
        <v>3082</v>
      </c>
      <c r="D770" t="s">
        <v>3083</v>
      </c>
      <c r="F770" t="str">
        <f>"1784784494"</f>
        <v>1784784494</v>
      </c>
      <c r="G770" t="str">
        <f>"9781784784492"</f>
        <v>9781784784492</v>
      </c>
      <c r="H770">
        <v>0</v>
      </c>
      <c r="I770">
        <v>4.38</v>
      </c>
      <c r="J770" t="s">
        <v>530</v>
      </c>
      <c r="K770" t="s">
        <v>35</v>
      </c>
      <c r="L770">
        <v>464</v>
      </c>
      <c r="M770">
        <v>2016</v>
      </c>
      <c r="N770">
        <v>2016</v>
      </c>
      <c r="P770" s="1">
        <v>42607</v>
      </c>
      <c r="Q770" t="s">
        <v>36</v>
      </c>
      <c r="R770" t="s">
        <v>3084</v>
      </c>
      <c r="S770" t="s">
        <v>36</v>
      </c>
      <c r="W770">
        <v>0</v>
      </c>
      <c r="Z770">
        <v>0</v>
      </c>
    </row>
    <row r="771" spans="1:26" x14ac:dyDescent="0.3">
      <c r="A771">
        <v>28100136</v>
      </c>
      <c r="B771" t="s">
        <v>3085</v>
      </c>
      <c r="C771" t="s">
        <v>3082</v>
      </c>
      <c r="D771" t="s">
        <v>3083</v>
      </c>
      <c r="F771" t="str">
        <f>"1682190285"</f>
        <v>1682190285</v>
      </c>
      <c r="G771" t="str">
        <f>"9781682190289"</f>
        <v>9781682190289</v>
      </c>
      <c r="H771">
        <v>0</v>
      </c>
      <c r="I771">
        <v>4.2</v>
      </c>
      <c r="J771" t="s">
        <v>3086</v>
      </c>
      <c r="K771" t="s">
        <v>60</v>
      </c>
      <c r="L771">
        <v>428</v>
      </c>
      <c r="M771">
        <v>2016</v>
      </c>
      <c r="N771">
        <v>2016</v>
      </c>
      <c r="P771" s="1">
        <v>42607</v>
      </c>
      <c r="Q771" t="s">
        <v>36</v>
      </c>
      <c r="R771" t="s">
        <v>3087</v>
      </c>
      <c r="S771" t="s">
        <v>36</v>
      </c>
      <c r="W771">
        <v>0</v>
      </c>
      <c r="Z771">
        <v>0</v>
      </c>
    </row>
    <row r="772" spans="1:26" x14ac:dyDescent="0.3">
      <c r="A772">
        <v>25407471</v>
      </c>
      <c r="B772" t="s">
        <v>3088</v>
      </c>
      <c r="C772" t="s">
        <v>3082</v>
      </c>
      <c r="D772" t="s">
        <v>3083</v>
      </c>
      <c r="F772" t="str">
        <f>"9380118252"</f>
        <v>9380118252</v>
      </c>
      <c r="G772" t="str">
        <f>""</f>
        <v/>
      </c>
      <c r="H772">
        <v>0</v>
      </c>
      <c r="I772">
        <v>3.62</v>
      </c>
      <c r="J772" t="s">
        <v>3089</v>
      </c>
      <c r="K772" t="s">
        <v>60</v>
      </c>
      <c r="L772">
        <v>132</v>
      </c>
      <c r="P772" s="1">
        <v>42607</v>
      </c>
      <c r="Q772" t="s">
        <v>36</v>
      </c>
      <c r="R772" t="s">
        <v>3090</v>
      </c>
      <c r="S772" t="s">
        <v>36</v>
      </c>
      <c r="W772">
        <v>0</v>
      </c>
      <c r="Z772">
        <v>0</v>
      </c>
    </row>
    <row r="773" spans="1:26" x14ac:dyDescent="0.3">
      <c r="A773">
        <v>22434359</v>
      </c>
      <c r="B773" t="s">
        <v>3091</v>
      </c>
      <c r="C773" t="s">
        <v>3082</v>
      </c>
      <c r="D773" t="s">
        <v>3083</v>
      </c>
      <c r="F773" t="str">
        <f>""</f>
        <v/>
      </c>
      <c r="G773" t="str">
        <f>"9781939293596"</f>
        <v>9781939293596</v>
      </c>
      <c r="H773">
        <v>0</v>
      </c>
      <c r="I773">
        <v>3.69</v>
      </c>
      <c r="J773" t="s">
        <v>3086</v>
      </c>
      <c r="K773" t="s">
        <v>60</v>
      </c>
      <c r="L773">
        <v>150</v>
      </c>
      <c r="M773">
        <v>2014</v>
      </c>
      <c r="N773">
        <v>2014</v>
      </c>
      <c r="P773" s="1">
        <v>42607</v>
      </c>
      <c r="Q773" t="s">
        <v>36</v>
      </c>
      <c r="R773" t="s">
        <v>3092</v>
      </c>
      <c r="S773" t="s">
        <v>36</v>
      </c>
      <c r="W773">
        <v>0</v>
      </c>
      <c r="Z773">
        <v>0</v>
      </c>
    </row>
    <row r="774" spans="1:26" x14ac:dyDescent="0.3">
      <c r="A774">
        <v>78612</v>
      </c>
      <c r="B774" t="s">
        <v>3093</v>
      </c>
      <c r="C774" t="s">
        <v>3094</v>
      </c>
      <c r="D774" t="s">
        <v>3095</v>
      </c>
      <c r="F774" t="str">
        <f>"0060955376"</f>
        <v>0060955376</v>
      </c>
      <c r="G774" t="str">
        <f>"9780060955373"</f>
        <v>9780060955373</v>
      </c>
      <c r="H774">
        <v>0</v>
      </c>
      <c r="I774">
        <v>3.97</v>
      </c>
      <c r="J774" t="s">
        <v>303</v>
      </c>
      <c r="K774" t="s">
        <v>60</v>
      </c>
      <c r="L774">
        <v>448</v>
      </c>
      <c r="M774">
        <v>2005</v>
      </c>
      <c r="N774">
        <v>2004</v>
      </c>
      <c r="P774" s="1">
        <v>42607</v>
      </c>
      <c r="Q774" t="s">
        <v>36</v>
      </c>
      <c r="R774" t="s">
        <v>3096</v>
      </c>
      <c r="S774" t="s">
        <v>36</v>
      </c>
      <c r="W774">
        <v>0</v>
      </c>
      <c r="Z774">
        <v>0</v>
      </c>
    </row>
    <row r="775" spans="1:26" x14ac:dyDescent="0.3">
      <c r="A775">
        <v>844783</v>
      </c>
      <c r="B775" t="s">
        <v>3097</v>
      </c>
      <c r="C775" t="s">
        <v>3098</v>
      </c>
      <c r="D775" t="s">
        <v>3099</v>
      </c>
      <c r="F775" t="str">
        <f>"0275994457"</f>
        <v>0275994457</v>
      </c>
      <c r="G775" t="str">
        <f>"9780275994457"</f>
        <v>9780275994457</v>
      </c>
      <c r="H775">
        <v>0</v>
      </c>
      <c r="I775">
        <v>3</v>
      </c>
      <c r="J775" t="s">
        <v>1799</v>
      </c>
      <c r="K775" t="s">
        <v>35</v>
      </c>
      <c r="L775">
        <v>272</v>
      </c>
      <c r="M775">
        <v>2007</v>
      </c>
      <c r="N775">
        <v>2007</v>
      </c>
      <c r="P775" s="1">
        <v>42605</v>
      </c>
      <c r="Q775" t="s">
        <v>36</v>
      </c>
      <c r="R775" t="s">
        <v>3100</v>
      </c>
      <c r="S775" t="s">
        <v>36</v>
      </c>
      <c r="W775">
        <v>0</v>
      </c>
      <c r="Z775">
        <v>0</v>
      </c>
    </row>
    <row r="776" spans="1:26" x14ac:dyDescent="0.3">
      <c r="A776">
        <v>2627920</v>
      </c>
      <c r="B776" t="s">
        <v>3101</v>
      </c>
      <c r="C776" t="s">
        <v>3102</v>
      </c>
      <c r="D776" t="s">
        <v>3103</v>
      </c>
      <c r="F776" t="str">
        <f>"0393093093"</f>
        <v>0393093093</v>
      </c>
      <c r="G776" t="str">
        <f>"9780393093094"</f>
        <v>9780393093094</v>
      </c>
      <c r="H776">
        <v>0</v>
      </c>
      <c r="I776">
        <v>4.38</v>
      </c>
      <c r="J776" t="s">
        <v>1362</v>
      </c>
      <c r="K776" t="s">
        <v>35</v>
      </c>
      <c r="L776">
        <v>896</v>
      </c>
      <c r="M776">
        <v>1975</v>
      </c>
      <c r="N776">
        <v>1969</v>
      </c>
      <c r="P776" s="1">
        <v>42605</v>
      </c>
      <c r="Q776" t="s">
        <v>36</v>
      </c>
      <c r="R776" t="s">
        <v>3104</v>
      </c>
      <c r="S776" t="s">
        <v>36</v>
      </c>
      <c r="W776">
        <v>0</v>
      </c>
      <c r="Z776">
        <v>0</v>
      </c>
    </row>
    <row r="777" spans="1:26" x14ac:dyDescent="0.3">
      <c r="A777">
        <v>8146911</v>
      </c>
      <c r="B777" t="s">
        <v>3105</v>
      </c>
      <c r="C777" t="s">
        <v>3106</v>
      </c>
      <c r="D777" t="s">
        <v>3107</v>
      </c>
      <c r="F777" t="str">
        <f>"1616792523"</f>
        <v>1616792523</v>
      </c>
      <c r="G777" t="str">
        <f>"9781616792527"</f>
        <v>9781616792527</v>
      </c>
      <c r="H777">
        <v>0</v>
      </c>
      <c r="I777">
        <v>3.98</v>
      </c>
      <c r="J777" t="s">
        <v>989</v>
      </c>
      <c r="K777" t="s">
        <v>35</v>
      </c>
      <c r="L777">
        <v>671</v>
      </c>
      <c r="M777">
        <v>2008</v>
      </c>
      <c r="N777">
        <v>2008</v>
      </c>
      <c r="P777" s="1">
        <v>42605</v>
      </c>
      <c r="Q777" t="s">
        <v>36</v>
      </c>
      <c r="R777" t="s">
        <v>3108</v>
      </c>
      <c r="S777" t="s">
        <v>36</v>
      </c>
      <c r="W777">
        <v>0</v>
      </c>
      <c r="Z777">
        <v>0</v>
      </c>
    </row>
    <row r="778" spans="1:26" x14ac:dyDescent="0.3">
      <c r="A778">
        <v>198829</v>
      </c>
      <c r="B778" t="s">
        <v>3109</v>
      </c>
      <c r="C778" t="s">
        <v>3094</v>
      </c>
      <c r="D778" t="s">
        <v>3095</v>
      </c>
      <c r="F778" t="str">
        <f>"0671506889"</f>
        <v>0671506889</v>
      </c>
      <c r="G778" t="str">
        <f>"9780671506889"</f>
        <v>9780671506889</v>
      </c>
      <c r="H778">
        <v>0</v>
      </c>
      <c r="I778">
        <v>4.07</v>
      </c>
      <c r="J778" t="s">
        <v>3110</v>
      </c>
      <c r="K778" t="s">
        <v>60</v>
      </c>
      <c r="L778">
        <v>700</v>
      </c>
      <c r="M778">
        <v>1984</v>
      </c>
      <c r="N778">
        <v>1983</v>
      </c>
      <c r="P778" s="1">
        <v>42605</v>
      </c>
      <c r="Q778" t="s">
        <v>36</v>
      </c>
      <c r="R778" t="s">
        <v>3111</v>
      </c>
      <c r="S778" t="s">
        <v>36</v>
      </c>
      <c r="W778">
        <v>0</v>
      </c>
      <c r="Z778">
        <v>0</v>
      </c>
    </row>
    <row r="779" spans="1:26" x14ac:dyDescent="0.3">
      <c r="A779">
        <v>3526675</v>
      </c>
      <c r="B779" t="s">
        <v>3112</v>
      </c>
      <c r="C779" t="s">
        <v>2463</v>
      </c>
      <c r="D779" t="s">
        <v>2464</v>
      </c>
      <c r="E779" t="s">
        <v>3113</v>
      </c>
      <c r="F779" t="str">
        <f>"0465015018"</f>
        <v>0465015018</v>
      </c>
      <c r="G779" t="str">
        <f>"9780465015016"</f>
        <v>9780465015016</v>
      </c>
      <c r="H779">
        <v>0</v>
      </c>
      <c r="I779">
        <v>3.91</v>
      </c>
      <c r="J779" t="s">
        <v>129</v>
      </c>
      <c r="K779" t="s">
        <v>35</v>
      </c>
      <c r="L779">
        <v>304</v>
      </c>
      <c r="M779">
        <v>2008</v>
      </c>
      <c r="N779">
        <v>2008</v>
      </c>
      <c r="P779" s="1">
        <v>42605</v>
      </c>
      <c r="Q779" t="s">
        <v>36</v>
      </c>
      <c r="R779" t="s">
        <v>3114</v>
      </c>
      <c r="S779" t="s">
        <v>36</v>
      </c>
      <c r="W779">
        <v>0</v>
      </c>
      <c r="Z779">
        <v>0</v>
      </c>
    </row>
    <row r="780" spans="1:26" x14ac:dyDescent="0.3">
      <c r="A780">
        <v>3028070</v>
      </c>
      <c r="B780" t="s">
        <v>3115</v>
      </c>
      <c r="C780" t="s">
        <v>3116</v>
      </c>
      <c r="D780" t="s">
        <v>3117</v>
      </c>
      <c r="F780" t="str">
        <f>"0195078225"</f>
        <v>0195078225</v>
      </c>
      <c r="G780" t="str">
        <f>"9780195078220"</f>
        <v>9780195078220</v>
      </c>
      <c r="H780">
        <v>0</v>
      </c>
      <c r="I780">
        <v>4.1500000000000004</v>
      </c>
      <c r="J780" t="s">
        <v>104</v>
      </c>
      <c r="K780" t="s">
        <v>35</v>
      </c>
      <c r="L780">
        <v>1056</v>
      </c>
      <c r="M780">
        <v>2008</v>
      </c>
      <c r="N780">
        <v>2008</v>
      </c>
      <c r="P780" s="1">
        <v>42605</v>
      </c>
      <c r="Q780" t="s">
        <v>36</v>
      </c>
      <c r="R780" t="s">
        <v>3118</v>
      </c>
      <c r="S780" t="s">
        <v>36</v>
      </c>
      <c r="W780">
        <v>0</v>
      </c>
      <c r="Z780">
        <v>0</v>
      </c>
    </row>
    <row r="781" spans="1:26" x14ac:dyDescent="0.3">
      <c r="A781">
        <v>12630</v>
      </c>
      <c r="B781" t="s">
        <v>3119</v>
      </c>
      <c r="C781" t="s">
        <v>1080</v>
      </c>
      <c r="D781" t="s">
        <v>1081</v>
      </c>
      <c r="E781" t="s">
        <v>3120</v>
      </c>
      <c r="F781" t="str">
        <f>"080507967X"</f>
        <v>080507967X</v>
      </c>
      <c r="G781" t="str">
        <f>"9780805079678"</f>
        <v>9780805079678</v>
      </c>
      <c r="H781">
        <v>0</v>
      </c>
      <c r="I781">
        <v>3.97</v>
      </c>
      <c r="J781" t="s">
        <v>3121</v>
      </c>
      <c r="K781" t="s">
        <v>60</v>
      </c>
      <c r="L781">
        <v>226</v>
      </c>
      <c r="M781">
        <v>2005</v>
      </c>
      <c r="N781">
        <v>2005</v>
      </c>
      <c r="P781" s="1">
        <v>42605</v>
      </c>
      <c r="Q781" t="s">
        <v>36</v>
      </c>
      <c r="R781" t="s">
        <v>3122</v>
      </c>
      <c r="S781" t="s">
        <v>36</v>
      </c>
      <c r="W781">
        <v>0</v>
      </c>
      <c r="Z781">
        <v>0</v>
      </c>
    </row>
    <row r="782" spans="1:26" x14ac:dyDescent="0.3">
      <c r="A782">
        <v>87661</v>
      </c>
      <c r="B782" t="s">
        <v>3123</v>
      </c>
      <c r="C782" t="s">
        <v>3124</v>
      </c>
      <c r="D782" t="s">
        <v>3125</v>
      </c>
      <c r="F782" t="str">
        <f>"0393324397"</f>
        <v>0393324397</v>
      </c>
      <c r="G782" t="str">
        <f>"9780393324396"</f>
        <v>9780393324396</v>
      </c>
      <c r="H782">
        <v>0</v>
      </c>
      <c r="I782">
        <v>3.87</v>
      </c>
      <c r="J782" t="s">
        <v>3126</v>
      </c>
      <c r="K782" t="s">
        <v>60</v>
      </c>
      <c r="L782">
        <v>304</v>
      </c>
      <c r="M782">
        <v>2003</v>
      </c>
      <c r="N782">
        <v>2002</v>
      </c>
      <c r="P782" s="1">
        <v>42605</v>
      </c>
      <c r="Q782" t="s">
        <v>36</v>
      </c>
      <c r="R782" t="s">
        <v>3127</v>
      </c>
      <c r="S782" t="s">
        <v>36</v>
      </c>
      <c r="W782">
        <v>0</v>
      </c>
      <c r="Z782">
        <v>0</v>
      </c>
    </row>
    <row r="783" spans="1:26" x14ac:dyDescent="0.3">
      <c r="A783">
        <v>22121</v>
      </c>
      <c r="B783" t="s">
        <v>3128</v>
      </c>
      <c r="C783" t="s">
        <v>3129</v>
      </c>
      <c r="D783" t="s">
        <v>3130</v>
      </c>
      <c r="F783" t="str">
        <f>"1400044871"</f>
        <v>1400044871</v>
      </c>
      <c r="G783" t="str">
        <f>"9781400044870"</f>
        <v>9781400044870</v>
      </c>
      <c r="H783">
        <v>0</v>
      </c>
      <c r="I783">
        <v>4.03</v>
      </c>
      <c r="J783" t="s">
        <v>476</v>
      </c>
      <c r="K783" t="s">
        <v>35</v>
      </c>
      <c r="L783">
        <v>320</v>
      </c>
      <c r="M783">
        <v>2006</v>
      </c>
      <c r="N783">
        <v>2006</v>
      </c>
      <c r="P783" s="1">
        <v>42605</v>
      </c>
      <c r="Q783" t="s">
        <v>36</v>
      </c>
      <c r="R783" t="s">
        <v>3131</v>
      </c>
      <c r="S783" t="s">
        <v>36</v>
      </c>
      <c r="W783">
        <v>0</v>
      </c>
      <c r="Z783">
        <v>0</v>
      </c>
    </row>
    <row r="784" spans="1:26" x14ac:dyDescent="0.3">
      <c r="A784">
        <v>224127</v>
      </c>
      <c r="B784" t="s">
        <v>3132</v>
      </c>
      <c r="C784" t="s">
        <v>354</v>
      </c>
      <c r="D784" t="s">
        <v>355</v>
      </c>
      <c r="E784" t="s">
        <v>349</v>
      </c>
      <c r="F784" t="str">
        <f>"0374177724"</f>
        <v>0374177724</v>
      </c>
      <c r="G784" t="str">
        <f>"9780374177720"</f>
        <v>9780374177720</v>
      </c>
      <c r="H784">
        <v>0</v>
      </c>
      <c r="I784">
        <v>3.99</v>
      </c>
      <c r="J784" t="s">
        <v>351</v>
      </c>
      <c r="K784" t="s">
        <v>35</v>
      </c>
      <c r="L784">
        <v>484</v>
      </c>
      <c r="M784">
        <v>2007</v>
      </c>
      <c r="N784">
        <v>2006</v>
      </c>
      <c r="P784" s="1">
        <v>42605</v>
      </c>
      <c r="Q784" t="s">
        <v>36</v>
      </c>
      <c r="R784" t="s">
        <v>3133</v>
      </c>
      <c r="S784" t="s">
        <v>36</v>
      </c>
      <c r="W784">
        <v>0</v>
      </c>
      <c r="Z784">
        <v>0</v>
      </c>
    </row>
    <row r="785" spans="1:26" x14ac:dyDescent="0.3">
      <c r="A785">
        <v>90540</v>
      </c>
      <c r="B785" t="s">
        <v>3134</v>
      </c>
      <c r="C785" t="s">
        <v>3135</v>
      </c>
      <c r="D785" t="s">
        <v>3136</v>
      </c>
      <c r="F785" t="str">
        <f>"0805082409"</f>
        <v>0805082409</v>
      </c>
      <c r="G785" t="str">
        <f>"9780805082401"</f>
        <v>9780805082401</v>
      </c>
      <c r="H785">
        <v>0</v>
      </c>
      <c r="I785">
        <v>4.1399999999999997</v>
      </c>
      <c r="J785" t="s">
        <v>3137</v>
      </c>
      <c r="K785" t="s">
        <v>60</v>
      </c>
      <c r="L785">
        <v>384</v>
      </c>
      <c r="M785">
        <v>2007</v>
      </c>
      <c r="N785">
        <v>2006</v>
      </c>
      <c r="P785" s="1">
        <v>42605</v>
      </c>
      <c r="Q785" t="s">
        <v>36</v>
      </c>
      <c r="R785" t="s">
        <v>3138</v>
      </c>
      <c r="S785" t="s">
        <v>36</v>
      </c>
      <c r="W785">
        <v>0</v>
      </c>
      <c r="Z785">
        <v>0</v>
      </c>
    </row>
    <row r="786" spans="1:26" x14ac:dyDescent="0.3">
      <c r="A786">
        <v>46347</v>
      </c>
      <c r="B786" t="s">
        <v>3139</v>
      </c>
      <c r="C786" t="s">
        <v>3135</v>
      </c>
      <c r="D786" t="s">
        <v>3136</v>
      </c>
      <c r="F786" t="str">
        <f>"0471678783"</f>
        <v>0471678783</v>
      </c>
      <c r="G786" t="str">
        <f>"9780471678786"</f>
        <v>9780471678786</v>
      </c>
      <c r="H786">
        <v>0</v>
      </c>
      <c r="I786">
        <v>4.2699999999999996</v>
      </c>
      <c r="J786" t="s">
        <v>3140</v>
      </c>
      <c r="K786" t="s">
        <v>60</v>
      </c>
      <c r="L786">
        <v>272</v>
      </c>
      <c r="M786">
        <v>2004</v>
      </c>
      <c r="N786">
        <v>2003</v>
      </c>
      <c r="P786" s="1">
        <v>42605</v>
      </c>
      <c r="Q786" t="s">
        <v>36</v>
      </c>
      <c r="R786" t="s">
        <v>3141</v>
      </c>
      <c r="S786" t="s">
        <v>36</v>
      </c>
      <c r="W786">
        <v>0</v>
      </c>
      <c r="Z786">
        <v>0</v>
      </c>
    </row>
    <row r="787" spans="1:26" x14ac:dyDescent="0.3">
      <c r="A787">
        <v>40709</v>
      </c>
      <c r="B787" t="s">
        <v>3142</v>
      </c>
      <c r="C787" t="s">
        <v>1470</v>
      </c>
      <c r="D787" t="s">
        <v>1471</v>
      </c>
      <c r="F787" t="str">
        <f>"0805075593"</f>
        <v>0805075593</v>
      </c>
      <c r="G787" t="str">
        <f>"9780805075595"</f>
        <v>9780805075595</v>
      </c>
      <c r="H787">
        <v>0</v>
      </c>
      <c r="I787">
        <v>4.05</v>
      </c>
      <c r="J787" t="s">
        <v>3143</v>
      </c>
      <c r="K787" t="s">
        <v>60</v>
      </c>
      <c r="L787">
        <v>301</v>
      </c>
      <c r="M787">
        <v>2004</v>
      </c>
      <c r="N787">
        <v>2000</v>
      </c>
      <c r="P787" s="1">
        <v>42605</v>
      </c>
      <c r="Q787" t="s">
        <v>36</v>
      </c>
      <c r="R787" t="s">
        <v>3144</v>
      </c>
      <c r="S787" t="s">
        <v>36</v>
      </c>
      <c r="W787">
        <v>0</v>
      </c>
      <c r="Z787">
        <v>0</v>
      </c>
    </row>
    <row r="788" spans="1:26" x14ac:dyDescent="0.3">
      <c r="A788">
        <v>2120783</v>
      </c>
      <c r="B788" t="s">
        <v>3145</v>
      </c>
      <c r="C788" t="s">
        <v>3146</v>
      </c>
      <c r="D788" t="s">
        <v>3147</v>
      </c>
      <c r="F788" t="str">
        <f>"039306235X"</f>
        <v>039306235X</v>
      </c>
      <c r="G788" t="str">
        <f>"9780393062359"</f>
        <v>9780393062359</v>
      </c>
      <c r="H788">
        <v>0</v>
      </c>
      <c r="I788">
        <v>3.87</v>
      </c>
      <c r="J788" t="s">
        <v>144</v>
      </c>
      <c r="K788" t="s">
        <v>35</v>
      </c>
      <c r="L788">
        <v>292</v>
      </c>
      <c r="M788">
        <v>2008</v>
      </c>
      <c r="N788">
        <v>2008</v>
      </c>
      <c r="P788" s="1">
        <v>42605</v>
      </c>
      <c r="Q788" t="s">
        <v>36</v>
      </c>
      <c r="R788" t="s">
        <v>3148</v>
      </c>
      <c r="S788" t="s">
        <v>36</v>
      </c>
      <c r="W788">
        <v>0</v>
      </c>
      <c r="Z788">
        <v>0</v>
      </c>
    </row>
    <row r="789" spans="1:26" x14ac:dyDescent="0.3">
      <c r="A789">
        <v>970488</v>
      </c>
      <c r="B789" t="s">
        <v>3149</v>
      </c>
      <c r="C789" t="s">
        <v>3150</v>
      </c>
      <c r="D789" t="s">
        <v>3151</v>
      </c>
      <c r="F789" t="str">
        <f>"038551445X"</f>
        <v>038551445X</v>
      </c>
      <c r="G789" t="str">
        <f>"9780385514453"</f>
        <v>9780385514453</v>
      </c>
      <c r="H789">
        <v>0</v>
      </c>
      <c r="I789">
        <v>3.92</v>
      </c>
      <c r="J789" t="s">
        <v>3152</v>
      </c>
      <c r="K789" t="s">
        <v>35</v>
      </c>
      <c r="L789">
        <v>702</v>
      </c>
      <c r="M789">
        <v>2007</v>
      </c>
      <c r="N789">
        <v>2007</v>
      </c>
      <c r="P789" s="1">
        <v>42605</v>
      </c>
      <c r="Q789" t="s">
        <v>36</v>
      </c>
      <c r="R789" t="s">
        <v>3153</v>
      </c>
      <c r="S789" t="s">
        <v>36</v>
      </c>
      <c r="W789">
        <v>0</v>
      </c>
      <c r="Z789">
        <v>0</v>
      </c>
    </row>
    <row r="790" spans="1:26" x14ac:dyDescent="0.3">
      <c r="A790">
        <v>110890</v>
      </c>
      <c r="B790" t="s">
        <v>3154</v>
      </c>
      <c r="C790" t="s">
        <v>715</v>
      </c>
      <c r="D790" t="s">
        <v>716</v>
      </c>
      <c r="F790" t="str">
        <f>"037541486X"</f>
        <v>037541486X</v>
      </c>
      <c r="G790" t="str">
        <f>"9780375414862"</f>
        <v>9780375414862</v>
      </c>
      <c r="H790">
        <v>0</v>
      </c>
      <c r="I790">
        <v>4.3499999999999996</v>
      </c>
      <c r="J790" t="s">
        <v>1032</v>
      </c>
      <c r="K790" t="s">
        <v>35</v>
      </c>
      <c r="L790">
        <v>469</v>
      </c>
      <c r="M790">
        <v>2006</v>
      </c>
      <c r="N790">
        <v>2006</v>
      </c>
      <c r="P790" s="1">
        <v>42605</v>
      </c>
      <c r="Q790" t="s">
        <v>36</v>
      </c>
      <c r="R790" t="s">
        <v>3155</v>
      </c>
      <c r="S790" t="s">
        <v>36</v>
      </c>
      <c r="W790">
        <v>0</v>
      </c>
      <c r="Z790">
        <v>0</v>
      </c>
    </row>
    <row r="791" spans="1:26" x14ac:dyDescent="0.3">
      <c r="A791">
        <v>18763135</v>
      </c>
      <c r="B791" t="s">
        <v>3156</v>
      </c>
      <c r="C791" t="s">
        <v>3157</v>
      </c>
      <c r="D791" t="s">
        <v>3158</v>
      </c>
      <c r="F791" t="str">
        <f>"0801452295"</f>
        <v>0801452295</v>
      </c>
      <c r="G791" t="str">
        <f>"9780801452291"</f>
        <v>9780801452291</v>
      </c>
      <c r="H791">
        <v>0</v>
      </c>
      <c r="I791">
        <v>3.03</v>
      </c>
      <c r="J791" t="s">
        <v>1691</v>
      </c>
      <c r="K791" t="s">
        <v>35</v>
      </c>
      <c r="L791">
        <v>280</v>
      </c>
      <c r="M791">
        <v>2014</v>
      </c>
      <c r="N791">
        <v>2014</v>
      </c>
      <c r="P791" s="1">
        <v>42605</v>
      </c>
      <c r="Q791" t="s">
        <v>36</v>
      </c>
      <c r="R791" t="s">
        <v>3159</v>
      </c>
      <c r="S791" t="s">
        <v>36</v>
      </c>
      <c r="W791">
        <v>0</v>
      </c>
      <c r="Z791">
        <v>0</v>
      </c>
    </row>
    <row r="792" spans="1:26" x14ac:dyDescent="0.3">
      <c r="A792">
        <v>28432</v>
      </c>
      <c r="B792" t="s">
        <v>3160</v>
      </c>
      <c r="C792" t="s">
        <v>3161</v>
      </c>
      <c r="D792" t="s">
        <v>3162</v>
      </c>
      <c r="F792" t="str">
        <f>"0143038273"</f>
        <v>0143038273</v>
      </c>
      <c r="G792" t="str">
        <f>"9780143038276"</f>
        <v>9780143038276</v>
      </c>
      <c r="H792">
        <v>0</v>
      </c>
      <c r="I792">
        <v>3.92</v>
      </c>
      <c r="J792" t="s">
        <v>496</v>
      </c>
      <c r="K792" t="s">
        <v>60</v>
      </c>
      <c r="L792">
        <v>352</v>
      </c>
      <c r="M792">
        <v>2006</v>
      </c>
      <c r="N792">
        <v>2005</v>
      </c>
      <c r="P792" s="1">
        <v>42605</v>
      </c>
      <c r="Q792" t="s">
        <v>36</v>
      </c>
      <c r="R792" t="s">
        <v>3163</v>
      </c>
      <c r="S792" t="s">
        <v>36</v>
      </c>
      <c r="W792">
        <v>0</v>
      </c>
      <c r="Z792">
        <v>0</v>
      </c>
    </row>
    <row r="793" spans="1:26" x14ac:dyDescent="0.3">
      <c r="A793">
        <v>781183</v>
      </c>
      <c r="B793" t="s">
        <v>3164</v>
      </c>
      <c r="C793" t="s">
        <v>987</v>
      </c>
      <c r="D793" t="s">
        <v>988</v>
      </c>
      <c r="E793" t="s">
        <v>3165</v>
      </c>
      <c r="F793" t="str">
        <f>"0671510991"</f>
        <v>0671510991</v>
      </c>
      <c r="G793" t="str">
        <f>"9780671510992"</f>
        <v>9780671510992</v>
      </c>
      <c r="H793">
        <v>0</v>
      </c>
      <c r="I793">
        <v>4.2300000000000004</v>
      </c>
      <c r="J793" t="s">
        <v>807</v>
      </c>
      <c r="K793" t="s">
        <v>60</v>
      </c>
      <c r="L793">
        <v>912</v>
      </c>
      <c r="M793">
        <v>1995</v>
      </c>
      <c r="N793">
        <v>1994</v>
      </c>
      <c r="P793" s="1">
        <v>42605</v>
      </c>
      <c r="Q793" t="s">
        <v>36</v>
      </c>
      <c r="R793" t="s">
        <v>3166</v>
      </c>
      <c r="S793" t="s">
        <v>36</v>
      </c>
      <c r="W793">
        <v>0</v>
      </c>
      <c r="Z793">
        <v>0</v>
      </c>
    </row>
    <row r="794" spans="1:26" x14ac:dyDescent="0.3">
      <c r="A794">
        <v>25016279</v>
      </c>
      <c r="B794" t="s">
        <v>3167</v>
      </c>
      <c r="C794" t="s">
        <v>3168</v>
      </c>
      <c r="D794" t="s">
        <v>3169</v>
      </c>
      <c r="F794" t="str">
        <f>"1250080908"</f>
        <v>1250080908</v>
      </c>
      <c r="G794" t="str">
        <f>"9781250080905"</f>
        <v>9781250080905</v>
      </c>
      <c r="H794">
        <v>4</v>
      </c>
      <c r="I794">
        <v>3.82</v>
      </c>
      <c r="J794" t="s">
        <v>3170</v>
      </c>
      <c r="K794" t="s">
        <v>35</v>
      </c>
      <c r="L794">
        <v>256</v>
      </c>
      <c r="M794">
        <v>2015</v>
      </c>
      <c r="N794">
        <v>2015</v>
      </c>
      <c r="O794" s="1">
        <v>42370</v>
      </c>
      <c r="P794" s="1">
        <v>42605</v>
      </c>
      <c r="S794" t="s">
        <v>174</v>
      </c>
      <c r="W794">
        <v>1</v>
      </c>
      <c r="Z794">
        <v>0</v>
      </c>
    </row>
    <row r="795" spans="1:26" x14ac:dyDescent="0.3">
      <c r="A795">
        <v>5599860</v>
      </c>
      <c r="B795" t="s">
        <v>3171</v>
      </c>
      <c r="C795" t="s">
        <v>379</v>
      </c>
      <c r="D795" t="s">
        <v>380</v>
      </c>
      <c r="F795" t="str">
        <f>"0300137192"</f>
        <v>0300137192</v>
      </c>
      <c r="G795" t="str">
        <f>"9780300137194"</f>
        <v>9780300137194</v>
      </c>
      <c r="H795">
        <v>4</v>
      </c>
      <c r="I795">
        <v>3.98</v>
      </c>
      <c r="J795" t="s">
        <v>356</v>
      </c>
      <c r="K795" t="s">
        <v>35</v>
      </c>
      <c r="L795">
        <v>560</v>
      </c>
      <c r="M795">
        <v>2009</v>
      </c>
      <c r="N795">
        <v>2009</v>
      </c>
      <c r="O795" s="1">
        <v>42370</v>
      </c>
      <c r="P795" s="1">
        <v>42600</v>
      </c>
      <c r="S795" t="s">
        <v>174</v>
      </c>
      <c r="W795">
        <v>1</v>
      </c>
      <c r="Z795">
        <v>0</v>
      </c>
    </row>
    <row r="796" spans="1:26" x14ac:dyDescent="0.3">
      <c r="A796">
        <v>17707599</v>
      </c>
      <c r="B796" t="s">
        <v>3172</v>
      </c>
      <c r="C796" t="s">
        <v>3173</v>
      </c>
      <c r="D796" t="s">
        <v>3174</v>
      </c>
      <c r="F796" t="str">
        <f>"1594202605"</f>
        <v>1594202605</v>
      </c>
      <c r="G796" t="str">
        <f>"9781594202605"</f>
        <v>9781594202605</v>
      </c>
      <c r="H796">
        <v>4</v>
      </c>
      <c r="I796">
        <v>4.03</v>
      </c>
      <c r="J796" t="s">
        <v>442</v>
      </c>
      <c r="K796" t="s">
        <v>35</v>
      </c>
      <c r="L796">
        <v>432</v>
      </c>
      <c r="M796">
        <v>2013</v>
      </c>
      <c r="N796">
        <v>2013</v>
      </c>
      <c r="O796" s="1">
        <v>42370</v>
      </c>
      <c r="P796" s="1">
        <v>42351</v>
      </c>
      <c r="S796" t="s">
        <v>174</v>
      </c>
      <c r="W796">
        <v>1</v>
      </c>
      <c r="Z796">
        <v>0</v>
      </c>
    </row>
    <row r="797" spans="1:26" x14ac:dyDescent="0.3">
      <c r="A797">
        <v>60432</v>
      </c>
      <c r="B797" t="s">
        <v>3175</v>
      </c>
      <c r="C797" t="s">
        <v>379</v>
      </c>
      <c r="D797" t="s">
        <v>380</v>
      </c>
      <c r="F797" t="str">
        <f>"0300120486"</f>
        <v>0300120486</v>
      </c>
      <c r="G797" t="str">
        <f>"9780300120486"</f>
        <v>9780300120486</v>
      </c>
      <c r="H797">
        <v>5</v>
      </c>
      <c r="I797">
        <v>4.1100000000000003</v>
      </c>
      <c r="J797" t="s">
        <v>356</v>
      </c>
      <c r="K797" t="s">
        <v>35</v>
      </c>
      <c r="L797">
        <v>583</v>
      </c>
      <c r="M797">
        <v>2006</v>
      </c>
      <c r="N797">
        <v>2006</v>
      </c>
      <c r="O797" s="1">
        <v>42370</v>
      </c>
      <c r="P797" s="1">
        <v>42600</v>
      </c>
      <c r="S797" t="s">
        <v>174</v>
      </c>
      <c r="W797">
        <v>1</v>
      </c>
      <c r="Z797">
        <v>0</v>
      </c>
    </row>
    <row r="798" spans="1:26" x14ac:dyDescent="0.3">
      <c r="A798">
        <v>8178541</v>
      </c>
      <c r="B798" t="s">
        <v>3176</v>
      </c>
      <c r="C798" t="s">
        <v>3177</v>
      </c>
      <c r="D798" t="s">
        <v>3178</v>
      </c>
      <c r="F798" t="str">
        <f>"0691145288"</f>
        <v>0691145288</v>
      </c>
      <c r="G798" t="str">
        <f>"9780691145280"</f>
        <v>9780691145280</v>
      </c>
      <c r="H798">
        <v>4</v>
      </c>
      <c r="I798">
        <v>3.88</v>
      </c>
      <c r="J798" t="s">
        <v>377</v>
      </c>
      <c r="K798" t="s">
        <v>35</v>
      </c>
      <c r="L798">
        <v>232</v>
      </c>
      <c r="M798">
        <v>2011</v>
      </c>
      <c r="N798">
        <v>2010</v>
      </c>
      <c r="O798" s="1">
        <v>42370</v>
      </c>
      <c r="P798" s="1">
        <v>42544</v>
      </c>
      <c r="S798" t="s">
        <v>174</v>
      </c>
      <c r="W798">
        <v>1</v>
      </c>
      <c r="Z798">
        <v>0</v>
      </c>
    </row>
    <row r="799" spans="1:26" x14ac:dyDescent="0.3">
      <c r="A799">
        <v>532158</v>
      </c>
      <c r="B799" t="s">
        <v>3179</v>
      </c>
      <c r="C799" t="s">
        <v>3180</v>
      </c>
      <c r="D799" t="s">
        <v>3181</v>
      </c>
      <c r="F799" t="str">
        <f>"0691127697"</f>
        <v>0691127697</v>
      </c>
      <c r="G799" t="str">
        <f>"9780691127699"</f>
        <v>9780691127699</v>
      </c>
      <c r="H799">
        <v>0</v>
      </c>
      <c r="I799">
        <v>3.42</v>
      </c>
      <c r="J799" t="s">
        <v>377</v>
      </c>
      <c r="K799" t="s">
        <v>60</v>
      </c>
      <c r="L799">
        <v>237</v>
      </c>
      <c r="M799">
        <v>2006</v>
      </c>
      <c r="N799">
        <v>1984</v>
      </c>
      <c r="P799" s="1">
        <v>42546</v>
      </c>
      <c r="Q799" t="s">
        <v>36</v>
      </c>
      <c r="R799" t="s">
        <v>3182</v>
      </c>
      <c r="S799" t="s">
        <v>36</v>
      </c>
      <c r="W799">
        <v>0</v>
      </c>
      <c r="Z799">
        <v>0</v>
      </c>
    </row>
    <row r="800" spans="1:26" x14ac:dyDescent="0.3">
      <c r="A800">
        <v>9484331</v>
      </c>
      <c r="B800" t="s">
        <v>3183</v>
      </c>
      <c r="C800" t="s">
        <v>3184</v>
      </c>
      <c r="D800" t="s">
        <v>3185</v>
      </c>
      <c r="E800" t="s">
        <v>3186</v>
      </c>
      <c r="F800" t="str">
        <f>"1607094592"</f>
        <v>1607094592</v>
      </c>
      <c r="G800" t="str">
        <f>"9781607094593"</f>
        <v>9781607094593</v>
      </c>
      <c r="H800">
        <v>0</v>
      </c>
      <c r="I800">
        <v>4.29</v>
      </c>
      <c r="J800" t="s">
        <v>3187</v>
      </c>
      <c r="K800" t="s">
        <v>60</v>
      </c>
      <c r="L800">
        <v>214</v>
      </c>
      <c r="M800">
        <v>2010</v>
      </c>
      <c r="N800">
        <v>2010</v>
      </c>
      <c r="P800" s="1">
        <v>42544</v>
      </c>
      <c r="Q800" t="s">
        <v>36</v>
      </c>
      <c r="R800" t="s">
        <v>3188</v>
      </c>
      <c r="S800" t="s">
        <v>36</v>
      </c>
      <c r="W800">
        <v>0</v>
      </c>
      <c r="Z800">
        <v>0</v>
      </c>
    </row>
    <row r="801" spans="1:26" x14ac:dyDescent="0.3">
      <c r="A801">
        <v>17262206</v>
      </c>
      <c r="B801" t="s">
        <v>3189</v>
      </c>
      <c r="C801" t="s">
        <v>3190</v>
      </c>
      <c r="D801" t="s">
        <v>3191</v>
      </c>
      <c r="F801" t="str">
        <f>"038553292X"</f>
        <v>038553292X</v>
      </c>
      <c r="G801" t="str">
        <f>"9780385532921"</f>
        <v>9780385532921</v>
      </c>
      <c r="H801">
        <v>0</v>
      </c>
      <c r="I801">
        <v>4.04</v>
      </c>
      <c r="J801" t="s">
        <v>55</v>
      </c>
      <c r="K801" t="s">
        <v>35</v>
      </c>
      <c r="L801">
        <v>577</v>
      </c>
      <c r="M801">
        <v>2013</v>
      </c>
      <c r="N801">
        <v>2013</v>
      </c>
      <c r="O801" s="1">
        <v>42393</v>
      </c>
      <c r="P801" s="1">
        <v>42347</v>
      </c>
      <c r="S801" t="s">
        <v>174</v>
      </c>
      <c r="W801">
        <v>1</v>
      </c>
      <c r="Z801">
        <v>0</v>
      </c>
    </row>
    <row r="802" spans="1:26" x14ac:dyDescent="0.3">
      <c r="A802">
        <v>9694197</v>
      </c>
      <c r="B802" t="s">
        <v>3192</v>
      </c>
      <c r="C802" t="s">
        <v>3193</v>
      </c>
      <c r="D802" t="s">
        <v>3194</v>
      </c>
      <c r="F802" t="str">
        <f>""</f>
        <v/>
      </c>
      <c r="G802" t="str">
        <f>""</f>
        <v/>
      </c>
      <c r="H802">
        <v>0</v>
      </c>
      <c r="I802">
        <v>3.55</v>
      </c>
      <c r="K802" t="s">
        <v>173</v>
      </c>
      <c r="L802">
        <v>228</v>
      </c>
      <c r="N802">
        <v>2014</v>
      </c>
      <c r="P802" s="1">
        <v>42353</v>
      </c>
      <c r="Q802" t="s">
        <v>36</v>
      </c>
      <c r="R802" t="s">
        <v>3195</v>
      </c>
      <c r="S802" t="s">
        <v>36</v>
      </c>
      <c r="W802">
        <v>0</v>
      </c>
      <c r="Z802">
        <v>0</v>
      </c>
    </row>
    <row r="803" spans="1:26" x14ac:dyDescent="0.3">
      <c r="A803">
        <v>15992204</v>
      </c>
      <c r="B803" t="s">
        <v>3196</v>
      </c>
      <c r="C803" t="s">
        <v>3197</v>
      </c>
      <c r="D803" t="s">
        <v>3198</v>
      </c>
      <c r="F803" t="str">
        <f>""</f>
        <v/>
      </c>
      <c r="G803" t="str">
        <f>""</f>
        <v/>
      </c>
      <c r="H803">
        <v>5</v>
      </c>
      <c r="I803">
        <v>4.2</v>
      </c>
      <c r="J803" t="s">
        <v>313</v>
      </c>
      <c r="K803" t="s">
        <v>69</v>
      </c>
      <c r="L803">
        <v>530</v>
      </c>
      <c r="M803">
        <v>2012</v>
      </c>
      <c r="N803">
        <v>2012</v>
      </c>
      <c r="P803" s="1">
        <v>42351</v>
      </c>
      <c r="S803" t="s">
        <v>174</v>
      </c>
      <c r="W803">
        <v>1</v>
      </c>
      <c r="Z803">
        <v>0</v>
      </c>
    </row>
    <row r="804" spans="1:26" x14ac:dyDescent="0.3">
      <c r="A804">
        <v>2131522</v>
      </c>
      <c r="B804" t="s">
        <v>3199</v>
      </c>
      <c r="C804" t="s">
        <v>3200</v>
      </c>
      <c r="D804" t="s">
        <v>3201</v>
      </c>
      <c r="F804" t="str">
        <f>"0674006917"</f>
        <v>0674006917</v>
      </c>
      <c r="G804" t="str">
        <f>"9780674006911"</f>
        <v>9780674006911</v>
      </c>
      <c r="H804">
        <v>0</v>
      </c>
      <c r="I804">
        <v>4.05</v>
      </c>
      <c r="J804" t="s">
        <v>155</v>
      </c>
      <c r="K804" t="s">
        <v>60</v>
      </c>
      <c r="L804">
        <v>304</v>
      </c>
      <c r="M804">
        <v>2001</v>
      </c>
      <c r="N804">
        <v>1999</v>
      </c>
      <c r="P804" s="1">
        <v>42351</v>
      </c>
      <c r="Q804" t="s">
        <v>36</v>
      </c>
      <c r="R804" t="s">
        <v>3202</v>
      </c>
      <c r="S804" t="s">
        <v>36</v>
      </c>
      <c r="W804">
        <v>0</v>
      </c>
      <c r="Z804">
        <v>0</v>
      </c>
    </row>
    <row r="805" spans="1:26" x14ac:dyDescent="0.3">
      <c r="A805">
        <v>13237633</v>
      </c>
      <c r="B805" t="s">
        <v>3203</v>
      </c>
      <c r="C805" t="s">
        <v>3200</v>
      </c>
      <c r="D805" t="s">
        <v>3201</v>
      </c>
      <c r="F805" t="str">
        <f>"0465020488"</f>
        <v>0465020488</v>
      </c>
      <c r="G805" t="str">
        <f>"9780465020485"</f>
        <v>9780465020485</v>
      </c>
      <c r="H805">
        <v>0</v>
      </c>
      <c r="I805">
        <v>3.64</v>
      </c>
      <c r="J805" t="s">
        <v>129</v>
      </c>
      <c r="K805" t="s">
        <v>35</v>
      </c>
      <c r="L805">
        <v>432</v>
      </c>
      <c r="M805">
        <v>2012</v>
      </c>
      <c r="N805">
        <v>2012</v>
      </c>
      <c r="P805" s="1">
        <v>42351</v>
      </c>
      <c r="Q805" t="s">
        <v>36</v>
      </c>
      <c r="R805" t="s">
        <v>3204</v>
      </c>
      <c r="S805" t="s">
        <v>36</v>
      </c>
      <c r="W805">
        <v>0</v>
      </c>
      <c r="Z805">
        <v>0</v>
      </c>
    </row>
    <row r="806" spans="1:26" x14ac:dyDescent="0.3">
      <c r="A806">
        <v>11468377</v>
      </c>
      <c r="B806" t="s">
        <v>3205</v>
      </c>
      <c r="C806" t="s">
        <v>3206</v>
      </c>
      <c r="D806" t="s">
        <v>3207</v>
      </c>
      <c r="F806" t="str">
        <f>"0374275637"</f>
        <v>0374275637</v>
      </c>
      <c r="G806" t="str">
        <f>"9780374275631"</f>
        <v>9780374275631</v>
      </c>
      <c r="H806">
        <v>5</v>
      </c>
      <c r="I806">
        <v>4.16</v>
      </c>
      <c r="J806" t="s">
        <v>351</v>
      </c>
      <c r="K806" t="s">
        <v>35</v>
      </c>
      <c r="L806">
        <v>499</v>
      </c>
      <c r="M806">
        <v>2011</v>
      </c>
      <c r="N806">
        <v>2011</v>
      </c>
      <c r="P806" s="1">
        <v>41383</v>
      </c>
      <c r="S806" t="s">
        <v>174</v>
      </c>
      <c r="W806">
        <v>1</v>
      </c>
      <c r="Z806">
        <v>0</v>
      </c>
    </row>
    <row r="807" spans="1:26" x14ac:dyDescent="0.3">
      <c r="A807">
        <v>2452401</v>
      </c>
      <c r="B807" t="s">
        <v>3208</v>
      </c>
      <c r="C807" t="s">
        <v>231</v>
      </c>
      <c r="D807" t="s">
        <v>232</v>
      </c>
      <c r="F807" t="str">
        <f>"0978991176"</f>
        <v>0978991176</v>
      </c>
      <c r="G807" t="str">
        <f>"9780978991173"</f>
        <v>9780978991173</v>
      </c>
      <c r="H807">
        <v>0</v>
      </c>
      <c r="I807">
        <v>4.0999999999999996</v>
      </c>
      <c r="J807" t="s">
        <v>3209</v>
      </c>
      <c r="K807" t="s">
        <v>35</v>
      </c>
      <c r="L807">
        <v>312</v>
      </c>
      <c r="M807">
        <v>2007</v>
      </c>
      <c r="N807">
        <v>2006</v>
      </c>
      <c r="P807" s="1">
        <v>41540</v>
      </c>
      <c r="Q807" t="s">
        <v>36</v>
      </c>
      <c r="R807" t="s">
        <v>3210</v>
      </c>
      <c r="S807" t="s">
        <v>36</v>
      </c>
      <c r="W807">
        <v>0</v>
      </c>
      <c r="Z807">
        <v>0</v>
      </c>
    </row>
    <row r="808" spans="1:26" x14ac:dyDescent="0.3">
      <c r="A808">
        <v>13133452</v>
      </c>
      <c r="B808" t="s">
        <v>3211</v>
      </c>
      <c r="C808" t="s">
        <v>3212</v>
      </c>
      <c r="D808" t="s">
        <v>3213</v>
      </c>
      <c r="E808" t="s">
        <v>3214</v>
      </c>
      <c r="F808" t="str">
        <f>"0307966658"</f>
        <v>0307966658</v>
      </c>
      <c r="G808" t="str">
        <f>"9780307966650"</f>
        <v>9780307966650</v>
      </c>
      <c r="H808">
        <v>2</v>
      </c>
      <c r="I808">
        <v>4.1100000000000003</v>
      </c>
      <c r="J808" t="s">
        <v>3055</v>
      </c>
      <c r="K808" t="s">
        <v>1786</v>
      </c>
      <c r="L808">
        <v>11</v>
      </c>
      <c r="M808">
        <v>2012</v>
      </c>
      <c r="N808">
        <v>2012</v>
      </c>
      <c r="P808" s="1">
        <v>41383</v>
      </c>
      <c r="S808" t="s">
        <v>174</v>
      </c>
      <c r="T808" t="s">
        <v>3215</v>
      </c>
      <c r="W808">
        <v>1</v>
      </c>
      <c r="Z808">
        <v>0</v>
      </c>
    </row>
    <row r="809" spans="1:26" x14ac:dyDescent="0.3">
      <c r="A809">
        <v>17680025</v>
      </c>
      <c r="B809" t="s">
        <v>3216</v>
      </c>
      <c r="C809" t="s">
        <v>2851</v>
      </c>
      <c r="D809" t="s">
        <v>2852</v>
      </c>
      <c r="F809" t="str">
        <f>"0575115149"</f>
        <v>0575115149</v>
      </c>
      <c r="G809" t="str">
        <f>"9780575115149"</f>
        <v>9780575115149</v>
      </c>
      <c r="H809">
        <v>4</v>
      </c>
      <c r="I809">
        <v>3.65</v>
      </c>
      <c r="J809" t="s">
        <v>3217</v>
      </c>
      <c r="K809" t="s">
        <v>60</v>
      </c>
      <c r="L809">
        <v>400</v>
      </c>
      <c r="M809">
        <v>2014</v>
      </c>
      <c r="N809">
        <v>2013</v>
      </c>
      <c r="P809" s="1">
        <v>41842</v>
      </c>
      <c r="S809" t="s">
        <v>174</v>
      </c>
      <c r="W809">
        <v>1</v>
      </c>
      <c r="Z809">
        <v>0</v>
      </c>
    </row>
    <row r="810" spans="1:26" x14ac:dyDescent="0.3">
      <c r="A810">
        <v>96884</v>
      </c>
      <c r="B810" t="s">
        <v>3218</v>
      </c>
      <c r="C810" t="s">
        <v>3197</v>
      </c>
      <c r="D810" t="s">
        <v>3198</v>
      </c>
      <c r="F810" t="str">
        <f>"0465028020"</f>
        <v>0465028020</v>
      </c>
      <c r="G810" t="str">
        <f>"9780465028023"</f>
        <v>9780465028023</v>
      </c>
      <c r="H810">
        <v>5</v>
      </c>
      <c r="I810">
        <v>4.0999999999999996</v>
      </c>
      <c r="J810" t="s">
        <v>129</v>
      </c>
      <c r="K810" t="s">
        <v>60</v>
      </c>
      <c r="L810">
        <v>297</v>
      </c>
      <c r="M810">
        <v>2006</v>
      </c>
      <c r="N810">
        <v>2006</v>
      </c>
      <c r="P810" s="1">
        <v>42274</v>
      </c>
      <c r="S810" t="s">
        <v>174</v>
      </c>
      <c r="W810">
        <v>1</v>
      </c>
      <c r="Z810">
        <v>0</v>
      </c>
    </row>
    <row r="811" spans="1:26" x14ac:dyDescent="0.3">
      <c r="A811">
        <v>10865206</v>
      </c>
      <c r="B811" t="s">
        <v>3219</v>
      </c>
      <c r="C811" t="s">
        <v>3220</v>
      </c>
      <c r="D811" t="s">
        <v>3221</v>
      </c>
      <c r="F811" t="str">
        <f>"1583334386"</f>
        <v>1583334386</v>
      </c>
      <c r="G811" t="str">
        <f>"9781583334386"</f>
        <v>9781583334386</v>
      </c>
      <c r="H811">
        <v>0</v>
      </c>
      <c r="I811">
        <v>4.1399999999999997</v>
      </c>
      <c r="J811" t="s">
        <v>3222</v>
      </c>
      <c r="K811" t="s">
        <v>35</v>
      </c>
      <c r="L811">
        <v>275</v>
      </c>
      <c r="M811">
        <v>2011</v>
      </c>
      <c r="N811">
        <v>2011</v>
      </c>
      <c r="P811" s="1">
        <v>42274</v>
      </c>
      <c r="Q811" t="s">
        <v>36</v>
      </c>
      <c r="R811" t="s">
        <v>3223</v>
      </c>
      <c r="S811" t="s">
        <v>36</v>
      </c>
      <c r="W811">
        <v>0</v>
      </c>
      <c r="Z811">
        <v>0</v>
      </c>
    </row>
    <row r="812" spans="1:26" x14ac:dyDescent="0.3">
      <c r="A812">
        <v>6570502</v>
      </c>
      <c r="B812" t="s">
        <v>3224</v>
      </c>
      <c r="C812" t="s">
        <v>3225</v>
      </c>
      <c r="D812" t="s">
        <v>3226</v>
      </c>
      <c r="E812" t="s">
        <v>3227</v>
      </c>
      <c r="F812" t="str">
        <f>"0385528752"</f>
        <v>0385528752</v>
      </c>
      <c r="G812" t="str">
        <f>"9780385528757"</f>
        <v>9780385528757</v>
      </c>
      <c r="H812">
        <v>0</v>
      </c>
      <c r="I812">
        <v>4.03</v>
      </c>
      <c r="J812" t="s">
        <v>3228</v>
      </c>
      <c r="K812" t="s">
        <v>35</v>
      </c>
      <c r="L812">
        <v>305</v>
      </c>
      <c r="M812">
        <v>2010</v>
      </c>
      <c r="N812">
        <v>2010</v>
      </c>
      <c r="P812" s="1">
        <v>42274</v>
      </c>
      <c r="Q812" t="s">
        <v>36</v>
      </c>
      <c r="R812" t="s">
        <v>3229</v>
      </c>
      <c r="S812" t="s">
        <v>36</v>
      </c>
      <c r="W812">
        <v>0</v>
      </c>
      <c r="Z812">
        <v>0</v>
      </c>
    </row>
    <row r="813" spans="1:26" x14ac:dyDescent="0.3">
      <c r="A813">
        <v>28815</v>
      </c>
      <c r="B813" t="s">
        <v>3230</v>
      </c>
      <c r="C813" t="s">
        <v>3231</v>
      </c>
      <c r="D813" t="s">
        <v>3232</v>
      </c>
      <c r="F813" t="str">
        <f>"006124189X"</f>
        <v>006124189X</v>
      </c>
      <c r="G813" t="str">
        <f>"9780061241895"</f>
        <v>9780061241895</v>
      </c>
      <c r="H813">
        <v>5</v>
      </c>
      <c r="I813">
        <v>4.1900000000000004</v>
      </c>
      <c r="J813" t="s">
        <v>3233</v>
      </c>
      <c r="K813" t="s">
        <v>60</v>
      </c>
      <c r="L813">
        <v>320</v>
      </c>
      <c r="M813">
        <v>2006</v>
      </c>
      <c r="N813">
        <v>1984</v>
      </c>
      <c r="P813" s="1">
        <v>41383</v>
      </c>
      <c r="S813" t="s">
        <v>174</v>
      </c>
      <c r="W813">
        <v>1</v>
      </c>
      <c r="Z813">
        <v>0</v>
      </c>
    </row>
    <row r="814" spans="1:26" x14ac:dyDescent="0.3">
      <c r="A814">
        <v>17707471</v>
      </c>
      <c r="B814" t="s">
        <v>3234</v>
      </c>
      <c r="C814" t="s">
        <v>3235</v>
      </c>
      <c r="D814" t="s">
        <v>3236</v>
      </c>
      <c r="F814" t="str">
        <f>"042526484X"</f>
        <v>042526484X</v>
      </c>
      <c r="G814" t="str">
        <f>"9780425264843"</f>
        <v>9780425264843</v>
      </c>
      <c r="H814">
        <v>0</v>
      </c>
      <c r="I814">
        <v>3.73</v>
      </c>
      <c r="J814" t="s">
        <v>3237</v>
      </c>
      <c r="K814" t="s">
        <v>35</v>
      </c>
      <c r="L814">
        <v>400</v>
      </c>
      <c r="M814">
        <v>2013</v>
      </c>
      <c r="N814">
        <v>2013</v>
      </c>
      <c r="P814" s="1">
        <v>41443</v>
      </c>
      <c r="S814" t="s">
        <v>174</v>
      </c>
      <c r="W814">
        <v>1</v>
      </c>
      <c r="Z814">
        <v>0</v>
      </c>
    </row>
    <row r="815" spans="1:26" x14ac:dyDescent="0.3">
      <c r="A815">
        <v>7710102</v>
      </c>
      <c r="B815" t="s">
        <v>3238</v>
      </c>
      <c r="C815" t="s">
        <v>3239</v>
      </c>
      <c r="D815" t="s">
        <v>3240</v>
      </c>
      <c r="F815" t="str">
        <f>"006125133X"</f>
        <v>006125133X</v>
      </c>
      <c r="G815" t="str">
        <f>"9780061251337"</f>
        <v>9780061251337</v>
      </c>
      <c r="H815">
        <v>0</v>
      </c>
      <c r="I815">
        <v>3.38</v>
      </c>
      <c r="J815" t="s">
        <v>109</v>
      </c>
      <c r="K815" t="s">
        <v>35</v>
      </c>
      <c r="L815">
        <v>296</v>
      </c>
      <c r="M815">
        <v>2010</v>
      </c>
      <c r="N815">
        <v>2010</v>
      </c>
      <c r="O815" s="1">
        <v>42263</v>
      </c>
      <c r="P815" s="1">
        <v>41540</v>
      </c>
      <c r="S815" t="s">
        <v>174</v>
      </c>
      <c r="W815">
        <v>1</v>
      </c>
      <c r="Z815">
        <v>0</v>
      </c>
    </row>
    <row r="816" spans="1:26" x14ac:dyDescent="0.3">
      <c r="A816">
        <v>7783191</v>
      </c>
      <c r="B816" t="s">
        <v>3241</v>
      </c>
      <c r="C816" t="s">
        <v>3242</v>
      </c>
      <c r="D816" t="s">
        <v>3243</v>
      </c>
      <c r="E816" t="s">
        <v>3244</v>
      </c>
      <c r="F816" t="str">
        <f>"0307459659"</f>
        <v>0307459659</v>
      </c>
      <c r="G816" t="str">
        <f>"9780307459657"</f>
        <v>9780307459657</v>
      </c>
      <c r="H816">
        <v>0</v>
      </c>
      <c r="I816">
        <v>3.91</v>
      </c>
      <c r="J816" t="s">
        <v>1558</v>
      </c>
      <c r="K816" t="s">
        <v>35</v>
      </c>
      <c r="L816">
        <v>320</v>
      </c>
      <c r="M816">
        <v>2010</v>
      </c>
      <c r="N816">
        <v>2010</v>
      </c>
      <c r="P816" s="1">
        <v>42263</v>
      </c>
      <c r="Q816" t="s">
        <v>36</v>
      </c>
      <c r="R816" t="s">
        <v>3245</v>
      </c>
      <c r="S816" t="s">
        <v>36</v>
      </c>
      <c r="W816">
        <v>0</v>
      </c>
      <c r="Z816">
        <v>0</v>
      </c>
    </row>
    <row r="817" spans="1:26" x14ac:dyDescent="0.3">
      <c r="A817">
        <v>1022022</v>
      </c>
      <c r="B817" t="s">
        <v>3246</v>
      </c>
      <c r="C817" t="s">
        <v>3247</v>
      </c>
      <c r="D817" t="s">
        <v>3248</v>
      </c>
      <c r="E817" t="s">
        <v>3249</v>
      </c>
      <c r="F817" t="str">
        <f>"0060731338"</f>
        <v>0060731338</v>
      </c>
      <c r="G817" t="str">
        <f>"9780060731335"</f>
        <v>9780060731335</v>
      </c>
      <c r="H817">
        <v>4</v>
      </c>
      <c r="I817">
        <v>3.98</v>
      </c>
      <c r="J817" t="s">
        <v>2162</v>
      </c>
      <c r="K817" t="s">
        <v>60</v>
      </c>
      <c r="L817">
        <v>315</v>
      </c>
      <c r="M817">
        <v>2009</v>
      </c>
      <c r="N817">
        <v>2005</v>
      </c>
      <c r="P817" s="1">
        <v>42263</v>
      </c>
      <c r="S817" t="s">
        <v>174</v>
      </c>
      <c r="W817">
        <v>1</v>
      </c>
      <c r="Z817">
        <v>0</v>
      </c>
    </row>
    <row r="818" spans="1:26" x14ac:dyDescent="0.3">
      <c r="A818">
        <v>352223</v>
      </c>
      <c r="B818" t="s">
        <v>3250</v>
      </c>
      <c r="C818" t="s">
        <v>3251</v>
      </c>
      <c r="D818" t="s">
        <v>3252</v>
      </c>
      <c r="E818" t="s">
        <v>3253</v>
      </c>
      <c r="F818" t="str">
        <f>"0674012313"</f>
        <v>0674012313</v>
      </c>
      <c r="G818" t="str">
        <f>"9780674012318"</f>
        <v>9780674012318</v>
      </c>
      <c r="H818">
        <v>0</v>
      </c>
      <c r="I818">
        <v>3.71</v>
      </c>
      <c r="J818" t="s">
        <v>524</v>
      </c>
      <c r="K818" t="s">
        <v>60</v>
      </c>
      <c r="L818">
        <v>354</v>
      </c>
      <c r="M818">
        <v>2004</v>
      </c>
      <c r="N818">
        <v>2000</v>
      </c>
      <c r="P818" s="1">
        <v>42263</v>
      </c>
      <c r="Q818" t="s">
        <v>36</v>
      </c>
      <c r="R818" t="s">
        <v>3254</v>
      </c>
      <c r="S818" t="s">
        <v>36</v>
      </c>
      <c r="W818">
        <v>0</v>
      </c>
      <c r="Z818">
        <v>0</v>
      </c>
    </row>
    <row r="819" spans="1:26" x14ac:dyDescent="0.3">
      <c r="A819">
        <v>1124380</v>
      </c>
      <c r="B819" t="s">
        <v>3255</v>
      </c>
      <c r="C819" t="s">
        <v>3256</v>
      </c>
      <c r="D819" t="s">
        <v>3257</v>
      </c>
      <c r="F819" t="str">
        <f>"0679758941"</f>
        <v>0679758941</v>
      </c>
      <c r="G819" t="str">
        <f>"9780679758945"</f>
        <v>9780679758945</v>
      </c>
      <c r="H819">
        <v>0</v>
      </c>
      <c r="I819">
        <v>4</v>
      </c>
      <c r="J819" t="s">
        <v>342</v>
      </c>
      <c r="K819" t="s">
        <v>60</v>
      </c>
      <c r="L819">
        <v>448</v>
      </c>
      <c r="M819">
        <v>2001</v>
      </c>
      <c r="N819">
        <v>1999</v>
      </c>
      <c r="P819" s="1">
        <v>42263</v>
      </c>
      <c r="Q819" t="s">
        <v>36</v>
      </c>
      <c r="R819" t="s">
        <v>3258</v>
      </c>
      <c r="S819" t="s">
        <v>36</v>
      </c>
      <c r="W819">
        <v>0</v>
      </c>
      <c r="Z819">
        <v>0</v>
      </c>
    </row>
    <row r="820" spans="1:26" x14ac:dyDescent="0.3">
      <c r="A820">
        <v>17788837</v>
      </c>
      <c r="B820" t="s">
        <v>3259</v>
      </c>
      <c r="C820" t="s">
        <v>3260</v>
      </c>
      <c r="D820" t="s">
        <v>3261</v>
      </c>
      <c r="F820" t="str">
        <f>""</f>
        <v/>
      </c>
      <c r="G820" t="str">
        <f>""</f>
        <v/>
      </c>
      <c r="H820">
        <v>4</v>
      </c>
      <c r="I820">
        <v>4.37</v>
      </c>
      <c r="J820" t="s">
        <v>109</v>
      </c>
      <c r="K820" t="s">
        <v>69</v>
      </c>
      <c r="L820">
        <v>798</v>
      </c>
      <c r="M820">
        <v>2013</v>
      </c>
      <c r="N820">
        <v>2013</v>
      </c>
      <c r="P820" s="1">
        <v>41958</v>
      </c>
      <c r="S820" t="s">
        <v>174</v>
      </c>
      <c r="W820">
        <v>1</v>
      </c>
      <c r="Z820">
        <v>0</v>
      </c>
    </row>
    <row r="821" spans="1:26" x14ac:dyDescent="0.3">
      <c r="A821">
        <v>681941</v>
      </c>
      <c r="B821" t="s">
        <v>3262</v>
      </c>
      <c r="C821" t="s">
        <v>3256</v>
      </c>
      <c r="D821" t="s">
        <v>3257</v>
      </c>
      <c r="F821" t="str">
        <f>"0679763996"</f>
        <v>0679763996</v>
      </c>
      <c r="G821" t="str">
        <f>"9780679763994"</f>
        <v>9780679763994</v>
      </c>
      <c r="H821">
        <v>0</v>
      </c>
      <c r="I821">
        <v>4.07</v>
      </c>
      <c r="J821" t="s">
        <v>342</v>
      </c>
      <c r="K821" t="s">
        <v>60</v>
      </c>
      <c r="L821">
        <v>496</v>
      </c>
      <c r="M821">
        <v>1995</v>
      </c>
      <c r="N821">
        <v>1994</v>
      </c>
      <c r="P821" s="1">
        <v>41849</v>
      </c>
      <c r="Q821" t="s">
        <v>36</v>
      </c>
      <c r="R821" t="s">
        <v>3263</v>
      </c>
      <c r="S821" t="s">
        <v>36</v>
      </c>
      <c r="W821">
        <v>0</v>
      </c>
      <c r="Z821">
        <v>0</v>
      </c>
    </row>
    <row r="822" spans="1:26" x14ac:dyDescent="0.3">
      <c r="A822">
        <v>254499</v>
      </c>
      <c r="B822" t="s">
        <v>3264</v>
      </c>
      <c r="C822" t="s">
        <v>3265</v>
      </c>
      <c r="D822" t="s">
        <v>3266</v>
      </c>
      <c r="F822" t="str">
        <f>"0195179595"</f>
        <v>0195179595</v>
      </c>
      <c r="G822" t="str">
        <f>"9780195179590"</f>
        <v>9780195179590</v>
      </c>
      <c r="H822">
        <v>5</v>
      </c>
      <c r="I822">
        <v>4.0199999999999996</v>
      </c>
      <c r="J822" t="s">
        <v>104</v>
      </c>
      <c r="K822" t="s">
        <v>60</v>
      </c>
      <c r="L822">
        <v>274</v>
      </c>
      <c r="M822">
        <v>2007</v>
      </c>
      <c r="N822">
        <v>2005</v>
      </c>
      <c r="P822" s="1">
        <v>41755</v>
      </c>
      <c r="S822" t="s">
        <v>174</v>
      </c>
      <c r="W822">
        <v>1</v>
      </c>
      <c r="Z822">
        <v>0</v>
      </c>
    </row>
    <row r="823" spans="1:26" x14ac:dyDescent="0.3">
      <c r="A823">
        <v>238953</v>
      </c>
      <c r="B823" t="s">
        <v>3267</v>
      </c>
      <c r="C823" t="s">
        <v>3268</v>
      </c>
      <c r="D823" t="s">
        <v>3269</v>
      </c>
      <c r="E823" t="s">
        <v>3270</v>
      </c>
      <c r="F823" t="str">
        <f>"089526711X"</f>
        <v>089526711X</v>
      </c>
      <c r="G823" t="str">
        <f>"9780895267115"</f>
        <v>9780895267115</v>
      </c>
      <c r="H823">
        <v>0</v>
      </c>
      <c r="I823">
        <v>3.86</v>
      </c>
      <c r="J823" t="s">
        <v>426</v>
      </c>
      <c r="K823" t="s">
        <v>60</v>
      </c>
      <c r="L823">
        <v>356</v>
      </c>
      <c r="M823">
        <v>1996</v>
      </c>
      <c r="N823">
        <v>1867</v>
      </c>
      <c r="P823" s="1">
        <v>41383</v>
      </c>
      <c r="Q823" t="s">
        <v>36</v>
      </c>
      <c r="R823" t="s">
        <v>3271</v>
      </c>
      <c r="S823" t="s">
        <v>36</v>
      </c>
      <c r="W823">
        <v>0</v>
      </c>
      <c r="Z823">
        <v>0</v>
      </c>
    </row>
    <row r="824" spans="1:26" x14ac:dyDescent="0.3">
      <c r="A824">
        <v>639076</v>
      </c>
      <c r="B824" t="s">
        <v>3272</v>
      </c>
      <c r="C824" t="s">
        <v>3273</v>
      </c>
      <c r="D824" t="s">
        <v>3274</v>
      </c>
      <c r="F824" t="str">
        <f>"0393326551"</f>
        <v>0393326551</v>
      </c>
      <c r="G824" t="str">
        <f>"9780393326550"</f>
        <v>9780393326550</v>
      </c>
      <c r="H824">
        <v>0</v>
      </c>
      <c r="I824">
        <v>3.92</v>
      </c>
      <c r="J824" t="s">
        <v>144</v>
      </c>
      <c r="K824" t="s">
        <v>60</v>
      </c>
      <c r="L824">
        <v>274</v>
      </c>
      <c r="M824">
        <v>2005</v>
      </c>
      <c r="N824">
        <v>2004</v>
      </c>
      <c r="P824" s="1">
        <v>41479</v>
      </c>
      <c r="Q824" t="s">
        <v>36</v>
      </c>
      <c r="R824" t="s">
        <v>3275</v>
      </c>
      <c r="S824" t="s">
        <v>36</v>
      </c>
      <c r="W824">
        <v>0</v>
      </c>
      <c r="Z824">
        <v>0</v>
      </c>
    </row>
    <row r="825" spans="1:26" x14ac:dyDescent="0.3">
      <c r="A825">
        <v>8719</v>
      </c>
      <c r="B825" t="s">
        <v>3276</v>
      </c>
      <c r="C825" t="s">
        <v>3277</v>
      </c>
      <c r="D825" t="s">
        <v>3278</v>
      </c>
      <c r="F825" t="str">
        <f>""</f>
        <v/>
      </c>
      <c r="G825" t="str">
        <f>""</f>
        <v/>
      </c>
      <c r="H825">
        <v>5</v>
      </c>
      <c r="I825">
        <v>4.2</v>
      </c>
      <c r="J825" t="s">
        <v>342</v>
      </c>
      <c r="K825" t="s">
        <v>60</v>
      </c>
      <c r="L825">
        <v>528</v>
      </c>
      <c r="M825">
        <v>2003</v>
      </c>
      <c r="N825">
        <v>1964</v>
      </c>
      <c r="P825" s="1">
        <v>41456</v>
      </c>
      <c r="S825" t="s">
        <v>174</v>
      </c>
      <c r="W825">
        <v>1</v>
      </c>
      <c r="Z825">
        <v>0</v>
      </c>
    </row>
    <row r="826" spans="1:26" x14ac:dyDescent="0.3">
      <c r="A826">
        <v>16128406</v>
      </c>
      <c r="B826" t="s">
        <v>3279</v>
      </c>
      <c r="C826" t="s">
        <v>3280</v>
      </c>
      <c r="D826" t="s">
        <v>3281</v>
      </c>
      <c r="F826" t="str">
        <f>""</f>
        <v/>
      </c>
      <c r="G826" t="str">
        <f>""</f>
        <v/>
      </c>
      <c r="H826">
        <v>0</v>
      </c>
      <c r="I826">
        <v>4.0999999999999996</v>
      </c>
      <c r="J826" t="s">
        <v>3282</v>
      </c>
      <c r="K826" t="s">
        <v>69</v>
      </c>
      <c r="L826">
        <v>33</v>
      </c>
      <c r="M826">
        <v>2012</v>
      </c>
      <c r="N826">
        <v>2012</v>
      </c>
      <c r="P826" s="1">
        <v>41401</v>
      </c>
      <c r="Q826" t="s">
        <v>36</v>
      </c>
      <c r="R826" t="s">
        <v>3283</v>
      </c>
      <c r="S826" t="s">
        <v>36</v>
      </c>
      <c r="W826">
        <v>0</v>
      </c>
      <c r="Z826">
        <v>0</v>
      </c>
    </row>
    <row r="827" spans="1:26" x14ac:dyDescent="0.3">
      <c r="A827">
        <v>17341769</v>
      </c>
      <c r="B827" t="s">
        <v>3284</v>
      </c>
      <c r="C827" t="s">
        <v>3280</v>
      </c>
      <c r="D827" t="s">
        <v>3281</v>
      </c>
      <c r="E827" t="s">
        <v>3285</v>
      </c>
      <c r="F827" t="str">
        <f>""</f>
        <v/>
      </c>
      <c r="G827" t="str">
        <f>""</f>
        <v/>
      </c>
      <c r="H827">
        <v>0</v>
      </c>
      <c r="I827">
        <v>4.34</v>
      </c>
      <c r="J827" t="s">
        <v>3286</v>
      </c>
      <c r="K827" t="s">
        <v>69</v>
      </c>
      <c r="L827">
        <v>300</v>
      </c>
      <c r="M827">
        <v>2013</v>
      </c>
      <c r="N827">
        <v>2013</v>
      </c>
      <c r="P827" s="1">
        <v>41401</v>
      </c>
      <c r="Q827" t="s">
        <v>36</v>
      </c>
      <c r="R827" t="s">
        <v>3287</v>
      </c>
      <c r="S827" t="s">
        <v>36</v>
      </c>
      <c r="W827">
        <v>0</v>
      </c>
      <c r="Z827">
        <v>0</v>
      </c>
    </row>
    <row r="828" spans="1:26" x14ac:dyDescent="0.3">
      <c r="A828">
        <v>13423942</v>
      </c>
      <c r="B828" t="s">
        <v>3288</v>
      </c>
      <c r="C828" t="s">
        <v>3280</v>
      </c>
      <c r="D828" t="s">
        <v>3281</v>
      </c>
      <c r="F828" t="str">
        <f>""</f>
        <v/>
      </c>
      <c r="G828" t="str">
        <f>""</f>
        <v/>
      </c>
      <c r="H828">
        <v>0</v>
      </c>
      <c r="I828">
        <v>3.87</v>
      </c>
      <c r="J828" t="s">
        <v>3289</v>
      </c>
      <c r="K828" t="s">
        <v>69</v>
      </c>
      <c r="M828">
        <v>2012</v>
      </c>
      <c r="N828">
        <v>2012</v>
      </c>
      <c r="P828" s="1">
        <v>41401</v>
      </c>
      <c r="Q828" t="s">
        <v>36</v>
      </c>
      <c r="R828" t="s">
        <v>3290</v>
      </c>
      <c r="S828" t="s">
        <v>36</v>
      </c>
      <c r="W828">
        <v>0</v>
      </c>
      <c r="Z828">
        <v>0</v>
      </c>
    </row>
    <row r="829" spans="1:26" x14ac:dyDescent="0.3">
      <c r="A829">
        <v>14314969</v>
      </c>
      <c r="B829" t="s">
        <v>3291</v>
      </c>
      <c r="C829" t="s">
        <v>3280</v>
      </c>
      <c r="D829" t="s">
        <v>3281</v>
      </c>
      <c r="F829" t="str">
        <f>""</f>
        <v/>
      </c>
      <c r="G829" t="str">
        <f>"9780987329424"</f>
        <v>9780987329424</v>
      </c>
      <c r="H829">
        <v>0</v>
      </c>
      <c r="I829">
        <v>3.68</v>
      </c>
      <c r="J829" t="s">
        <v>3282</v>
      </c>
      <c r="K829" t="s">
        <v>173</v>
      </c>
      <c r="L829">
        <v>224</v>
      </c>
      <c r="M829">
        <v>2012</v>
      </c>
      <c r="N829">
        <v>2012</v>
      </c>
      <c r="P829" s="1">
        <v>41401</v>
      </c>
      <c r="Q829" t="s">
        <v>36</v>
      </c>
      <c r="R829" t="s">
        <v>3292</v>
      </c>
      <c r="S829" t="s">
        <v>36</v>
      </c>
      <c r="W829">
        <v>0</v>
      </c>
      <c r="Z829">
        <v>0</v>
      </c>
    </row>
    <row r="830" spans="1:26" x14ac:dyDescent="0.3">
      <c r="A830">
        <v>17369306</v>
      </c>
      <c r="B830" t="s">
        <v>3293</v>
      </c>
      <c r="C830" t="s">
        <v>3280</v>
      </c>
      <c r="D830" t="s">
        <v>3281</v>
      </c>
      <c r="F830" t="str">
        <f>"0987329464"</f>
        <v>0987329464</v>
      </c>
      <c r="G830" t="str">
        <f>"9780987329462"</f>
        <v>9780987329462</v>
      </c>
      <c r="H830">
        <v>0</v>
      </c>
      <c r="I830">
        <v>4.1399999999999997</v>
      </c>
      <c r="J830" t="s">
        <v>3282</v>
      </c>
      <c r="K830" t="s">
        <v>173</v>
      </c>
      <c r="L830">
        <v>323</v>
      </c>
      <c r="M830">
        <v>2013</v>
      </c>
      <c r="N830">
        <v>2013</v>
      </c>
      <c r="P830" s="1">
        <v>41401</v>
      </c>
      <c r="Q830" t="s">
        <v>36</v>
      </c>
      <c r="R830" t="s">
        <v>3294</v>
      </c>
      <c r="S830" t="s">
        <v>36</v>
      </c>
      <c r="W830">
        <v>0</v>
      </c>
      <c r="Z830">
        <v>0</v>
      </c>
    </row>
    <row r="831" spans="1:26" x14ac:dyDescent="0.3">
      <c r="A831">
        <v>17825113</v>
      </c>
      <c r="B831" t="s">
        <v>3295</v>
      </c>
      <c r="C831" t="s">
        <v>3280</v>
      </c>
      <c r="D831" t="s">
        <v>3281</v>
      </c>
      <c r="F831" t="str">
        <f>"1471402193"</f>
        <v>1471402193</v>
      </c>
      <c r="G831" t="str">
        <f>"9781471402197"</f>
        <v>9781471402197</v>
      </c>
      <c r="H831">
        <v>0</v>
      </c>
      <c r="I831">
        <v>3.9</v>
      </c>
      <c r="J831" t="s">
        <v>3296</v>
      </c>
      <c r="K831" t="s">
        <v>60</v>
      </c>
      <c r="L831">
        <v>368</v>
      </c>
      <c r="M831">
        <v>2013</v>
      </c>
      <c r="N831">
        <v>2013</v>
      </c>
      <c r="P831" s="1">
        <v>41401</v>
      </c>
      <c r="Q831" t="s">
        <v>36</v>
      </c>
      <c r="R831" t="s">
        <v>3297</v>
      </c>
      <c r="S831" t="s">
        <v>36</v>
      </c>
      <c r="W831">
        <v>0</v>
      </c>
      <c r="Z831">
        <v>0</v>
      </c>
    </row>
    <row r="832" spans="1:26" x14ac:dyDescent="0.3">
      <c r="A832">
        <v>1782650</v>
      </c>
      <c r="B832" t="s">
        <v>3298</v>
      </c>
      <c r="C832" t="s">
        <v>3299</v>
      </c>
      <c r="D832" t="s">
        <v>3300</v>
      </c>
      <c r="F832" t="str">
        <f>"0141007281"</f>
        <v>0141007281</v>
      </c>
      <c r="G832" t="str">
        <f>"9780141007281"</f>
        <v>9780141007281</v>
      </c>
      <c r="H832">
        <v>0</v>
      </c>
      <c r="I832">
        <v>3.27</v>
      </c>
      <c r="J832" t="s">
        <v>3301</v>
      </c>
      <c r="K832" t="s">
        <v>60</v>
      </c>
      <c r="L832">
        <v>336</v>
      </c>
      <c r="M832">
        <v>2005</v>
      </c>
      <c r="N832">
        <v>2004</v>
      </c>
      <c r="P832" s="1">
        <v>41394</v>
      </c>
      <c r="Q832" t="s">
        <v>36</v>
      </c>
      <c r="R832" t="s">
        <v>3302</v>
      </c>
      <c r="S832" t="s">
        <v>36</v>
      </c>
      <c r="W832">
        <v>0</v>
      </c>
      <c r="Z832">
        <v>0</v>
      </c>
    </row>
    <row r="833" spans="1:26" x14ac:dyDescent="0.3">
      <c r="A833">
        <v>11382427</v>
      </c>
      <c r="B833" t="s">
        <v>3303</v>
      </c>
      <c r="C833" t="s">
        <v>3299</v>
      </c>
      <c r="D833" t="s">
        <v>3300</v>
      </c>
      <c r="F833" t="str">
        <f>"1926851439"</f>
        <v>1926851439</v>
      </c>
      <c r="G833" t="str">
        <f>"9781926851433"</f>
        <v>9781926851433</v>
      </c>
      <c r="H833">
        <v>0</v>
      </c>
      <c r="I833">
        <v>3.87</v>
      </c>
      <c r="J833" t="s">
        <v>3304</v>
      </c>
      <c r="K833" t="s">
        <v>60</v>
      </c>
      <c r="L833">
        <v>400</v>
      </c>
      <c r="M833">
        <v>2011</v>
      </c>
      <c r="N833">
        <v>2011</v>
      </c>
      <c r="P833" s="1">
        <v>41394</v>
      </c>
      <c r="Q833" t="s">
        <v>36</v>
      </c>
      <c r="R833" t="s">
        <v>3305</v>
      </c>
      <c r="S833" t="s">
        <v>36</v>
      </c>
      <c r="W833">
        <v>0</v>
      </c>
      <c r="Z833">
        <v>0</v>
      </c>
    </row>
    <row r="834" spans="1:26" x14ac:dyDescent="0.3">
      <c r="A834">
        <v>13498683</v>
      </c>
      <c r="B834" t="s">
        <v>3306</v>
      </c>
      <c r="C834" t="s">
        <v>3307</v>
      </c>
      <c r="D834" t="s">
        <v>3308</v>
      </c>
      <c r="E834" t="s">
        <v>3309</v>
      </c>
      <c r="F834" t="str">
        <f>"0520262883"</f>
        <v>0520262883</v>
      </c>
      <c r="G834" t="str">
        <f>"9780520262881"</f>
        <v>9780520262881</v>
      </c>
      <c r="H834">
        <v>0</v>
      </c>
      <c r="I834">
        <v>3.89</v>
      </c>
      <c r="J834" t="s">
        <v>579</v>
      </c>
      <c r="K834" t="s">
        <v>35</v>
      </c>
      <c r="L834">
        <v>304</v>
      </c>
      <c r="M834">
        <v>2012</v>
      </c>
      <c r="N834">
        <v>2012</v>
      </c>
      <c r="P834" s="1">
        <v>41383</v>
      </c>
      <c r="Q834" t="s">
        <v>36</v>
      </c>
      <c r="R834" t="s">
        <v>3310</v>
      </c>
      <c r="S834" t="s">
        <v>36</v>
      </c>
      <c r="W834">
        <v>0</v>
      </c>
      <c r="Z834">
        <v>0</v>
      </c>
    </row>
    <row r="835" spans="1:26" x14ac:dyDescent="0.3">
      <c r="A835">
        <v>13539039</v>
      </c>
      <c r="B835" t="s">
        <v>3311</v>
      </c>
      <c r="C835" t="s">
        <v>3312</v>
      </c>
      <c r="D835" t="s">
        <v>3313</v>
      </c>
      <c r="F835" t="str">
        <f>"0374291357"</f>
        <v>0374291357</v>
      </c>
      <c r="G835" t="str">
        <f>"9780374291358"</f>
        <v>9780374291358</v>
      </c>
      <c r="H835">
        <v>4</v>
      </c>
      <c r="I835">
        <v>3.74</v>
      </c>
      <c r="J835" t="s">
        <v>3314</v>
      </c>
      <c r="K835" t="s">
        <v>35</v>
      </c>
      <c r="L835">
        <v>222</v>
      </c>
      <c r="M835">
        <v>2012</v>
      </c>
      <c r="N835">
        <v>2012</v>
      </c>
      <c r="P835" s="1">
        <v>41383</v>
      </c>
      <c r="S835" t="s">
        <v>174</v>
      </c>
      <c r="W835">
        <v>1</v>
      </c>
      <c r="Z835">
        <v>0</v>
      </c>
    </row>
    <row r="836" spans="1:26" x14ac:dyDescent="0.3">
      <c r="A836">
        <v>3170310</v>
      </c>
      <c r="B836" t="s">
        <v>3315</v>
      </c>
      <c r="C836" t="s">
        <v>3316</v>
      </c>
      <c r="D836" t="s">
        <v>3317</v>
      </c>
      <c r="F836" t="str">
        <f>"0752882791"</f>
        <v>0752882791</v>
      </c>
      <c r="G836" t="str">
        <f>"9780752882796"</f>
        <v>9780752882796</v>
      </c>
      <c r="H836">
        <v>4</v>
      </c>
      <c r="I836">
        <v>3.53</v>
      </c>
      <c r="J836" t="s">
        <v>2235</v>
      </c>
      <c r="K836" t="s">
        <v>42</v>
      </c>
      <c r="L836">
        <v>375</v>
      </c>
      <c r="M836">
        <v>2008</v>
      </c>
      <c r="N836">
        <v>2008</v>
      </c>
      <c r="P836" s="1">
        <v>41383</v>
      </c>
      <c r="S836" t="s">
        <v>174</v>
      </c>
      <c r="W836">
        <v>1</v>
      </c>
      <c r="Z836">
        <v>0</v>
      </c>
    </row>
    <row r="837" spans="1:26" x14ac:dyDescent="0.3">
      <c r="A837">
        <v>6633136</v>
      </c>
      <c r="B837" t="s">
        <v>3318</v>
      </c>
      <c r="C837" t="s">
        <v>3316</v>
      </c>
      <c r="D837" t="s">
        <v>3317</v>
      </c>
      <c r="F837" t="str">
        <f>"0752898310"</f>
        <v>0752898310</v>
      </c>
      <c r="G837" t="str">
        <f>"9780752898315"</f>
        <v>9780752898315</v>
      </c>
      <c r="H837">
        <v>4</v>
      </c>
      <c r="I837">
        <v>3.42</v>
      </c>
      <c r="J837" t="s">
        <v>2235</v>
      </c>
      <c r="K837" t="s">
        <v>35</v>
      </c>
      <c r="L837">
        <v>249</v>
      </c>
      <c r="N837">
        <v>2010</v>
      </c>
      <c r="P837" s="1">
        <v>41383</v>
      </c>
      <c r="S837" t="s">
        <v>174</v>
      </c>
      <c r="W837">
        <v>1</v>
      </c>
      <c r="Z837">
        <v>0</v>
      </c>
    </row>
    <row r="838" spans="1:26" x14ac:dyDescent="0.3">
      <c r="A838">
        <v>7704943</v>
      </c>
      <c r="B838" t="s">
        <v>3319</v>
      </c>
      <c r="C838" t="s">
        <v>3316</v>
      </c>
      <c r="D838" t="s">
        <v>3317</v>
      </c>
      <c r="F838" t="str">
        <f>"1841495395"</f>
        <v>1841495395</v>
      </c>
      <c r="G838" t="str">
        <f>"9781841495392"</f>
        <v>9781841495392</v>
      </c>
      <c r="H838">
        <v>5</v>
      </c>
      <c r="I838">
        <v>4.09</v>
      </c>
      <c r="J838" t="s">
        <v>34</v>
      </c>
      <c r="K838" t="s">
        <v>3320</v>
      </c>
      <c r="L838">
        <v>587</v>
      </c>
      <c r="M838">
        <v>2011</v>
      </c>
      <c r="N838">
        <v>2011</v>
      </c>
      <c r="P838" s="1">
        <v>41383</v>
      </c>
      <c r="S838" t="s">
        <v>174</v>
      </c>
      <c r="W838">
        <v>1</v>
      </c>
      <c r="Z838">
        <v>0</v>
      </c>
    </row>
    <row r="839" spans="1:26" x14ac:dyDescent="0.3">
      <c r="A839">
        <v>4117865</v>
      </c>
      <c r="B839" t="s">
        <v>3321</v>
      </c>
      <c r="C839" t="s">
        <v>3316</v>
      </c>
      <c r="D839" t="s">
        <v>3317</v>
      </c>
      <c r="F839" t="str">
        <f>"1590201698"</f>
        <v>1590201698</v>
      </c>
      <c r="G839" t="str">
        <f>"9781590201695"</f>
        <v>9781590201695</v>
      </c>
      <c r="H839">
        <v>5</v>
      </c>
      <c r="I839">
        <v>3.98</v>
      </c>
      <c r="J839" t="s">
        <v>3322</v>
      </c>
      <c r="K839" t="s">
        <v>35</v>
      </c>
      <c r="L839">
        <v>437</v>
      </c>
      <c r="M839">
        <v>2009</v>
      </c>
      <c r="N839">
        <v>2009</v>
      </c>
      <c r="P839" s="1">
        <v>41383</v>
      </c>
      <c r="S839" t="s">
        <v>174</v>
      </c>
      <c r="W839">
        <v>1</v>
      </c>
      <c r="Z839">
        <v>0</v>
      </c>
    </row>
    <row r="840" spans="1:26" x14ac:dyDescent="0.3">
      <c r="A840">
        <v>13806</v>
      </c>
      <c r="B840" t="s">
        <v>3323</v>
      </c>
      <c r="C840" t="s">
        <v>3316</v>
      </c>
      <c r="D840" t="s">
        <v>3317</v>
      </c>
      <c r="F840" t="str">
        <f>"158567883X"</f>
        <v>158567883X</v>
      </c>
      <c r="G840" t="str">
        <f>"9781585678839"</f>
        <v>9781585678839</v>
      </c>
      <c r="H840">
        <v>5</v>
      </c>
      <c r="I840">
        <v>3.93</v>
      </c>
      <c r="J840" t="s">
        <v>3324</v>
      </c>
      <c r="K840" t="s">
        <v>60</v>
      </c>
      <c r="L840">
        <v>560</v>
      </c>
      <c r="M840">
        <v>2007</v>
      </c>
      <c r="N840">
        <v>2006</v>
      </c>
      <c r="P840" s="1">
        <v>41383</v>
      </c>
      <c r="S840" t="s">
        <v>174</v>
      </c>
      <c r="W840">
        <v>1</v>
      </c>
      <c r="Z840">
        <v>0</v>
      </c>
    </row>
    <row r="841" spans="1:26" x14ac:dyDescent="0.3">
      <c r="A841">
        <v>18877</v>
      </c>
      <c r="B841" t="s">
        <v>3325</v>
      </c>
      <c r="C841" t="s">
        <v>3316</v>
      </c>
      <c r="D841" t="s">
        <v>3317</v>
      </c>
      <c r="F841" t="str">
        <f>"1585677280"</f>
        <v>1585677280</v>
      </c>
      <c r="G841" t="str">
        <f>"9781585677283"</f>
        <v>9781585677283</v>
      </c>
      <c r="H841">
        <v>5</v>
      </c>
      <c r="I841">
        <v>3.96</v>
      </c>
      <c r="J841" t="s">
        <v>3326</v>
      </c>
      <c r="K841" t="s">
        <v>60</v>
      </c>
      <c r="L841">
        <v>624</v>
      </c>
      <c r="M841">
        <v>2005</v>
      </c>
      <c r="N841">
        <v>2004</v>
      </c>
      <c r="P841" s="1">
        <v>41383</v>
      </c>
      <c r="S841" t="s">
        <v>174</v>
      </c>
      <c r="W841">
        <v>1</v>
      </c>
      <c r="Z841">
        <v>0</v>
      </c>
    </row>
    <row r="842" spans="1:26" x14ac:dyDescent="0.3">
      <c r="A842">
        <v>301538</v>
      </c>
      <c r="B842" t="s">
        <v>3327</v>
      </c>
      <c r="C842" t="s">
        <v>3316</v>
      </c>
      <c r="D842" t="s">
        <v>3317</v>
      </c>
      <c r="F842" t="str">
        <f>"1585676772"</f>
        <v>1585676772</v>
      </c>
      <c r="G842" t="str">
        <f>"9781585676774"</f>
        <v>9781585676774</v>
      </c>
      <c r="H842">
        <v>5</v>
      </c>
      <c r="I842">
        <v>3.79</v>
      </c>
      <c r="J842" t="s">
        <v>3324</v>
      </c>
      <c r="K842" t="s">
        <v>60</v>
      </c>
      <c r="L842">
        <v>608</v>
      </c>
      <c r="M842">
        <v>2005</v>
      </c>
      <c r="N842">
        <v>2003</v>
      </c>
      <c r="P842" s="1">
        <v>41383</v>
      </c>
      <c r="S842" t="s">
        <v>174</v>
      </c>
      <c r="W842">
        <v>1</v>
      </c>
      <c r="Z842">
        <v>0</v>
      </c>
    </row>
    <row r="843" spans="1:26" x14ac:dyDescent="0.3">
      <c r="A843">
        <v>3860977</v>
      </c>
      <c r="B843" t="s">
        <v>3328</v>
      </c>
      <c r="C843" t="s">
        <v>3329</v>
      </c>
      <c r="D843" t="s">
        <v>3330</v>
      </c>
      <c r="F843" t="str">
        <f>"0618620117"</f>
        <v>0618620117</v>
      </c>
      <c r="G843" t="str">
        <f>"9780618620111"</f>
        <v>9780618620111</v>
      </c>
      <c r="H843">
        <v>0</v>
      </c>
      <c r="I843">
        <v>3.83</v>
      </c>
      <c r="J843" t="s">
        <v>3331</v>
      </c>
      <c r="K843" t="s">
        <v>35</v>
      </c>
      <c r="L843">
        <v>259</v>
      </c>
      <c r="M843">
        <v>2009</v>
      </c>
      <c r="N843">
        <v>2009</v>
      </c>
      <c r="P843" s="1">
        <v>41383</v>
      </c>
      <c r="Q843" t="s">
        <v>36</v>
      </c>
      <c r="R843" t="s">
        <v>3332</v>
      </c>
      <c r="S843" t="s">
        <v>36</v>
      </c>
      <c r="W843">
        <v>0</v>
      </c>
      <c r="Z843">
        <v>0</v>
      </c>
    </row>
    <row r="844" spans="1:26" x14ac:dyDescent="0.3">
      <c r="A844">
        <v>1713426</v>
      </c>
      <c r="B844" t="s">
        <v>3333</v>
      </c>
      <c r="C844" t="s">
        <v>3260</v>
      </c>
      <c r="D844" t="s">
        <v>3261</v>
      </c>
      <c r="F844" t="str">
        <f>""</f>
        <v/>
      </c>
      <c r="G844" t="str">
        <f>""</f>
        <v/>
      </c>
      <c r="H844">
        <v>0</v>
      </c>
      <c r="I844">
        <v>4.12</v>
      </c>
      <c r="J844" t="s">
        <v>3334</v>
      </c>
      <c r="K844" t="s">
        <v>35</v>
      </c>
      <c r="L844">
        <v>400</v>
      </c>
      <c r="M844">
        <v>2008</v>
      </c>
      <c r="N844">
        <v>2008</v>
      </c>
      <c r="P844" s="1">
        <v>41383</v>
      </c>
      <c r="Q844" t="s">
        <v>36</v>
      </c>
      <c r="R844" t="s">
        <v>3335</v>
      </c>
      <c r="S844" t="s">
        <v>36</v>
      </c>
      <c r="W844">
        <v>0</v>
      </c>
      <c r="Z844">
        <v>0</v>
      </c>
    </row>
    <row r="845" spans="1:26" x14ac:dyDescent="0.3">
      <c r="A845">
        <v>8252718</v>
      </c>
      <c r="B845" t="s">
        <v>3336</v>
      </c>
      <c r="C845" t="s">
        <v>3337</v>
      </c>
      <c r="D845" t="s">
        <v>3338</v>
      </c>
      <c r="E845" t="s">
        <v>3339</v>
      </c>
      <c r="F845" t="str">
        <f>"0307464822"</f>
        <v>0307464822</v>
      </c>
      <c r="G845" t="str">
        <f>"9780307464828"</f>
        <v>9780307464828</v>
      </c>
      <c r="H845">
        <v>0</v>
      </c>
      <c r="I845">
        <v>3.74</v>
      </c>
      <c r="J845" t="s">
        <v>3340</v>
      </c>
      <c r="K845" t="s">
        <v>60</v>
      </c>
      <c r="L845">
        <v>304</v>
      </c>
      <c r="M845">
        <v>2010</v>
      </c>
      <c r="N845">
        <v>2010</v>
      </c>
      <c r="P845" s="1">
        <v>41383</v>
      </c>
      <c r="Q845" t="s">
        <v>36</v>
      </c>
      <c r="R845" t="s">
        <v>3341</v>
      </c>
      <c r="S845" t="s">
        <v>36</v>
      </c>
      <c r="W845">
        <v>0</v>
      </c>
      <c r="Z845">
        <v>0</v>
      </c>
    </row>
    <row r="846" spans="1:26" x14ac:dyDescent="0.3">
      <c r="A846">
        <v>7510517</v>
      </c>
      <c r="B846" t="s">
        <v>3342</v>
      </c>
      <c r="C846" t="s">
        <v>3343</v>
      </c>
      <c r="D846" t="s">
        <v>3344</v>
      </c>
      <c r="E846" t="s">
        <v>3345</v>
      </c>
      <c r="F846" t="str">
        <f>"0307379051"</f>
        <v>0307379051</v>
      </c>
      <c r="G846" t="str">
        <f>"9780307379054"</f>
        <v>9780307379054</v>
      </c>
      <c r="H846">
        <v>0</v>
      </c>
      <c r="I846">
        <v>3.87</v>
      </c>
      <c r="J846" t="s">
        <v>313</v>
      </c>
      <c r="K846" t="s">
        <v>35</v>
      </c>
      <c r="L846">
        <v>305</v>
      </c>
      <c r="M846">
        <v>2010</v>
      </c>
      <c r="N846">
        <v>2010</v>
      </c>
      <c r="P846" s="1">
        <v>41383</v>
      </c>
      <c r="Q846" t="s">
        <v>36</v>
      </c>
      <c r="R846" t="s">
        <v>3346</v>
      </c>
      <c r="S846" t="s">
        <v>36</v>
      </c>
      <c r="W846">
        <v>0</v>
      </c>
      <c r="Z846">
        <v>0</v>
      </c>
    </row>
    <row r="847" spans="1:26" x14ac:dyDescent="0.3">
      <c r="A847">
        <v>7284118</v>
      </c>
      <c r="B847" t="s">
        <v>3347</v>
      </c>
      <c r="C847" t="s">
        <v>3348</v>
      </c>
      <c r="D847" t="s">
        <v>3349</v>
      </c>
      <c r="E847" t="s">
        <v>3350</v>
      </c>
      <c r="F847" t="str">
        <f>"1439102368"</f>
        <v>1439102368</v>
      </c>
      <c r="G847" t="str">
        <f>"9781439102367"</f>
        <v>9781439102367</v>
      </c>
      <c r="H847">
        <v>0</v>
      </c>
      <c r="I847">
        <v>3.54</v>
      </c>
      <c r="J847" t="s">
        <v>3351</v>
      </c>
      <c r="K847" t="s">
        <v>60</v>
      </c>
      <c r="L847">
        <v>288</v>
      </c>
      <c r="M847">
        <v>2010</v>
      </c>
      <c r="N847">
        <v>2010</v>
      </c>
      <c r="P847" s="1">
        <v>41383</v>
      </c>
      <c r="Q847" t="s">
        <v>36</v>
      </c>
      <c r="R847" t="s">
        <v>3352</v>
      </c>
      <c r="S847" t="s">
        <v>36</v>
      </c>
      <c r="W847">
        <v>0</v>
      </c>
      <c r="Z847">
        <v>0</v>
      </c>
    </row>
    <row r="848" spans="1:26" x14ac:dyDescent="0.3">
      <c r="A848">
        <v>215758</v>
      </c>
      <c r="B848" t="s">
        <v>3353</v>
      </c>
      <c r="C848" t="s">
        <v>3354</v>
      </c>
      <c r="D848" t="s">
        <v>3355</v>
      </c>
      <c r="E848" t="s">
        <v>3356</v>
      </c>
      <c r="F848" t="str">
        <f>"0786715103"</f>
        <v>0786715103</v>
      </c>
      <c r="G848" t="str">
        <f>"9780786715107"</f>
        <v>9780786715107</v>
      </c>
      <c r="H848">
        <v>0</v>
      </c>
      <c r="I848">
        <v>4.24</v>
      </c>
      <c r="J848" t="s">
        <v>3357</v>
      </c>
      <c r="K848" t="s">
        <v>60</v>
      </c>
      <c r="L848">
        <v>562</v>
      </c>
      <c r="M848">
        <v>2004</v>
      </c>
      <c r="N848">
        <v>2003</v>
      </c>
      <c r="P848" s="1">
        <v>41383</v>
      </c>
      <c r="Q848" t="s">
        <v>36</v>
      </c>
      <c r="R848" t="s">
        <v>3358</v>
      </c>
      <c r="S848" t="s">
        <v>36</v>
      </c>
      <c r="W848">
        <v>0</v>
      </c>
      <c r="Z848">
        <v>0</v>
      </c>
    </row>
    <row r="849" spans="1:26" x14ac:dyDescent="0.3">
      <c r="A849">
        <v>12651</v>
      </c>
      <c r="B849" t="s">
        <v>3359</v>
      </c>
      <c r="C849" t="s">
        <v>3360</v>
      </c>
      <c r="D849" t="s">
        <v>3361</v>
      </c>
      <c r="E849" t="s">
        <v>3362</v>
      </c>
      <c r="F849" t="str">
        <f>"0143037498"</f>
        <v>0143037498</v>
      </c>
      <c r="G849" t="str">
        <f>"9780143037491"</f>
        <v>9780143037491</v>
      </c>
      <c r="H849">
        <v>0</v>
      </c>
      <c r="I849">
        <v>3.78</v>
      </c>
      <c r="J849" t="s">
        <v>740</v>
      </c>
      <c r="K849" t="s">
        <v>60</v>
      </c>
      <c r="L849">
        <v>168</v>
      </c>
      <c r="M849">
        <v>2006</v>
      </c>
      <c r="N849">
        <v>1762</v>
      </c>
      <c r="P849" s="1">
        <v>41383</v>
      </c>
      <c r="Q849" t="s">
        <v>36</v>
      </c>
      <c r="R849" t="s">
        <v>3363</v>
      </c>
      <c r="S849" t="s">
        <v>36</v>
      </c>
      <c r="W849">
        <v>0</v>
      </c>
      <c r="Z849">
        <v>0</v>
      </c>
    </row>
    <row r="850" spans="1:26" x14ac:dyDescent="0.3">
      <c r="A850">
        <v>52524</v>
      </c>
      <c r="B850" t="s">
        <v>3364</v>
      </c>
      <c r="C850" t="s">
        <v>3365</v>
      </c>
      <c r="D850" t="s">
        <v>3366</v>
      </c>
      <c r="F850" t="str">
        <f>"1403985995"</f>
        <v>1403985995</v>
      </c>
      <c r="G850" t="str">
        <f>"9781403985996"</f>
        <v>9781403985996</v>
      </c>
      <c r="H850">
        <v>0</v>
      </c>
      <c r="I850">
        <v>4.0599999999999996</v>
      </c>
      <c r="J850" t="s">
        <v>1547</v>
      </c>
      <c r="K850" t="s">
        <v>35</v>
      </c>
      <c r="L850">
        <v>200</v>
      </c>
      <c r="M850">
        <v>2006</v>
      </c>
      <c r="N850">
        <v>2006</v>
      </c>
      <c r="P850" s="1">
        <v>41383</v>
      </c>
      <c r="Q850" t="s">
        <v>36</v>
      </c>
      <c r="R850" t="s">
        <v>3367</v>
      </c>
      <c r="S850" t="s">
        <v>36</v>
      </c>
      <c r="W850">
        <v>0</v>
      </c>
      <c r="Z850">
        <v>0</v>
      </c>
    </row>
    <row r="851" spans="1:26" x14ac:dyDescent="0.3">
      <c r="A851">
        <v>2507995</v>
      </c>
      <c r="B851" t="s">
        <v>3368</v>
      </c>
      <c r="C851" t="s">
        <v>3369</v>
      </c>
      <c r="D851" t="s">
        <v>3370</v>
      </c>
      <c r="F851" t="str">
        <f>"0816052743"</f>
        <v>0816052743</v>
      </c>
      <c r="G851" t="str">
        <f>"9780816052745"</f>
        <v>9780816052745</v>
      </c>
      <c r="H851">
        <v>0</v>
      </c>
      <c r="I851">
        <v>4.29</v>
      </c>
      <c r="J851" t="s">
        <v>3371</v>
      </c>
      <c r="K851" t="s">
        <v>35</v>
      </c>
      <c r="L851">
        <v>246</v>
      </c>
      <c r="M851">
        <v>2007</v>
      </c>
      <c r="N851">
        <v>2007</v>
      </c>
      <c r="P851" s="1">
        <v>41383</v>
      </c>
      <c r="Q851" t="s">
        <v>36</v>
      </c>
      <c r="R851" t="s">
        <v>3372</v>
      </c>
      <c r="S851" t="s">
        <v>36</v>
      </c>
      <c r="W851">
        <v>0</v>
      </c>
      <c r="Z851">
        <v>0</v>
      </c>
    </row>
    <row r="852" spans="1:26" x14ac:dyDescent="0.3">
      <c r="A852">
        <v>6580054</v>
      </c>
      <c r="B852" t="s">
        <v>3373</v>
      </c>
      <c r="C852" t="s">
        <v>3374</v>
      </c>
      <c r="D852" t="s">
        <v>3375</v>
      </c>
      <c r="F852" t="str">
        <f>"0470091371"</f>
        <v>0470091371</v>
      </c>
      <c r="G852" t="str">
        <f>"9780470091371"</f>
        <v>9780470091371</v>
      </c>
      <c r="H852">
        <v>0</v>
      </c>
      <c r="I852">
        <v>3.8</v>
      </c>
      <c r="J852" t="s">
        <v>1493</v>
      </c>
      <c r="K852" t="s">
        <v>60</v>
      </c>
      <c r="L852">
        <v>339</v>
      </c>
      <c r="M852">
        <v>2006</v>
      </c>
      <c r="N852">
        <v>2006</v>
      </c>
      <c r="P852" s="1">
        <v>41383</v>
      </c>
      <c r="Q852" t="s">
        <v>36</v>
      </c>
      <c r="R852" t="s">
        <v>3376</v>
      </c>
      <c r="S852" t="s">
        <v>36</v>
      </c>
      <c r="W852">
        <v>0</v>
      </c>
      <c r="Z852">
        <v>0</v>
      </c>
    </row>
    <row r="853" spans="1:26" x14ac:dyDescent="0.3">
      <c r="A853">
        <v>2527900</v>
      </c>
      <c r="B853" t="s">
        <v>3377</v>
      </c>
      <c r="C853" t="s">
        <v>3378</v>
      </c>
      <c r="D853" t="s">
        <v>3379</v>
      </c>
      <c r="E853" t="s">
        <v>3380</v>
      </c>
      <c r="F853" t="str">
        <f>"0300122233"</f>
        <v>0300122233</v>
      </c>
      <c r="G853" t="str">
        <f>"9780300122237"</f>
        <v>9780300122237</v>
      </c>
      <c r="H853">
        <v>0</v>
      </c>
      <c r="I853">
        <v>3.84</v>
      </c>
      <c r="J853" t="s">
        <v>356</v>
      </c>
      <c r="K853" t="s">
        <v>35</v>
      </c>
      <c r="L853">
        <v>304</v>
      </c>
      <c r="M853">
        <v>2008</v>
      </c>
      <c r="N853">
        <v>2008</v>
      </c>
      <c r="P853" s="1">
        <v>41383</v>
      </c>
      <c r="Q853" t="s">
        <v>36</v>
      </c>
      <c r="R853" t="s">
        <v>3381</v>
      </c>
      <c r="S853" t="s">
        <v>36</v>
      </c>
      <c r="W853">
        <v>0</v>
      </c>
      <c r="Z853">
        <v>0</v>
      </c>
    </row>
    <row r="854" spans="1:26" x14ac:dyDescent="0.3">
      <c r="A854">
        <v>313956</v>
      </c>
      <c r="B854" t="s">
        <v>3382</v>
      </c>
      <c r="C854" t="s">
        <v>3383</v>
      </c>
      <c r="D854" t="s">
        <v>3384</v>
      </c>
      <c r="F854" t="str">
        <f>"0375726098"</f>
        <v>0375726098</v>
      </c>
      <c r="G854" t="str">
        <f>"9780375726095"</f>
        <v>9780375726095</v>
      </c>
      <c r="H854">
        <v>0</v>
      </c>
      <c r="I854">
        <v>3.98</v>
      </c>
      <c r="J854" t="s">
        <v>342</v>
      </c>
      <c r="K854" t="s">
        <v>60</v>
      </c>
      <c r="L854">
        <v>384</v>
      </c>
      <c r="M854">
        <v>2002</v>
      </c>
      <c r="N854">
        <v>2000</v>
      </c>
      <c r="P854" s="1">
        <v>41383</v>
      </c>
      <c r="Q854" t="s">
        <v>36</v>
      </c>
      <c r="R854" t="s">
        <v>3385</v>
      </c>
      <c r="S854" t="s">
        <v>36</v>
      </c>
      <c r="W854">
        <v>0</v>
      </c>
      <c r="Z854">
        <v>0</v>
      </c>
    </row>
    <row r="855" spans="1:26" x14ac:dyDescent="0.3">
      <c r="A855">
        <v>131304</v>
      </c>
      <c r="B855" t="s">
        <v>3386</v>
      </c>
      <c r="C855" t="s">
        <v>3387</v>
      </c>
      <c r="D855" t="s">
        <v>3388</v>
      </c>
      <c r="F855" t="str">
        <f>"0007162219"</f>
        <v>0007162219</v>
      </c>
      <c r="G855" t="str">
        <f>"9780007162215"</f>
        <v>9780007162215</v>
      </c>
      <c r="H855">
        <v>0</v>
      </c>
      <c r="I855">
        <v>4.18</v>
      </c>
      <c r="J855" t="s">
        <v>303</v>
      </c>
      <c r="K855" t="s">
        <v>60</v>
      </c>
      <c r="L855">
        <v>560</v>
      </c>
      <c r="M855">
        <v>2005</v>
      </c>
      <c r="N855">
        <v>2004</v>
      </c>
      <c r="P855" s="1">
        <v>41383</v>
      </c>
      <c r="Q855" t="s">
        <v>36</v>
      </c>
      <c r="R855" t="s">
        <v>3389</v>
      </c>
      <c r="S855" t="s">
        <v>36</v>
      </c>
      <c r="W855">
        <v>0</v>
      </c>
      <c r="Z855">
        <v>0</v>
      </c>
    </row>
    <row r="856" spans="1:26" x14ac:dyDescent="0.3">
      <c r="A856">
        <v>1381851</v>
      </c>
      <c r="B856" t="s">
        <v>3390</v>
      </c>
      <c r="C856" t="s">
        <v>3391</v>
      </c>
      <c r="D856" t="s">
        <v>3392</v>
      </c>
      <c r="F856" t="str">
        <f>"0201328402"</f>
        <v>0201328402</v>
      </c>
      <c r="G856" t="str">
        <f>"9780201328400"</f>
        <v>9780201328400</v>
      </c>
      <c r="H856">
        <v>0</v>
      </c>
      <c r="I856">
        <v>4.0999999999999996</v>
      </c>
      <c r="J856" t="s">
        <v>129</v>
      </c>
      <c r="K856" t="s">
        <v>60</v>
      </c>
      <c r="L856">
        <v>358</v>
      </c>
      <c r="M856">
        <v>1998</v>
      </c>
      <c r="N856">
        <v>1997</v>
      </c>
      <c r="P856" s="1">
        <v>41383</v>
      </c>
      <c r="Q856" t="s">
        <v>36</v>
      </c>
      <c r="R856" t="s">
        <v>3393</v>
      </c>
      <c r="S856" t="s">
        <v>36</v>
      </c>
      <c r="W856">
        <v>0</v>
      </c>
      <c r="Z856">
        <v>0</v>
      </c>
    </row>
    <row r="857" spans="1:26" x14ac:dyDescent="0.3">
      <c r="A857">
        <v>22540</v>
      </c>
      <c r="B857" t="s">
        <v>3394</v>
      </c>
      <c r="C857" t="s">
        <v>3395</v>
      </c>
      <c r="D857" t="s">
        <v>3396</v>
      </c>
      <c r="E857" t="s">
        <v>3397</v>
      </c>
      <c r="F857" t="str">
        <f>""</f>
        <v/>
      </c>
      <c r="G857" t="str">
        <f>"9780393327588"</f>
        <v>9780393327588</v>
      </c>
      <c r="H857">
        <v>0</v>
      </c>
      <c r="I857">
        <v>4.1500000000000004</v>
      </c>
      <c r="J857" t="s">
        <v>1362</v>
      </c>
      <c r="K857" t="s">
        <v>60</v>
      </c>
      <c r="L857">
        <v>352</v>
      </c>
      <c r="M857">
        <v>2005</v>
      </c>
      <c r="N857">
        <v>2004</v>
      </c>
      <c r="P857" s="1">
        <v>41383</v>
      </c>
      <c r="Q857" t="s">
        <v>36</v>
      </c>
      <c r="R857" t="s">
        <v>3398</v>
      </c>
      <c r="S857" t="s">
        <v>36</v>
      </c>
      <c r="W857">
        <v>0</v>
      </c>
      <c r="Z857">
        <v>0</v>
      </c>
    </row>
    <row r="858" spans="1:26" x14ac:dyDescent="0.3">
      <c r="A858">
        <v>1233407</v>
      </c>
      <c r="B858" t="s">
        <v>3399</v>
      </c>
      <c r="C858" t="s">
        <v>3400</v>
      </c>
      <c r="D858" t="s">
        <v>3401</v>
      </c>
      <c r="F858" t="str">
        <f>"0521821827"</f>
        <v>0521821827</v>
      </c>
      <c r="G858" t="str">
        <f>"9780521821827"</f>
        <v>9780521821827</v>
      </c>
      <c r="H858">
        <v>0</v>
      </c>
      <c r="I858">
        <v>4</v>
      </c>
      <c r="J858" t="s">
        <v>261</v>
      </c>
      <c r="K858" t="s">
        <v>35</v>
      </c>
      <c r="L858">
        <v>242</v>
      </c>
      <c r="M858">
        <v>2003</v>
      </c>
      <c r="N858">
        <v>2003</v>
      </c>
      <c r="P858" s="1">
        <v>41383</v>
      </c>
      <c r="Q858" t="s">
        <v>36</v>
      </c>
      <c r="R858" t="s">
        <v>3402</v>
      </c>
      <c r="S858" t="s">
        <v>36</v>
      </c>
      <c r="W858">
        <v>0</v>
      </c>
      <c r="Z858">
        <v>0</v>
      </c>
    </row>
    <row r="859" spans="1:26" x14ac:dyDescent="0.3">
      <c r="A859">
        <v>373572</v>
      </c>
      <c r="B859" t="s">
        <v>3403</v>
      </c>
      <c r="C859" t="s">
        <v>3404</v>
      </c>
      <c r="D859" t="s">
        <v>3405</v>
      </c>
      <c r="F859" t="str">
        <f>"0375706208"</f>
        <v>0375706208</v>
      </c>
      <c r="G859" t="str">
        <f>"9780375706202"</f>
        <v>9780375706202</v>
      </c>
      <c r="H859">
        <v>0</v>
      </c>
      <c r="I859">
        <v>3.88</v>
      </c>
      <c r="J859" t="s">
        <v>342</v>
      </c>
      <c r="K859" t="s">
        <v>60</v>
      </c>
      <c r="L859">
        <v>448</v>
      </c>
      <c r="M859">
        <v>2005</v>
      </c>
      <c r="N859">
        <v>2004</v>
      </c>
      <c r="P859" s="1">
        <v>41383</v>
      </c>
      <c r="Q859" t="s">
        <v>36</v>
      </c>
      <c r="R859" t="s">
        <v>3406</v>
      </c>
      <c r="S859" t="s">
        <v>36</v>
      </c>
      <c r="W859">
        <v>0</v>
      </c>
      <c r="Z859">
        <v>0</v>
      </c>
    </row>
    <row r="860" spans="1:26" x14ac:dyDescent="0.3">
      <c r="A860">
        <v>373562</v>
      </c>
      <c r="B860" t="s">
        <v>3407</v>
      </c>
      <c r="C860" t="s">
        <v>3404</v>
      </c>
      <c r="D860" t="s">
        <v>3405</v>
      </c>
      <c r="F860" t="str">
        <f>"0375706216"</f>
        <v>0375706216</v>
      </c>
      <c r="G860" t="str">
        <f>"9780375706219"</f>
        <v>9780375706219</v>
      </c>
      <c r="H860">
        <v>0</v>
      </c>
      <c r="I860">
        <v>4.1100000000000003</v>
      </c>
      <c r="J860" t="s">
        <v>342</v>
      </c>
      <c r="K860" t="s">
        <v>60</v>
      </c>
      <c r="L860">
        <v>284</v>
      </c>
      <c r="M860">
        <v>2001</v>
      </c>
      <c r="N860">
        <v>2000</v>
      </c>
      <c r="P860" s="1">
        <v>41383</v>
      </c>
      <c r="Q860" t="s">
        <v>36</v>
      </c>
      <c r="R860" t="s">
        <v>3408</v>
      </c>
      <c r="S860" t="s">
        <v>36</v>
      </c>
      <c r="W860">
        <v>0</v>
      </c>
      <c r="Z860">
        <v>0</v>
      </c>
    </row>
    <row r="861" spans="1:26" x14ac:dyDescent="0.3">
      <c r="A861">
        <v>215788</v>
      </c>
      <c r="B861" t="s">
        <v>3409</v>
      </c>
      <c r="C861" t="s">
        <v>3410</v>
      </c>
      <c r="D861" t="s">
        <v>3411</v>
      </c>
      <c r="F861" t="str">
        <f>"0316326143"</f>
        <v>0316326143</v>
      </c>
      <c r="G861" t="str">
        <f>"9780316326148"</f>
        <v>9780316326148</v>
      </c>
      <c r="H861">
        <v>0</v>
      </c>
      <c r="I861">
        <v>3.86</v>
      </c>
      <c r="J861" t="s">
        <v>3412</v>
      </c>
      <c r="K861" t="s">
        <v>60</v>
      </c>
      <c r="L861">
        <v>224</v>
      </c>
      <c r="M861">
        <v>2000</v>
      </c>
      <c r="N861">
        <v>1998</v>
      </c>
      <c r="P861" s="1">
        <v>41383</v>
      </c>
      <c r="Q861" t="s">
        <v>36</v>
      </c>
      <c r="R861" t="s">
        <v>3413</v>
      </c>
      <c r="S861" t="s">
        <v>36</v>
      </c>
      <c r="W861">
        <v>0</v>
      </c>
      <c r="Z861">
        <v>0</v>
      </c>
    </row>
    <row r="862" spans="1:26" x14ac:dyDescent="0.3">
      <c r="A862">
        <v>716700</v>
      </c>
      <c r="B862" t="s">
        <v>3414</v>
      </c>
      <c r="C862" t="s">
        <v>3415</v>
      </c>
      <c r="D862" t="s">
        <v>3416</v>
      </c>
      <c r="F862" t="str">
        <f>"0691087814"</f>
        <v>0691087814</v>
      </c>
      <c r="G862" t="str">
        <f>"9780691087818"</f>
        <v>9780691087818</v>
      </c>
      <c r="H862">
        <v>0</v>
      </c>
      <c r="I862">
        <v>4.08</v>
      </c>
      <c r="J862" t="s">
        <v>377</v>
      </c>
      <c r="K862" t="s">
        <v>60</v>
      </c>
      <c r="L862">
        <v>280</v>
      </c>
      <c r="M862">
        <v>1993</v>
      </c>
      <c r="N862">
        <v>1983</v>
      </c>
      <c r="P862" s="1">
        <v>41383</v>
      </c>
      <c r="Q862" t="s">
        <v>36</v>
      </c>
      <c r="R862" t="s">
        <v>3417</v>
      </c>
      <c r="S862" t="s">
        <v>36</v>
      </c>
      <c r="W862">
        <v>0</v>
      </c>
      <c r="Z862">
        <v>0</v>
      </c>
    </row>
    <row r="863" spans="1:26" x14ac:dyDescent="0.3">
      <c r="A863">
        <v>925917</v>
      </c>
      <c r="B863" t="s">
        <v>3418</v>
      </c>
      <c r="C863" t="s">
        <v>3419</v>
      </c>
      <c r="D863" t="s">
        <v>3420</v>
      </c>
      <c r="F863" t="str">
        <f>"0674026594"</f>
        <v>0674026594</v>
      </c>
      <c r="G863" t="str">
        <f>"9780674026599"</f>
        <v>9780674026599</v>
      </c>
      <c r="H863">
        <v>0</v>
      </c>
      <c r="I863">
        <v>3.81</v>
      </c>
      <c r="J863" t="s">
        <v>155</v>
      </c>
      <c r="K863" t="s">
        <v>35</v>
      </c>
      <c r="L863">
        <v>288</v>
      </c>
      <c r="M863">
        <v>2007</v>
      </c>
      <c r="N863">
        <v>2007</v>
      </c>
      <c r="P863" s="1">
        <v>41383</v>
      </c>
      <c r="Q863" t="s">
        <v>36</v>
      </c>
      <c r="R863" t="s">
        <v>3421</v>
      </c>
      <c r="S863" t="s">
        <v>36</v>
      </c>
      <c r="W863">
        <v>0</v>
      </c>
      <c r="Z863">
        <v>0</v>
      </c>
    </row>
    <row r="864" spans="1:26" x14ac:dyDescent="0.3">
      <c r="A864">
        <v>979694</v>
      </c>
      <c r="B864" t="s">
        <v>3422</v>
      </c>
      <c r="C864" t="s">
        <v>3423</v>
      </c>
      <c r="D864" t="s">
        <v>3424</v>
      </c>
      <c r="E864" t="s">
        <v>3425</v>
      </c>
      <c r="F864" t="str">
        <f>"0520210646"</f>
        <v>0520210646</v>
      </c>
      <c r="G864" t="str">
        <f>"9780520210646"</f>
        <v>9780520210646</v>
      </c>
      <c r="H864">
        <v>0</v>
      </c>
      <c r="I864">
        <v>4.21</v>
      </c>
      <c r="J864" t="s">
        <v>579</v>
      </c>
      <c r="K864" t="s">
        <v>60</v>
      </c>
      <c r="L864">
        <v>304</v>
      </c>
      <c r="M864">
        <v>1997</v>
      </c>
      <c r="N864">
        <v>1986</v>
      </c>
      <c r="P864" s="1">
        <v>41383</v>
      </c>
      <c r="Q864" t="s">
        <v>36</v>
      </c>
      <c r="R864" t="s">
        <v>3426</v>
      </c>
      <c r="S864" t="s">
        <v>36</v>
      </c>
      <c r="W864">
        <v>0</v>
      </c>
      <c r="Z864">
        <v>0</v>
      </c>
    </row>
    <row r="865" spans="1:26" x14ac:dyDescent="0.3">
      <c r="A865">
        <v>373571</v>
      </c>
      <c r="B865" t="s">
        <v>3427</v>
      </c>
      <c r="C865" t="s">
        <v>3404</v>
      </c>
      <c r="D865" t="s">
        <v>3405</v>
      </c>
      <c r="F865" t="str">
        <f>"037570261X"</f>
        <v>037570261X</v>
      </c>
      <c r="G865" t="str">
        <f>"9780375702617"</f>
        <v>9780375702617</v>
      </c>
      <c r="H865">
        <v>0</v>
      </c>
      <c r="I865">
        <v>4.08</v>
      </c>
      <c r="J865" t="s">
        <v>342</v>
      </c>
      <c r="K865" t="s">
        <v>60</v>
      </c>
      <c r="L865">
        <v>400</v>
      </c>
      <c r="M865">
        <v>1999</v>
      </c>
      <c r="N865">
        <v>1997</v>
      </c>
      <c r="P865" s="1">
        <v>41383</v>
      </c>
      <c r="Q865" t="s">
        <v>36</v>
      </c>
      <c r="R865" t="s">
        <v>3428</v>
      </c>
      <c r="S865" t="s">
        <v>36</v>
      </c>
      <c r="W865">
        <v>0</v>
      </c>
      <c r="Z865">
        <v>0</v>
      </c>
    </row>
    <row r="866" spans="1:26" x14ac:dyDescent="0.3">
      <c r="A866">
        <v>475</v>
      </c>
      <c r="B866" t="s">
        <v>3429</v>
      </c>
      <c r="C866" t="s">
        <v>3430</v>
      </c>
      <c r="D866" t="s">
        <v>3431</v>
      </c>
      <c r="F866" t="str">
        <f>"0143036556"</f>
        <v>0143036556</v>
      </c>
      <c r="G866" t="str">
        <f>"9780143036555"</f>
        <v>9780143036555</v>
      </c>
      <c r="H866">
        <v>0</v>
      </c>
      <c r="I866">
        <v>3.92</v>
      </c>
      <c r="J866" t="s">
        <v>3432</v>
      </c>
      <c r="K866" t="s">
        <v>60</v>
      </c>
      <c r="L866">
        <v>608</v>
      </c>
      <c r="M866">
        <v>2005</v>
      </c>
      <c r="N866">
        <v>2004</v>
      </c>
      <c r="P866" s="1">
        <v>41383</v>
      </c>
      <c r="Q866" t="s">
        <v>36</v>
      </c>
      <c r="R866" t="s">
        <v>3433</v>
      </c>
      <c r="S866" t="s">
        <v>36</v>
      </c>
      <c r="W866">
        <v>0</v>
      </c>
      <c r="Z866">
        <v>0</v>
      </c>
    </row>
    <row r="867" spans="1:26" x14ac:dyDescent="0.3">
      <c r="A867">
        <v>513367</v>
      </c>
      <c r="B867" t="s">
        <v>3434</v>
      </c>
      <c r="C867" t="s">
        <v>3410</v>
      </c>
      <c r="D867" t="s">
        <v>3411</v>
      </c>
      <c r="F867" t="str">
        <f>"0553341030"</f>
        <v>0553341030</v>
      </c>
      <c r="G867" t="str">
        <f>"9780553342536"</f>
        <v>9780553342536</v>
      </c>
      <c r="H867">
        <v>0</v>
      </c>
      <c r="I867">
        <v>4.04</v>
      </c>
      <c r="J867" t="s">
        <v>3435</v>
      </c>
      <c r="K867" t="s">
        <v>60</v>
      </c>
      <c r="L867">
        <v>320</v>
      </c>
      <c r="M867">
        <v>1984</v>
      </c>
      <c r="N867">
        <v>1984</v>
      </c>
      <c r="P867" s="1">
        <v>41383</v>
      </c>
      <c r="Q867" t="s">
        <v>36</v>
      </c>
      <c r="R867" t="s">
        <v>3436</v>
      </c>
      <c r="S867" t="s">
        <v>36</v>
      </c>
      <c r="W867">
        <v>0</v>
      </c>
      <c r="Z867">
        <v>0</v>
      </c>
    </row>
    <row r="868" spans="1:26" x14ac:dyDescent="0.3">
      <c r="A868">
        <v>11107244</v>
      </c>
      <c r="B868" t="s">
        <v>3437</v>
      </c>
      <c r="C868" t="s">
        <v>3438</v>
      </c>
      <c r="D868" t="s">
        <v>3439</v>
      </c>
      <c r="F868" t="str">
        <f>"0670022950"</f>
        <v>0670022950</v>
      </c>
      <c r="G868" t="str">
        <f>"9780670022953"</f>
        <v>9780670022953</v>
      </c>
      <c r="H868">
        <v>0</v>
      </c>
      <c r="I868">
        <v>4.1500000000000004</v>
      </c>
      <c r="J868" t="s">
        <v>518</v>
      </c>
      <c r="K868" t="s">
        <v>35</v>
      </c>
      <c r="L868">
        <v>802</v>
      </c>
      <c r="M868">
        <v>2011</v>
      </c>
      <c r="N868">
        <v>2010</v>
      </c>
      <c r="P868" s="1">
        <v>41383</v>
      </c>
      <c r="Q868" t="s">
        <v>36</v>
      </c>
      <c r="R868" t="s">
        <v>3440</v>
      </c>
      <c r="S868" t="s">
        <v>36</v>
      </c>
      <c r="W868">
        <v>0</v>
      </c>
      <c r="Z868">
        <v>0</v>
      </c>
    </row>
    <row r="869" spans="1:26" x14ac:dyDescent="0.3">
      <c r="A869">
        <v>9272404</v>
      </c>
      <c r="B869" t="s">
        <v>3441</v>
      </c>
      <c r="C869" t="s">
        <v>3442</v>
      </c>
      <c r="D869" t="s">
        <v>3443</v>
      </c>
      <c r="F869" t="str">
        <f>"0670022586"</f>
        <v>0670022586</v>
      </c>
      <c r="G869" t="str">
        <f>"9780670022588"</f>
        <v>9780670022588</v>
      </c>
      <c r="H869">
        <v>0</v>
      </c>
      <c r="I869">
        <v>3.9</v>
      </c>
      <c r="J869" t="s">
        <v>518</v>
      </c>
      <c r="K869" t="s">
        <v>35</v>
      </c>
      <c r="L869">
        <v>240</v>
      </c>
      <c r="M869">
        <v>2011</v>
      </c>
      <c r="N869">
        <v>2010</v>
      </c>
      <c r="P869" s="1">
        <v>41383</v>
      </c>
      <c r="Q869" t="s">
        <v>36</v>
      </c>
      <c r="R869" t="s">
        <v>3444</v>
      </c>
      <c r="S869" t="s">
        <v>36</v>
      </c>
      <c r="W869">
        <v>0</v>
      </c>
      <c r="Z869">
        <v>0</v>
      </c>
    </row>
    <row r="870" spans="1:26" x14ac:dyDescent="0.3">
      <c r="A870">
        <v>9411155</v>
      </c>
      <c r="B870" t="s">
        <v>3445</v>
      </c>
      <c r="C870" t="s">
        <v>3446</v>
      </c>
      <c r="D870" t="s">
        <v>3447</v>
      </c>
      <c r="E870" t="s">
        <v>3448</v>
      </c>
      <c r="F870" t="str">
        <f>"1847673368"</f>
        <v>1847673368</v>
      </c>
      <c r="G870" t="str">
        <f>"9781847673367"</f>
        <v>9781847673367</v>
      </c>
      <c r="H870">
        <v>0</v>
      </c>
      <c r="I870">
        <v>3.83</v>
      </c>
      <c r="J870" t="s">
        <v>636</v>
      </c>
      <c r="K870" t="s">
        <v>35</v>
      </c>
      <c r="L870">
        <v>330</v>
      </c>
      <c r="M870">
        <v>2011</v>
      </c>
      <c r="N870">
        <v>2011</v>
      </c>
      <c r="P870" s="1">
        <v>41383</v>
      </c>
      <c r="Q870" t="s">
        <v>36</v>
      </c>
      <c r="R870" t="s">
        <v>3449</v>
      </c>
      <c r="S870" t="s">
        <v>36</v>
      </c>
      <c r="W870">
        <v>0</v>
      </c>
      <c r="Z870">
        <v>0</v>
      </c>
    </row>
    <row r="871" spans="1:26" x14ac:dyDescent="0.3">
      <c r="A871">
        <v>11976774</v>
      </c>
      <c r="B871" t="s">
        <v>3450</v>
      </c>
      <c r="C871" t="s">
        <v>3451</v>
      </c>
      <c r="D871" t="s">
        <v>3452</v>
      </c>
      <c r="F871" t="str">
        <f>"0061906107"</f>
        <v>0061906107</v>
      </c>
      <c r="G871" t="str">
        <f>"9780061906107"</f>
        <v>9780061906107</v>
      </c>
      <c r="H871">
        <v>0</v>
      </c>
      <c r="I871">
        <v>3.99</v>
      </c>
      <c r="J871" t="s">
        <v>1040</v>
      </c>
      <c r="K871" t="s">
        <v>35</v>
      </c>
      <c r="L871">
        <v>260</v>
      </c>
      <c r="M871">
        <v>2011</v>
      </c>
      <c r="N871">
        <v>2011</v>
      </c>
      <c r="P871" s="1">
        <v>41383</v>
      </c>
      <c r="Q871" t="s">
        <v>36</v>
      </c>
      <c r="R871" t="s">
        <v>3453</v>
      </c>
      <c r="S871" t="s">
        <v>36</v>
      </c>
      <c r="W871">
        <v>0</v>
      </c>
      <c r="Z871">
        <v>0</v>
      </c>
    </row>
    <row r="872" spans="1:26" x14ac:dyDescent="0.3">
      <c r="A872">
        <v>441559</v>
      </c>
      <c r="B872" t="s">
        <v>3454</v>
      </c>
      <c r="C872" t="s">
        <v>3455</v>
      </c>
      <c r="D872" t="s">
        <v>3456</v>
      </c>
      <c r="F872" t="str">
        <f>"0826477933"</f>
        <v>0826477933</v>
      </c>
      <c r="G872" t="str">
        <f>"9780826477934"</f>
        <v>9780826477934</v>
      </c>
      <c r="H872">
        <v>0</v>
      </c>
      <c r="I872">
        <v>4.1500000000000004</v>
      </c>
      <c r="J872" t="s">
        <v>3457</v>
      </c>
      <c r="K872" t="s">
        <v>60</v>
      </c>
      <c r="L872">
        <v>129</v>
      </c>
      <c r="M872">
        <v>2004</v>
      </c>
      <c r="N872">
        <v>1947</v>
      </c>
      <c r="P872" s="1">
        <v>41383</v>
      </c>
      <c r="Q872" t="s">
        <v>36</v>
      </c>
      <c r="R872" t="s">
        <v>3458</v>
      </c>
      <c r="S872" t="s">
        <v>36</v>
      </c>
      <c r="W872">
        <v>0</v>
      </c>
      <c r="Z872">
        <v>0</v>
      </c>
    </row>
    <row r="873" spans="1:26" x14ac:dyDescent="0.3">
      <c r="A873">
        <v>188812</v>
      </c>
      <c r="B873" t="s">
        <v>3459</v>
      </c>
      <c r="C873" t="s">
        <v>1825</v>
      </c>
      <c r="D873" t="s">
        <v>1826</v>
      </c>
      <c r="F873" t="str">
        <f>"0860915387"</f>
        <v>0860915387</v>
      </c>
      <c r="G873" t="str">
        <f>"9780860915386"</f>
        <v>9780860915386</v>
      </c>
      <c r="H873">
        <v>0</v>
      </c>
      <c r="I873">
        <v>4.09</v>
      </c>
      <c r="J873" t="s">
        <v>530</v>
      </c>
      <c r="K873" t="s">
        <v>60</v>
      </c>
      <c r="L873">
        <v>258</v>
      </c>
      <c r="M873">
        <v>1991</v>
      </c>
      <c r="N873">
        <v>1988</v>
      </c>
      <c r="P873" s="1">
        <v>41383</v>
      </c>
      <c r="Q873" t="s">
        <v>36</v>
      </c>
      <c r="R873" t="s">
        <v>3460</v>
      </c>
      <c r="S873" t="s">
        <v>36</v>
      </c>
      <c r="W873">
        <v>0</v>
      </c>
      <c r="Z873">
        <v>0</v>
      </c>
    </row>
    <row r="874" spans="1:26" x14ac:dyDescent="0.3">
      <c r="A874">
        <v>270009</v>
      </c>
      <c r="B874" t="s">
        <v>3461</v>
      </c>
      <c r="C874" t="s">
        <v>3462</v>
      </c>
      <c r="D874" t="s">
        <v>3463</v>
      </c>
      <c r="F874" t="str">
        <f>"0465090974"</f>
        <v>0465090974</v>
      </c>
      <c r="G874" t="str">
        <f>"9780465090976"</f>
        <v>9780465090976</v>
      </c>
      <c r="H874">
        <v>0</v>
      </c>
      <c r="I874">
        <v>3.95</v>
      </c>
      <c r="J874" t="s">
        <v>3464</v>
      </c>
      <c r="K874" t="s">
        <v>60</v>
      </c>
      <c r="L874">
        <v>432</v>
      </c>
      <c r="M874">
        <v>1993</v>
      </c>
      <c r="N874">
        <v>1992</v>
      </c>
      <c r="P874" s="1">
        <v>41383</v>
      </c>
      <c r="Q874" t="s">
        <v>36</v>
      </c>
      <c r="R874" t="s">
        <v>3465</v>
      </c>
      <c r="S874" t="s">
        <v>36</v>
      </c>
      <c r="W874">
        <v>0</v>
      </c>
      <c r="Z874">
        <v>0</v>
      </c>
    </row>
    <row r="875" spans="1:26" x14ac:dyDescent="0.3">
      <c r="A875">
        <v>1296970</v>
      </c>
      <c r="B875" t="s">
        <v>3466</v>
      </c>
      <c r="C875" t="s">
        <v>3467</v>
      </c>
      <c r="D875" t="s">
        <v>3468</v>
      </c>
      <c r="F875" t="str">
        <f>"140130902X"</f>
        <v>140130902X</v>
      </c>
      <c r="G875" t="str">
        <f>"9781401309022"</f>
        <v>9781401309022</v>
      </c>
      <c r="H875">
        <v>0</v>
      </c>
      <c r="I875">
        <v>3.9</v>
      </c>
      <c r="J875" t="s">
        <v>3469</v>
      </c>
      <c r="K875" t="s">
        <v>60</v>
      </c>
      <c r="L875">
        <v>448</v>
      </c>
      <c r="M875">
        <v>2007</v>
      </c>
      <c r="N875">
        <v>2006</v>
      </c>
      <c r="P875" s="1">
        <v>41383</v>
      </c>
      <c r="Q875" t="s">
        <v>36</v>
      </c>
      <c r="R875" t="s">
        <v>3470</v>
      </c>
      <c r="S875" t="s">
        <v>36</v>
      </c>
      <c r="W875">
        <v>0</v>
      </c>
      <c r="Z875">
        <v>0</v>
      </c>
    </row>
    <row r="876" spans="1:26" x14ac:dyDescent="0.3">
      <c r="A876">
        <v>931986</v>
      </c>
      <c r="B876" t="s">
        <v>3471</v>
      </c>
      <c r="C876" t="s">
        <v>3472</v>
      </c>
      <c r="D876" t="s">
        <v>3473</v>
      </c>
      <c r="F876" t="str">
        <f>"0671622447"</f>
        <v>0671622447</v>
      </c>
      <c r="G876" t="str">
        <f>"9780671622442"</f>
        <v>9780671622442</v>
      </c>
      <c r="H876">
        <v>0</v>
      </c>
      <c r="I876">
        <v>3.99</v>
      </c>
      <c r="J876" t="s">
        <v>3474</v>
      </c>
      <c r="K876" t="s">
        <v>60</v>
      </c>
      <c r="L876">
        <v>168</v>
      </c>
      <c r="M876">
        <v>1986</v>
      </c>
      <c r="N876">
        <v>1963</v>
      </c>
      <c r="P876" s="1">
        <v>41383</v>
      </c>
      <c r="Q876" t="s">
        <v>36</v>
      </c>
      <c r="R876" t="s">
        <v>3475</v>
      </c>
      <c r="S876" t="s">
        <v>36</v>
      </c>
      <c r="W876">
        <v>0</v>
      </c>
      <c r="Z876">
        <v>0</v>
      </c>
    </row>
    <row r="877" spans="1:26" x14ac:dyDescent="0.3">
      <c r="A877">
        <v>443965</v>
      </c>
      <c r="B877" t="s">
        <v>3476</v>
      </c>
      <c r="C877" t="s">
        <v>3477</v>
      </c>
      <c r="D877" t="s">
        <v>3478</v>
      </c>
      <c r="F877" t="str">
        <f>"0814799337"</f>
        <v>0814799337</v>
      </c>
      <c r="G877" t="str">
        <f>"9780814799338"</f>
        <v>9780814799338</v>
      </c>
      <c r="H877">
        <v>0</v>
      </c>
      <c r="I877">
        <v>3.61</v>
      </c>
      <c r="J877" t="s">
        <v>1516</v>
      </c>
      <c r="K877" t="s">
        <v>60</v>
      </c>
      <c r="L877">
        <v>195</v>
      </c>
      <c r="M877">
        <v>2006</v>
      </c>
      <c r="N877">
        <v>2006</v>
      </c>
      <c r="P877" s="1">
        <v>41383</v>
      </c>
      <c r="Q877" t="s">
        <v>36</v>
      </c>
      <c r="R877" t="s">
        <v>3479</v>
      </c>
      <c r="S877" t="s">
        <v>36</v>
      </c>
      <c r="W877">
        <v>0</v>
      </c>
      <c r="Z877">
        <v>0</v>
      </c>
    </row>
    <row r="878" spans="1:26" x14ac:dyDescent="0.3">
      <c r="A878">
        <v>2118114</v>
      </c>
      <c r="B878" t="s">
        <v>3480</v>
      </c>
      <c r="C878" t="s">
        <v>3481</v>
      </c>
      <c r="D878" t="s">
        <v>3482</v>
      </c>
      <c r="E878" t="s">
        <v>3483</v>
      </c>
      <c r="F878" t="str">
        <f>"0385524382"</f>
        <v>0385524382</v>
      </c>
      <c r="G878" t="str">
        <f>"9780385524384"</f>
        <v>9780385524384</v>
      </c>
      <c r="H878">
        <v>0</v>
      </c>
      <c r="I878">
        <v>3.78</v>
      </c>
      <c r="J878" t="s">
        <v>1563</v>
      </c>
      <c r="K878" t="s">
        <v>35</v>
      </c>
      <c r="L878">
        <v>206</v>
      </c>
      <c r="M878">
        <v>2008</v>
      </c>
      <c r="N878">
        <v>2008</v>
      </c>
      <c r="P878" s="1">
        <v>41383</v>
      </c>
      <c r="Q878" t="s">
        <v>36</v>
      </c>
      <c r="R878" t="s">
        <v>3484</v>
      </c>
      <c r="S878" t="s">
        <v>36</v>
      </c>
      <c r="W878">
        <v>0</v>
      </c>
      <c r="Z878">
        <v>0</v>
      </c>
    </row>
    <row r="879" spans="1:26" x14ac:dyDescent="0.3">
      <c r="A879">
        <v>6359469</v>
      </c>
      <c r="B879" t="s">
        <v>3485</v>
      </c>
      <c r="C879" t="s">
        <v>3378</v>
      </c>
      <c r="D879" t="s">
        <v>3379</v>
      </c>
      <c r="E879" t="s">
        <v>3380</v>
      </c>
      <c r="F879" t="str">
        <f>"0141040017"</f>
        <v>0141040017</v>
      </c>
      <c r="G879" t="str">
        <f>"9780141040011"</f>
        <v>9780141040011</v>
      </c>
      <c r="H879">
        <v>0</v>
      </c>
      <c r="I879">
        <v>3.84</v>
      </c>
      <c r="J879" t="s">
        <v>496</v>
      </c>
      <c r="K879" t="s">
        <v>60</v>
      </c>
      <c r="L879">
        <v>306</v>
      </c>
      <c r="M879">
        <v>2009</v>
      </c>
      <c r="N879">
        <v>2008</v>
      </c>
      <c r="P879" s="1">
        <v>41383</v>
      </c>
      <c r="Q879" t="s">
        <v>36</v>
      </c>
      <c r="R879" t="s">
        <v>3486</v>
      </c>
      <c r="S879" t="s">
        <v>36</v>
      </c>
      <c r="W879">
        <v>0</v>
      </c>
      <c r="Z879">
        <v>0</v>
      </c>
    </row>
    <row r="880" spans="1:26" x14ac:dyDescent="0.3">
      <c r="A880">
        <v>212965</v>
      </c>
      <c r="B880" t="s">
        <v>3487</v>
      </c>
      <c r="C880" t="s">
        <v>3488</v>
      </c>
      <c r="D880" t="s">
        <v>3489</v>
      </c>
      <c r="E880" t="s">
        <v>3490</v>
      </c>
      <c r="F880" t="str">
        <f>"0804720118"</f>
        <v>0804720118</v>
      </c>
      <c r="G880" t="str">
        <f>"9780804720113"</f>
        <v>9780804720113</v>
      </c>
      <c r="H880">
        <v>0</v>
      </c>
      <c r="I880">
        <v>4.08</v>
      </c>
      <c r="J880" t="s">
        <v>293</v>
      </c>
      <c r="K880" t="s">
        <v>60</v>
      </c>
      <c r="L880">
        <v>340</v>
      </c>
      <c r="M880">
        <v>1992</v>
      </c>
      <c r="N880">
        <v>1980</v>
      </c>
      <c r="P880" s="1">
        <v>41383</v>
      </c>
      <c r="Q880" t="s">
        <v>36</v>
      </c>
      <c r="R880" t="s">
        <v>3491</v>
      </c>
      <c r="S880" t="s">
        <v>36</v>
      </c>
      <c r="W880">
        <v>0</v>
      </c>
      <c r="Z880">
        <v>0</v>
      </c>
    </row>
    <row r="881" spans="1:26" x14ac:dyDescent="0.3">
      <c r="A881">
        <v>85921</v>
      </c>
      <c r="B881" t="s">
        <v>3492</v>
      </c>
      <c r="C881" t="s">
        <v>2372</v>
      </c>
      <c r="D881" t="s">
        <v>2373</v>
      </c>
      <c r="E881" t="s">
        <v>3493</v>
      </c>
      <c r="F881" t="str">
        <f>"184467052X"</f>
        <v>184467052X</v>
      </c>
      <c r="G881" t="str">
        <f>"9781844670529"</f>
        <v>9781844670529</v>
      </c>
      <c r="H881">
        <v>0</v>
      </c>
      <c r="I881">
        <v>3.92</v>
      </c>
      <c r="J881" t="s">
        <v>530</v>
      </c>
      <c r="K881" t="s">
        <v>60</v>
      </c>
      <c r="L881">
        <v>259</v>
      </c>
      <c r="M881">
        <v>2006</v>
      </c>
      <c r="N881">
        <v>1965</v>
      </c>
      <c r="P881" s="1">
        <v>41383</v>
      </c>
      <c r="Q881" t="s">
        <v>36</v>
      </c>
      <c r="R881" t="s">
        <v>3494</v>
      </c>
      <c r="S881" t="s">
        <v>36</v>
      </c>
      <c r="W881">
        <v>0</v>
      </c>
      <c r="Z881">
        <v>0</v>
      </c>
    </row>
    <row r="882" spans="1:26" x14ac:dyDescent="0.3">
      <c r="A882">
        <v>273520</v>
      </c>
      <c r="B882" t="s">
        <v>3495</v>
      </c>
      <c r="C882" t="s">
        <v>3496</v>
      </c>
      <c r="D882" t="s">
        <v>3497</v>
      </c>
      <c r="F882" t="str">
        <f>"0743276981"</f>
        <v>0743276981</v>
      </c>
      <c r="G882" t="str">
        <f>"9780743276986"</f>
        <v>9780743276986</v>
      </c>
      <c r="H882">
        <v>0</v>
      </c>
      <c r="I882">
        <v>3.58</v>
      </c>
      <c r="J882" t="s">
        <v>3498</v>
      </c>
      <c r="K882" t="s">
        <v>60</v>
      </c>
      <c r="L882">
        <v>304</v>
      </c>
      <c r="M882">
        <v>2007</v>
      </c>
      <c r="N882">
        <v>2006</v>
      </c>
      <c r="P882" s="1">
        <v>41383</v>
      </c>
      <c r="Q882" t="s">
        <v>36</v>
      </c>
      <c r="R882" t="s">
        <v>3499</v>
      </c>
      <c r="S882" t="s">
        <v>36</v>
      </c>
      <c r="W882">
        <v>0</v>
      </c>
      <c r="Z882">
        <v>0</v>
      </c>
    </row>
    <row r="883" spans="1:26" x14ac:dyDescent="0.3">
      <c r="A883">
        <v>23425</v>
      </c>
      <c r="B883" t="s">
        <v>3500</v>
      </c>
      <c r="C883" t="s">
        <v>1629</v>
      </c>
      <c r="D883" t="s">
        <v>1630</v>
      </c>
      <c r="F883" t="str">
        <f>"0375725350"</f>
        <v>0375725350</v>
      </c>
      <c r="G883" t="str">
        <f>"9780375725357"</f>
        <v>9780375725357</v>
      </c>
      <c r="H883">
        <v>0</v>
      </c>
      <c r="I883">
        <v>3.91</v>
      </c>
      <c r="J883" t="s">
        <v>342</v>
      </c>
      <c r="K883" t="s">
        <v>60</v>
      </c>
      <c r="L883">
        <v>306</v>
      </c>
      <c r="M883">
        <v>2005</v>
      </c>
      <c r="N883">
        <v>2004</v>
      </c>
      <c r="P883" s="1">
        <v>41383</v>
      </c>
      <c r="Q883" t="s">
        <v>36</v>
      </c>
      <c r="R883" t="s">
        <v>3501</v>
      </c>
      <c r="S883" t="s">
        <v>36</v>
      </c>
      <c r="W883">
        <v>0</v>
      </c>
      <c r="Z883">
        <v>0</v>
      </c>
    </row>
    <row r="884" spans="1:26" x14ac:dyDescent="0.3">
      <c r="A884">
        <v>6516450</v>
      </c>
      <c r="B884" t="s">
        <v>3502</v>
      </c>
      <c r="C884" t="s">
        <v>3503</v>
      </c>
      <c r="D884" t="s">
        <v>3504</v>
      </c>
      <c r="F884" t="str">
        <f>"0316078573"</f>
        <v>0316078573</v>
      </c>
      <c r="G884" t="str">
        <f>"9780316078573"</f>
        <v>9780316078573</v>
      </c>
      <c r="H884">
        <v>0</v>
      </c>
      <c r="I884">
        <v>3.85</v>
      </c>
      <c r="J884" t="s">
        <v>2204</v>
      </c>
      <c r="K884" t="s">
        <v>35</v>
      </c>
      <c r="L884">
        <v>444</v>
      </c>
      <c r="M884">
        <v>2009</v>
      </c>
      <c r="N884">
        <v>2009</v>
      </c>
      <c r="P884" s="1">
        <v>41383</v>
      </c>
      <c r="Q884" t="s">
        <v>36</v>
      </c>
      <c r="R884" t="s">
        <v>3505</v>
      </c>
      <c r="S884" t="s">
        <v>36</v>
      </c>
      <c r="W884">
        <v>0</v>
      </c>
      <c r="Z884">
        <v>0</v>
      </c>
    </row>
    <row r="885" spans="1:26" x14ac:dyDescent="0.3">
      <c r="A885">
        <v>931984</v>
      </c>
      <c r="B885" t="s">
        <v>3506</v>
      </c>
      <c r="C885" t="s">
        <v>3472</v>
      </c>
      <c r="D885" t="s">
        <v>3473</v>
      </c>
      <c r="E885" t="s">
        <v>3507</v>
      </c>
      <c r="F885" t="str">
        <f>"0385094027"</f>
        <v>0385094027</v>
      </c>
      <c r="G885" t="str">
        <f>"9780385094023"</f>
        <v>9780385094023</v>
      </c>
      <c r="H885">
        <v>0</v>
      </c>
      <c r="I885">
        <v>4.09</v>
      </c>
      <c r="J885" t="s">
        <v>3508</v>
      </c>
      <c r="K885" t="s">
        <v>60</v>
      </c>
      <c r="L885">
        <v>259</v>
      </c>
      <c r="M885">
        <v>1959</v>
      </c>
      <c r="N885">
        <v>1959</v>
      </c>
      <c r="P885" s="1">
        <v>41383</v>
      </c>
      <c r="Q885" t="s">
        <v>36</v>
      </c>
      <c r="R885" t="s">
        <v>3509</v>
      </c>
      <c r="S885" t="s">
        <v>36</v>
      </c>
      <c r="W885">
        <v>0</v>
      </c>
      <c r="Z885">
        <v>0</v>
      </c>
    </row>
    <row r="886" spans="1:26" x14ac:dyDescent="0.3">
      <c r="A886">
        <v>2962025</v>
      </c>
      <c r="B886" t="s">
        <v>3510</v>
      </c>
      <c r="C886" t="s">
        <v>3511</v>
      </c>
      <c r="D886" t="s">
        <v>3512</v>
      </c>
      <c r="F886" t="str">
        <f>"0141034599"</f>
        <v>0141034599</v>
      </c>
      <c r="G886" t="str">
        <f>"9780141034591"</f>
        <v>9780141034591</v>
      </c>
      <c r="H886">
        <v>0</v>
      </c>
      <c r="I886">
        <v>3.94</v>
      </c>
      <c r="J886" t="s">
        <v>740</v>
      </c>
      <c r="K886" t="s">
        <v>60</v>
      </c>
      <c r="L886">
        <v>444</v>
      </c>
      <c r="M886">
        <v>2010</v>
      </c>
      <c r="N886">
        <v>2007</v>
      </c>
      <c r="P886" s="1">
        <v>41383</v>
      </c>
      <c r="Q886" t="s">
        <v>36</v>
      </c>
      <c r="R886" t="s">
        <v>3513</v>
      </c>
      <c r="S886" t="s">
        <v>36</v>
      </c>
      <c r="W886">
        <v>0</v>
      </c>
      <c r="Z886">
        <v>0</v>
      </c>
    </row>
    <row r="887" spans="1:26" x14ac:dyDescent="0.3">
      <c r="A887">
        <v>10639</v>
      </c>
      <c r="B887" t="s">
        <v>3514</v>
      </c>
      <c r="C887" t="s">
        <v>3515</v>
      </c>
      <c r="D887" t="s">
        <v>3516</v>
      </c>
      <c r="F887" t="str">
        <f>"0060005696"</f>
        <v>0060005696</v>
      </c>
      <c r="G887" t="str">
        <f>"9780060005696"</f>
        <v>9780060005696</v>
      </c>
      <c r="H887">
        <v>0</v>
      </c>
      <c r="I887">
        <v>3.85</v>
      </c>
      <c r="J887" t="s">
        <v>303</v>
      </c>
      <c r="K887" t="s">
        <v>60</v>
      </c>
      <c r="L887">
        <v>265</v>
      </c>
      <c r="M887">
        <v>2005</v>
      </c>
      <c r="N887">
        <v>2004</v>
      </c>
      <c r="P887" s="1">
        <v>41383</v>
      </c>
      <c r="Q887" t="s">
        <v>36</v>
      </c>
      <c r="R887" t="s">
        <v>3517</v>
      </c>
      <c r="S887" t="s">
        <v>36</v>
      </c>
      <c r="W887">
        <v>0</v>
      </c>
      <c r="Z887">
        <v>0</v>
      </c>
    </row>
    <row r="888" spans="1:26" x14ac:dyDescent="0.3">
      <c r="A888">
        <v>3044156</v>
      </c>
      <c r="B888" t="s">
        <v>3333</v>
      </c>
      <c r="C888" t="s">
        <v>3260</v>
      </c>
      <c r="D888" t="s">
        <v>3261</v>
      </c>
      <c r="F888" t="str">
        <f>"0007256523"</f>
        <v>0007256523</v>
      </c>
      <c r="G888" t="str">
        <f>"9780007256525"</f>
        <v>9780007256525</v>
      </c>
      <c r="H888">
        <v>0</v>
      </c>
      <c r="I888">
        <v>4.12</v>
      </c>
      <c r="J888" t="s">
        <v>2167</v>
      </c>
      <c r="K888" t="s">
        <v>35</v>
      </c>
      <c r="L888">
        <v>280</v>
      </c>
      <c r="M888">
        <v>2008</v>
      </c>
      <c r="N888">
        <v>2008</v>
      </c>
      <c r="P888" s="1">
        <v>41383</v>
      </c>
      <c r="Q888" t="s">
        <v>36</v>
      </c>
      <c r="R888" t="s">
        <v>3518</v>
      </c>
      <c r="S888" t="s">
        <v>36</v>
      </c>
      <c r="W888">
        <v>0</v>
      </c>
      <c r="Z888">
        <v>0</v>
      </c>
    </row>
    <row r="889" spans="1:26" x14ac:dyDescent="0.3">
      <c r="A889">
        <v>3228917</v>
      </c>
      <c r="B889" t="s">
        <v>3519</v>
      </c>
      <c r="C889" t="s">
        <v>3503</v>
      </c>
      <c r="D889" t="s">
        <v>3504</v>
      </c>
      <c r="F889" t="str">
        <f>"0316017922"</f>
        <v>0316017922</v>
      </c>
      <c r="G889" t="str">
        <f>"9780316017923"</f>
        <v>9780316017923</v>
      </c>
      <c r="H889">
        <v>0</v>
      </c>
      <c r="I889">
        <v>4.17</v>
      </c>
      <c r="J889" t="s">
        <v>2204</v>
      </c>
      <c r="K889" t="s">
        <v>35</v>
      </c>
      <c r="L889">
        <v>309</v>
      </c>
      <c r="M889">
        <v>2008</v>
      </c>
      <c r="N889">
        <v>2008</v>
      </c>
      <c r="P889" s="1">
        <v>41383</v>
      </c>
      <c r="Q889" t="s">
        <v>36</v>
      </c>
      <c r="R889" t="s">
        <v>3520</v>
      </c>
      <c r="S889" t="s">
        <v>36</v>
      </c>
      <c r="W889">
        <v>0</v>
      </c>
      <c r="Z889">
        <v>0</v>
      </c>
    </row>
    <row r="890" spans="1:26" x14ac:dyDescent="0.3">
      <c r="A890">
        <v>40102</v>
      </c>
      <c r="B890" t="s">
        <v>3521</v>
      </c>
      <c r="C890" t="s">
        <v>3503</v>
      </c>
      <c r="D890" t="s">
        <v>3504</v>
      </c>
      <c r="F890" t="str">
        <f>"0316010669"</f>
        <v>0316010669</v>
      </c>
      <c r="G890" t="str">
        <f>"9780316010665"</f>
        <v>9780316010665</v>
      </c>
      <c r="H890">
        <v>0</v>
      </c>
      <c r="I890">
        <v>3.94</v>
      </c>
      <c r="J890" t="s">
        <v>3412</v>
      </c>
      <c r="K890" t="s">
        <v>60</v>
      </c>
      <c r="L890">
        <v>296</v>
      </c>
      <c r="M890">
        <v>2007</v>
      </c>
      <c r="N890">
        <v>2005</v>
      </c>
      <c r="P890" s="1">
        <v>41383</v>
      </c>
      <c r="Q890" t="s">
        <v>36</v>
      </c>
      <c r="R890" t="s">
        <v>3522</v>
      </c>
      <c r="S890" t="s">
        <v>36</v>
      </c>
      <c r="W890">
        <v>0</v>
      </c>
      <c r="Z890">
        <v>0</v>
      </c>
    </row>
    <row r="891" spans="1:26" x14ac:dyDescent="0.3">
      <c r="A891">
        <v>2612</v>
      </c>
      <c r="B891" t="s">
        <v>3523</v>
      </c>
      <c r="C891" t="s">
        <v>3503</v>
      </c>
      <c r="D891" t="s">
        <v>3504</v>
      </c>
      <c r="F891" t="str">
        <f>"0316346624"</f>
        <v>0316346624</v>
      </c>
      <c r="G891" t="str">
        <f>"9780316346627"</f>
        <v>9780316346627</v>
      </c>
      <c r="H891">
        <v>0</v>
      </c>
      <c r="I891">
        <v>3.98</v>
      </c>
      <c r="J891" t="s">
        <v>3412</v>
      </c>
      <c r="K891" t="s">
        <v>60</v>
      </c>
      <c r="L891">
        <v>301</v>
      </c>
      <c r="M891">
        <v>2002</v>
      </c>
      <c r="N891">
        <v>2000</v>
      </c>
      <c r="P891" s="1">
        <v>41383</v>
      </c>
      <c r="Q891" t="s">
        <v>36</v>
      </c>
      <c r="R891" t="s">
        <v>3524</v>
      </c>
      <c r="S891" t="s">
        <v>36</v>
      </c>
      <c r="W891">
        <v>0</v>
      </c>
      <c r="Z891">
        <v>0</v>
      </c>
    </row>
    <row r="892" spans="1:26" x14ac:dyDescent="0.3">
      <c r="A892">
        <v>51726</v>
      </c>
      <c r="B892" t="s">
        <v>3525</v>
      </c>
      <c r="C892" t="s">
        <v>3526</v>
      </c>
      <c r="D892" t="s">
        <v>3527</v>
      </c>
      <c r="E892" t="s">
        <v>3528</v>
      </c>
      <c r="F892" t="str">
        <f>"0385058985"</f>
        <v>0385058985</v>
      </c>
      <c r="G892" t="str">
        <f>"9780385058988"</f>
        <v>9780385058988</v>
      </c>
      <c r="H892">
        <v>0</v>
      </c>
      <c r="I892">
        <v>4.13</v>
      </c>
      <c r="J892" t="s">
        <v>700</v>
      </c>
      <c r="K892" t="s">
        <v>60</v>
      </c>
      <c r="L892">
        <v>240</v>
      </c>
      <c r="M892">
        <v>1967</v>
      </c>
      <c r="N892">
        <v>1966</v>
      </c>
      <c r="P892" s="1">
        <v>41383</v>
      </c>
      <c r="Q892" t="s">
        <v>36</v>
      </c>
      <c r="R892" t="s">
        <v>3529</v>
      </c>
      <c r="S892" t="s">
        <v>36</v>
      </c>
      <c r="W892">
        <v>0</v>
      </c>
      <c r="Z892">
        <v>0</v>
      </c>
    </row>
    <row r="893" spans="1:26" x14ac:dyDescent="0.3">
      <c r="A893">
        <v>60973</v>
      </c>
      <c r="B893" t="s">
        <v>3530</v>
      </c>
      <c r="C893" t="s">
        <v>3531</v>
      </c>
      <c r="D893" t="s">
        <v>3532</v>
      </c>
      <c r="F893" t="str">
        <f>"1931498571"</f>
        <v>1931498571</v>
      </c>
      <c r="G893" t="str">
        <f>"9781931498579"</f>
        <v>9781931498579</v>
      </c>
      <c r="H893">
        <v>0</v>
      </c>
      <c r="I893">
        <v>4.25</v>
      </c>
      <c r="J893" t="s">
        <v>3533</v>
      </c>
      <c r="K893" t="s">
        <v>60</v>
      </c>
      <c r="L893">
        <v>720</v>
      </c>
      <c r="M893">
        <v>2004</v>
      </c>
      <c r="N893">
        <v>2002</v>
      </c>
      <c r="P893" s="1">
        <v>41383</v>
      </c>
      <c r="Q893" t="s">
        <v>36</v>
      </c>
      <c r="R893" t="s">
        <v>3534</v>
      </c>
      <c r="S893" t="s">
        <v>36</v>
      </c>
      <c r="W893">
        <v>0</v>
      </c>
      <c r="Z893">
        <v>0</v>
      </c>
    </row>
    <row r="894" spans="1:26" x14ac:dyDescent="0.3">
      <c r="A894">
        <v>30475</v>
      </c>
      <c r="B894" t="s">
        <v>3535</v>
      </c>
      <c r="C894" t="s">
        <v>3536</v>
      </c>
      <c r="D894" t="s">
        <v>3537</v>
      </c>
      <c r="E894" t="s">
        <v>3538</v>
      </c>
      <c r="F894" t="str">
        <f>"0486424650"</f>
        <v>0486424650</v>
      </c>
      <c r="G894" t="str">
        <f>"9780486424651"</f>
        <v>9780486424651</v>
      </c>
      <c r="H894">
        <v>0</v>
      </c>
      <c r="I894">
        <v>3.84</v>
      </c>
      <c r="J894" t="s">
        <v>559</v>
      </c>
      <c r="K894" t="s">
        <v>60</v>
      </c>
      <c r="L894">
        <v>284</v>
      </c>
      <c r="M894">
        <v>2003</v>
      </c>
      <c r="N894">
        <v>2003</v>
      </c>
      <c r="P894" s="1">
        <v>41383</v>
      </c>
      <c r="Q894" t="s">
        <v>36</v>
      </c>
      <c r="R894" t="s">
        <v>3539</v>
      </c>
      <c r="S894" t="s">
        <v>36</v>
      </c>
      <c r="W894">
        <v>0</v>
      </c>
      <c r="Z894">
        <v>0</v>
      </c>
    </row>
    <row r="895" spans="1:26" x14ac:dyDescent="0.3">
      <c r="A895">
        <v>15721</v>
      </c>
      <c r="B895" t="s">
        <v>3540</v>
      </c>
      <c r="C895" t="s">
        <v>3541</v>
      </c>
      <c r="D895" t="s">
        <v>3542</v>
      </c>
      <c r="E895" t="s">
        <v>3543</v>
      </c>
      <c r="F895" t="str">
        <f>"1583226478"</f>
        <v>1583226478</v>
      </c>
      <c r="G895" t="str">
        <f>"9781583226476"</f>
        <v>9781583226476</v>
      </c>
      <c r="H895">
        <v>0</v>
      </c>
      <c r="I895">
        <v>4.32</v>
      </c>
      <c r="J895" t="s">
        <v>3544</v>
      </c>
      <c r="K895" t="s">
        <v>35</v>
      </c>
      <c r="L895">
        <v>672</v>
      </c>
      <c r="M895">
        <v>2004</v>
      </c>
      <c r="N895">
        <v>2004</v>
      </c>
      <c r="P895" s="1">
        <v>41383</v>
      </c>
      <c r="Q895" t="s">
        <v>36</v>
      </c>
      <c r="R895" t="s">
        <v>3545</v>
      </c>
      <c r="S895" t="s">
        <v>36</v>
      </c>
      <c r="W895">
        <v>0</v>
      </c>
      <c r="Z895">
        <v>0</v>
      </c>
    </row>
    <row r="896" spans="1:26" x14ac:dyDescent="0.3">
      <c r="A896">
        <v>4054212</v>
      </c>
      <c r="B896" t="s">
        <v>3546</v>
      </c>
      <c r="C896" t="s">
        <v>3547</v>
      </c>
      <c r="D896" t="s">
        <v>3548</v>
      </c>
      <c r="E896" t="s">
        <v>3549</v>
      </c>
      <c r="F896" t="str">
        <f>"1580052576"</f>
        <v>1580052576</v>
      </c>
      <c r="G896" t="str">
        <f>"9781580052573"</f>
        <v>9781580052573</v>
      </c>
      <c r="H896">
        <v>0</v>
      </c>
      <c r="I896">
        <v>4.1900000000000004</v>
      </c>
      <c r="J896" t="s">
        <v>3550</v>
      </c>
      <c r="K896" t="s">
        <v>60</v>
      </c>
      <c r="L896">
        <v>361</v>
      </c>
      <c r="M896">
        <v>2008</v>
      </c>
      <c r="N896">
        <v>2008</v>
      </c>
      <c r="P896" s="1">
        <v>41383</v>
      </c>
      <c r="Q896" t="s">
        <v>36</v>
      </c>
      <c r="R896" t="s">
        <v>3551</v>
      </c>
      <c r="S896" t="s">
        <v>36</v>
      </c>
      <c r="W896">
        <v>0</v>
      </c>
      <c r="Z896">
        <v>0</v>
      </c>
    </row>
    <row r="897" spans="1:26" x14ac:dyDescent="0.3">
      <c r="A897">
        <v>16280</v>
      </c>
      <c r="B897" t="s">
        <v>3552</v>
      </c>
      <c r="C897" t="s">
        <v>3553</v>
      </c>
      <c r="D897" t="s">
        <v>3554</v>
      </c>
      <c r="F897" t="str">
        <f>"0465083617"</f>
        <v>0465083617</v>
      </c>
      <c r="G897" t="str">
        <f>"9780465083619"</f>
        <v>9780465083619</v>
      </c>
      <c r="H897">
        <v>0</v>
      </c>
      <c r="I897">
        <v>4.2699999999999996</v>
      </c>
      <c r="J897" t="s">
        <v>129</v>
      </c>
      <c r="K897" t="s">
        <v>60</v>
      </c>
      <c r="L897">
        <v>464</v>
      </c>
      <c r="M897">
        <v>2017</v>
      </c>
      <c r="N897">
        <v>1997</v>
      </c>
      <c r="P897" s="1">
        <v>41383</v>
      </c>
      <c r="Q897" t="s">
        <v>36</v>
      </c>
      <c r="R897" t="s">
        <v>3555</v>
      </c>
      <c r="S897" t="s">
        <v>36</v>
      </c>
      <c r="W897">
        <v>0</v>
      </c>
      <c r="Z897">
        <v>0</v>
      </c>
    </row>
    <row r="898" spans="1:26" x14ac:dyDescent="0.3">
      <c r="A898">
        <v>17603</v>
      </c>
      <c r="B898" t="s">
        <v>3556</v>
      </c>
      <c r="C898" t="s">
        <v>3557</v>
      </c>
      <c r="D898" t="s">
        <v>3558</v>
      </c>
      <c r="F898" t="str">
        <f>"041592913X"</f>
        <v>041592913X</v>
      </c>
      <c r="G898" t="str">
        <f>"9780415929134"</f>
        <v>9780415929134</v>
      </c>
      <c r="H898">
        <v>0</v>
      </c>
      <c r="I898">
        <v>4.2</v>
      </c>
      <c r="J898" t="s">
        <v>119</v>
      </c>
      <c r="K898" t="s">
        <v>60</v>
      </c>
      <c r="L898">
        <v>164</v>
      </c>
      <c r="M898">
        <v>2000</v>
      </c>
      <c r="N898">
        <v>2000</v>
      </c>
      <c r="P898" s="1">
        <v>41383</v>
      </c>
      <c r="Q898" t="s">
        <v>36</v>
      </c>
      <c r="R898" t="s">
        <v>3559</v>
      </c>
      <c r="S898" t="s">
        <v>36</v>
      </c>
      <c r="W898">
        <v>0</v>
      </c>
      <c r="Z898">
        <v>0</v>
      </c>
    </row>
    <row r="899" spans="1:26" x14ac:dyDescent="0.3">
      <c r="A899">
        <v>1237300</v>
      </c>
      <c r="B899" t="s">
        <v>3560</v>
      </c>
      <c r="C899" t="s">
        <v>3561</v>
      </c>
      <c r="D899" t="s">
        <v>3562</v>
      </c>
      <c r="F899" t="str">
        <f>"0805079831"</f>
        <v>0805079831</v>
      </c>
      <c r="G899" t="str">
        <f>"9780805079838"</f>
        <v>9780805079838</v>
      </c>
      <c r="H899">
        <v>0</v>
      </c>
      <c r="I899">
        <v>4.24</v>
      </c>
      <c r="J899" t="s">
        <v>3563</v>
      </c>
      <c r="K899" t="s">
        <v>35</v>
      </c>
      <c r="L899">
        <v>558</v>
      </c>
      <c r="M899">
        <v>2007</v>
      </c>
      <c r="N899">
        <v>2006</v>
      </c>
      <c r="P899" s="1">
        <v>41383</v>
      </c>
      <c r="Q899" t="s">
        <v>36</v>
      </c>
      <c r="R899" t="s">
        <v>3564</v>
      </c>
      <c r="S899" t="s">
        <v>36</v>
      </c>
      <c r="W899">
        <v>0</v>
      </c>
      <c r="Z899">
        <v>0</v>
      </c>
    </row>
    <row r="900" spans="1:26" x14ac:dyDescent="0.3">
      <c r="A900">
        <v>2767</v>
      </c>
      <c r="B900" t="s">
        <v>3565</v>
      </c>
      <c r="C900" t="s">
        <v>3541</v>
      </c>
      <c r="D900" t="s">
        <v>3542</v>
      </c>
      <c r="F900" t="str">
        <f>"0060838655"</f>
        <v>0060838655</v>
      </c>
      <c r="G900" t="str">
        <f>"9780060838652"</f>
        <v>9780060838652</v>
      </c>
      <c r="H900">
        <v>0</v>
      </c>
      <c r="I900">
        <v>4.0599999999999996</v>
      </c>
      <c r="J900" t="s">
        <v>303</v>
      </c>
      <c r="K900" t="s">
        <v>60</v>
      </c>
      <c r="L900">
        <v>729</v>
      </c>
      <c r="M900">
        <v>2005</v>
      </c>
      <c r="N900">
        <v>1980</v>
      </c>
      <c r="P900" s="1">
        <v>41383</v>
      </c>
      <c r="Q900" t="s">
        <v>36</v>
      </c>
      <c r="R900" t="s">
        <v>3566</v>
      </c>
      <c r="S900" t="s">
        <v>36</v>
      </c>
      <c r="W900">
        <v>0</v>
      </c>
      <c r="Z900">
        <v>0</v>
      </c>
    </row>
    <row r="901" spans="1:26" x14ac:dyDescent="0.3">
      <c r="A901">
        <v>2187</v>
      </c>
      <c r="B901" t="s">
        <v>3567</v>
      </c>
      <c r="C901" t="s">
        <v>3568</v>
      </c>
      <c r="D901" t="s">
        <v>3569</v>
      </c>
      <c r="F901" t="str">
        <f>"0312422156"</f>
        <v>0312422156</v>
      </c>
      <c r="G901" t="str">
        <f>"9780312422158"</f>
        <v>9780312422158</v>
      </c>
      <c r="H901">
        <v>0</v>
      </c>
      <c r="I901">
        <v>4.01</v>
      </c>
      <c r="J901" t="s">
        <v>2483</v>
      </c>
      <c r="K901" t="s">
        <v>60</v>
      </c>
      <c r="L901">
        <v>529</v>
      </c>
      <c r="M901">
        <v>2003</v>
      </c>
      <c r="N901">
        <v>2002</v>
      </c>
      <c r="P901" s="1">
        <v>41383</v>
      </c>
      <c r="Q901" t="s">
        <v>36</v>
      </c>
      <c r="R901" t="s">
        <v>3570</v>
      </c>
      <c r="S901" t="s">
        <v>36</v>
      </c>
      <c r="W901">
        <v>0</v>
      </c>
      <c r="Z901">
        <v>0</v>
      </c>
    </row>
    <row r="902" spans="1:26" x14ac:dyDescent="0.3">
      <c r="A902">
        <v>1656574</v>
      </c>
      <c r="B902" t="s">
        <v>3571</v>
      </c>
      <c r="C902" t="s">
        <v>3572</v>
      </c>
      <c r="D902" t="s">
        <v>3573</v>
      </c>
      <c r="F902" t="str">
        <f>"0582493722"</f>
        <v>0582493722</v>
      </c>
      <c r="G902" t="str">
        <f>"9780582493728"</f>
        <v>9780582493728</v>
      </c>
      <c r="H902">
        <v>0</v>
      </c>
      <c r="I902">
        <v>3.69</v>
      </c>
      <c r="J902" t="s">
        <v>119</v>
      </c>
      <c r="K902" t="s">
        <v>60</v>
      </c>
      <c r="L902">
        <v>395</v>
      </c>
      <c r="M902">
        <v>1994</v>
      </c>
      <c r="N902">
        <v>1994</v>
      </c>
      <c r="P902" s="1">
        <v>41383</v>
      </c>
      <c r="Q902" t="s">
        <v>36</v>
      </c>
      <c r="R902" t="s">
        <v>3574</v>
      </c>
      <c r="S902" t="s">
        <v>36</v>
      </c>
      <c r="W902">
        <v>0</v>
      </c>
      <c r="Z902">
        <v>0</v>
      </c>
    </row>
    <row r="903" spans="1:26" x14ac:dyDescent="0.3">
      <c r="A903">
        <v>572375</v>
      </c>
      <c r="B903" t="s">
        <v>3575</v>
      </c>
      <c r="C903" t="s">
        <v>3576</v>
      </c>
      <c r="D903" t="s">
        <v>3577</v>
      </c>
      <c r="F903" t="str">
        <f>"0192801392"</f>
        <v>0192801392</v>
      </c>
      <c r="G903" t="str">
        <f>"9780192801395"</f>
        <v>9780192801395</v>
      </c>
      <c r="H903">
        <v>0</v>
      </c>
      <c r="I903">
        <v>4.17</v>
      </c>
      <c r="J903" t="s">
        <v>104</v>
      </c>
      <c r="K903" t="s">
        <v>60</v>
      </c>
      <c r="L903">
        <v>812</v>
      </c>
      <c r="M903">
        <v>2001</v>
      </c>
      <c r="N903">
        <v>1943</v>
      </c>
      <c r="P903" s="1">
        <v>41383</v>
      </c>
      <c r="Q903" t="s">
        <v>36</v>
      </c>
      <c r="R903" t="s">
        <v>3578</v>
      </c>
      <c r="S903" t="s">
        <v>36</v>
      </c>
      <c r="W903">
        <v>0</v>
      </c>
      <c r="Z903">
        <v>0</v>
      </c>
    </row>
    <row r="904" spans="1:26" x14ac:dyDescent="0.3">
      <c r="A904">
        <v>6163622</v>
      </c>
      <c r="B904" t="s">
        <v>3579</v>
      </c>
      <c r="C904" t="s">
        <v>3580</v>
      </c>
      <c r="D904" t="s">
        <v>3581</v>
      </c>
      <c r="F904" t="str">
        <f>"030726534X"</f>
        <v>030726534X</v>
      </c>
      <c r="G904" t="str">
        <f>"9780307265340"</f>
        <v>9780307265340</v>
      </c>
      <c r="H904">
        <v>0</v>
      </c>
      <c r="I904">
        <v>3.63</v>
      </c>
      <c r="J904" t="s">
        <v>476</v>
      </c>
      <c r="K904" t="s">
        <v>35</v>
      </c>
      <c r="L904">
        <v>303</v>
      </c>
      <c r="M904">
        <v>2009</v>
      </c>
      <c r="N904">
        <v>2009</v>
      </c>
      <c r="P904" s="1">
        <v>41383</v>
      </c>
      <c r="Q904" t="s">
        <v>36</v>
      </c>
      <c r="R904" t="s">
        <v>3582</v>
      </c>
      <c r="S904" t="s">
        <v>36</v>
      </c>
      <c r="W904">
        <v>0</v>
      </c>
      <c r="Z904">
        <v>0</v>
      </c>
    </row>
    <row r="905" spans="1:26" x14ac:dyDescent="0.3">
      <c r="A905">
        <v>178515</v>
      </c>
      <c r="B905" t="s">
        <v>3583</v>
      </c>
      <c r="C905" t="s">
        <v>3584</v>
      </c>
      <c r="D905" t="s">
        <v>3585</v>
      </c>
      <c r="E905" t="s">
        <v>3586</v>
      </c>
      <c r="F905" t="str">
        <f>"0060930551"</f>
        <v>0060930551</v>
      </c>
      <c r="G905" t="str">
        <f>"9780060930554"</f>
        <v>9780060930554</v>
      </c>
      <c r="H905">
        <v>0</v>
      </c>
      <c r="I905">
        <v>3.89</v>
      </c>
      <c r="J905" t="s">
        <v>303</v>
      </c>
      <c r="K905" t="s">
        <v>60</v>
      </c>
      <c r="L905">
        <v>432</v>
      </c>
      <c r="M905">
        <v>2018</v>
      </c>
      <c r="N905">
        <v>1998</v>
      </c>
      <c r="P905" s="1">
        <v>41383</v>
      </c>
      <c r="Q905" t="s">
        <v>36</v>
      </c>
      <c r="R905" t="s">
        <v>3587</v>
      </c>
      <c r="S905" t="s">
        <v>36</v>
      </c>
      <c r="W905">
        <v>0</v>
      </c>
      <c r="Z905">
        <v>0</v>
      </c>
    </row>
    <row r="906" spans="1:26" x14ac:dyDescent="0.3">
      <c r="A906">
        <v>2465562</v>
      </c>
      <c r="B906" t="s">
        <v>3588</v>
      </c>
      <c r="C906" t="s">
        <v>3589</v>
      </c>
      <c r="D906" t="s">
        <v>3590</v>
      </c>
      <c r="F906" t="str">
        <f>"0091796849"</f>
        <v>0091796849</v>
      </c>
      <c r="G906" t="str">
        <f>"9780091796846"</f>
        <v>9780091796846</v>
      </c>
      <c r="H906">
        <v>0</v>
      </c>
      <c r="I906">
        <v>4.13</v>
      </c>
      <c r="J906" t="s">
        <v>1989</v>
      </c>
      <c r="K906" t="s">
        <v>35</v>
      </c>
      <c r="L906">
        <v>400</v>
      </c>
      <c r="M906">
        <v>2008</v>
      </c>
      <c r="N906">
        <v>2008</v>
      </c>
      <c r="P906" s="1">
        <v>41383</v>
      </c>
      <c r="Q906" t="s">
        <v>36</v>
      </c>
      <c r="R906" t="s">
        <v>3591</v>
      </c>
      <c r="S906" t="s">
        <v>36</v>
      </c>
      <c r="W906">
        <v>0</v>
      </c>
      <c r="Z906">
        <v>0</v>
      </c>
    </row>
    <row r="907" spans="1:26" x14ac:dyDescent="0.3">
      <c r="A907">
        <v>55702</v>
      </c>
      <c r="B907" t="s">
        <v>3592</v>
      </c>
      <c r="C907" t="s">
        <v>3593</v>
      </c>
      <c r="D907" t="s">
        <v>3594</v>
      </c>
      <c r="F907" t="str">
        <f>"0385495625"</f>
        <v>0385495625</v>
      </c>
      <c r="G907" t="str">
        <f>"9780385495622"</f>
        <v>9780385495622</v>
      </c>
      <c r="H907">
        <v>0</v>
      </c>
      <c r="I907">
        <v>3.95</v>
      </c>
      <c r="J907" t="s">
        <v>700</v>
      </c>
      <c r="K907" t="s">
        <v>60</v>
      </c>
      <c r="L907">
        <v>448</v>
      </c>
      <c r="M907">
        <v>2002</v>
      </c>
      <c r="N907">
        <v>2001</v>
      </c>
      <c r="P907" s="1">
        <v>41383</v>
      </c>
      <c r="Q907" t="s">
        <v>36</v>
      </c>
      <c r="R907" t="s">
        <v>3595</v>
      </c>
      <c r="S907" t="s">
        <v>36</v>
      </c>
      <c r="W907">
        <v>0</v>
      </c>
      <c r="Z907">
        <v>0</v>
      </c>
    </row>
    <row r="908" spans="1:26" x14ac:dyDescent="0.3">
      <c r="A908">
        <v>487339</v>
      </c>
      <c r="B908" t="s">
        <v>3596</v>
      </c>
      <c r="C908" t="s">
        <v>3584</v>
      </c>
      <c r="D908" t="s">
        <v>3585</v>
      </c>
      <c r="E908" t="s">
        <v>3586</v>
      </c>
      <c r="F908" t="str">
        <f>"0060923040"</f>
        <v>0060923040</v>
      </c>
      <c r="G908" t="str">
        <f>"9780060923044"</f>
        <v>9780060923044</v>
      </c>
      <c r="H908">
        <v>0</v>
      </c>
      <c r="I908">
        <v>3.77</v>
      </c>
      <c r="J908" t="s">
        <v>303</v>
      </c>
      <c r="K908" t="s">
        <v>60</v>
      </c>
      <c r="L908">
        <v>304</v>
      </c>
      <c r="M908">
        <v>2018</v>
      </c>
      <c r="N908">
        <v>1978</v>
      </c>
      <c r="P908" s="1">
        <v>41383</v>
      </c>
      <c r="Q908" t="s">
        <v>36</v>
      </c>
      <c r="R908" t="s">
        <v>3597</v>
      </c>
      <c r="S908" t="s">
        <v>36</v>
      </c>
      <c r="W908">
        <v>0</v>
      </c>
      <c r="Z908">
        <v>0</v>
      </c>
    </row>
    <row r="909" spans="1:26" x14ac:dyDescent="0.3">
      <c r="A909">
        <v>173258</v>
      </c>
      <c r="B909" t="s">
        <v>3598</v>
      </c>
      <c r="C909" t="s">
        <v>3599</v>
      </c>
      <c r="D909" t="s">
        <v>3600</v>
      </c>
      <c r="F909" t="str">
        <f>"0060014342"</f>
        <v>0060014342</v>
      </c>
      <c r="G909" t="str">
        <f>"9780060014346"</f>
        <v>9780060014346</v>
      </c>
      <c r="H909">
        <v>0</v>
      </c>
      <c r="I909">
        <v>3.45</v>
      </c>
      <c r="J909" t="s">
        <v>303</v>
      </c>
      <c r="K909" t="s">
        <v>60</v>
      </c>
      <c r="L909">
        <v>245</v>
      </c>
      <c r="M909">
        <v>2002</v>
      </c>
      <c r="N909">
        <v>2001</v>
      </c>
      <c r="P909" s="1">
        <v>41383</v>
      </c>
      <c r="Q909" t="s">
        <v>36</v>
      </c>
      <c r="R909" t="s">
        <v>3601</v>
      </c>
      <c r="S909" t="s">
        <v>36</v>
      </c>
      <c r="W909">
        <v>0</v>
      </c>
      <c r="Z909">
        <v>0</v>
      </c>
    </row>
    <row r="910" spans="1:26" x14ac:dyDescent="0.3">
      <c r="A910">
        <v>33057</v>
      </c>
      <c r="B910" t="s">
        <v>3602</v>
      </c>
      <c r="C910" t="s">
        <v>3584</v>
      </c>
      <c r="D910" t="s">
        <v>3585</v>
      </c>
      <c r="E910" t="s">
        <v>3586</v>
      </c>
      <c r="F910" t="str">
        <f>"0060925817"</f>
        <v>0060925817</v>
      </c>
      <c r="G910" t="str">
        <f>"9780060925819"</f>
        <v>9780060925819</v>
      </c>
      <c r="H910">
        <v>0</v>
      </c>
      <c r="I910">
        <v>3.86</v>
      </c>
      <c r="J910" t="s">
        <v>303</v>
      </c>
      <c r="K910" t="s">
        <v>60</v>
      </c>
      <c r="L910">
        <v>368</v>
      </c>
      <c r="M910">
        <v>1995</v>
      </c>
      <c r="N910">
        <v>1994</v>
      </c>
      <c r="P910" s="1">
        <v>41383</v>
      </c>
      <c r="Q910" t="s">
        <v>36</v>
      </c>
      <c r="R910" t="s">
        <v>3603</v>
      </c>
      <c r="S910" t="s">
        <v>36</v>
      </c>
      <c r="W910">
        <v>0</v>
      </c>
      <c r="Z910">
        <v>0</v>
      </c>
    </row>
    <row r="911" spans="1:26" x14ac:dyDescent="0.3">
      <c r="A911">
        <v>760238</v>
      </c>
      <c r="B911" t="s">
        <v>3604</v>
      </c>
      <c r="C911" t="s">
        <v>3605</v>
      </c>
      <c r="D911" t="s">
        <v>3606</v>
      </c>
      <c r="E911" t="s">
        <v>3607</v>
      </c>
      <c r="F911" t="str">
        <f>"0743257782"</f>
        <v>0743257782</v>
      </c>
      <c r="G911" t="str">
        <f>"9780743257787"</f>
        <v>9780743257787</v>
      </c>
      <c r="H911">
        <v>0</v>
      </c>
      <c r="I911">
        <v>3.82</v>
      </c>
      <c r="J911" t="s">
        <v>3608</v>
      </c>
      <c r="K911" t="s">
        <v>60</v>
      </c>
      <c r="L911">
        <v>312</v>
      </c>
      <c r="M911">
        <v>2005</v>
      </c>
      <c r="N911">
        <v>2003</v>
      </c>
      <c r="P911" s="1">
        <v>41383</v>
      </c>
      <c r="Q911" t="s">
        <v>36</v>
      </c>
      <c r="R911" t="s">
        <v>3609</v>
      </c>
      <c r="S911" t="s">
        <v>36</v>
      </c>
      <c r="W911">
        <v>0</v>
      </c>
      <c r="Z911">
        <v>0</v>
      </c>
    </row>
    <row r="912" spans="1:26" x14ac:dyDescent="0.3">
      <c r="A912">
        <v>227354</v>
      </c>
      <c r="B912" t="s">
        <v>3610</v>
      </c>
      <c r="C912" t="s">
        <v>3611</v>
      </c>
      <c r="D912" t="s">
        <v>3612</v>
      </c>
      <c r="F912" t="str">
        <f>"1401308503"</f>
        <v>1401308503</v>
      </c>
      <c r="G912" t="str">
        <f>"9781401308506"</f>
        <v>9781401308506</v>
      </c>
      <c r="H912">
        <v>0</v>
      </c>
      <c r="I912">
        <v>4.22</v>
      </c>
      <c r="J912" t="s">
        <v>3469</v>
      </c>
      <c r="K912" t="s">
        <v>60</v>
      </c>
      <c r="L912">
        <v>304</v>
      </c>
      <c r="M912">
        <v>2006</v>
      </c>
      <c r="N912">
        <v>2005</v>
      </c>
      <c r="P912" s="1">
        <v>41383</v>
      </c>
      <c r="Q912" t="s">
        <v>36</v>
      </c>
      <c r="R912" t="s">
        <v>3613</v>
      </c>
      <c r="S912" t="s">
        <v>36</v>
      </c>
      <c r="W912">
        <v>0</v>
      </c>
      <c r="Z912">
        <v>0</v>
      </c>
    </row>
    <row r="913" spans="1:26" x14ac:dyDescent="0.3">
      <c r="A913">
        <v>13589182</v>
      </c>
      <c r="B913" t="s">
        <v>3614</v>
      </c>
      <c r="C913" t="s">
        <v>3615</v>
      </c>
      <c r="D913" t="s">
        <v>3616</v>
      </c>
      <c r="F913" t="str">
        <f>"0670024961"</f>
        <v>0670024961</v>
      </c>
      <c r="G913" t="str">
        <f>"9780670024964"</f>
        <v>9780670024964</v>
      </c>
      <c r="H913">
        <v>0</v>
      </c>
      <c r="I913">
        <v>4.2699999999999996</v>
      </c>
      <c r="J913" t="s">
        <v>518</v>
      </c>
      <c r="K913" t="s">
        <v>35</v>
      </c>
      <c r="L913">
        <v>318</v>
      </c>
      <c r="M913">
        <v>2012</v>
      </c>
      <c r="N913">
        <v>2012</v>
      </c>
      <c r="P913" s="1">
        <v>41383</v>
      </c>
      <c r="Q913" t="s">
        <v>36</v>
      </c>
      <c r="R913" t="s">
        <v>3617</v>
      </c>
      <c r="S913" t="s">
        <v>36</v>
      </c>
      <c r="W913">
        <v>0</v>
      </c>
      <c r="Z913">
        <v>0</v>
      </c>
    </row>
    <row r="914" spans="1:26" x14ac:dyDescent="0.3">
      <c r="A914">
        <v>25376</v>
      </c>
      <c r="B914" t="s">
        <v>3618</v>
      </c>
      <c r="C914" t="s">
        <v>3619</v>
      </c>
      <c r="D914" t="s">
        <v>3620</v>
      </c>
      <c r="E914" t="s">
        <v>3621</v>
      </c>
      <c r="F914" t="str">
        <f>"0312360118"</f>
        <v>0312360118</v>
      </c>
      <c r="G914" t="str">
        <f>"9780312360115"</f>
        <v>9780312360115</v>
      </c>
      <c r="H914">
        <v>0</v>
      </c>
      <c r="I914">
        <v>3.7</v>
      </c>
      <c r="J914" t="s">
        <v>3622</v>
      </c>
      <c r="K914" t="s">
        <v>35</v>
      </c>
      <c r="L914">
        <v>240</v>
      </c>
      <c r="M914">
        <v>2007</v>
      </c>
      <c r="N914">
        <v>2007</v>
      </c>
      <c r="P914" s="1">
        <v>41383</v>
      </c>
      <c r="Q914" t="s">
        <v>36</v>
      </c>
      <c r="R914" t="s">
        <v>3623</v>
      </c>
      <c r="S914" t="s">
        <v>36</v>
      </c>
      <c r="W914">
        <v>0</v>
      </c>
      <c r="Z914">
        <v>0</v>
      </c>
    </row>
    <row r="915" spans="1:26" x14ac:dyDescent="0.3">
      <c r="A915">
        <v>6043946</v>
      </c>
      <c r="B915" t="s">
        <v>3624</v>
      </c>
      <c r="C915" t="s">
        <v>3625</v>
      </c>
      <c r="D915" t="s">
        <v>3626</v>
      </c>
      <c r="E915" t="s">
        <v>3615</v>
      </c>
      <c r="F915" t="str">
        <f>"006177460X"</f>
        <v>006177460X</v>
      </c>
      <c r="G915" t="str">
        <f>"9780061774607"</f>
        <v>9780061774607</v>
      </c>
      <c r="H915">
        <v>0</v>
      </c>
      <c r="I915">
        <v>4.1500000000000004</v>
      </c>
      <c r="J915" t="s">
        <v>3627</v>
      </c>
      <c r="K915" t="s">
        <v>35</v>
      </c>
      <c r="L915">
        <v>291</v>
      </c>
      <c r="M915">
        <v>2009</v>
      </c>
      <c r="N915">
        <v>2008</v>
      </c>
      <c r="P915" s="1">
        <v>41383</v>
      </c>
      <c r="Q915" t="s">
        <v>36</v>
      </c>
      <c r="R915" t="s">
        <v>3628</v>
      </c>
      <c r="S915" t="s">
        <v>36</v>
      </c>
      <c r="W915">
        <v>0</v>
      </c>
      <c r="Z915">
        <v>0</v>
      </c>
    </row>
    <row r="916" spans="1:26" x14ac:dyDescent="0.3">
      <c r="A916">
        <v>60885</v>
      </c>
      <c r="B916" t="s">
        <v>3629</v>
      </c>
      <c r="C916" t="s">
        <v>3630</v>
      </c>
      <c r="D916" t="s">
        <v>3631</v>
      </c>
      <c r="F916" t="str">
        <f>"0385498411"</f>
        <v>0385498411</v>
      </c>
      <c r="G916" t="str">
        <f>"9780385498418"</f>
        <v>9780385498418</v>
      </c>
      <c r="H916">
        <v>0</v>
      </c>
      <c r="I916">
        <v>4.1399999999999997</v>
      </c>
      <c r="J916" t="s">
        <v>700</v>
      </c>
      <c r="K916" t="s">
        <v>60</v>
      </c>
      <c r="L916">
        <v>464</v>
      </c>
      <c r="M916">
        <v>2000</v>
      </c>
      <c r="N916">
        <v>1999</v>
      </c>
      <c r="P916" s="1">
        <v>41383</v>
      </c>
      <c r="Q916" t="s">
        <v>36</v>
      </c>
      <c r="R916" t="s">
        <v>3632</v>
      </c>
      <c r="S916" t="s">
        <v>36</v>
      </c>
      <c r="W916">
        <v>0</v>
      </c>
      <c r="Z916">
        <v>0</v>
      </c>
    </row>
    <row r="917" spans="1:26" x14ac:dyDescent="0.3">
      <c r="A917">
        <v>3347</v>
      </c>
      <c r="B917" t="s">
        <v>3633</v>
      </c>
      <c r="C917" t="s">
        <v>3634</v>
      </c>
      <c r="D917" t="s">
        <v>3635</v>
      </c>
      <c r="F917" t="str">
        <f>"0140298517"</f>
        <v>0140298517</v>
      </c>
      <c r="G917" t="str">
        <f>"9780140298512"</f>
        <v>9780140298512</v>
      </c>
      <c r="H917">
        <v>0</v>
      </c>
      <c r="I917">
        <v>3.86</v>
      </c>
      <c r="J917" t="s">
        <v>496</v>
      </c>
      <c r="K917" t="s">
        <v>60</v>
      </c>
      <c r="L917">
        <v>400</v>
      </c>
      <c r="M917">
        <v>2001</v>
      </c>
      <c r="N917">
        <v>1999</v>
      </c>
      <c r="P917" s="1">
        <v>41383</v>
      </c>
      <c r="Q917" t="s">
        <v>36</v>
      </c>
      <c r="R917" t="s">
        <v>3636</v>
      </c>
      <c r="S917" t="s">
        <v>36</v>
      </c>
      <c r="W917">
        <v>0</v>
      </c>
      <c r="Z917">
        <v>0</v>
      </c>
    </row>
    <row r="918" spans="1:26" x14ac:dyDescent="0.3">
      <c r="A918">
        <v>128824</v>
      </c>
      <c r="B918" t="s">
        <v>3637</v>
      </c>
      <c r="C918" t="s">
        <v>3638</v>
      </c>
      <c r="D918" t="s">
        <v>3639</v>
      </c>
      <c r="F918" t="str">
        <f>"0609807161"</f>
        <v>0609807161</v>
      </c>
      <c r="G918" t="str">
        <f>"9780609807163"</f>
        <v>9780609807163</v>
      </c>
      <c r="H918">
        <v>0</v>
      </c>
      <c r="I918">
        <v>4.1399999999999997</v>
      </c>
      <c r="J918" t="s">
        <v>86</v>
      </c>
      <c r="K918" t="s">
        <v>60</v>
      </c>
      <c r="L918">
        <v>512</v>
      </c>
      <c r="M918">
        <v>2003</v>
      </c>
      <c r="N918">
        <v>2002</v>
      </c>
      <c r="P918" s="1">
        <v>41383</v>
      </c>
      <c r="Q918" t="s">
        <v>36</v>
      </c>
      <c r="R918" t="s">
        <v>3640</v>
      </c>
      <c r="S918" t="s">
        <v>36</v>
      </c>
      <c r="W918">
        <v>0</v>
      </c>
      <c r="Z918">
        <v>0</v>
      </c>
    </row>
    <row r="919" spans="1:26" x14ac:dyDescent="0.3">
      <c r="A919">
        <v>270008</v>
      </c>
      <c r="B919" t="s">
        <v>3641</v>
      </c>
      <c r="C919" t="s">
        <v>3462</v>
      </c>
      <c r="D919" t="s">
        <v>3463</v>
      </c>
      <c r="F919" t="str">
        <f>"067003407X"</f>
        <v>067003407X</v>
      </c>
      <c r="G919" t="str">
        <f>"9780670034079"</f>
        <v>9780670034079</v>
      </c>
      <c r="H919">
        <v>0</v>
      </c>
      <c r="I919">
        <v>3.97</v>
      </c>
      <c r="J919" t="s">
        <v>3642</v>
      </c>
      <c r="K919" t="s">
        <v>35</v>
      </c>
      <c r="L919">
        <v>432</v>
      </c>
      <c r="M919">
        <v>2005</v>
      </c>
      <c r="N919">
        <v>2005</v>
      </c>
      <c r="P919" s="1">
        <v>41383</v>
      </c>
      <c r="Q919" t="s">
        <v>36</v>
      </c>
      <c r="R919" t="s">
        <v>3643</v>
      </c>
      <c r="S919" t="s">
        <v>36</v>
      </c>
      <c r="W919">
        <v>0</v>
      </c>
      <c r="Z919">
        <v>0</v>
      </c>
    </row>
    <row r="920" spans="1:26" x14ac:dyDescent="0.3">
      <c r="A920">
        <v>1106571</v>
      </c>
      <c r="B920" t="s">
        <v>3644</v>
      </c>
      <c r="C920" t="s">
        <v>3645</v>
      </c>
      <c r="D920" t="s">
        <v>3646</v>
      </c>
      <c r="F920" t="str">
        <f>"0312263899"</f>
        <v>0312263899</v>
      </c>
      <c r="G920" t="str">
        <f>"9780312263898"</f>
        <v>9780312263898</v>
      </c>
      <c r="H920">
        <v>0</v>
      </c>
      <c r="I920">
        <v>3.14</v>
      </c>
      <c r="J920" t="s">
        <v>252</v>
      </c>
      <c r="K920" t="s">
        <v>60</v>
      </c>
      <c r="L920">
        <v>288</v>
      </c>
      <c r="M920">
        <v>2000</v>
      </c>
      <c r="N920">
        <v>1999</v>
      </c>
      <c r="P920" s="1">
        <v>41383</v>
      </c>
      <c r="Q920" t="s">
        <v>36</v>
      </c>
      <c r="R920" t="s">
        <v>3647</v>
      </c>
      <c r="S920" t="s">
        <v>36</v>
      </c>
      <c r="W920">
        <v>0</v>
      </c>
      <c r="Z920">
        <v>0</v>
      </c>
    </row>
    <row r="921" spans="1:26" x14ac:dyDescent="0.3">
      <c r="A921">
        <v>71984</v>
      </c>
      <c r="B921" t="s">
        <v>3648</v>
      </c>
      <c r="C921" t="s">
        <v>3106</v>
      </c>
      <c r="D921" t="s">
        <v>3107</v>
      </c>
      <c r="F921" t="str">
        <f>"0143034669"</f>
        <v>0143034669</v>
      </c>
      <c r="G921" t="str">
        <f>"9780143034667"</f>
        <v>9780143034667</v>
      </c>
      <c r="H921">
        <v>0</v>
      </c>
      <c r="I921">
        <v>4.3099999999999996</v>
      </c>
      <c r="J921" t="s">
        <v>3649</v>
      </c>
      <c r="K921" t="s">
        <v>60</v>
      </c>
      <c r="L921">
        <v>712</v>
      </c>
      <c r="M921">
        <v>2004</v>
      </c>
      <c r="N921">
        <v>2004</v>
      </c>
      <c r="P921" s="1">
        <v>41383</v>
      </c>
      <c r="Q921" t="s">
        <v>36</v>
      </c>
      <c r="R921" t="s">
        <v>3650</v>
      </c>
      <c r="S921" t="s">
        <v>36</v>
      </c>
      <c r="W921">
        <v>0</v>
      </c>
      <c r="Z921">
        <v>0</v>
      </c>
    </row>
    <row r="922" spans="1:26" x14ac:dyDescent="0.3">
      <c r="A922">
        <v>55139</v>
      </c>
      <c r="B922" t="s">
        <v>3651</v>
      </c>
      <c r="C922" t="s">
        <v>275</v>
      </c>
      <c r="D922" t="s">
        <v>276</v>
      </c>
      <c r="E922" t="s">
        <v>3605</v>
      </c>
      <c r="F922" t="str">
        <f>"0316511579"</f>
        <v>0316511579</v>
      </c>
      <c r="G922" t="str">
        <f>"9780316511575"</f>
        <v>9780316511575</v>
      </c>
      <c r="H922">
        <v>0</v>
      </c>
      <c r="I922">
        <v>3.87</v>
      </c>
      <c r="J922" t="s">
        <v>3412</v>
      </c>
      <c r="K922" t="s">
        <v>60</v>
      </c>
      <c r="L922">
        <v>230</v>
      </c>
      <c r="M922">
        <v>2000</v>
      </c>
      <c r="N922">
        <v>1998</v>
      </c>
      <c r="P922" s="1">
        <v>41383</v>
      </c>
      <c r="Q922" t="s">
        <v>36</v>
      </c>
      <c r="R922" t="s">
        <v>3652</v>
      </c>
      <c r="S922" t="s">
        <v>36</v>
      </c>
      <c r="W922">
        <v>0</v>
      </c>
      <c r="Z922">
        <v>0</v>
      </c>
    </row>
    <row r="923" spans="1:26" x14ac:dyDescent="0.3">
      <c r="A923">
        <v>1202</v>
      </c>
      <c r="B923" t="s">
        <v>3246</v>
      </c>
      <c r="C923" t="s">
        <v>3247</v>
      </c>
      <c r="D923" t="s">
        <v>3248</v>
      </c>
      <c r="E923" t="s">
        <v>3249</v>
      </c>
      <c r="F923" t="str">
        <f>"0061234001"</f>
        <v>0061234001</v>
      </c>
      <c r="G923" t="str">
        <f>"9780061234002"</f>
        <v>9780061234002</v>
      </c>
      <c r="H923">
        <v>4</v>
      </c>
      <c r="I923">
        <v>3.98</v>
      </c>
      <c r="J923" t="s">
        <v>3060</v>
      </c>
      <c r="K923" t="s">
        <v>35</v>
      </c>
      <c r="L923">
        <v>320</v>
      </c>
      <c r="M923">
        <v>2006</v>
      </c>
      <c r="N923">
        <v>2005</v>
      </c>
      <c r="P923" s="1">
        <v>41383</v>
      </c>
      <c r="S923" t="s">
        <v>174</v>
      </c>
      <c r="W923">
        <v>1</v>
      </c>
      <c r="Z9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goodreads_library_export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Bashir Saho</dc:creator>
  <cp:lastModifiedBy>Bashir Saho</cp:lastModifiedBy>
  <dcterms:created xsi:type="dcterms:W3CDTF">2021-01-29T23:36:24Z</dcterms:created>
  <dcterms:modified xsi:type="dcterms:W3CDTF">2021-01-29T23:36:34Z</dcterms:modified>
</cp:coreProperties>
</file>