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PM 2.0 Season CLE 2017" sheetId="1" r:id="rId4"/>
    <sheet state="visible" name="BPM 2.0 Season GSW 2017" sheetId="2" r:id="rId5"/>
    <sheet state="visible" name="BPM 2.0 Single Game Christmas 2" sheetId="3" r:id="rId6"/>
    <sheet state="visible" name="BPM 2.0 Playoff CLE 2017" sheetId="4" r:id="rId7"/>
    <sheet state="hidden" name="Pre 1974 Pace" sheetId="5" r:id="rId8"/>
  </sheets>
  <definedNames/>
  <calcPr/>
</workbook>
</file>

<file path=xl/sharedStrings.xml><?xml version="1.0" encoding="utf-8"?>
<sst xmlns="http://schemas.openxmlformats.org/spreadsheetml/2006/main" count="2886" uniqueCount="509">
  <si>
    <t>Box Plus/Minus Coefficients:</t>
  </si>
  <si>
    <t>Box Plus/Minus 2.0 Calculator</t>
  </si>
  <si>
    <t>Modified to Add Offensive Role, Update Position Calcs, and Update Coefficients</t>
  </si>
  <si>
    <t>Positions:</t>
  </si>
  <si>
    <t>Intercept</t>
  </si>
  <si>
    <t>% of TRB</t>
  </si>
  <si>
    <t>% of STL</t>
  </si>
  <si>
    <t>% of PF</t>
  </si>
  <si>
    <t>% of AST</t>
  </si>
  <si>
    <t>% of BLK</t>
  </si>
  <si>
    <t>Min Wt</t>
  </si>
  <si>
    <t>Variable</t>
  </si>
  <si>
    <t>Adj. Pt</t>
  </si>
  <si>
    <t>FGA</t>
  </si>
  <si>
    <t>FTA</t>
  </si>
  <si>
    <t>3 Pt FG (bonus)</t>
  </si>
  <si>
    <t>AST</t>
  </si>
  <si>
    <t>TO</t>
  </si>
  <si>
    <t>ORB</t>
  </si>
  <si>
    <t>DRB</t>
  </si>
  <si>
    <t>TRB</t>
  </si>
  <si>
    <t>STL</t>
  </si>
  <si>
    <t>BLK</t>
  </si>
  <si>
    <t>PF</t>
  </si>
  <si>
    <t>Position Constant</t>
  </si>
  <si>
    <t>CLE</t>
  </si>
  <si>
    <t>Modern</t>
  </si>
  <si>
    <t>Pos 1</t>
  </si>
  <si>
    <t>Pos 3</t>
  </si>
  <si>
    <t>Pos 5</t>
  </si>
  <si>
    <t>Offensive Role Slope</t>
  </si>
  <si>
    <t>Team Rating</t>
  </si>
  <si>
    <t>Avg. Lead</t>
  </si>
  <si>
    <t>Team Pts</t>
  </si>
  <si>
    <t>Team TRB</t>
  </si>
  <si>
    <t>Team ThreshPts</t>
  </si>
  <si>
    <t>Pre 1971</t>
  </si>
  <si>
    <t>Off Rating</t>
  </si>
  <si>
    <t>Lead Bonus</t>
  </si>
  <si>
    <t>Team FGA</t>
  </si>
  <si>
    <t>Team STL</t>
  </si>
  <si>
    <t>Offensive Box Plus/Minus Coefficients:</t>
  </si>
  <si>
    <t>Def Rating</t>
  </si>
  <si>
    <t>Adj. Tm Rtg</t>
  </si>
  <si>
    <t>Team FTA</t>
  </si>
  <si>
    <t>Team PF</t>
  </si>
  <si>
    <t>Offensive Role:</t>
  </si>
  <si>
    <t>% of ast</t>
  </si>
  <si>
    <t>% of Threshold points</t>
  </si>
  <si>
    <t>Pt Threshold</t>
  </si>
  <si>
    <t>Default pos</t>
  </si>
  <si>
    <t>Pace</t>
  </si>
  <si>
    <t>Adj. ORtg</t>
  </si>
  <si>
    <t>Tm Pts/TSA</t>
  </si>
  <si>
    <t>Team AST</t>
  </si>
  <si>
    <t>URL:</t>
  </si>
  <si>
    <t>Baseline Pts/TSA</t>
  </si>
  <si>
    <t>Team BLK</t>
  </si>
  <si>
    <t>Sum</t>
  </si>
  <si>
    <t>Total Minutes</t>
  </si>
  <si>
    <t>Team Games</t>
  </si>
  <si>
    <t>Tm Adj.</t>
  </si>
  <si>
    <t>Cleveland Cavaliers</t>
  </si>
  <si>
    <t>Totals table from BBRef:</t>
  </si>
  <si>
    <t>Adjust for Team Shooting Context</t>
  </si>
  <si>
    <t>Calculated Stats per 100 Possessions</t>
  </si>
  <si>
    <t>% of Stats</t>
  </si>
  <si>
    <t>Estimate Positions:</t>
  </si>
  <si>
    <t>Offensive Role</t>
  </si>
  <si>
    <t>BPM Coefficients to use, based on Positions:</t>
  </si>
  <si>
    <t>Raw BPM Calculation:</t>
  </si>
  <si>
    <t>OBPM Coefficients to use, based on Positions:</t>
  </si>
  <si>
    <t>Raw OBPM Calculation:</t>
  </si>
  <si>
    <t>Pace:</t>
  </si>
  <si>
    <t>Rating:</t>
  </si>
  <si>
    <t>ORtg:</t>
  </si>
  <si>
    <t>Rk</t>
  </si>
  <si>
    <t>Age</t>
  </si>
  <si>
    <t>G</t>
  </si>
  <si>
    <t>GS</t>
  </si>
  <si>
    <t>MP</t>
  </si>
  <si>
    <t>FG</t>
  </si>
  <si>
    <t>FG%</t>
  </si>
  <si>
    <t>3P</t>
  </si>
  <si>
    <t>3PA</t>
  </si>
  <si>
    <t>3P%</t>
  </si>
  <si>
    <t>2P</t>
  </si>
  <si>
    <t>2PA</t>
  </si>
  <si>
    <t>2P%</t>
  </si>
  <si>
    <t>eFG%</t>
  </si>
  <si>
    <t>FT</t>
  </si>
  <si>
    <t>FT%</t>
  </si>
  <si>
    <t>TOV</t>
  </si>
  <si>
    <t>PTS</t>
  </si>
  <si>
    <t>TSA</t>
  </si>
  <si>
    <t>Pt/TSA</t>
  </si>
  <si>
    <t>Adj. Pts</t>
  </si>
  <si>
    <t>Possessions</t>
  </si>
  <si>
    <t>ThreshPts</t>
  </si>
  <si>
    <t>Adj Pt</t>
  </si>
  <si>
    <t>3FG</t>
  </si>
  <si>
    <t>% of ThreshPts</t>
  </si>
  <si>
    <t>Position</t>
  </si>
  <si>
    <t>Pos Num</t>
  </si>
  <si>
    <t>Est Pos 1</t>
  </si>
  <si>
    <t>Min Adj 1</t>
  </si>
  <si>
    <t>Trim 1</t>
  </si>
  <si>
    <t>Tm Avg 1</t>
  </si>
  <si>
    <t>Adj Pos 2</t>
  </si>
  <si>
    <t>Trim 2</t>
  </si>
  <si>
    <t>Tm Avg 2</t>
  </si>
  <si>
    <t>Adj Pos 3</t>
  </si>
  <si>
    <t>Trim 3</t>
  </si>
  <si>
    <t>Tm Avg 3</t>
  </si>
  <si>
    <t>Adj Pos 4</t>
  </si>
  <si>
    <t>Est Off. Role 1</t>
  </si>
  <si>
    <t>Adj Off. Role 2</t>
  </si>
  <si>
    <t>Adj Off. Role 3</t>
  </si>
  <si>
    <t>Adj Off. Role 4</t>
  </si>
  <si>
    <t>Player</t>
  </si>
  <si>
    <t>Scoring</t>
  </si>
  <si>
    <t>Ballhandling</t>
  </si>
  <si>
    <t>Rebounding</t>
  </si>
  <si>
    <t>Defense</t>
  </si>
  <si>
    <t>Pos Const</t>
  </si>
  <si>
    <t>Raw BPM</t>
  </si>
  <si>
    <t>% Min</t>
  </si>
  <si>
    <t>Contrib</t>
  </si>
  <si>
    <t>Raw OBPM</t>
  </si>
  <si>
    <t>Pos</t>
  </si>
  <si>
    <t>Off. Role</t>
  </si>
  <si>
    <t>Minutes</t>
  </si>
  <si>
    <t>MPG</t>
  </si>
  <si>
    <t>BPM</t>
  </si>
  <si>
    <t>OBPM</t>
  </si>
  <si>
    <t>DBPM</t>
  </si>
  <si>
    <t>VORP</t>
  </si>
  <si>
    <t>ReMPG</t>
  </si>
  <si>
    <t>ReMin</t>
  </si>
  <si>
    <t>ExpBPM</t>
  </si>
  <si>
    <t>ReBPM</t>
  </si>
  <si>
    <t>ReOBPM</t>
  </si>
  <si>
    <t>ReDBPM</t>
  </si>
  <si>
    <t>LeBron James</t>
  </si>
  <si>
    <t>Kyrie Irving</t>
  </si>
  <si>
    <t>Tristan Thompson</t>
  </si>
  <si>
    <t>Iman Shumpert</t>
  </si>
  <si>
    <t>Kevin Love</t>
  </si>
  <si>
    <t>Richard Jefferson</t>
  </si>
  <si>
    <t>Channing Frye</t>
  </si>
  <si>
    <t>J.R. Smith</t>
  </si>
  <si>
    <t>Kyle Korver</t>
  </si>
  <si>
    <t>DeAndre Liggins</t>
  </si>
  <si>
    <t>Deron Williams</t>
  </si>
  <si>
    <t>Derrick Williams</t>
  </si>
  <si>
    <t>Kay Felder</t>
  </si>
  <si>
    <t>Jordan McRae</t>
  </si>
  <si>
    <t>James Jones</t>
  </si>
  <si>
    <t>Mike Dunleavy</t>
  </si>
  <si>
    <t>Chris Andersen</t>
  </si>
  <si>
    <t>Edy Tavares</t>
  </si>
  <si>
    <t>Larry Sanders</t>
  </si>
  <si>
    <t>Dahntay Jones</t>
  </si>
  <si>
    <t>Andrew Bogut</t>
  </si>
  <si>
    <t>Jr.</t>
  </si>
  <si>
    <t>III</t>
  </si>
  <si>
    <t>(TW)</t>
  </si>
  <si>
    <t>Roster:</t>
  </si>
  <si>
    <t>No.</t>
  </si>
  <si>
    <t>Ht</t>
  </si>
  <si>
    <t>Wt</t>
  </si>
  <si>
    <t>Birth Date</t>
  </si>
  <si>
    <t>Exp</t>
  </si>
  <si>
    <t>College</t>
  </si>
  <si>
    <t>Year</t>
  </si>
  <si>
    <t>C</t>
  </si>
  <si>
    <t>us</t>
  </si>
  <si>
    <t>Blinn College</t>
  </si>
  <si>
    <t>PG</t>
  </si>
  <si>
    <t>2nd</t>
  </si>
  <si>
    <t>7-0</t>
  </si>
  <si>
    <t>au</t>
  </si>
  <si>
    <t>Utah</t>
  </si>
  <si>
    <t>SG</t>
  </si>
  <si>
    <t>3rd</t>
  </si>
  <si>
    <t>SF</t>
  </si>
  <si>
    <t>Duke</t>
  </si>
  <si>
    <t>R</t>
  </si>
  <si>
    <t>Oakland</t>
  </si>
  <si>
    <t>Arizona</t>
  </si>
  <si>
    <t>G-F</t>
  </si>
  <si>
    <t>F-G</t>
  </si>
  <si>
    <t>Rutgers University, Duke</t>
  </si>
  <si>
    <t>F</t>
  </si>
  <si>
    <t>Miami (FL)</t>
  </si>
  <si>
    <t>?</t>
  </si>
  <si>
    <t>Creighton</t>
  </si>
  <si>
    <t>Kentucky</t>
  </si>
  <si>
    <t>UCLA</t>
  </si>
  <si>
    <t>Tennessee</t>
  </si>
  <si>
    <t>Virginia Commonwealth</t>
  </si>
  <si>
    <t>Georgia Tech</t>
  </si>
  <si>
    <t>cv</t>
  </si>
  <si>
    <t>ca</t>
  </si>
  <si>
    <t>Texas</t>
  </si>
  <si>
    <t>Illinois</t>
  </si>
  <si>
    <t>3-32</t>
  </si>
  <si>
    <t>https://www.basketball-reference.com/leagues/NBA_2017_ratings.html</t>
  </si>
  <si>
    <t>Unadjusted</t>
  </si>
  <si>
    <t>Adjusted</t>
  </si>
  <si>
    <t>Team</t>
  </si>
  <si>
    <t>Conf</t>
  </si>
  <si>
    <t>Div</t>
  </si>
  <si>
    <t>W</t>
  </si>
  <si>
    <t>L</t>
  </si>
  <si>
    <t>W/L%</t>
  </si>
  <si>
    <t>MOV</t>
  </si>
  <si>
    <t>ORtg</t>
  </si>
  <si>
    <t>DRtg</t>
  </si>
  <si>
    <t>NRtg</t>
  </si>
  <si>
    <t>MOV/A</t>
  </si>
  <si>
    <t>ORtg/A</t>
  </si>
  <si>
    <t>DRtg/A</t>
  </si>
  <si>
    <t>NRtg/A</t>
  </si>
  <si>
    <t>ORtg Adj 2</t>
  </si>
  <si>
    <t>DRtg Adj 2</t>
  </si>
  <si>
    <t>Golden State Warriors</t>
  </si>
  <si>
    <t>P</t>
  </si>
  <si>
    <t>San Antonio Spurs</t>
  </si>
  <si>
    <t>SW</t>
  </si>
  <si>
    <t>Houston Rockets</t>
  </si>
  <si>
    <t>Los Angeles Clippers</t>
  </si>
  <si>
    <t>Utah Jazz</t>
  </si>
  <si>
    <t>NW</t>
  </si>
  <si>
    <t>Toronto Raptors</t>
  </si>
  <si>
    <t>E</t>
  </si>
  <si>
    <t>A</t>
  </si>
  <si>
    <t>Boston Celtics</t>
  </si>
  <si>
    <t>Washington Wizards</t>
  </si>
  <si>
    <t>SE</t>
  </si>
  <si>
    <t>Oklahoma City Thunder</t>
  </si>
  <si>
    <t>Memphis Grizzlies</t>
  </si>
  <si>
    <t>Miami Heat</t>
  </si>
  <si>
    <t>Denver Nuggets</t>
  </si>
  <si>
    <t>Charlotte Hornets</t>
  </si>
  <si>
    <t>Chicago Bulls</t>
  </si>
  <si>
    <t>Portland Trail Blazers</t>
  </si>
  <si>
    <t>Milwaukee Bucks</t>
  </si>
  <si>
    <t>Indiana Pacers</t>
  </si>
  <si>
    <t>Minnesota Timberwolves</t>
  </si>
  <si>
    <t>Atlanta Hawks</t>
  </si>
  <si>
    <t>Detroit Pistons</t>
  </si>
  <si>
    <t>New Orleans Pelicans</t>
  </si>
  <si>
    <t>Dallas Mavericks</t>
  </si>
  <si>
    <t>Sacramento Kings</t>
  </si>
  <si>
    <t>New York Knicks</t>
  </si>
  <si>
    <t>Phoenix Suns</t>
  </si>
  <si>
    <t>Philadelphia 76ers</t>
  </si>
  <si>
    <t>Los Angeles Lakers</t>
  </si>
  <si>
    <t>Brooklyn Nets</t>
  </si>
  <si>
    <t>Orlando Magic</t>
  </si>
  <si>
    <t>Stdev</t>
  </si>
  <si>
    <t>SRS</t>
  </si>
  <si>
    <t>Equiv Eff Dif</t>
  </si>
  <si>
    <t>ORTg</t>
  </si>
  <si>
    <t>Teams</t>
  </si>
  <si>
    <t>ORank</t>
  </si>
  <si>
    <t>DRank</t>
  </si>
  <si>
    <t>O%</t>
  </si>
  <si>
    <t>D%</t>
  </si>
  <si>
    <t>Team Metadata:</t>
  </si>
  <si>
    <t>via Sports Logos.net</t>
  </si>
  <si>
    <t>About logos</t>
  </si>
  <si>
    <t>Record:</t>
  </si>
  <si>
    <t xml:space="preserve"> 51-31, Finished 2nd in </t>
  </si>
  <si>
    <t>NBA</t>
  </si>
  <si>
    <t xml:space="preserve"> Eastern Conference</t>
  </si>
  <si>
    <t>Coach:</t>
  </si>
  <si>
    <t>Tyronn Lue</t>
  </si>
  <si>
    <t xml:space="preserve"> (51-31)</t>
  </si>
  <si>
    <t>Executive:</t>
  </si>
  <si>
    <t>David Griffin</t>
  </si>
  <si>
    <t>PTS/G:</t>
  </si>
  <si>
    <t xml:space="preserve"> 110.3 (4th of 30) </t>
  </si>
  <si>
    <t>Opp PTS/G:</t>
  </si>
  <si>
    <t xml:space="preserve"> 107.2 (20th of 30)</t>
  </si>
  <si>
    <t xml:space="preserve">: 2.87 (7th of 30) </t>
  </si>
  <si>
    <t>: 96.2 (15th of 30)</t>
  </si>
  <si>
    <t>Off Rtg</t>
  </si>
  <si>
    <t xml:space="preserve">: 113.6 (3rd of 30) </t>
  </si>
  <si>
    <t>Def Rtg</t>
  </si>
  <si>
    <t>: 110.3 (21st of 30)</t>
  </si>
  <si>
    <t>Expected W-L</t>
  </si>
  <si>
    <t>: 49-33 (7th of 30)</t>
  </si>
  <si>
    <t>Preseason Odds:</t>
  </si>
  <si>
    <t>Championship +385</t>
  </si>
  <si>
    <t xml:space="preserve">, </t>
  </si>
  <si>
    <t>Over-Under 56.5</t>
  </si>
  <si>
    <t>Arena:</t>
  </si>
  <si>
    <t xml:space="preserve"> Quicken Loans Arena </t>
  </si>
  <si>
    <t>Attendance:</t>
  </si>
  <si>
    <t xml:space="preserve"> 843,042 (2nd of 30)</t>
  </si>
  <si>
    <t>NBA 2017 Playoffs:</t>
  </si>
  <si>
    <t xml:space="preserve">Won NBA Eastern Conference First Round (4-0) versus </t>
  </si>
  <si>
    <t xml:space="preserve">  (</t>
  </si>
  <si>
    <t>Series Stats</t>
  </si>
  <si>
    <t>)</t>
  </si>
  <si>
    <t xml:space="preserve">Won NBA Eastern Conference Semifinals (4-0) versus </t>
  </si>
  <si>
    <t xml:space="preserve">Won NBA Eastern Conference Finals (4-1) versus </t>
  </si>
  <si>
    <t xml:space="preserve">Lost NBA Finals (1-4) versus </t>
  </si>
  <si>
    <t xml:space="preserve"> Totals Table 
Rk   Age G GS MP FG FGA FG% 3P 3PA 3P% 2P 2PA 2P% eFG% FT FTA FT% ORB DRB 
TRB AST STL BLK TOV PF PTS 
1 LeBron James 32 74 74 2794 736 1344 .548 124 342 .363 612 1002 .611 .594 
358 531 .674 97 542 639 646 92 44 303 134 1954 
2 Kyrie Irving 24 72 72 2525 671 1420 .473 177 441 .401 494 979 .505 .535 
297 328 .905 52 178 230 418 83 24 180 157 1816 
3 Tristan Thompson 25 78 78 2336 262 437 .600 0 3 .000 262 434 .604 .600 106 
213 .498 286 429 715 77 39 84 64 176 630 
4 Iman Shumpert 26 76 31 1937 201 489 .411 94 261 .360 107 228 .469 .507 71 
90 .789 39 179 218 109 62 27 78 150 567 
5 Kevin Love 28 60 60 1885 370 867 .427 145 389 .373 225 478 .471 .510 257 
295 .871 148 518 666 116 53 21 122 125 1142 
6 Richard Jefferson 36 79 13 1614 153 343 .446 62 186 .333 91 157 .580 .536 
80 108 .741 28 175 203 78 26 10 52 153 448 
7 Channing Frye 33 74 15 1398 238 520 .458 137 335 .409 101 185 .546 .589 63 
74 .851 37 253 290 45 33 37 53 138 676 
8 J.R. Smith 31 41 35 1187 123 356 .346 95 271 .351 28 85 .329 .479 10 15 
.667 17 96 113 62 40 11 26 77 351 
9 Kyle Korver 35 35 1 859 131 269 .487 97 200 .485 34 69 .493 .667 14 15 
.933 7 90 97 35 11 8 29 60 373 
10 DeAndre Liggins 28 61 19 752 52 136 .382 17 45 .378 35 91 .385 .445 23 37 
.622 17 84 101 54 45 14 42 78 144 
11 Deron Williams 32 24 4 486 68 147 .463 22 53 .415 46 94 .489 .537 21 25 
.840 1 44 45 86 6 6 40 42 179 
12 Derrick Williams 25 25 0 427 54 107 .505 21 52 .404 33 55 .600 .603 27 39 
.692 3 54 57 14 5 2 14 27 156 
13 Kay Felder 21 42 0 386 62 158 .392 7 22 .318 55 136 .404 .415 35 49 .714 
3 38 41 58 18 7 30 38 166 
14 Jordan McRae 25 37 4 384 58 150 .387 18 51 .353 40 99 .404 .447 27 34 
.794 6 35 41 19 8 6 14 31 161 
15 James Jones 36 48 2 381 44 92 .478 31 66 .470 13 26 .500 .647 13 20 .650 
3 34 37 14 6 10 10 37 132 
16 Mike Dunleavy 36 23 2 366 36 90 .400 20 57 .351 16 33 .485 .511 14 19 
.737 5 42 47 20 6 2 14 32 106 
17 Chris Andersen 38 12 0 114 9 22 .409 0 3 .000 9 19 .474 .409 10 14 .714 9 
22 31 5 5 7 5 20 28 
18 Edy Tavares 24 1 0 24 3 4 .750 0 0 3 4 .750 .750 0 1 .000 4 6 10 1 0 6 2 
3 6 
19 Larry Sanders 28 5 0 13 1 4 .250 0 0 1 4 .250 .250 2 2 1.000 3 1 4 0 1 1 
2 5 4 
20 Dahntay Jones 36 1 0 12 3 8 .375 0 2 .000 3 6 .500 .375 3 4 .750 1 1 2 1 
0 0 1 1 9 
21 Andrew Bogut 32 1 0 1 0 0 0 0 0 0 0 0 0 0 0 0 0 0 0 2 0 
Team Totals 82 19880 3275 6963 .470 1067 2779 .384 2208 4184 .528 .547 1431 
1913 .748 766 2821 3587 1858 539 327 1121 1486 9048 
</t>
  </si>
  <si>
    <t>GSW</t>
  </si>
  <si>
    <t>Offensive Roles:</t>
  </si>
  <si>
    <t>Klay Thompson</t>
  </si>
  <si>
    <t>Stephen Curry</t>
  </si>
  <si>
    <t>Draymond Green</t>
  </si>
  <si>
    <t>Kevin Durant</t>
  </si>
  <si>
    <t>Andre Iguodala</t>
  </si>
  <si>
    <t>Shaun Livingston</t>
  </si>
  <si>
    <t>Zaza Pachulia</t>
  </si>
  <si>
    <t>Ian Clark</t>
  </si>
  <si>
    <t>Patrick McCaw</t>
  </si>
  <si>
    <t>David West</t>
  </si>
  <si>
    <t>JaVale McGee</t>
  </si>
  <si>
    <t>James Michael McAdoo</t>
  </si>
  <si>
    <t>Kevon Looney</t>
  </si>
  <si>
    <t>Matt Barnes</t>
  </si>
  <si>
    <t>Anderson Varejão</t>
  </si>
  <si>
    <t>Damian Jones</t>
  </si>
  <si>
    <t>Briante Weber</t>
  </si>
  <si>
    <t>Belmont</t>
  </si>
  <si>
    <t>Davidson</t>
  </si>
  <si>
    <t>Michigan State</t>
  </si>
  <si>
    <t>Vanderbilt</t>
  </si>
  <si>
    <t>UNC</t>
  </si>
  <si>
    <t>UNLV</t>
  </si>
  <si>
    <t>Nevada</t>
  </si>
  <si>
    <t>ge</t>
  </si>
  <si>
    <t>Washington State</t>
  </si>
  <si>
    <t>br</t>
  </si>
  <si>
    <t>Xavier</t>
  </si>
  <si>
    <t>11.35</t>
  </si>
  <si>
    <t>115.6</t>
  </si>
  <si>
    <t>104.0</t>
  </si>
  <si>
    <t>1s</t>
  </si>
  <si>
    <t>2n</t>
  </si>
  <si>
    <t xml:space="preserve"> 67-15, Finished 1st in </t>
  </si>
  <si>
    <t xml:space="preserve"> Western Conference</t>
  </si>
  <si>
    <t>Steve Kerr</t>
  </si>
  <si>
    <t xml:space="preserve"> (67-15)</t>
  </si>
  <si>
    <t>Bob Myers</t>
  </si>
  <si>
    <t xml:space="preserve"> 115.9 (1st of 30) </t>
  </si>
  <si>
    <t xml:space="preserve"> 104.3 (11th of 30)</t>
  </si>
  <si>
    <t xml:space="preserve">: 11.35 (1st of 30) </t>
  </si>
  <si>
    <t>: 99.8 (4th of 30)</t>
  </si>
  <si>
    <t xml:space="preserve">: 115.6 (1st of 30) </t>
  </si>
  <si>
    <t>: 104.0 (2nd of 30)</t>
  </si>
  <si>
    <t>: 67-15 (1st of 30)</t>
  </si>
  <si>
    <t>Championship -128</t>
  </si>
  <si>
    <t>Over-Under 66.5</t>
  </si>
  <si>
    <t xml:space="preserve"> Oracle Arena </t>
  </si>
  <si>
    <t xml:space="preserve"> 803,436 (8th of 30)</t>
  </si>
  <si>
    <t xml:space="preserve">Won NBA Western Conference First Round (4-0) versus </t>
  </si>
  <si>
    <t xml:space="preserve">Won NBA Western Conference Semifinals (4-0) versus </t>
  </si>
  <si>
    <t xml:space="preserve">Won NBA Western Conference Finals (4-0) versus </t>
  </si>
  <si>
    <t xml:space="preserve">Won NBA Finals (4-1) versus </t>
  </si>
  <si>
    <t xml:space="preserve"> Totals Table 
Rk   Age G GS MP FG FGA FG% 3P 3PA 3P% 2P 2PA 2P% eFG% FT FTA FT% ORB DRB 
TRB AST STL BLK TOV PF PTS 
1 Klay Thompson 26 78 78 2649 644 1376 .468 268 647 .414 376 729 .516 .565 
186 218 .853 49 236 285 160 66 40 128 139 1742 
2 Stephen Curry 28 79 79 2638 675 1443 .468 324 789 .411 351 654 .537 .580 
325 362 .898 61 292 353 524 142 17 239 183 1999 
3 Draymond Green 26 76 76 2471 272 650 .418 81 263 .308 191 387 .494 .481 
151 213 .709 98 501 599 533 154 106 184 217 776 
4 Kevin Durant 28 62 62 2070 551 1026 .537 117 312 .375 434 714 .608 .594 
336 384 .875 39 474 513 300 66 99 138 117 1555 
5 Andre Iguodala 33 76 0 1998 219 415 .528 64 177 .362 155 238 .651 .605 72 
102 .706 51 253 304 261 76 39 58 97 574 
6 Shaun Livingston 31 76 3 1345 173 316 .547 1 3 .333 172 313 .550 .549 42 
60 .700 28 123 151 139 38 20 62 120 389 
7 Zaza Pachulia 32 70 70 1268 164 307 .534 0 2 .000 164 305 .538 .534 98 126 
.778 140 270 410 132 59 33 87 166 426 
8 Ian Clark 25 77 0 1137 211 433 .487 61 163 .374 150 270 .556 .558 44 58 
.759 22 99 121 90 39 8 55 77 527 
9 Patrick McCaw 21 71 20 1074 106 245 .433 41 123 .333 65 122 .533 .516 29 
37 .784 21 79 100 77 32 15 36 62 282 
10 David West 36 68 0 854 135 252 .536 3 8 .375 132 244 .541 .542 43 56 .768 
47 156 203 151 42 48 78 105 316 
11 JaVale McGee 29 77 10 739 208 319 .652 0 3 .000 208 316 .658 .652 56 111 
.505 100 144 244 17 19 67 40 109 472 
12 James Michael McAdoo 24 52 2 457 62 117 .530 2 8 .250 60 109 .550 .538 21 
42 .500 34 57 91 18 18 29 19 47 147 
13 Kevon Looney 20 53 4 447 56 107 .523 2 9 .222 54 98 .551 .533 21 34 .618 
44 80 124 29 15 17 17 64 135 
14 Matt Barnes 36 20 5 410 38 90 .422 18 52 .346 20 38 .526 .522 20 23 .870 
15 76 91 45 12 9 24 47 114 
15 Anderson Varejão 34 14 1 92 5 14 .357 0 0 5 14 .357 .357 8 11 .727 12 15 
27 10 3 3 8 16 18 
16 Damian Jones 21 10 0 85 8 16 .500 0 0 8 16 .500 .500 3 10 .300 9 14 23 0 
1 4 6 15 19 
17 Briante Weber 24 7 0 46 5 14 .357 0 3 .000 5 11 .455 .357 2 3 .667 0 4 4 
5 3 1 3 4 12 
Team Totals 82 19780 3532 7140 .495 982 2562 .383 2550 4578 .557 .563 1457 
1850 .788 770 2873 3643 2491 785 555 1211 1585 9503 
</t>
  </si>
  <si>
    <t>Box Plus/Minus 2.0 Single Game Calculator</t>
  </si>
  <si>
    <t>https://www.basketball-reference.com/boxscores/201612250CLE.html</t>
  </si>
  <si>
    <t>Four Factors:</t>
  </si>
  <si>
    <t>Four Factors</t>
  </si>
  <si>
    <t>Season</t>
  </si>
  <si>
    <t>Avg.</t>
  </si>
  <si>
    <t>Lead</t>
  </si>
  <si>
    <t>Adj.</t>
  </si>
  <si>
    <t>Game:</t>
  </si>
  <si>
    <t>TOV%</t>
  </si>
  <si>
    <t>ORB%</t>
  </si>
  <si>
    <t>FT/FGA</t>
  </si>
  <si>
    <t>Total</t>
  </si>
  <si>
    <t>Bonus</t>
  </si>
  <si>
    <t>Offense:</t>
  </si>
  <si>
    <t>Defense:</t>
  </si>
  <si>
    <t>Team Strength:</t>
  </si>
  <si>
    <t>Sum:</t>
  </si>
  <si>
    <t>Tm Adj:</t>
  </si>
  <si>
    <t xml:space="preserve">Game Pace = </t>
  </si>
  <si>
    <t>Basic Box Score Stats</t>
  </si>
  <si>
    <t>O Rating:</t>
  </si>
  <si>
    <t>Score:</t>
  </si>
  <si>
    <t>Starters</t>
  </si>
  <si>
    <t>+/-</t>
  </si>
  <si>
    <t>Min</t>
  </si>
  <si>
    <t>Player?</t>
  </si>
  <si>
    <t>%Min</t>
  </si>
  <si>
    <t>Season ReBPM</t>
  </si>
  <si>
    <t>Season ReOBPM</t>
  </si>
  <si>
    <t>Season ReDBPM</t>
  </si>
  <si>
    <t>O Contrib</t>
  </si>
  <si>
    <t>D Contrib</t>
  </si>
  <si>
    <t>Point Margin</t>
  </si>
  <si>
    <t>Game</t>
  </si>
  <si>
    <t>+/-/10</t>
  </si>
  <si>
    <t>+1</t>
  </si>
  <si>
    <t>+2</t>
  </si>
  <si>
    <t>Reserves</t>
  </si>
  <si>
    <t>Did Not Play</t>
  </si>
  <si>
    <t>Team Totals</t>
  </si>
  <si>
    <t>+5</t>
  </si>
  <si>
    <t>+4</t>
  </si>
  <si>
    <t>+12</t>
  </si>
  <si>
    <t>+6</t>
  </si>
  <si>
    <t>Did Not Dress</t>
  </si>
  <si>
    <t xml:space="preserve"> Four Factors Table 
Four Factors 
  Pace eFG% TOV% ORB% FT/FGA ORtg 
GSW 100.1 .539 17.5 16.1 .325 107.9 
CLE 100.1 .453 9.9 32.7 .242 108.9 
</t>
  </si>
  <si>
    <t>Off</t>
  </si>
  <si>
    <t>Def</t>
  </si>
  <si>
    <t>Playoff Sum:</t>
  </si>
  <si>
    <t>&lt;-Use these for establishing other teams' SoS in the playoffs</t>
  </si>
  <si>
    <t>If none present, use -4 for BPM and OBPM</t>
  </si>
  <si>
    <t>For reference:</t>
  </si>
  <si>
    <t>Playoff Totals table from BBRef:</t>
  </si>
  <si>
    <t>Season Level Positions:</t>
  </si>
  <si>
    <t>Season Level ReBPMs</t>
  </si>
  <si>
    <t>Regular Season:</t>
  </si>
  <si>
    <t>Delta</t>
  </si>
  <si>
    <t>Instead of calculating each team's playoff lineups, just using an estimate for illustration:</t>
  </si>
  <si>
    <t>Playoff Lineup BPM Sums</t>
  </si>
  <si>
    <t>Playoff Ratings (Calculated Below)</t>
  </si>
  <si>
    <t>Calculating the Team's actual playoff Rating:</t>
  </si>
  <si>
    <t>Opponents</t>
  </si>
  <si>
    <t>Playoff Miscellaneous Stats</t>
  </si>
  <si>
    <t>Weighted Opponent Average</t>
  </si>
  <si>
    <t>Raw Playoff Rating</t>
  </si>
  <si>
    <t>O/D Balanced Playoff Rating</t>
  </si>
  <si>
    <t>Offense Four Factors</t>
  </si>
  <si>
    <t>Defense Four Factors</t>
  </si>
  <si>
    <t>Playoff</t>
  </si>
  <si>
    <t>BPM RS Rating</t>
  </si>
  <si>
    <t>R1</t>
  </si>
  <si>
    <t>Semis</t>
  </si>
  <si>
    <t>Conf Finals</t>
  </si>
  <si>
    <t>Finals</t>
  </si>
  <si>
    <t>PW</t>
  </si>
  <si>
    <t>PL</t>
  </si>
  <si>
    <t>FTr</t>
  </si>
  <si>
    <t>3PAr</t>
  </si>
  <si>
    <t>DRB%</t>
  </si>
  <si>
    <t>Rating</t>
  </si>
  <si>
    <t>Tot</t>
  </si>
  <si>
    <t>Opp</t>
  </si>
  <si>
    <t>OppO</t>
  </si>
  <si>
    <t>OppD</t>
  </si>
  <si>
    <t>OppTotal</t>
  </si>
  <si>
    <t>League Average</t>
  </si>
  <si>
    <t>Weighted Playoff Average:</t>
  </si>
  <si>
    <t>Weighted Raw Playoff Average:</t>
  </si>
  <si>
    <t>From Ben Taylor:</t>
  </si>
  <si>
    <t>Yr</t>
  </si>
  <si>
    <t>ID</t>
  </si>
  <si>
    <t>1951-52</t>
  </si>
  <si>
    <t>BLB</t>
  </si>
  <si>
    <t>BOS</t>
  </si>
  <si>
    <t>FTW</t>
  </si>
  <si>
    <t>INO</t>
  </si>
  <si>
    <t>MLH</t>
  </si>
  <si>
    <t>MNL</t>
  </si>
  <si>
    <t>NYK</t>
  </si>
  <si>
    <t>PHW</t>
  </si>
  <si>
    <t>ROC</t>
  </si>
  <si>
    <t>SYR</t>
  </si>
  <si>
    <t>1952-53</t>
  </si>
  <si>
    <t>1953-54</t>
  </si>
  <si>
    <t>1954-55</t>
  </si>
  <si>
    <t>1955-56</t>
  </si>
  <si>
    <t>1956-57</t>
  </si>
  <si>
    <t>1957-58</t>
  </si>
  <si>
    <t>CIN</t>
  </si>
  <si>
    <t>DET</t>
  </si>
  <si>
    <t>1958-59</t>
  </si>
  <si>
    <t>1959-60</t>
  </si>
  <si>
    <t>1960-61</t>
  </si>
  <si>
    <t>LAL</t>
  </si>
  <si>
    <t>1961-62</t>
  </si>
  <si>
    <t>CHP</t>
  </si>
  <si>
    <t>1962-63</t>
  </si>
  <si>
    <t>CHZ</t>
  </si>
  <si>
    <t>SFW</t>
  </si>
  <si>
    <t>1963-64</t>
  </si>
  <si>
    <t>BAL</t>
  </si>
  <si>
    <t>PHI</t>
  </si>
  <si>
    <t>1964-65</t>
  </si>
  <si>
    <t>1965-66</t>
  </si>
  <si>
    <t>1966-67</t>
  </si>
  <si>
    <t>CHI</t>
  </si>
  <si>
    <t>1967-68</t>
  </si>
  <si>
    <t>SDR</t>
  </si>
  <si>
    <t>SEA</t>
  </si>
  <si>
    <t>1968-69</t>
  </si>
  <si>
    <t>ATL</t>
  </si>
  <si>
    <t>MIL</t>
  </si>
  <si>
    <t>PHO</t>
  </si>
  <si>
    <t>1969-70</t>
  </si>
  <si>
    <t>1970-71</t>
  </si>
  <si>
    <t>BUF</t>
  </si>
  <si>
    <t>POR</t>
  </si>
  <si>
    <t>1971-72</t>
  </si>
  <si>
    <t>HOU</t>
  </si>
  <si>
    <t>1972-73</t>
  </si>
  <si>
    <t>KCO</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</si>
</sst>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0.0"/>
    <numFmt numFmtId="165" formatCode="#,##0.000"/>
    <numFmt numFmtId="166" formatCode="0.000"/>
    <numFmt numFmtId="167" formatCode="0.0%"/>
    <numFmt numFmtId="168" formatCode="#,##0.0"/>
    <numFmt numFmtId="169" formatCode="m-d"/>
    <numFmt numFmtId="170" formatCode="mmmm d, yyyy"/>
  </numFmts>
  <fonts count="19">
    <font>
      <sz val="10.0"/>
      <color rgb="FF000000"/>
      <name val="Arial"/>
    </font>
    <font>
      <sz val="10.0"/>
      <color theme="1"/>
      <name val="Arial"/>
    </font>
    <font>
      <b/>
      <sz val="10.0"/>
      <color theme="1"/>
      <name val="Arial"/>
    </font>
    <font>
      <color theme="1"/>
      <name val="Arial"/>
    </font>
    <font>
      <b/>
      <sz val="12.0"/>
      <color theme="1"/>
      <name val="Arial"/>
    </font>
    <font>
      <i/>
      <color theme="1"/>
      <name val="Arial"/>
    </font>
    <font>
      <b/>
      <sz val="11.0"/>
      <color rgb="FF000000"/>
      <name val="Calibri"/>
    </font>
    <font>
      <b/>
      <sz val="10.0"/>
      <color rgb="FF000000"/>
      <name val="Arial"/>
    </font>
    <font/>
    <font>
      <b/>
      <sz val="11.0"/>
      <color rgb="FF000000"/>
      <name val="Arial"/>
    </font>
    <font>
      <b/>
      <color theme="1"/>
      <name val="Arial"/>
    </font>
    <font>
      <sz val="11.0"/>
      <color rgb="FF000000"/>
      <name val="Calibri"/>
    </font>
    <font>
      <sz val="11.0"/>
      <color rgb="FF000000"/>
      <name val="Arial"/>
    </font>
    <font>
      <u/>
      <color rgb="FF0000FF"/>
    </font>
    <font>
      <b/>
      <sz val="11.0"/>
      <color theme="1"/>
      <name val="Arial"/>
    </font>
    <font>
      <sz val="11.0"/>
      <color theme="1"/>
      <name val="Arial"/>
    </font>
    <font>
      <u/>
      <color rgb="FF0000FF"/>
    </font>
    <font>
      <color rgb="FFCCCCCC"/>
      <name val="Arial"/>
    </font>
    <font>
      <u/>
      <color rgb="FF0000FF"/>
    </font>
  </fonts>
  <fills count="12">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CCCCCC"/>
        <bgColor rgb="FFCCCCCC"/>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FFF2CC"/>
        <bgColor rgb="FFFFF2CC"/>
      </patternFill>
    </fill>
    <fill>
      <patternFill patternType="solid">
        <fgColor rgb="FFF9CB9C"/>
        <bgColor rgb="FFF9CB9C"/>
      </patternFill>
    </fill>
  </fills>
  <borders count="2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left style="thin">
        <color rgb="FFFFFFFF"/>
      </left>
      <right style="thin">
        <color rgb="FFFFFFFF"/>
      </right>
      <top style="thin">
        <color rgb="FF000000"/>
      </top>
      <bottom style="thin">
        <color rgb="FFFFFFFF"/>
      </bottom>
    </border>
    <border>
      <left style="thin">
        <color rgb="FFFFFFFF"/>
      </left>
      <right style="thin">
        <color rgb="FF000000"/>
      </right>
      <top style="thin">
        <color rgb="FF000000"/>
      </top>
      <bottom style="thin">
        <color rgb="FFFFFFFF"/>
      </bottom>
    </border>
    <border>
      <left style="thin">
        <color rgb="FF000000"/>
      </left>
      <right style="thin">
        <color rgb="FFFFFFFF"/>
      </right>
      <top style="thin">
        <color rgb="FFFFFFFF"/>
      </top>
      <bottom style="thin">
        <color rgb="FF000000"/>
      </bottom>
    </border>
    <border>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bottom style="thin">
        <color rgb="FF000000"/>
      </bottom>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Alignment="1" applyFont="1">
      <alignment readingOrder="0"/>
    </xf>
    <xf borderId="0" fillId="0" fontId="3" numFmtId="164" xfId="0" applyFont="1" applyNumberFormat="1"/>
    <xf borderId="0" fillId="0" fontId="3" numFmtId="0" xfId="0" applyAlignment="1" applyFont="1">
      <alignment horizontal="center"/>
    </xf>
    <xf borderId="0" fillId="0" fontId="3" numFmtId="0" xfId="0" applyAlignment="1" applyFont="1">
      <alignment shrinkToFit="0" wrapText="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horizontal="right" readingOrder="0" shrinkToFit="0" vertical="bottom" wrapText="0"/>
    </xf>
    <xf borderId="1" fillId="0" fontId="6" numFmtId="0" xfId="0" applyAlignment="1" applyBorder="1" applyFont="1">
      <alignment readingOrder="0" shrinkToFit="0" vertical="bottom" wrapText="0"/>
    </xf>
    <xf borderId="0" fillId="0" fontId="7" numFmtId="0" xfId="0" applyAlignment="1" applyFont="1">
      <alignment horizontal="left" readingOrder="0" shrinkToFit="0" wrapText="0"/>
    </xf>
    <xf borderId="1" fillId="0" fontId="7" numFmtId="0" xfId="0" applyAlignment="1" applyBorder="1" applyFont="1">
      <alignment horizontal="left" readingOrder="0" shrinkToFit="0" wrapText="0"/>
    </xf>
    <xf borderId="1" fillId="2" fontId="7" numFmtId="0" xfId="0" applyAlignment="1" applyBorder="1" applyFill="1" applyFont="1">
      <alignment horizontal="left" readingOrder="0" shrinkToFit="0" wrapText="0"/>
    </xf>
    <xf borderId="1" fillId="0" fontId="1" numFmtId="0" xfId="0" applyAlignment="1" applyBorder="1" applyFont="1">
      <alignment horizontal="left" shrinkToFit="0" vertical="top" wrapText="0"/>
    </xf>
    <xf borderId="2" fillId="0" fontId="7" numFmtId="0" xfId="0" applyAlignment="1" applyBorder="1" applyFont="1">
      <alignment horizontal="center" readingOrder="0" shrinkToFit="0" wrapText="0"/>
    </xf>
    <xf borderId="3" fillId="0" fontId="8" numFmtId="0" xfId="0" applyBorder="1" applyFont="1"/>
    <xf borderId="4" fillId="0" fontId="8" numFmtId="0" xfId="0" applyBorder="1" applyFont="1"/>
    <xf borderId="0" fillId="2" fontId="3" numFmtId="0" xfId="0" applyFont="1"/>
    <xf borderId="0" fillId="0" fontId="9" numFmtId="0" xfId="0" applyAlignment="1" applyFont="1">
      <alignment horizontal="left" readingOrder="0" shrinkToFit="0" wrapText="0"/>
    </xf>
    <xf borderId="0" fillId="0" fontId="9" numFmtId="164" xfId="0" applyAlignment="1" applyFont="1" applyNumberFormat="1">
      <alignment horizontal="left" readingOrder="0" shrinkToFit="0" wrapText="0"/>
    </xf>
    <xf borderId="0" fillId="0" fontId="9" numFmtId="0" xfId="0" applyAlignment="1" applyFont="1">
      <alignment horizontal="center" readingOrder="0" shrinkToFit="0" wrapText="0"/>
    </xf>
    <xf borderId="1" fillId="3" fontId="10" numFmtId="0" xfId="0" applyAlignment="1" applyBorder="1" applyFill="1" applyFont="1">
      <alignment readingOrder="0" shrinkToFit="0" wrapText="0"/>
    </xf>
    <xf borderId="0" fillId="0" fontId="3" numFmtId="0" xfId="0" applyAlignment="1" applyFont="1">
      <alignment horizontal="right" shrinkToFit="0" wrapText="0"/>
    </xf>
    <xf borderId="1" fillId="0" fontId="11" numFmtId="165" xfId="0" applyAlignment="1" applyBorder="1" applyFont="1" applyNumberFormat="1">
      <alignment horizontal="right" readingOrder="0" shrinkToFit="0" vertical="bottom" wrapText="0"/>
    </xf>
    <xf borderId="1" fillId="0" fontId="11" numFmtId="3" xfId="0" applyAlignment="1" applyBorder="1" applyFont="1" applyNumberFormat="1">
      <alignment horizontal="right" readingOrder="0" shrinkToFit="0" vertical="bottom" wrapText="0"/>
    </xf>
    <xf borderId="0" fillId="0" fontId="7" numFmtId="0" xfId="0" applyAlignment="1" applyFont="1">
      <alignment horizontal="center" readingOrder="0" shrinkToFit="0" wrapText="0"/>
    </xf>
    <xf borderId="1" fillId="0" fontId="7" numFmtId="0" xfId="0" applyAlignment="1" applyBorder="1" applyFont="1">
      <alignment horizontal="center" readingOrder="0" shrinkToFit="0" wrapText="0"/>
    </xf>
    <xf borderId="1" fillId="0" fontId="0" numFmtId="165" xfId="0" applyAlignment="1" applyBorder="1" applyFont="1" applyNumberFormat="1">
      <alignment horizontal="center" readingOrder="0" shrinkToFit="0" wrapText="0"/>
    </xf>
    <xf borderId="1" fillId="4" fontId="0" numFmtId="165" xfId="0" applyAlignment="1" applyBorder="1" applyFill="1" applyFont="1" applyNumberFormat="1">
      <alignment horizontal="center" readingOrder="0" shrinkToFit="0" wrapText="0"/>
    </xf>
    <xf borderId="1" fillId="0" fontId="1" numFmtId="0" xfId="0" applyAlignment="1" applyBorder="1" applyFont="1">
      <alignment horizontal="left" shrinkToFit="0" vertical="top" wrapText="0"/>
    </xf>
    <xf borderId="0" fillId="0" fontId="12" numFmtId="0" xfId="0" applyAlignment="1" applyFont="1">
      <alignment horizontal="center" readingOrder="0" shrinkToFit="0" wrapText="0"/>
    </xf>
    <xf borderId="0" fillId="0" fontId="12" numFmtId="164" xfId="0" applyAlignment="1" applyFont="1" applyNumberFormat="1">
      <alignment horizontal="center" readingOrder="0" shrinkToFit="0" wrapText="0"/>
    </xf>
    <xf borderId="0" fillId="0" fontId="10" numFmtId="0" xfId="0" applyAlignment="1" applyFont="1">
      <alignment readingOrder="0" shrinkToFit="0" wrapText="0"/>
    </xf>
    <xf borderId="0" fillId="4" fontId="10" numFmtId="164" xfId="0" applyAlignment="1" applyFont="1" applyNumberFormat="1">
      <alignment readingOrder="0" shrinkToFit="0" wrapText="0"/>
    </xf>
    <xf borderId="0" fillId="0" fontId="3" numFmtId="0" xfId="0" applyAlignment="1" applyFont="1">
      <alignment horizontal="right" readingOrder="0" shrinkToFit="0" wrapText="0"/>
    </xf>
    <xf borderId="0" fillId="0" fontId="3" numFmtId="2" xfId="0" applyAlignment="1" applyFont="1" applyNumberFormat="1">
      <alignment shrinkToFit="0" wrapText="0"/>
    </xf>
    <xf borderId="0" fillId="0" fontId="3" numFmtId="1" xfId="0" applyAlignment="1" applyFont="1" applyNumberFormat="1">
      <alignment shrinkToFit="0" wrapText="0"/>
    </xf>
    <xf borderId="1" fillId="0" fontId="11" numFmtId="165" xfId="0" applyAlignment="1" applyBorder="1" applyFont="1" applyNumberFormat="1">
      <alignment shrinkToFit="0" vertical="bottom" wrapText="0"/>
    </xf>
    <xf borderId="0" fillId="0" fontId="11" numFmtId="165" xfId="0" applyAlignment="1" applyFont="1" applyNumberFormat="1">
      <alignment shrinkToFit="0" vertical="bottom" wrapText="0"/>
    </xf>
    <xf borderId="1" fillId="5" fontId="0" numFmtId="165" xfId="0" applyAlignment="1" applyBorder="1" applyFill="1" applyFont="1" applyNumberFormat="1">
      <alignment horizontal="center" readingOrder="0" shrinkToFit="0" wrapText="0"/>
    </xf>
    <xf borderId="1" fillId="0" fontId="7" numFmtId="0" xfId="0" applyAlignment="1" applyBorder="1" applyFont="1">
      <alignment horizontal="right" readingOrder="0" shrinkToFit="0" wrapText="0"/>
    </xf>
    <xf borderId="1" fillId="0" fontId="0" numFmtId="166" xfId="0" applyAlignment="1" applyBorder="1" applyFont="1" applyNumberFormat="1">
      <alignment horizontal="center" readingOrder="0" shrinkToFit="0" wrapText="0"/>
    </xf>
    <xf borderId="1" fillId="0" fontId="0" numFmtId="0" xfId="0" applyAlignment="1" applyBorder="1" applyFont="1">
      <alignment horizontal="center" readingOrder="0" shrinkToFit="0" wrapText="0"/>
    </xf>
    <xf borderId="1" fillId="2" fontId="0" numFmtId="0" xfId="0" applyAlignment="1" applyBorder="1" applyFont="1">
      <alignment horizontal="center" readingOrder="0" shrinkToFit="0" wrapText="0"/>
    </xf>
    <xf borderId="0" fillId="0" fontId="3" numFmtId="0" xfId="0" applyAlignment="1" applyFont="1">
      <alignment readingOrder="0" shrinkToFit="0" wrapText="0"/>
    </xf>
    <xf borderId="0" fillId="0" fontId="3" numFmtId="0" xfId="0" applyAlignment="1" applyFont="1">
      <alignment horizontal="left" shrinkToFit="0" vertical="bottom" wrapText="0"/>
    </xf>
    <xf borderId="0" fillId="0" fontId="1" numFmtId="0" xfId="0" applyAlignment="1" applyFont="1">
      <alignment horizontal="left" shrinkToFit="0" vertical="bottom" wrapText="0"/>
    </xf>
    <xf borderId="0" fillId="0" fontId="2" numFmtId="0" xfId="0" applyAlignment="1" applyFont="1">
      <alignment horizontal="left" readingOrder="0" shrinkToFit="0" vertical="bottom" wrapText="0"/>
    </xf>
    <xf borderId="0" fillId="0" fontId="1" numFmtId="165" xfId="0" applyAlignment="1" applyFont="1" applyNumberFormat="1">
      <alignment horizontal="left" shrinkToFit="0" vertical="bottom" wrapText="0"/>
    </xf>
    <xf borderId="0" fillId="2" fontId="3" numFmtId="0" xfId="0" applyAlignment="1" applyFont="1">
      <alignment horizontal="left" shrinkToFit="0" vertical="bottom" wrapText="0"/>
    </xf>
    <xf borderId="0" fillId="0" fontId="3" numFmtId="164" xfId="0" applyAlignment="1" applyFont="1" applyNumberFormat="1">
      <alignment horizontal="left" shrinkToFit="0" vertical="bottom" wrapText="0"/>
    </xf>
    <xf borderId="0" fillId="0" fontId="3" numFmtId="0" xfId="0" applyAlignment="1" applyFont="1">
      <alignment horizontal="center" shrinkToFit="0" vertical="bottom" wrapText="0"/>
    </xf>
    <xf borderId="0" fillId="4" fontId="10" numFmtId="164" xfId="0" applyAlignment="1" applyFont="1" applyNumberFormat="1">
      <alignment shrinkToFit="0" wrapText="0"/>
    </xf>
    <xf borderId="0" fillId="0" fontId="10" numFmtId="0" xfId="0" applyAlignment="1" applyFont="1">
      <alignment horizontal="right" readingOrder="0" shrinkToFit="0" wrapText="0"/>
    </xf>
    <xf borderId="0" fillId="0" fontId="10" numFmtId="164" xfId="0" applyAlignment="1" applyFont="1" applyNumberFormat="1">
      <alignment shrinkToFit="0" wrapText="0"/>
    </xf>
    <xf borderId="1" fillId="0" fontId="7" numFmtId="165" xfId="0" applyAlignment="1" applyBorder="1" applyFont="1" applyNumberFormat="1">
      <alignment horizontal="left" readingOrder="0" shrinkToFit="0" wrapText="0"/>
    </xf>
    <xf borderId="1" fillId="2" fontId="7" numFmtId="165" xfId="0" applyAlignment="1" applyBorder="1" applyFont="1" applyNumberFormat="1">
      <alignment horizontal="left" readingOrder="0" shrinkToFit="0" wrapText="0"/>
    </xf>
    <xf borderId="0" fillId="2" fontId="12" numFmtId="0" xfId="0" applyAlignment="1" applyFont="1">
      <alignment horizontal="center" readingOrder="0" shrinkToFit="0" wrapText="0"/>
    </xf>
    <xf borderId="0" fillId="4" fontId="10" numFmtId="0" xfId="0" applyAlignment="1" applyFont="1">
      <alignment readingOrder="0" shrinkToFit="0" wrapText="0"/>
    </xf>
    <xf borderId="0" fillId="0" fontId="0" numFmtId="0" xfId="0" applyAlignment="1" applyFont="1">
      <alignment horizontal="center" readingOrder="0" shrinkToFit="0" wrapText="0"/>
    </xf>
    <xf borderId="0" fillId="0" fontId="3" numFmtId="0" xfId="0" applyAlignment="1" applyFont="1">
      <alignment readingOrder="0"/>
    </xf>
    <xf borderId="0" fillId="4" fontId="3" numFmtId="2" xfId="0" applyAlignment="1" applyFont="1" applyNumberFormat="1">
      <alignment readingOrder="0" shrinkToFit="0" wrapText="0"/>
    </xf>
    <xf borderId="0" fillId="0" fontId="1" numFmtId="0" xfId="0" applyAlignment="1" applyFont="1">
      <alignment horizontal="center" shrinkToFit="0" vertical="bottom" wrapText="0"/>
    </xf>
    <xf borderId="1" fillId="6" fontId="0" numFmtId="165" xfId="0" applyAlignment="1" applyBorder="1" applyFill="1" applyFont="1" applyNumberFormat="1">
      <alignment horizontal="center" readingOrder="0" shrinkToFit="0" wrapText="0"/>
    </xf>
    <xf borderId="0" fillId="0" fontId="10" numFmtId="0" xfId="0" applyAlignment="1" applyFont="1">
      <alignment horizontal="left" readingOrder="0" shrinkToFit="0" vertical="bottom" wrapText="0"/>
    </xf>
    <xf borderId="0" fillId="0" fontId="13" numFmtId="0" xfId="0" applyAlignment="1" applyFont="1">
      <alignment shrinkToFit="0" wrapText="0"/>
    </xf>
    <xf borderId="0" fillId="0" fontId="1" numFmtId="0" xfId="0" applyAlignment="1" applyFont="1">
      <alignment readingOrder="0"/>
    </xf>
    <xf borderId="0" fillId="0" fontId="0" numFmtId="0" xfId="0" applyAlignment="1" applyFont="1">
      <alignment horizontal="left" readingOrder="0" shrinkToFit="0" wrapText="0"/>
    </xf>
    <xf borderId="0" fillId="0" fontId="10" numFmtId="164" xfId="0" applyFont="1" applyNumberFormat="1"/>
    <xf borderId="0" fillId="0" fontId="10" numFmtId="0" xfId="0" applyAlignment="1" applyFont="1">
      <alignment readingOrder="0"/>
    </xf>
    <xf borderId="0" fillId="0" fontId="14" numFmtId="0" xfId="0" applyFont="1"/>
    <xf borderId="0" fillId="0" fontId="15" numFmtId="0" xfId="0" applyFont="1"/>
    <xf borderId="5" fillId="0" fontId="4" numFmtId="0" xfId="0" applyBorder="1" applyFont="1"/>
    <xf borderId="6" fillId="0" fontId="14" numFmtId="0" xfId="0" applyBorder="1" applyFont="1"/>
    <xf borderId="7" fillId="0" fontId="14" numFmtId="0" xfId="0" applyBorder="1" applyFont="1"/>
    <xf borderId="7" fillId="0" fontId="3" numFmtId="0" xfId="0" applyBorder="1" applyFont="1"/>
    <xf borderId="7" fillId="0" fontId="3" numFmtId="164" xfId="0" applyBorder="1" applyFont="1" applyNumberFormat="1"/>
    <xf borderId="8" fillId="0" fontId="3" numFmtId="0" xfId="0" applyBorder="1" applyFont="1"/>
    <xf borderId="0" fillId="0" fontId="10" numFmtId="0" xfId="0" applyFont="1"/>
    <xf borderId="0" fillId="2" fontId="10" numFmtId="0" xfId="0" applyAlignment="1" applyFont="1">
      <alignment readingOrder="0"/>
    </xf>
    <xf borderId="0" fillId="2" fontId="10" numFmtId="0" xfId="0" applyFont="1"/>
    <xf borderId="0" fillId="2" fontId="10" numFmtId="0" xfId="0" applyAlignment="1" applyFont="1">
      <alignment horizontal="center"/>
    </xf>
    <xf borderId="0" fillId="2" fontId="2" numFmtId="0" xfId="0" applyAlignment="1" applyFont="1">
      <alignment readingOrder="0"/>
    </xf>
    <xf borderId="0" fillId="0" fontId="2" numFmtId="0" xfId="0" applyFont="1"/>
    <xf borderId="9" fillId="0" fontId="3" numFmtId="0" xfId="0" applyBorder="1" applyFont="1"/>
    <xf borderId="10" fillId="0" fontId="14" numFmtId="0" xfId="0" applyBorder="1" applyFont="1"/>
    <xf borderId="11" fillId="0" fontId="14" numFmtId="0" xfId="0" applyBorder="1" applyFont="1"/>
    <xf borderId="11" fillId="0" fontId="2" numFmtId="0" xfId="0" applyAlignment="1" applyBorder="1" applyFont="1">
      <alignment horizontal="right" readingOrder="0"/>
    </xf>
    <xf borderId="11" fillId="0" fontId="2" numFmtId="164" xfId="0" applyAlignment="1" applyBorder="1" applyFont="1" applyNumberFormat="1">
      <alignment horizontal="left"/>
    </xf>
    <xf borderId="12" fillId="0" fontId="2" numFmtId="164" xfId="0" applyAlignment="1" applyBorder="1" applyFont="1" applyNumberFormat="1">
      <alignment horizontal="left"/>
    </xf>
    <xf borderId="1" fillId="3" fontId="10" numFmtId="0" xfId="0" applyAlignment="1" applyBorder="1" applyFont="1">
      <alignment horizontal="center" readingOrder="0"/>
    </xf>
    <xf borderId="1" fillId="3" fontId="10" numFmtId="0" xfId="0" applyAlignment="1" applyBorder="1" applyFont="1">
      <alignment horizontal="center"/>
    </xf>
    <xf borderId="1" fillId="0" fontId="10" numFmtId="0" xfId="0" applyAlignment="1" applyBorder="1" applyFont="1">
      <alignment readingOrder="0"/>
    </xf>
    <xf borderId="1" fillId="2" fontId="10" numFmtId="0" xfId="0" applyAlignment="1" applyBorder="1" applyFont="1">
      <alignment readingOrder="0"/>
    </xf>
    <xf borderId="1" fillId="7" fontId="10" numFmtId="0" xfId="0" applyAlignment="1" applyBorder="1" applyFill="1" applyFont="1">
      <alignment readingOrder="0"/>
    </xf>
    <xf borderId="1" fillId="7" fontId="10" numFmtId="0" xfId="0" applyAlignment="1" applyBorder="1" applyFont="1">
      <alignment horizontal="center" readingOrder="0"/>
    </xf>
    <xf borderId="1" fillId="2" fontId="10" numFmtId="0" xfId="0" applyAlignment="1" applyBorder="1" applyFont="1">
      <alignment horizontal="center" readingOrder="0"/>
    </xf>
    <xf borderId="1" fillId="0" fontId="2" numFmtId="0" xfId="0" applyAlignment="1" applyBorder="1" applyFont="1">
      <alignment horizontal="center" readingOrder="0"/>
    </xf>
    <xf borderId="1" fillId="8" fontId="7" numFmtId="0" xfId="0" applyAlignment="1" applyBorder="1" applyFill="1" applyFont="1">
      <alignment horizontal="center" readingOrder="0" shrinkToFit="0" wrapText="0"/>
    </xf>
    <xf borderId="1" fillId="2" fontId="7" numFmtId="0" xfId="0" applyAlignment="1" applyBorder="1" applyFont="1">
      <alignment horizontal="center" readingOrder="0" shrinkToFit="0" wrapText="0"/>
    </xf>
    <xf borderId="1" fillId="8" fontId="2" numFmtId="0" xfId="0" applyAlignment="1" applyBorder="1" applyFont="1">
      <alignment horizontal="center" readingOrder="0"/>
    </xf>
    <xf borderId="1" fillId="8" fontId="7" numFmtId="0" xfId="0" applyAlignment="1" applyBorder="1" applyFont="1">
      <alignment horizontal="center" readingOrder="0" shrinkToFit="0" wrapText="1"/>
    </xf>
    <xf borderId="1" fillId="0" fontId="10" numFmtId="0" xfId="0" applyAlignment="1" applyBorder="1" applyFont="1">
      <alignment horizontal="center" readingOrder="0"/>
    </xf>
    <xf borderId="13" fillId="0" fontId="10" numFmtId="0" xfId="0" applyAlignment="1" applyBorder="1" applyFont="1">
      <alignment horizontal="center" readingOrder="0"/>
    </xf>
    <xf borderId="13" fillId="0" fontId="10" numFmtId="164" xfId="0" applyAlignment="1" applyBorder="1" applyFont="1" applyNumberFormat="1">
      <alignment horizontal="center" readingOrder="0"/>
    </xf>
    <xf borderId="13" fillId="9" fontId="10" numFmtId="0" xfId="0" applyAlignment="1" applyBorder="1" applyFill="1" applyFont="1">
      <alignment horizontal="center" readingOrder="0"/>
    </xf>
    <xf borderId="0" fillId="9" fontId="3" numFmtId="0" xfId="0" applyAlignment="1" applyFont="1">
      <alignment horizontal="center" readingOrder="0" shrinkToFit="0" vertical="bottom" wrapText="0"/>
    </xf>
    <xf borderId="0" fillId="3" fontId="10" numFmtId="0" xfId="0" applyAlignment="1" applyFont="1">
      <alignment horizontal="center" readingOrder="0"/>
    </xf>
    <xf borderId="0" fillId="3" fontId="3" numFmtId="0" xfId="0" applyAlignment="1" applyFont="1">
      <alignment readingOrder="0"/>
    </xf>
    <xf borderId="0" fillId="0" fontId="3" numFmtId="1" xfId="0" applyFont="1" applyNumberFormat="1"/>
    <xf borderId="0" fillId="0" fontId="3" numFmtId="2" xfId="0" applyFont="1" applyNumberFormat="1"/>
    <xf borderId="0" fillId="2" fontId="3" numFmtId="1" xfId="0" applyAlignment="1" applyFont="1" applyNumberFormat="1">
      <alignment horizontal="center"/>
    </xf>
    <xf borderId="0" fillId="7" fontId="3" numFmtId="164" xfId="0" applyFont="1" applyNumberFormat="1"/>
    <xf borderId="0" fillId="0" fontId="3" numFmtId="167" xfId="0" applyAlignment="1" applyFont="1" applyNumberFormat="1">
      <alignment horizontal="center" readingOrder="0"/>
    </xf>
    <xf borderId="0" fillId="2" fontId="3" numFmtId="167" xfId="0" applyAlignment="1" applyFont="1" applyNumberFormat="1">
      <alignment horizontal="center" readingOrder="0"/>
    </xf>
    <xf borderId="14" fillId="0" fontId="3" numFmtId="0" xfId="0" applyAlignment="1" applyBorder="1" applyFont="1">
      <alignment horizontal="center" readingOrder="0"/>
    </xf>
    <xf borderId="15" fillId="0" fontId="3" numFmtId="0" xfId="0" applyAlignment="1" applyBorder="1" applyFont="1">
      <alignment horizontal="center" readingOrder="0"/>
    </xf>
    <xf borderId="0" fillId="0" fontId="3" numFmtId="164" xfId="0" applyAlignment="1" applyFont="1" applyNumberFormat="1">
      <alignment horizontal="center" readingOrder="0"/>
    </xf>
    <xf borderId="0" fillId="7" fontId="3" numFmtId="2" xfId="0" applyAlignment="1" applyFont="1" applyNumberFormat="1">
      <alignment horizontal="center" readingOrder="0"/>
    </xf>
    <xf borderId="0" fillId="0" fontId="3" numFmtId="168" xfId="0" applyAlignment="1" applyFont="1" applyNumberFormat="1">
      <alignment horizontal="center" readingOrder="0"/>
    </xf>
    <xf borderId="0" fillId="8" fontId="3" numFmtId="166" xfId="0" applyAlignment="1" applyFont="1" applyNumberFormat="1">
      <alignment horizontal="center" readingOrder="0"/>
    </xf>
    <xf borderId="0" fillId="2" fontId="3" numFmtId="166" xfId="0" applyAlignment="1" applyFont="1" applyNumberFormat="1">
      <alignment horizontal="center" readingOrder="0"/>
    </xf>
    <xf borderId="0" fillId="2" fontId="3" numFmtId="164" xfId="0" applyAlignment="1" applyFont="1" applyNumberFormat="1">
      <alignment horizontal="center" readingOrder="0"/>
    </xf>
    <xf borderId="1" fillId="0" fontId="10" numFmtId="164" xfId="0" applyAlignment="1" applyBorder="1" applyFont="1" applyNumberFormat="1">
      <alignment horizontal="center" readingOrder="0"/>
    </xf>
    <xf borderId="0" fillId="0" fontId="3" numFmtId="0" xfId="0" applyAlignment="1" applyFont="1">
      <alignment horizontal="left" readingOrder="0"/>
    </xf>
    <xf borderId="1" fillId="0" fontId="3" numFmtId="0" xfId="0" applyAlignment="1" applyBorder="1" applyFont="1">
      <alignment horizontal="left" readingOrder="0"/>
    </xf>
    <xf borderId="1" fillId="0" fontId="3" numFmtId="164" xfId="0" applyAlignment="1" applyBorder="1" applyFont="1" applyNumberFormat="1">
      <alignment horizontal="center" readingOrder="0"/>
    </xf>
    <xf borderId="1" fillId="0" fontId="3" numFmtId="1" xfId="0" applyAlignment="1" applyBorder="1" applyFont="1" applyNumberFormat="1">
      <alignment horizontal="center" readingOrder="0"/>
    </xf>
    <xf borderId="1" fillId="0" fontId="3" numFmtId="2" xfId="0" applyAlignment="1" applyBorder="1" applyFont="1" applyNumberFormat="1">
      <alignment horizontal="center" readingOrder="0"/>
    </xf>
    <xf borderId="0" fillId="0" fontId="0" numFmtId="164" xfId="0" applyAlignment="1" applyFont="1" applyNumberFormat="1">
      <alignment horizontal="center" readingOrder="0" shrinkToFit="0" wrapText="0"/>
    </xf>
    <xf borderId="0" fillId="0" fontId="3" numFmtId="2" xfId="0" applyAlignment="1" applyFont="1" applyNumberFormat="1">
      <alignment horizontal="center" readingOrder="0"/>
    </xf>
    <xf borderId="0" fillId="3" fontId="3" numFmtId="0" xfId="0" applyFont="1"/>
    <xf borderId="0" fillId="2" fontId="3" numFmtId="0" xfId="0" applyAlignment="1" applyFont="1">
      <alignment horizontal="center" readingOrder="0"/>
    </xf>
    <xf borderId="0" fillId="3" fontId="3" numFmtId="0" xfId="0" applyFont="1"/>
    <xf borderId="0" fillId="2" fontId="3" numFmtId="1" xfId="0" applyFont="1" applyNumberFormat="1"/>
    <xf borderId="0" fillId="7" fontId="10" numFmtId="0" xfId="0" applyAlignment="1" applyFont="1">
      <alignment horizontal="center" readingOrder="0"/>
    </xf>
    <xf borderId="0" fillId="7" fontId="10" numFmtId="0" xfId="0" applyAlignment="1" applyFont="1">
      <alignment horizontal="center"/>
    </xf>
    <xf borderId="0" fillId="7" fontId="3" numFmtId="0" xfId="0" applyFont="1"/>
    <xf borderId="0" fillId="7" fontId="3" numFmtId="0" xfId="0" applyAlignment="1" applyFont="1">
      <alignment readingOrder="0"/>
    </xf>
    <xf borderId="0" fillId="7" fontId="3" numFmtId="169" xfId="0" applyAlignment="1" applyFont="1" applyNumberFormat="1">
      <alignment readingOrder="0"/>
    </xf>
    <xf borderId="0" fillId="7" fontId="3" numFmtId="170" xfId="0" applyAlignment="1" applyFont="1" applyNumberFormat="1">
      <alignment readingOrder="0"/>
    </xf>
    <xf borderId="0" fillId="7" fontId="3" numFmtId="0" xfId="0" applyFont="1"/>
    <xf borderId="0" fillId="0" fontId="3" numFmtId="0" xfId="0" applyFont="1"/>
    <xf borderId="0" fillId="0" fontId="3" numFmtId="0" xfId="0" applyFont="1"/>
    <xf borderId="0" fillId="0" fontId="10" numFmtId="0" xfId="0" applyFont="1"/>
    <xf borderId="0" fillId="3" fontId="16" numFmtId="0" xfId="0" applyAlignment="1" applyFont="1">
      <alignment readingOrder="0" shrinkToFit="0" wrapText="0"/>
    </xf>
    <xf borderId="1" fillId="4" fontId="0" numFmtId="0" xfId="0" applyAlignment="1" applyBorder="1" applyFont="1">
      <alignment horizontal="center" readingOrder="0" shrinkToFit="0" wrapText="0"/>
    </xf>
    <xf borderId="1" fillId="5" fontId="0" numFmtId="0" xfId="0" applyAlignment="1" applyBorder="1" applyFont="1">
      <alignment horizontal="center" readingOrder="0" shrinkToFit="0" wrapText="0"/>
    </xf>
    <xf borderId="0" fillId="0" fontId="3" numFmtId="49" xfId="0" applyAlignment="1" applyFont="1" applyNumberFormat="1">
      <alignment horizontal="center" shrinkToFit="0" wrapText="0"/>
    </xf>
    <xf borderId="0" fillId="8" fontId="10" numFmtId="0" xfId="0" applyAlignment="1" applyFont="1">
      <alignment shrinkToFit="0" wrapText="0"/>
    </xf>
    <xf borderId="0" fillId="8" fontId="10" numFmtId="0" xfId="0" applyAlignment="1" applyFont="1">
      <alignment readingOrder="0" shrinkToFit="0" wrapText="0"/>
    </xf>
    <xf borderId="0" fillId="8" fontId="3" numFmtId="0" xfId="0" applyAlignment="1" applyFont="1">
      <alignment readingOrder="0" shrinkToFit="0" wrapText="0"/>
    </xf>
    <xf borderId="0" fillId="3" fontId="3" numFmtId="164" xfId="0" applyFont="1" applyNumberFormat="1"/>
    <xf borderId="1" fillId="6" fontId="0" numFmtId="0" xfId="0" applyAlignment="1" applyBorder="1" applyFont="1">
      <alignment horizontal="center" readingOrder="0" shrinkToFit="0" wrapText="0"/>
    </xf>
    <xf borderId="0" fillId="0" fontId="10" numFmtId="49" xfId="0" applyAlignment="1" applyFont="1" applyNumberFormat="1">
      <alignment readingOrder="0"/>
    </xf>
    <xf borderId="0" fillId="6" fontId="3" numFmtId="2" xfId="0" applyAlignment="1" applyFont="1" applyNumberFormat="1">
      <alignment readingOrder="0" shrinkToFit="0" wrapText="0"/>
    </xf>
    <xf borderId="0" fillId="3" fontId="1" numFmtId="0" xfId="0" applyFont="1"/>
    <xf borderId="0" fillId="3" fontId="1" numFmtId="0" xfId="0" applyAlignment="1" applyFont="1">
      <alignment readingOrder="0"/>
    </xf>
    <xf borderId="0" fillId="3" fontId="2" numFmtId="164" xfId="0" applyAlignment="1" applyFont="1" applyNumberFormat="1">
      <alignment horizontal="center"/>
    </xf>
    <xf borderId="16" fillId="0" fontId="14" numFmtId="0" xfId="0" applyBorder="1" applyFont="1"/>
    <xf borderId="17" fillId="0" fontId="3" numFmtId="0" xfId="0" applyAlignment="1" applyBorder="1" applyFont="1">
      <alignment horizontal="left" shrinkToFit="0" vertical="bottom" wrapText="0"/>
    </xf>
    <xf borderId="17" fillId="0" fontId="3" numFmtId="0" xfId="0" applyBorder="1" applyFont="1"/>
    <xf borderId="18" fillId="0" fontId="3" numFmtId="0" xfId="0" applyBorder="1" applyFont="1"/>
    <xf borderId="0" fillId="0" fontId="10" numFmtId="0" xfId="0" applyAlignment="1" applyFont="1">
      <alignment horizontal="left" readingOrder="0"/>
    </xf>
    <xf borderId="0" fillId="0" fontId="10" numFmtId="49" xfId="0" applyFont="1" applyNumberFormat="1"/>
    <xf borderId="0" fillId="0" fontId="10" numFmtId="2" xfId="0" applyFont="1" applyNumberFormat="1"/>
    <xf borderId="14" fillId="0" fontId="3" numFmtId="0" xfId="0" applyAlignment="1" applyBorder="1" applyFont="1">
      <alignment horizontal="right" readingOrder="0"/>
    </xf>
    <xf borderId="0" fillId="0" fontId="3" numFmtId="0" xfId="0" applyAlignment="1" applyFont="1">
      <alignment horizontal="left"/>
    </xf>
    <xf borderId="15" fillId="0" fontId="3" numFmtId="0" xfId="0" applyBorder="1" applyFont="1"/>
    <xf borderId="19" fillId="8" fontId="10" numFmtId="0" xfId="0" applyAlignment="1" applyBorder="1" applyFont="1">
      <alignment horizontal="left" readingOrder="0"/>
    </xf>
    <xf borderId="19" fillId="8" fontId="10" numFmtId="49" xfId="0" applyAlignment="1" applyBorder="1" applyFont="1" applyNumberFormat="1">
      <alignment horizontal="left"/>
    </xf>
    <xf borderId="19" fillId="8" fontId="10" numFmtId="0" xfId="0" applyAlignment="1" applyBorder="1" applyFont="1">
      <alignment horizontal="center" readingOrder="0"/>
    </xf>
    <xf borderId="19" fillId="8" fontId="10" numFmtId="49" xfId="0" applyAlignment="1" applyBorder="1" applyFont="1" applyNumberFormat="1">
      <alignment horizontal="center" readingOrder="0"/>
    </xf>
    <xf borderId="19" fillId="10" fontId="10" numFmtId="0" xfId="0" applyAlignment="1" applyBorder="1" applyFill="1" applyFont="1">
      <alignment horizontal="center" readingOrder="0"/>
    </xf>
    <xf borderId="19" fillId="0" fontId="10" numFmtId="0" xfId="0" applyAlignment="1" applyBorder="1" applyFont="1">
      <alignment readingOrder="0"/>
    </xf>
    <xf borderId="19" fillId="0" fontId="10" numFmtId="0" xfId="0" applyBorder="1" applyFont="1"/>
    <xf borderId="19" fillId="0" fontId="10" numFmtId="0" xfId="0" applyAlignment="1" applyBorder="1" applyFont="1">
      <alignment horizontal="center"/>
    </xf>
    <xf borderId="19" fillId="0" fontId="2" numFmtId="0" xfId="0" applyAlignment="1" applyBorder="1" applyFont="1">
      <alignment readingOrder="0"/>
    </xf>
    <xf borderId="19" fillId="0" fontId="2" numFmtId="0" xfId="0" applyBorder="1" applyFont="1"/>
    <xf borderId="19" fillId="0" fontId="7" numFmtId="0" xfId="0" applyAlignment="1" applyBorder="1" applyFont="1">
      <alignment horizontal="left" readingOrder="0" shrinkToFit="0" wrapText="0"/>
    </xf>
    <xf borderId="20" fillId="0" fontId="14" numFmtId="0" xfId="0" applyBorder="1" applyFont="1"/>
    <xf borderId="19" fillId="0" fontId="10" numFmtId="0" xfId="0" applyAlignment="1" applyBorder="1" applyFont="1">
      <alignment horizontal="right" readingOrder="0"/>
    </xf>
    <xf borderId="21" fillId="0" fontId="14" numFmtId="0" xfId="0" applyBorder="1" applyFont="1"/>
    <xf borderId="13" fillId="8" fontId="10" numFmtId="0" xfId="0" applyAlignment="1" applyBorder="1" applyFont="1">
      <alignment horizontal="left" readingOrder="0"/>
    </xf>
    <xf borderId="13" fillId="8" fontId="10" numFmtId="49" xfId="0" applyAlignment="1" applyBorder="1" applyFont="1" applyNumberFormat="1">
      <alignment readingOrder="0"/>
    </xf>
    <xf borderId="13" fillId="8" fontId="10" numFmtId="0" xfId="0" applyAlignment="1" applyBorder="1" applyFont="1">
      <alignment readingOrder="0"/>
    </xf>
    <xf borderId="13" fillId="10" fontId="10" numFmtId="4" xfId="0" applyAlignment="1" applyBorder="1" applyFont="1" applyNumberFormat="1">
      <alignment readingOrder="0"/>
    </xf>
    <xf quotePrefix="1" borderId="13" fillId="10" fontId="3" numFmtId="0" xfId="0" applyAlignment="1" applyBorder="1" applyFont="1">
      <alignment horizontal="center" readingOrder="0"/>
    </xf>
    <xf borderId="13" fillId="10" fontId="10" numFmtId="0" xfId="0" applyAlignment="1" applyBorder="1" applyFont="1">
      <alignment readingOrder="0"/>
    </xf>
    <xf borderId="13" fillId="0" fontId="10" numFmtId="0" xfId="0" applyAlignment="1" applyBorder="1" applyFont="1">
      <alignment readingOrder="0"/>
    </xf>
    <xf borderId="13" fillId="7" fontId="10" numFmtId="0" xfId="0" applyAlignment="1" applyBorder="1" applyFont="1">
      <alignment readingOrder="0"/>
    </xf>
    <xf borderId="13" fillId="7" fontId="10" numFmtId="0" xfId="0" applyAlignment="1" applyBorder="1" applyFont="1">
      <alignment horizontal="center" readingOrder="0"/>
    </xf>
    <xf borderId="13" fillId="0" fontId="6" numFmtId="0" xfId="0" applyAlignment="1" applyBorder="1" applyFont="1">
      <alignment readingOrder="0" shrinkToFit="0" vertical="bottom" wrapText="0"/>
    </xf>
    <xf borderId="22" fillId="11" fontId="2" numFmtId="0" xfId="0" applyAlignment="1" applyBorder="1" applyFill="1" applyFont="1">
      <alignment horizontal="center" readingOrder="0"/>
    </xf>
    <xf borderId="13" fillId="0" fontId="2" numFmtId="0" xfId="0" applyAlignment="1" applyBorder="1" applyFont="1">
      <alignment horizontal="center" readingOrder="0"/>
    </xf>
    <xf borderId="13" fillId="8" fontId="7" numFmtId="0" xfId="0" applyAlignment="1" applyBorder="1" applyFont="1">
      <alignment horizontal="center" readingOrder="0" shrinkToFit="0" wrapText="0"/>
    </xf>
    <xf borderId="13" fillId="2" fontId="7" numFmtId="0" xfId="0" applyAlignment="1" applyBorder="1" applyFont="1">
      <alignment horizontal="center" readingOrder="0" shrinkToFit="0" wrapText="0"/>
    </xf>
    <xf borderId="13" fillId="8" fontId="2" numFmtId="0" xfId="0" applyAlignment="1" applyBorder="1" applyFont="1">
      <alignment horizontal="center" readingOrder="0"/>
    </xf>
    <xf borderId="13" fillId="8" fontId="7" numFmtId="0" xfId="0" applyAlignment="1" applyBorder="1" applyFont="1">
      <alignment horizontal="center" readingOrder="0" shrinkToFit="0" wrapText="1"/>
    </xf>
    <xf borderId="0" fillId="0" fontId="17" numFmtId="0" xfId="0" applyAlignment="1" applyFont="1">
      <alignment readingOrder="0"/>
    </xf>
    <xf quotePrefix="1" borderId="1" fillId="0" fontId="10" numFmtId="0" xfId="0" applyAlignment="1" applyBorder="1" applyFont="1">
      <alignment horizontal="center" readingOrder="0"/>
    </xf>
    <xf borderId="0" fillId="8" fontId="10" numFmtId="0" xfId="0" applyAlignment="1" applyFont="1">
      <alignment horizontal="left" readingOrder="0"/>
    </xf>
    <xf borderId="0" fillId="8" fontId="3" numFmtId="49" xfId="0" applyAlignment="1" applyFont="1" applyNumberFormat="1">
      <alignment readingOrder="0"/>
    </xf>
    <xf borderId="0" fillId="8" fontId="3" numFmtId="0" xfId="0" applyAlignment="1" applyFont="1">
      <alignment readingOrder="0"/>
    </xf>
    <xf borderId="0" fillId="10" fontId="3" numFmtId="4" xfId="0" applyAlignment="1" applyFont="1" applyNumberFormat="1">
      <alignment readingOrder="0"/>
    </xf>
    <xf borderId="0" fillId="10" fontId="3" numFmtId="0" xfId="0" applyAlignment="1" applyFont="1">
      <alignment horizontal="center" readingOrder="0"/>
    </xf>
    <xf borderId="0" fillId="10" fontId="3" numFmtId="0" xfId="0" applyAlignment="1" applyFont="1">
      <alignment readingOrder="0"/>
    </xf>
    <xf borderId="0" fillId="10" fontId="3" numFmtId="164" xfId="0" applyAlignment="1" applyFont="1" applyNumberFormat="1">
      <alignment readingOrder="0"/>
    </xf>
    <xf borderId="0" fillId="10" fontId="3" numFmtId="2" xfId="0" applyAlignment="1" applyFont="1" applyNumberFormat="1">
      <alignment readingOrder="0"/>
    </xf>
    <xf borderId="17" fillId="0" fontId="3" numFmtId="164" xfId="0" applyAlignment="1" applyBorder="1" applyFont="1" applyNumberFormat="1">
      <alignment horizontal="center"/>
    </xf>
    <xf borderId="1" fillId="0" fontId="3" numFmtId="166" xfId="0" applyAlignment="1" applyBorder="1" applyFont="1" applyNumberFormat="1">
      <alignment horizontal="center" readingOrder="0"/>
    </xf>
    <xf borderId="1" fillId="0" fontId="3" numFmtId="164" xfId="0" applyAlignment="1" applyBorder="1" applyFont="1" applyNumberFormat="1">
      <alignment horizontal="center"/>
    </xf>
    <xf borderId="0" fillId="0" fontId="17" numFmtId="0" xfId="0" applyFont="1"/>
    <xf borderId="0" fillId="0" fontId="3" numFmtId="164" xfId="0" applyAlignment="1" applyFont="1" applyNumberFormat="1">
      <alignment horizontal="center"/>
    </xf>
    <xf borderId="0" fillId="8" fontId="10" numFmtId="49" xfId="0" applyAlignment="1" applyFont="1" applyNumberFormat="1">
      <alignment readingOrder="0"/>
    </xf>
    <xf borderId="0" fillId="8" fontId="10" numFmtId="0" xfId="0" applyAlignment="1" applyFont="1">
      <alignment readingOrder="0"/>
    </xf>
    <xf borderId="1" fillId="0" fontId="3" numFmtId="0" xfId="0" applyAlignment="1" applyBorder="1" applyFont="1">
      <alignment horizontal="center" readingOrder="0"/>
    </xf>
    <xf borderId="0" fillId="8" fontId="3" numFmtId="0" xfId="0" applyFont="1"/>
    <xf borderId="0" fillId="0" fontId="3" numFmtId="49" xfId="0" applyFont="1" applyNumberFormat="1"/>
    <xf borderId="14" fillId="0" fontId="3" numFmtId="1" xfId="0" applyBorder="1" applyFont="1" applyNumberFormat="1"/>
    <xf borderId="15" fillId="0" fontId="3" numFmtId="1" xfId="0" applyBorder="1" applyFont="1" applyNumberFormat="1"/>
    <xf borderId="14" fillId="0" fontId="3" numFmtId="0" xfId="0" applyAlignment="1" applyBorder="1" applyFont="1">
      <alignment horizontal="left"/>
    </xf>
    <xf borderId="15" fillId="0" fontId="3" numFmtId="0" xfId="0" applyAlignment="1" applyBorder="1" applyFont="1">
      <alignment horizontal="left"/>
    </xf>
    <xf borderId="0" fillId="3" fontId="3" numFmtId="2" xfId="0" applyAlignment="1" applyFont="1" applyNumberFormat="1">
      <alignment readingOrder="0" shrinkToFit="0" wrapText="0"/>
    </xf>
    <xf borderId="0" fillId="0" fontId="3" numFmtId="49" xfId="0" applyAlignment="1" applyFont="1" applyNumberFormat="1">
      <alignment horizontal="left"/>
    </xf>
    <xf borderId="14" fillId="0" fontId="3" numFmtId="0" xfId="0" applyBorder="1" applyFont="1"/>
    <xf borderId="0" fillId="9" fontId="10" numFmtId="164" xfId="0" applyAlignment="1" applyFont="1" applyNumberFormat="1">
      <alignment readingOrder="0" shrinkToFit="0" wrapText="0"/>
    </xf>
    <xf borderId="0" fillId="9" fontId="10" numFmtId="164" xfId="0" applyAlignment="1" applyFont="1" applyNumberFormat="1">
      <alignment shrinkToFit="0" wrapText="0"/>
    </xf>
    <xf borderId="0" fillId="3" fontId="0" numFmtId="0" xfId="0" applyAlignment="1" applyFont="1">
      <alignment horizontal="left" readingOrder="0" shrinkToFit="0" wrapText="0"/>
    </xf>
    <xf borderId="0" fillId="0" fontId="12" numFmtId="0" xfId="0" applyAlignment="1" applyFont="1">
      <alignment horizontal="left" readingOrder="0" shrinkToFit="0" wrapText="0"/>
    </xf>
    <xf borderId="0" fillId="0" fontId="18" numFmtId="0" xfId="0" applyAlignment="1" applyFont="1">
      <alignment readingOrder="0"/>
    </xf>
    <xf borderId="0" fillId="3" fontId="10" numFmtId="0" xfId="0" applyAlignment="1" applyFont="1">
      <alignment readingOrder="0"/>
    </xf>
    <xf borderId="0" fillId="3" fontId="10" numFmtId="0" xfId="0" applyAlignment="1" applyFont="1">
      <alignment horizontal="left" readingOrder="0"/>
    </xf>
    <xf borderId="0" fillId="3" fontId="10" numFmtId="0" xfId="0" applyAlignment="1" applyFont="1">
      <alignment horizontal="center"/>
    </xf>
    <xf borderId="0" fillId="5" fontId="10" numFmtId="0" xfId="0" applyAlignment="1" applyFont="1">
      <alignment horizontal="center" readingOrder="0"/>
    </xf>
    <xf borderId="0" fillId="5" fontId="8" numFmtId="0" xfId="0" applyAlignment="1" applyFont="1">
      <alignment readingOrder="0"/>
    </xf>
    <xf borderId="0" fillId="5" fontId="3" numFmtId="0" xfId="0" applyAlignment="1" applyFont="1">
      <alignment readingOrder="0"/>
    </xf>
    <xf borderId="0" fillId="0" fontId="3" numFmtId="164" xfId="0" applyAlignment="1" applyFont="1" applyNumberFormat="1">
      <alignment readingOrder="0"/>
    </xf>
    <xf borderId="0" fillId="3" fontId="10" numFmtId="164" xfId="0" applyAlignment="1" applyFont="1" applyNumberFormat="1">
      <alignment horizontal="center"/>
    </xf>
    <xf borderId="0" fillId="5" fontId="10" numFmtId="0" xfId="0" applyAlignment="1" applyFont="1">
      <alignment horizontal="center"/>
    </xf>
    <xf borderId="0" fillId="0" fontId="10" numFmtId="0" xfId="0" applyAlignment="1" applyFont="1">
      <alignment horizontal="center"/>
    </xf>
    <xf borderId="0" fillId="0" fontId="10" numFmtId="0" xfId="0" applyAlignment="1" applyFont="1">
      <alignment horizontal="right" readingOrder="0"/>
    </xf>
    <xf borderId="0" fillId="0" fontId="3" numFmtId="0" xfId="0" applyAlignment="1" applyFont="1">
      <alignment horizontal="right" readingOrder="0"/>
    </xf>
    <xf borderId="0" fillId="0" fontId="10" numFmtId="2" xfId="0" applyAlignment="1" applyFont="1" applyNumberFormat="1">
      <alignment horizontal="center"/>
    </xf>
    <xf borderId="0" fillId="0" fontId="11" numFmtId="0" xfId="0" applyAlignment="1" applyFont="1">
      <alignment readingOrder="0" shrinkToFit="0" vertical="bottom" wrapText="0"/>
    </xf>
    <xf borderId="0" fillId="0" fontId="11" numFmtId="0" xfId="0" applyAlignment="1" applyFont="1">
      <alignment horizontal="right" readingOrder="0" shrinkToFit="0" vertical="bottom" wrapText="0"/>
    </xf>
  </cellXfs>
  <cellStyles count="1">
    <cellStyle xfId="0" name="Normal" builtinId="0"/>
  </cellStyles>
  <dxfs count="2">
    <dxf>
      <font/>
      <fill>
        <patternFill patternType="solid">
          <fgColor rgb="FFEFEFEF"/>
          <bgColor rgb="FFEFEFEF"/>
        </patternFill>
      </fill>
      <border/>
    </dxf>
    <dxf>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basketball-reference.com/boxscores/201612250CLE.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about:blank" TargetMode="External"/><Relationship Id="rId20" Type="http://schemas.openxmlformats.org/officeDocument/2006/relationships/hyperlink" Target="about:blank" TargetMode="External"/><Relationship Id="rId42" Type="http://schemas.openxmlformats.org/officeDocument/2006/relationships/hyperlink" Target="about:blank" TargetMode="External"/><Relationship Id="rId41" Type="http://schemas.openxmlformats.org/officeDocument/2006/relationships/hyperlink" Target="about:blank" TargetMode="External"/><Relationship Id="rId22" Type="http://schemas.openxmlformats.org/officeDocument/2006/relationships/hyperlink" Target="about:blank" TargetMode="External"/><Relationship Id="rId44" Type="http://schemas.openxmlformats.org/officeDocument/2006/relationships/hyperlink" Target="about:blank" TargetMode="External"/><Relationship Id="rId21" Type="http://schemas.openxmlformats.org/officeDocument/2006/relationships/hyperlink" Target="about:blank" TargetMode="External"/><Relationship Id="rId43" Type="http://schemas.openxmlformats.org/officeDocument/2006/relationships/hyperlink" Target="about:blank" TargetMode="External"/><Relationship Id="rId24" Type="http://schemas.openxmlformats.org/officeDocument/2006/relationships/hyperlink" Target="about:blank" TargetMode="External"/><Relationship Id="rId46" Type="http://schemas.openxmlformats.org/officeDocument/2006/relationships/hyperlink" Target="about:blank" TargetMode="External"/><Relationship Id="rId23" Type="http://schemas.openxmlformats.org/officeDocument/2006/relationships/hyperlink" Target="about:blank" TargetMode="External"/><Relationship Id="rId45"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47" Type="http://schemas.openxmlformats.org/officeDocument/2006/relationships/drawing" Target="../drawings/drawing4.xml"/><Relationship Id="rId28" Type="http://schemas.openxmlformats.org/officeDocument/2006/relationships/hyperlink" Target="about:blank" TargetMode="External"/><Relationship Id="rId27"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29"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11" Type="http://schemas.openxmlformats.org/officeDocument/2006/relationships/hyperlink" Target="about:blank" TargetMode="External"/><Relationship Id="rId33" Type="http://schemas.openxmlformats.org/officeDocument/2006/relationships/hyperlink" Target="about:blank" TargetMode="External"/><Relationship Id="rId10" Type="http://schemas.openxmlformats.org/officeDocument/2006/relationships/hyperlink" Target="about:blank" TargetMode="External"/><Relationship Id="rId32" Type="http://schemas.openxmlformats.org/officeDocument/2006/relationships/hyperlink" Target="about:blank" TargetMode="External"/><Relationship Id="rId13" Type="http://schemas.openxmlformats.org/officeDocument/2006/relationships/hyperlink" Target="about:blank" TargetMode="External"/><Relationship Id="rId35" Type="http://schemas.openxmlformats.org/officeDocument/2006/relationships/hyperlink" Target="about:blank" TargetMode="External"/><Relationship Id="rId12" Type="http://schemas.openxmlformats.org/officeDocument/2006/relationships/hyperlink" Target="about:blank" TargetMode="External"/><Relationship Id="rId34" Type="http://schemas.openxmlformats.org/officeDocument/2006/relationships/hyperlink" Target="about:blank" TargetMode="External"/><Relationship Id="rId15" Type="http://schemas.openxmlformats.org/officeDocument/2006/relationships/hyperlink" Target="about:blank" TargetMode="External"/><Relationship Id="rId37" Type="http://schemas.openxmlformats.org/officeDocument/2006/relationships/hyperlink" Target="about:blank" TargetMode="External"/><Relationship Id="rId14" Type="http://schemas.openxmlformats.org/officeDocument/2006/relationships/hyperlink" Target="about:blank" TargetMode="External"/><Relationship Id="rId36" Type="http://schemas.openxmlformats.org/officeDocument/2006/relationships/hyperlink" Target="about:blank" TargetMode="External"/><Relationship Id="rId17" Type="http://schemas.openxmlformats.org/officeDocument/2006/relationships/hyperlink" Target="about:blank" TargetMode="External"/><Relationship Id="rId39" Type="http://schemas.openxmlformats.org/officeDocument/2006/relationships/hyperlink" Target="about:blank" TargetMode="External"/><Relationship Id="rId16" Type="http://schemas.openxmlformats.org/officeDocument/2006/relationships/hyperlink" Target="about:blank" TargetMode="External"/><Relationship Id="rId38"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3"/>
    <col customWidth="1" min="2" max="2" width="20.86"/>
    <col customWidth="1" min="3" max="3" width="5.29"/>
    <col customWidth="1" min="4" max="15" width="6.43"/>
    <col customWidth="1" min="16" max="16" width="6.29"/>
    <col customWidth="1" min="17" max="17" width="4.71"/>
    <col customWidth="1" min="18" max="18" width="5.71"/>
    <col customWidth="1" min="19" max="19" width="5.14"/>
    <col customWidth="1" min="20" max="20" width="5.0"/>
    <col customWidth="1" min="21" max="22" width="4.86"/>
    <col customWidth="1" min="23" max="23" width="4.71"/>
    <col customWidth="1" min="24" max="24" width="4.86"/>
    <col customWidth="1" min="25" max="25" width="5.0"/>
    <col customWidth="1" min="26" max="26" width="4.71"/>
    <col customWidth="1" min="27" max="27" width="4.86"/>
    <col customWidth="1" min="28" max="28" width="5.29"/>
    <col customWidth="1" min="29" max="29" width="5.43"/>
    <col customWidth="1" min="30" max="30" width="7.29"/>
    <col customWidth="1" min="31" max="31" width="8.0"/>
    <col customWidth="1" min="32" max="33" width="12.29"/>
    <col customWidth="1" min="34" max="45" width="6.57"/>
    <col customWidth="1" min="46" max="46" width="9.57"/>
    <col customWidth="1" min="47" max="47" width="8.14"/>
    <col customWidth="1" min="48" max="48" width="7.43"/>
    <col customWidth="1" min="49" max="50" width="8.43"/>
    <col customWidth="1" min="51" max="51" width="14.29"/>
    <col customWidth="1" min="52" max="52" width="8.14"/>
    <col customWidth="1" min="53" max="53" width="9.14"/>
    <col customWidth="1" min="54" max="64" width="8.86"/>
    <col customWidth="1" min="65" max="65" width="10.71"/>
    <col customWidth="1" min="66" max="76" width="10.29"/>
    <col customWidth="1" min="77" max="77" width="12.71"/>
    <col customWidth="1" min="78" max="78" width="18.14"/>
    <col customWidth="1" min="79" max="90" width="7.71"/>
    <col customWidth="1" min="91" max="91" width="8.71"/>
    <col customWidth="1" min="92" max="92" width="12.71"/>
    <col customWidth="1" min="93" max="93" width="12.14"/>
    <col customWidth="1" min="94" max="94" width="8.43"/>
    <col customWidth="1" min="95" max="95" width="10.57"/>
    <col customWidth="1" min="96" max="96" width="9.86"/>
    <col customWidth="1" min="97" max="97" width="6.43"/>
    <col customWidth="1" min="98" max="98" width="7.71"/>
    <col customWidth="1" min="99" max="99" width="12.14"/>
    <col customWidth="1" min="100" max="111" width="8.14"/>
    <col customWidth="1" min="112" max="112" width="10.71"/>
    <col customWidth="1" min="113" max="113" width="12.71"/>
    <col customWidth="1" min="114" max="114" width="12.14"/>
    <col customWidth="1" min="115" max="115" width="8.43"/>
    <col customWidth="1" min="116" max="116" width="10.57"/>
    <col customWidth="1" min="117" max="117" width="11.29"/>
    <col customWidth="1" min="118" max="118" width="6.43"/>
    <col customWidth="1" min="119" max="119" width="7.71"/>
    <col customWidth="1" min="120" max="120" width="21.71"/>
    <col customWidth="1" min="121" max="121" width="6.43"/>
    <col customWidth="1" min="122" max="129" width="7.86"/>
    <col customWidth="1" min="130" max="130" width="7.71"/>
    <col customWidth="1" min="131" max="132" width="8.57"/>
    <col customWidth="1" min="133" max="133" width="7.57"/>
    <col customWidth="1" min="134" max="134" width="9.0"/>
    <col customWidth="1" min="135" max="135" width="8.86"/>
  </cols>
  <sheetData>
    <row r="1">
      <c r="BH1" s="1"/>
      <c r="BI1" s="1"/>
      <c r="BJ1" s="1"/>
      <c r="BK1" s="1"/>
      <c r="BL1" s="1"/>
      <c r="BM1" s="2"/>
      <c r="BN1" s="3"/>
      <c r="BO1" s="3"/>
      <c r="BP1" s="3"/>
      <c r="BQ1" s="3"/>
      <c r="BR1" s="3"/>
      <c r="BS1" s="3"/>
      <c r="BT1" s="3"/>
      <c r="BU1" s="3"/>
      <c r="BV1" s="3"/>
      <c r="BW1" s="3"/>
      <c r="BX1" s="3"/>
      <c r="BY1" s="3"/>
      <c r="BZ1" s="3" t="s">
        <v>0</v>
      </c>
      <c r="CA1" s="1"/>
      <c r="CB1" s="1"/>
      <c r="CC1" s="1"/>
      <c r="CD1" s="1"/>
      <c r="CE1" s="1"/>
      <c r="CF1" s="1"/>
      <c r="CG1" s="1"/>
      <c r="CH1" s="1"/>
      <c r="CI1" s="1"/>
      <c r="CJ1" s="1"/>
      <c r="CK1" s="1"/>
      <c r="CL1" s="1"/>
      <c r="DU1" s="4"/>
      <c r="DZ1" s="5"/>
      <c r="EA1" s="5"/>
      <c r="EB1" s="5"/>
      <c r="EC1" s="5"/>
      <c r="ED1" s="5"/>
      <c r="EE1" s="5"/>
    </row>
    <row r="2">
      <c r="A2" s="6"/>
      <c r="B2" s="7" t="s">
        <v>1</v>
      </c>
      <c r="C2" s="6"/>
      <c r="D2" s="6"/>
      <c r="E2" s="6"/>
      <c r="F2" s="6"/>
      <c r="G2" s="8" t="s">
        <v>2</v>
      </c>
      <c r="H2" s="6"/>
      <c r="I2" s="6"/>
      <c r="J2" s="6"/>
      <c r="K2" s="6"/>
      <c r="L2" s="6"/>
      <c r="M2" s="6"/>
      <c r="N2" s="6"/>
      <c r="O2" s="6"/>
      <c r="P2" s="6"/>
      <c r="Q2" s="6"/>
      <c r="R2" s="6"/>
      <c r="S2" s="6"/>
      <c r="T2" s="6"/>
      <c r="U2" s="6"/>
      <c r="V2" s="6"/>
      <c r="W2" s="6"/>
      <c r="X2" s="6"/>
      <c r="Y2" s="6"/>
      <c r="Z2" s="6"/>
      <c r="AA2" s="6"/>
      <c r="AB2" s="6"/>
      <c r="AC2" s="6"/>
      <c r="AD2" s="6"/>
      <c r="AE2" s="6"/>
      <c r="AF2" s="6"/>
      <c r="AG2" s="6"/>
      <c r="BJ2" s="9" t="s">
        <v>3</v>
      </c>
      <c r="BK2" s="10" t="s">
        <v>4</v>
      </c>
      <c r="BL2" s="10" t="s">
        <v>5</v>
      </c>
      <c r="BM2" s="10" t="s">
        <v>6</v>
      </c>
      <c r="BN2" s="10" t="s">
        <v>7</v>
      </c>
      <c r="BO2" s="10" t="s">
        <v>8</v>
      </c>
      <c r="BP2" s="10" t="s">
        <v>9</v>
      </c>
      <c r="BQ2" s="10" t="s">
        <v>10</v>
      </c>
      <c r="BV2" s="11"/>
      <c r="BW2" s="11"/>
      <c r="BX2" s="11"/>
      <c r="BY2" s="11"/>
      <c r="BZ2" s="12" t="s">
        <v>11</v>
      </c>
      <c r="CA2" s="12" t="s">
        <v>12</v>
      </c>
      <c r="CB2" s="13" t="s">
        <v>13</v>
      </c>
      <c r="CC2" s="13" t="s">
        <v>14</v>
      </c>
      <c r="CD2" s="12" t="s">
        <v>15</v>
      </c>
      <c r="CE2" s="12" t="s">
        <v>16</v>
      </c>
      <c r="CF2" s="12" t="s">
        <v>17</v>
      </c>
      <c r="CG2" s="12" t="s">
        <v>18</v>
      </c>
      <c r="CH2" s="12" t="s">
        <v>19</v>
      </c>
      <c r="CI2" s="12" t="s">
        <v>20</v>
      </c>
      <c r="CJ2" s="12" t="s">
        <v>21</v>
      </c>
      <c r="CK2" s="12" t="s">
        <v>22</v>
      </c>
      <c r="CL2" s="12" t="s">
        <v>23</v>
      </c>
      <c r="CM2" s="6"/>
      <c r="CN2" s="14"/>
      <c r="CO2" s="15" t="s">
        <v>24</v>
      </c>
      <c r="CP2" s="16"/>
      <c r="CQ2" s="17"/>
      <c r="CR2" s="18"/>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20"/>
      <c r="DV2" s="19"/>
      <c r="DW2" s="19"/>
      <c r="DX2" s="19"/>
      <c r="DY2" s="19"/>
      <c r="DZ2" s="21"/>
      <c r="EA2" s="21"/>
      <c r="EB2" s="21"/>
      <c r="EC2" s="21"/>
      <c r="ED2" s="21"/>
      <c r="EE2" s="21"/>
    </row>
    <row r="3">
      <c r="A3" s="6"/>
      <c r="B3" s="22" t="s">
        <v>25</v>
      </c>
      <c r="C3" s="22">
        <v>2017.0</v>
      </c>
      <c r="D3" s="6"/>
      <c r="F3" s="6"/>
      <c r="G3" s="6"/>
      <c r="H3" s="6"/>
      <c r="I3" s="6"/>
      <c r="J3" s="6"/>
      <c r="K3" s="6"/>
      <c r="L3" s="6"/>
      <c r="M3" s="6"/>
      <c r="N3" s="6"/>
      <c r="O3" s="6"/>
      <c r="P3" s="6"/>
      <c r="Q3" s="6"/>
      <c r="R3" s="6"/>
      <c r="S3" s="6"/>
      <c r="T3" s="6"/>
      <c r="U3" s="6"/>
      <c r="V3" s="6"/>
      <c r="W3" s="23"/>
      <c r="X3" s="6"/>
      <c r="Y3" s="6"/>
      <c r="Z3" s="6"/>
      <c r="AA3" s="6"/>
      <c r="AB3" s="6"/>
      <c r="AC3" s="6"/>
      <c r="AD3" s="6"/>
      <c r="AE3" s="6"/>
      <c r="AF3" s="6"/>
      <c r="AG3" s="6"/>
      <c r="BJ3" s="9" t="s">
        <v>26</v>
      </c>
      <c r="BK3" s="24">
        <v>2.1296</v>
      </c>
      <c r="BL3" s="24">
        <v>8.6676</v>
      </c>
      <c r="BM3" s="24">
        <v>-2.4861</v>
      </c>
      <c r="BN3" s="24">
        <v>0.992</v>
      </c>
      <c r="BO3" s="24">
        <v>-3.5361</v>
      </c>
      <c r="BP3" s="24">
        <v>1.6669</v>
      </c>
      <c r="BQ3" s="25">
        <v>50.0</v>
      </c>
      <c r="BV3" s="26"/>
      <c r="BW3" s="26"/>
      <c r="BX3" s="26"/>
      <c r="BY3" s="26"/>
      <c r="BZ3" s="27" t="s">
        <v>27</v>
      </c>
      <c r="CA3" s="28">
        <v>0.86</v>
      </c>
      <c r="CB3" s="28">
        <v>-0.56</v>
      </c>
      <c r="CC3" s="29">
        <f t="shared" ref="CC3:CC4" si="1">0.44*CB3</f>
        <v>-0.2464</v>
      </c>
      <c r="CD3" s="28">
        <v>0.389</v>
      </c>
      <c r="CE3" s="28">
        <v>0.58</v>
      </c>
      <c r="CF3" s="28">
        <v>-0.964</v>
      </c>
      <c r="CG3" s="28">
        <v>0.613</v>
      </c>
      <c r="CH3" s="28">
        <v>0.116</v>
      </c>
      <c r="CI3" s="28">
        <v>0.0</v>
      </c>
      <c r="CJ3" s="28">
        <v>1.369</v>
      </c>
      <c r="CK3" s="28">
        <v>1.327</v>
      </c>
      <c r="CL3" s="28">
        <v>-0.367</v>
      </c>
      <c r="CM3" s="6"/>
      <c r="CN3" s="30"/>
      <c r="CO3" s="27" t="s">
        <v>27</v>
      </c>
      <c r="CP3" s="27" t="s">
        <v>28</v>
      </c>
      <c r="CQ3" s="27" t="s">
        <v>29</v>
      </c>
      <c r="CR3" s="13" t="s">
        <v>30</v>
      </c>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2"/>
      <c r="DV3" s="31"/>
      <c r="DW3" s="31"/>
      <c r="DX3" s="31"/>
      <c r="DY3" s="31"/>
      <c r="DZ3" s="31"/>
      <c r="EA3" s="31"/>
      <c r="EB3" s="31"/>
      <c r="EC3" s="31"/>
      <c r="ED3" s="31"/>
      <c r="EE3" s="31"/>
    </row>
    <row r="4">
      <c r="A4" s="6"/>
      <c r="B4" s="33" t="s">
        <v>31</v>
      </c>
      <c r="C4" s="34">
        <f>if(M90="",D130, vlookup($A$11,$B$90:$S$121,14,false))</f>
        <v>2.95</v>
      </c>
      <c r="D4" s="6"/>
      <c r="E4" s="35" t="s">
        <v>32</v>
      </c>
      <c r="F4" s="36">
        <f>C4*C7/100/2</f>
        <v>1.41895</v>
      </c>
      <c r="G4" s="6"/>
      <c r="H4" s="6"/>
      <c r="I4" s="6"/>
      <c r="J4" s="6"/>
      <c r="K4" s="6"/>
      <c r="L4" s="6"/>
      <c r="M4" s="6"/>
      <c r="N4" s="6"/>
      <c r="O4" s="6"/>
      <c r="P4" s="6"/>
      <c r="Q4" s="35" t="s">
        <v>33</v>
      </c>
      <c r="R4" s="6">
        <f>sum(AB14:AB42)</f>
        <v>9048</v>
      </c>
      <c r="S4" s="6"/>
      <c r="T4" s="6"/>
      <c r="U4" s="6"/>
      <c r="V4" s="6"/>
      <c r="W4" s="35" t="s">
        <v>34</v>
      </c>
      <c r="X4" s="6">
        <f>sum(V14:V44)</f>
        <v>3587</v>
      </c>
      <c r="Y4" s="6"/>
      <c r="Z4" s="6"/>
      <c r="AA4" s="35" t="s">
        <v>35</v>
      </c>
      <c r="AB4" s="37">
        <f>sum(AG14:AG40)</f>
        <v>2575.5576</v>
      </c>
      <c r="AC4" s="6"/>
      <c r="AD4" s="6"/>
      <c r="AE4" s="6"/>
      <c r="AF4" s="6"/>
      <c r="AG4" s="6"/>
      <c r="AH4" s="6"/>
      <c r="AI4" s="6"/>
      <c r="AJ4" s="6"/>
      <c r="AK4" s="31"/>
      <c r="AL4" s="31"/>
      <c r="AM4" s="6"/>
      <c r="AN4" s="6"/>
      <c r="BJ4" s="9" t="s">
        <v>36</v>
      </c>
      <c r="BK4" s="24">
        <v>1.5896</v>
      </c>
      <c r="BL4" s="24">
        <v>10.8919</v>
      </c>
      <c r="BM4" s="38"/>
      <c r="BN4" s="24">
        <v>1.4677</v>
      </c>
      <c r="BO4" s="24">
        <v>-4.3995</v>
      </c>
      <c r="BP4" s="38"/>
      <c r="BQ4" s="39"/>
      <c r="BV4" s="26"/>
      <c r="BW4" s="26"/>
      <c r="BX4" s="26"/>
      <c r="BY4" s="26"/>
      <c r="BZ4" s="27" t="s">
        <v>29</v>
      </c>
      <c r="CA4" s="29">
        <f>CA3</f>
        <v>0.86</v>
      </c>
      <c r="CB4" s="28">
        <v>-0.78</v>
      </c>
      <c r="CC4" s="29">
        <f t="shared" si="1"/>
        <v>-0.3432</v>
      </c>
      <c r="CD4" s="29">
        <f>CD3</f>
        <v>0.389</v>
      </c>
      <c r="CE4" s="28">
        <v>1.034</v>
      </c>
      <c r="CF4" s="29">
        <f>CF3</f>
        <v>-0.964</v>
      </c>
      <c r="CG4" s="40">
        <v>0.181</v>
      </c>
      <c r="CH4" s="29">
        <f>CG4</f>
        <v>0.181</v>
      </c>
      <c r="CI4" s="28">
        <v>0.0</v>
      </c>
      <c r="CJ4" s="28">
        <v>1.008</v>
      </c>
      <c r="CK4" s="28">
        <v>0.703</v>
      </c>
      <c r="CL4" s="29">
        <f>CL3</f>
        <v>-0.367</v>
      </c>
      <c r="CM4" s="6"/>
      <c r="CN4" s="41" t="s">
        <v>24</v>
      </c>
      <c r="CO4" s="42">
        <f>-0.409*2</f>
        <v>-0.818</v>
      </c>
      <c r="CP4" s="43">
        <v>0.0</v>
      </c>
      <c r="CQ4" s="43">
        <v>0.0</v>
      </c>
      <c r="CR4" s="44">
        <v>1.387</v>
      </c>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2"/>
      <c r="DV4" s="31"/>
      <c r="DW4" s="31"/>
      <c r="DX4" s="31"/>
      <c r="DY4" s="31"/>
      <c r="DZ4" s="31"/>
      <c r="EA4" s="31"/>
      <c r="EB4" s="31"/>
      <c r="EC4" s="31"/>
      <c r="ED4" s="31"/>
      <c r="EE4" s="31"/>
    </row>
    <row r="5">
      <c r="A5" s="45"/>
      <c r="B5" s="33" t="s">
        <v>37</v>
      </c>
      <c r="C5" s="34">
        <f>if(M90="",N130, vlookup($A$11,$B$90:$S$121,15,false))</f>
        <v>4.8015</v>
      </c>
      <c r="D5" s="6"/>
      <c r="E5" s="35" t="s">
        <v>38</v>
      </c>
      <c r="F5" s="36">
        <f>0.35/2*F4</f>
        <v>0.24831625</v>
      </c>
      <c r="G5" s="6"/>
      <c r="H5" s="6"/>
      <c r="I5" s="6"/>
      <c r="J5" s="6"/>
      <c r="K5" s="6"/>
      <c r="L5" s="6"/>
      <c r="M5" s="6"/>
      <c r="N5" s="6"/>
      <c r="O5" s="6"/>
      <c r="P5" s="6"/>
      <c r="Q5" s="35" t="s">
        <v>39</v>
      </c>
      <c r="R5" s="6">
        <f>sum(H14:H42)</f>
        <v>6963</v>
      </c>
      <c r="S5" s="6"/>
      <c r="T5" s="6"/>
      <c r="U5" s="6"/>
      <c r="V5" s="6"/>
      <c r="W5" s="35" t="s">
        <v>40</v>
      </c>
      <c r="X5" s="6">
        <f>sum(X14:X43)</f>
        <v>539</v>
      </c>
      <c r="Y5" s="6"/>
      <c r="Z5" s="6"/>
      <c r="AA5" s="6"/>
      <c r="AB5" s="6"/>
      <c r="AC5" s="6"/>
      <c r="AD5" s="6"/>
      <c r="AE5" s="6"/>
      <c r="AF5" s="6"/>
      <c r="AG5" s="6"/>
      <c r="AH5" s="6"/>
      <c r="AI5" s="6"/>
      <c r="AJ5" s="6"/>
      <c r="AK5" s="46"/>
      <c r="AL5" s="46"/>
      <c r="AM5" s="46"/>
      <c r="AN5" s="46"/>
      <c r="BJ5" s="46"/>
      <c r="BK5" s="46"/>
      <c r="BL5" s="46"/>
      <c r="BM5" s="47"/>
      <c r="BN5" s="47"/>
      <c r="BO5" s="47"/>
      <c r="BP5" s="47"/>
      <c r="BQ5" s="47"/>
      <c r="BV5" s="48"/>
      <c r="BW5" s="48"/>
      <c r="BX5" s="48"/>
      <c r="BY5" s="48"/>
      <c r="BZ5" s="48" t="s">
        <v>41</v>
      </c>
      <c r="CA5" s="49"/>
      <c r="CB5" s="49"/>
      <c r="CC5" s="49"/>
      <c r="CD5" s="49"/>
      <c r="CE5" s="49"/>
      <c r="CF5" s="49"/>
      <c r="CG5" s="49"/>
      <c r="CH5" s="49"/>
      <c r="CI5" s="49"/>
      <c r="CJ5" s="49"/>
      <c r="CK5" s="49"/>
      <c r="CL5" s="49"/>
      <c r="CM5" s="46"/>
      <c r="CN5" s="46"/>
      <c r="CO5" s="46"/>
      <c r="CP5" s="46"/>
      <c r="CQ5" s="46"/>
      <c r="CR5" s="50"/>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51"/>
      <c r="DV5" s="46"/>
      <c r="DW5" s="46"/>
      <c r="DX5" s="46"/>
      <c r="DY5" s="46"/>
      <c r="DZ5" s="52"/>
      <c r="EA5" s="52"/>
      <c r="EB5" s="52"/>
      <c r="EC5" s="52"/>
      <c r="ED5" s="52"/>
      <c r="EE5" s="52"/>
    </row>
    <row r="6">
      <c r="A6" s="45"/>
      <c r="B6" s="33" t="s">
        <v>42</v>
      </c>
      <c r="C6" s="53">
        <f>C4-C5</f>
        <v>-1.8515</v>
      </c>
      <c r="D6" s="6"/>
      <c r="E6" s="54" t="s">
        <v>43</v>
      </c>
      <c r="F6" s="55">
        <f>C4+F5</f>
        <v>3.19831625</v>
      </c>
      <c r="G6" s="6"/>
      <c r="H6" s="6"/>
      <c r="I6" s="6"/>
      <c r="J6" s="6"/>
      <c r="K6" s="6"/>
      <c r="L6" s="6"/>
      <c r="M6" s="6"/>
      <c r="N6" s="6"/>
      <c r="O6" s="6"/>
      <c r="P6" s="6"/>
      <c r="Q6" s="35" t="s">
        <v>44</v>
      </c>
      <c r="R6" s="6">
        <f>sum(R14:R42)</f>
        <v>1913</v>
      </c>
      <c r="S6" s="6">
        <f>CC3/CB3</f>
        <v>0.44</v>
      </c>
      <c r="T6" s="6"/>
      <c r="U6" s="6"/>
      <c r="V6" s="6"/>
      <c r="W6" s="35" t="s">
        <v>45</v>
      </c>
      <c r="X6" s="6">
        <f>sum(AA14:AA45)</f>
        <v>1486</v>
      </c>
      <c r="Y6" s="6"/>
      <c r="Z6" s="6"/>
      <c r="AA6" s="6"/>
      <c r="AB6" s="6"/>
      <c r="AC6" s="6"/>
      <c r="AD6" s="6"/>
      <c r="AE6" s="6"/>
      <c r="AF6" s="6"/>
      <c r="AG6" s="6"/>
      <c r="AH6" s="6"/>
      <c r="AI6" s="6"/>
      <c r="AJ6" s="6"/>
      <c r="AK6" s="31"/>
      <c r="AL6" s="31"/>
      <c r="AM6" s="31"/>
      <c r="AN6" s="31"/>
      <c r="BJ6" s="9" t="s">
        <v>46</v>
      </c>
      <c r="BK6" s="10" t="s">
        <v>4</v>
      </c>
      <c r="BL6" s="10" t="s">
        <v>47</v>
      </c>
      <c r="BM6" s="10" t="s">
        <v>48</v>
      </c>
      <c r="BN6" s="10" t="s">
        <v>49</v>
      </c>
      <c r="BP6" s="10" t="s">
        <v>50</v>
      </c>
      <c r="BQ6" s="10" t="s">
        <v>10</v>
      </c>
      <c r="BV6" s="11"/>
      <c r="BW6" s="11"/>
      <c r="BX6" s="11"/>
      <c r="BY6" s="11"/>
      <c r="BZ6" s="12" t="s">
        <v>11</v>
      </c>
      <c r="CA6" s="56" t="s">
        <v>12</v>
      </c>
      <c r="CB6" s="57" t="s">
        <v>13</v>
      </c>
      <c r="CC6" s="57" t="s">
        <v>14</v>
      </c>
      <c r="CD6" s="56" t="s">
        <v>15</v>
      </c>
      <c r="CE6" s="56" t="s">
        <v>16</v>
      </c>
      <c r="CF6" s="56" t="s">
        <v>17</v>
      </c>
      <c r="CG6" s="56" t="s">
        <v>18</v>
      </c>
      <c r="CH6" s="56" t="s">
        <v>19</v>
      </c>
      <c r="CI6" s="56" t="s">
        <v>20</v>
      </c>
      <c r="CJ6" s="56" t="s">
        <v>21</v>
      </c>
      <c r="CK6" s="56" t="s">
        <v>22</v>
      </c>
      <c r="CL6" s="56" t="s">
        <v>23</v>
      </c>
      <c r="CM6" s="31"/>
      <c r="CN6" s="14"/>
      <c r="CO6" s="15" t="s">
        <v>24</v>
      </c>
      <c r="CP6" s="16"/>
      <c r="CQ6" s="17"/>
      <c r="CR6" s="58"/>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2"/>
      <c r="DV6" s="31"/>
      <c r="DW6" s="31"/>
      <c r="DX6" s="31"/>
      <c r="DY6" s="31"/>
      <c r="DZ6" s="31"/>
      <c r="EA6" s="31"/>
      <c r="EB6" s="31"/>
      <c r="EC6" s="31"/>
      <c r="ED6" s="31"/>
      <c r="EE6" s="31"/>
    </row>
    <row r="7">
      <c r="A7" s="45"/>
      <c r="B7" s="33" t="s">
        <v>51</v>
      </c>
      <c r="C7" s="59">
        <f>value(trim(right(left(vlookup("Pace",$D$136:$E$150,2,false),7),6)))</f>
        <v>96.2</v>
      </c>
      <c r="D7" s="6"/>
      <c r="E7" s="54" t="s">
        <v>52</v>
      </c>
      <c r="F7" s="55">
        <f>C5+F5/2</f>
        <v>4.925658125</v>
      </c>
      <c r="G7" s="6"/>
      <c r="H7" s="6"/>
      <c r="I7" s="6"/>
      <c r="J7" s="6"/>
      <c r="K7" s="6"/>
      <c r="L7" s="6"/>
      <c r="M7" s="6"/>
      <c r="N7" s="6"/>
      <c r="O7" s="6"/>
      <c r="P7" s="6"/>
      <c r="Q7" s="35" t="s">
        <v>53</v>
      </c>
      <c r="R7" s="36">
        <f>R4/(R5+R6*S6)</f>
        <v>1.159298476</v>
      </c>
      <c r="S7" s="6"/>
      <c r="T7" s="6"/>
      <c r="U7" s="6"/>
      <c r="V7" s="6"/>
      <c r="W7" s="35" t="s">
        <v>54</v>
      </c>
      <c r="X7" s="6">
        <f>sum(W14:W44)</f>
        <v>1858</v>
      </c>
      <c r="Y7" s="6"/>
      <c r="Z7" s="6"/>
      <c r="AA7" s="6"/>
      <c r="AB7" s="6"/>
      <c r="AC7" s="6"/>
      <c r="AD7" s="6"/>
      <c r="AE7" s="6"/>
      <c r="AF7" s="6"/>
      <c r="AG7" s="6"/>
      <c r="AH7" s="6"/>
      <c r="AI7" s="6"/>
      <c r="AJ7" s="6"/>
      <c r="AK7" s="31"/>
      <c r="AL7" s="31"/>
      <c r="AM7" s="31"/>
      <c r="AN7" s="31"/>
      <c r="BJ7" s="31"/>
      <c r="BK7" s="24">
        <v>6.0</v>
      </c>
      <c r="BL7" s="24">
        <v>-6.6416</v>
      </c>
      <c r="BM7" s="24">
        <v>-8.5441</v>
      </c>
      <c r="BN7" s="24">
        <v>-0.33</v>
      </c>
      <c r="BO7" s="60"/>
      <c r="BP7" s="24">
        <v>4.0</v>
      </c>
      <c r="BQ7" s="25">
        <v>50.0</v>
      </c>
      <c r="BV7" s="26"/>
      <c r="BW7" s="26"/>
      <c r="BX7" s="26"/>
      <c r="BY7" s="26"/>
      <c r="BZ7" s="27" t="s">
        <v>27</v>
      </c>
      <c r="CA7" s="28">
        <v>0.605</v>
      </c>
      <c r="CB7" s="28">
        <v>-0.33</v>
      </c>
      <c r="CC7" s="29">
        <f t="shared" ref="CC7:CC8" si="2">0.44*CB7</f>
        <v>-0.1452</v>
      </c>
      <c r="CD7" s="28">
        <v>0.477</v>
      </c>
      <c r="CE7" s="28">
        <v>0.476</v>
      </c>
      <c r="CF7" s="28">
        <v>-0.579</v>
      </c>
      <c r="CG7" s="28">
        <v>0.606</v>
      </c>
      <c r="CH7" s="28">
        <v>-0.112</v>
      </c>
      <c r="CI7" s="28">
        <v>0.0</v>
      </c>
      <c r="CJ7" s="28">
        <v>0.177</v>
      </c>
      <c r="CK7" s="28">
        <v>0.725</v>
      </c>
      <c r="CL7" s="28">
        <v>-0.439</v>
      </c>
      <c r="CM7" s="31"/>
      <c r="CN7" s="30"/>
      <c r="CO7" s="27" t="s">
        <v>27</v>
      </c>
      <c r="CP7" s="27" t="s">
        <v>28</v>
      </c>
      <c r="CQ7" s="27" t="s">
        <v>29</v>
      </c>
      <c r="CR7" s="13" t="s">
        <v>30</v>
      </c>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2"/>
      <c r="DV7" s="31"/>
      <c r="DW7" s="31"/>
      <c r="DX7" s="31"/>
      <c r="DY7" s="31"/>
      <c r="DZ7" s="52"/>
      <c r="EA7" s="52"/>
      <c r="EB7" s="52"/>
      <c r="EC7" s="52"/>
      <c r="ED7" s="52"/>
      <c r="EE7" s="52"/>
    </row>
    <row r="8">
      <c r="A8" s="45"/>
      <c r="B8" s="61" t="s">
        <v>55</v>
      </c>
      <c r="D8" s="6"/>
      <c r="E8" s="6"/>
      <c r="F8" s="6"/>
      <c r="G8" s="6"/>
      <c r="H8" s="6"/>
      <c r="I8" s="6"/>
      <c r="J8" s="6"/>
      <c r="K8" s="6"/>
      <c r="L8" s="6"/>
      <c r="M8" s="6"/>
      <c r="N8" s="6"/>
      <c r="O8" s="6"/>
      <c r="P8" s="6"/>
      <c r="Q8" s="35" t="s">
        <v>56</v>
      </c>
      <c r="R8" s="62">
        <v>1.0</v>
      </c>
      <c r="S8" s="6"/>
      <c r="T8" s="6"/>
      <c r="U8" s="6"/>
      <c r="V8" s="6"/>
      <c r="W8" s="35" t="s">
        <v>57</v>
      </c>
      <c r="X8" s="6">
        <f>sum(Y14:Y47)</f>
        <v>327</v>
      </c>
      <c r="Y8" s="6"/>
      <c r="Z8" s="6"/>
      <c r="AA8" s="6"/>
      <c r="AB8" s="6"/>
      <c r="AC8" s="6"/>
      <c r="AD8" s="6"/>
      <c r="AE8" s="6"/>
      <c r="AF8" s="6"/>
      <c r="AG8" s="6"/>
      <c r="AH8" s="6"/>
      <c r="AI8" s="6"/>
      <c r="AJ8" s="6"/>
      <c r="AK8" s="46"/>
      <c r="AL8" s="46"/>
      <c r="AM8" s="46"/>
      <c r="AN8" s="46"/>
      <c r="BE8" s="46"/>
      <c r="BF8" s="46"/>
      <c r="BG8" s="46"/>
      <c r="BH8" s="47"/>
      <c r="BI8" s="47"/>
      <c r="BJ8" s="47"/>
      <c r="BK8" s="47"/>
      <c r="BL8" s="47"/>
      <c r="BM8" s="63"/>
      <c r="BN8" s="26"/>
      <c r="BO8" s="26"/>
      <c r="BP8" s="26"/>
      <c r="BQ8" s="26"/>
      <c r="BR8" s="26"/>
      <c r="BS8" s="26"/>
      <c r="BT8" s="26"/>
      <c r="BU8" s="26"/>
      <c r="BV8" s="26"/>
      <c r="BW8" s="26"/>
      <c r="BX8" s="26"/>
      <c r="BY8" s="26"/>
      <c r="BZ8" s="27" t="s">
        <v>29</v>
      </c>
      <c r="CA8" s="29">
        <f>CA7</f>
        <v>0.605</v>
      </c>
      <c r="CB8" s="28">
        <v>-0.472</v>
      </c>
      <c r="CC8" s="29">
        <f t="shared" si="2"/>
        <v>-0.20768</v>
      </c>
      <c r="CD8" s="29">
        <f t="shared" ref="CD8:CE8" si="3">CD7</f>
        <v>0.477</v>
      </c>
      <c r="CE8" s="29">
        <f t="shared" si="3"/>
        <v>0.476</v>
      </c>
      <c r="CF8" s="28">
        <v>-0.882</v>
      </c>
      <c r="CG8" s="40">
        <v>0.422</v>
      </c>
      <c r="CH8" s="40">
        <v>0.103</v>
      </c>
      <c r="CI8" s="28">
        <v>0.0</v>
      </c>
      <c r="CJ8" s="28">
        <v>0.294</v>
      </c>
      <c r="CK8" s="28">
        <v>0.097</v>
      </c>
      <c r="CL8" s="64">
        <f>CL7</f>
        <v>-0.439</v>
      </c>
      <c r="CM8" s="46"/>
      <c r="CN8" s="41" t="s">
        <v>24</v>
      </c>
      <c r="CO8" s="43">
        <f>-0.849*2</f>
        <v>-1.698</v>
      </c>
      <c r="CP8" s="43">
        <v>0.0</v>
      </c>
      <c r="CQ8" s="43">
        <f>0</f>
        <v>0</v>
      </c>
      <c r="CR8" s="44">
        <v>0.43</v>
      </c>
      <c r="CT8" s="65" t="s">
        <v>58</v>
      </c>
      <c r="CU8" s="46"/>
      <c r="CV8" s="46"/>
      <c r="CW8" s="46"/>
      <c r="CX8" s="46"/>
      <c r="CY8" s="46"/>
      <c r="DA8" s="46"/>
      <c r="DC8" s="46"/>
      <c r="DD8" s="46"/>
      <c r="DE8" s="46"/>
      <c r="DF8" s="46"/>
      <c r="DG8" s="46"/>
      <c r="DH8" s="46"/>
      <c r="DI8" s="46"/>
      <c r="DJ8" s="46"/>
      <c r="DK8" s="46"/>
      <c r="DL8" s="46"/>
      <c r="DM8" s="46"/>
      <c r="DN8" s="46"/>
      <c r="DO8" s="65" t="s">
        <v>58</v>
      </c>
      <c r="DP8" s="46"/>
      <c r="DQ8" s="46"/>
      <c r="DR8" s="46"/>
      <c r="DS8" s="46"/>
      <c r="DT8" s="46"/>
      <c r="DU8" s="51"/>
      <c r="DV8" s="46"/>
      <c r="DW8" s="46"/>
      <c r="DX8" s="46"/>
      <c r="DY8" s="46"/>
      <c r="DZ8" s="31"/>
      <c r="EA8" s="31"/>
      <c r="EB8" s="31"/>
      <c r="EC8" s="31"/>
      <c r="ED8" s="31"/>
      <c r="EE8" s="31"/>
    </row>
    <row r="9">
      <c r="A9" s="45"/>
      <c r="B9" s="66" t="str">
        <f>concatenate("https://www.basketball-reference.com/teams/",B3,"/",C3,".html")</f>
        <v>https://www.basketball-reference.com/teams/CLE/2017.html</v>
      </c>
      <c r="C9" s="6"/>
      <c r="D9" s="6"/>
      <c r="E9" s="6"/>
      <c r="F9" s="6"/>
      <c r="G9" s="6"/>
      <c r="H9" s="6"/>
      <c r="I9" s="6"/>
      <c r="J9" s="6"/>
      <c r="K9" s="6"/>
      <c r="L9" s="6"/>
      <c r="M9" s="6"/>
      <c r="N9" s="6"/>
      <c r="O9" s="6"/>
      <c r="P9" s="6"/>
      <c r="Q9" s="35" t="s">
        <v>59</v>
      </c>
      <c r="R9" s="6">
        <f>sum(F13:F42)</f>
        <v>19881</v>
      </c>
      <c r="S9" s="6"/>
      <c r="T9" s="6"/>
      <c r="U9" s="6"/>
      <c r="V9" s="6"/>
      <c r="W9" s="35" t="s">
        <v>60</v>
      </c>
      <c r="X9" s="6">
        <f>round(sum(E14:E36)/5,0)</f>
        <v>82</v>
      </c>
      <c r="Y9" s="6"/>
      <c r="Z9" s="6"/>
      <c r="AA9" s="6"/>
      <c r="AB9" s="6"/>
      <c r="AC9" s="6"/>
      <c r="AD9" s="6"/>
      <c r="AE9" s="6"/>
      <c r="AF9" s="6"/>
      <c r="AG9" s="6"/>
      <c r="AH9" s="6"/>
      <c r="AI9" s="6"/>
      <c r="AJ9" s="6"/>
      <c r="AK9" s="31"/>
      <c r="AL9" s="31"/>
      <c r="AM9" s="31"/>
      <c r="AN9" s="31"/>
      <c r="AO9" s="31"/>
      <c r="AP9" s="31"/>
      <c r="AQ9" s="31"/>
      <c r="AR9" s="60"/>
      <c r="AS9" s="60"/>
      <c r="AT9" s="60"/>
      <c r="AU9" s="60"/>
      <c r="AV9" s="60"/>
      <c r="AW9" s="60"/>
      <c r="AX9" s="67"/>
      <c r="AY9" s="1"/>
      <c r="AZ9" s="1"/>
      <c r="BA9" s="1"/>
      <c r="BB9" s="1"/>
      <c r="BC9" s="60"/>
      <c r="BD9" s="60"/>
      <c r="BE9" s="60"/>
      <c r="BF9" s="60"/>
      <c r="BG9" s="60"/>
      <c r="BH9" s="60"/>
      <c r="BI9" s="60"/>
      <c r="BJ9" s="60"/>
      <c r="BK9" s="60"/>
      <c r="BL9" s="60"/>
      <c r="BM9" s="60"/>
      <c r="BN9" s="68"/>
      <c r="BO9" s="68"/>
      <c r="BP9" s="68"/>
      <c r="BQ9" s="68"/>
      <c r="BR9" s="68"/>
      <c r="BS9" s="68"/>
      <c r="BT9" s="68"/>
      <c r="BU9" s="68"/>
      <c r="BV9" s="68"/>
      <c r="BW9" s="68"/>
      <c r="BX9" s="68"/>
      <c r="BY9" s="68"/>
      <c r="BZ9" s="68"/>
      <c r="CA9" s="31"/>
      <c r="CB9" s="31"/>
      <c r="CC9" s="31"/>
      <c r="CD9" s="31"/>
      <c r="CE9" s="31"/>
      <c r="CF9" s="31"/>
      <c r="CH9" s="31"/>
      <c r="CI9" s="31"/>
      <c r="CJ9" s="31"/>
      <c r="CK9" s="31"/>
      <c r="CL9" s="31"/>
      <c r="CM9" s="31"/>
      <c r="CN9" s="31"/>
      <c r="CO9" s="31"/>
      <c r="CP9" s="31"/>
      <c r="CQ9" s="31"/>
      <c r="CR9" s="31"/>
      <c r="CS9" s="31"/>
      <c r="CT9" s="69">
        <f>sum($CT$14:$CT$41)</f>
        <v>43.0321355</v>
      </c>
      <c r="CU9" s="31"/>
      <c r="CV9" s="31"/>
      <c r="CW9" s="31"/>
      <c r="CX9" s="31"/>
      <c r="CY9" s="31"/>
      <c r="CZ9" s="31"/>
      <c r="DA9" s="31"/>
      <c r="DC9" s="31"/>
      <c r="DD9" s="31"/>
      <c r="DE9" s="31"/>
      <c r="DF9" s="31"/>
      <c r="DG9" s="31"/>
      <c r="DH9" s="31"/>
      <c r="DI9" s="31"/>
      <c r="DJ9" s="31"/>
      <c r="DK9" s="31"/>
      <c r="DL9" s="31"/>
      <c r="DM9" s="31"/>
      <c r="DN9" s="31"/>
      <c r="DO9" s="69">
        <f>sum($DO$14:$DO$44)</f>
        <v>27.14061139</v>
      </c>
      <c r="DP9" s="31"/>
      <c r="DQ9" s="31"/>
      <c r="DR9" s="31"/>
      <c r="DS9" s="31"/>
      <c r="DT9" s="31"/>
      <c r="DU9" s="32"/>
      <c r="DV9" s="31"/>
      <c r="DW9" s="31"/>
      <c r="DX9" s="31"/>
      <c r="DY9" s="31"/>
      <c r="DZ9" s="52"/>
      <c r="EA9" s="52"/>
      <c r="EB9" s="52"/>
      <c r="EC9" s="52"/>
      <c r="ED9" s="52"/>
      <c r="EE9" s="52"/>
    </row>
    <row r="10">
      <c r="AW10" s="5"/>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T10" s="70" t="s">
        <v>61</v>
      </c>
      <c r="DO10" s="70" t="s">
        <v>61</v>
      </c>
      <c r="DU10" s="4"/>
      <c r="DZ10" s="31"/>
      <c r="EA10" s="31"/>
      <c r="EB10" s="31"/>
      <c r="EC10" s="31"/>
      <c r="ED10" s="31"/>
      <c r="EE10" s="31"/>
    </row>
    <row r="11">
      <c r="A11" s="71" t="s">
        <v>62</v>
      </c>
      <c r="B11" s="72"/>
      <c r="D11" s="71" t="str">
        <f>left(C138,find(",",C138)-1)</f>
        <v> 51-31</v>
      </c>
      <c r="AW11" s="5"/>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T11" s="69">
        <f>($F$6-CT9)/5</f>
        <v>-7.96676385</v>
      </c>
      <c r="DO11" s="69">
        <f>($F$7-DO9)/5</f>
        <v>-4.442990653</v>
      </c>
      <c r="DP11" s="73" t="str">
        <f>CONCATENATE(C3," ",A11," (",trim(D11),")")</f>
        <v>2017 Cleveland Cavaliers (51-31)</v>
      </c>
      <c r="DQ11" s="74"/>
      <c r="DR11" s="74"/>
      <c r="DS11" s="75"/>
      <c r="DT11" s="76"/>
      <c r="DU11" s="77"/>
      <c r="DV11" s="76"/>
      <c r="DW11" s="76"/>
      <c r="DX11" s="76"/>
      <c r="DY11" s="78"/>
      <c r="DZ11" s="52"/>
      <c r="EA11" s="52"/>
      <c r="EB11" s="52"/>
      <c r="EC11" s="52"/>
      <c r="ED11" s="52"/>
      <c r="EE11" s="52"/>
    </row>
    <row r="12">
      <c r="A12" s="70" t="s">
        <v>63</v>
      </c>
      <c r="B12" s="70"/>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0" t="s">
        <v>64</v>
      </c>
      <c r="AD12" s="79"/>
      <c r="AE12" s="79"/>
      <c r="AF12" s="79"/>
      <c r="AG12" s="79"/>
      <c r="AH12" s="70" t="s">
        <v>65</v>
      </c>
      <c r="AI12" s="79"/>
      <c r="AJ12" s="79"/>
      <c r="AK12" s="79"/>
      <c r="AL12" s="79"/>
      <c r="AM12" s="79"/>
      <c r="AN12" s="79"/>
      <c r="AO12" s="79"/>
      <c r="AP12" s="79"/>
      <c r="AQ12" s="79"/>
      <c r="AR12" s="79"/>
      <c r="AS12" s="79"/>
      <c r="AT12" s="70" t="s">
        <v>66</v>
      </c>
      <c r="AU12" s="70"/>
      <c r="AV12" s="70"/>
      <c r="AW12" s="70"/>
      <c r="AX12" s="70"/>
      <c r="AY12" s="70"/>
      <c r="AZ12" s="80" t="s">
        <v>67</v>
      </c>
      <c r="BA12" s="81"/>
      <c r="BB12" s="81"/>
      <c r="BC12" s="81"/>
      <c r="BD12" s="81"/>
      <c r="BE12" s="81"/>
      <c r="BF12" s="81"/>
      <c r="BG12" s="81"/>
      <c r="BH12" s="81"/>
      <c r="BI12" s="81"/>
      <c r="BJ12" s="81"/>
      <c r="BK12" s="81"/>
      <c r="BL12" s="81"/>
      <c r="BM12" s="82"/>
      <c r="BN12" s="83" t="s">
        <v>68</v>
      </c>
      <c r="BO12" s="83"/>
      <c r="BP12" s="83"/>
      <c r="BQ12" s="83"/>
      <c r="BR12" s="83"/>
      <c r="BS12" s="83"/>
      <c r="BT12" s="83"/>
      <c r="BU12" s="83"/>
      <c r="BV12" s="83"/>
      <c r="BW12" s="83"/>
      <c r="BX12" s="83"/>
      <c r="BY12" s="83"/>
      <c r="BZ12" s="3" t="s">
        <v>69</v>
      </c>
      <c r="CA12" s="84"/>
      <c r="CB12" s="84"/>
      <c r="CC12" s="84"/>
      <c r="CD12" s="84"/>
      <c r="CE12" s="84"/>
      <c r="CF12" s="84"/>
      <c r="CG12" s="84"/>
      <c r="CH12" s="84"/>
      <c r="CI12" s="84"/>
      <c r="CJ12" s="84"/>
      <c r="CK12" s="84"/>
      <c r="CL12" s="84"/>
      <c r="CM12" s="11" t="s">
        <v>70</v>
      </c>
      <c r="CN12" s="79"/>
      <c r="CO12" s="79"/>
      <c r="CP12" s="79"/>
      <c r="CQ12" s="79"/>
      <c r="CR12" s="79"/>
      <c r="CS12" s="79"/>
      <c r="CT12" s="79"/>
      <c r="CU12" s="3" t="s">
        <v>71</v>
      </c>
      <c r="CV12" s="84"/>
      <c r="CW12" s="84"/>
      <c r="CX12" s="84"/>
      <c r="CY12" s="84"/>
      <c r="CZ12" s="84"/>
      <c r="DA12" s="84"/>
      <c r="DB12" s="84"/>
      <c r="DC12" s="84"/>
      <c r="DD12" s="84"/>
      <c r="DE12" s="84"/>
      <c r="DF12" s="84"/>
      <c r="DG12" s="84"/>
      <c r="DH12" s="11" t="s">
        <v>72</v>
      </c>
      <c r="DI12" s="79"/>
      <c r="DJ12" s="79"/>
      <c r="DK12" s="79"/>
      <c r="DL12" s="79"/>
      <c r="DM12" s="79"/>
      <c r="DN12" s="79"/>
      <c r="DO12" s="79"/>
      <c r="DP12" s="85"/>
      <c r="DQ12" s="86"/>
      <c r="DR12" s="86"/>
      <c r="DS12" s="87"/>
      <c r="DT12" s="88" t="s">
        <v>73</v>
      </c>
      <c r="DU12" s="89">
        <f>C7</f>
        <v>96.2</v>
      </c>
      <c r="DV12" s="88" t="s">
        <v>74</v>
      </c>
      <c r="DW12" s="89">
        <f>C4</f>
        <v>2.95</v>
      </c>
      <c r="DX12" s="88" t="s">
        <v>75</v>
      </c>
      <c r="DY12" s="90">
        <f>C5</f>
        <v>4.8015</v>
      </c>
      <c r="DZ12" s="31"/>
      <c r="EA12" s="31"/>
      <c r="EB12" s="31"/>
      <c r="EC12" s="31"/>
      <c r="ED12" s="31"/>
      <c r="EE12" s="31"/>
    </row>
    <row r="13">
      <c r="A13" s="91" t="s">
        <v>76</v>
      </c>
      <c r="B13" s="92"/>
      <c r="C13" s="91" t="s">
        <v>77</v>
      </c>
      <c r="D13" s="91" t="s">
        <v>78</v>
      </c>
      <c r="E13" s="91" t="s">
        <v>79</v>
      </c>
      <c r="F13" s="91" t="s">
        <v>80</v>
      </c>
      <c r="G13" s="91" t="s">
        <v>81</v>
      </c>
      <c r="H13" s="91" t="s">
        <v>13</v>
      </c>
      <c r="I13" s="91" t="s">
        <v>82</v>
      </c>
      <c r="J13" s="91" t="s">
        <v>83</v>
      </c>
      <c r="K13" s="91" t="s">
        <v>84</v>
      </c>
      <c r="L13" s="91" t="s">
        <v>85</v>
      </c>
      <c r="M13" s="91" t="s">
        <v>86</v>
      </c>
      <c r="N13" s="91" t="s">
        <v>87</v>
      </c>
      <c r="O13" s="91" t="s">
        <v>88</v>
      </c>
      <c r="P13" s="91" t="s">
        <v>89</v>
      </c>
      <c r="Q13" s="91" t="s">
        <v>90</v>
      </c>
      <c r="R13" s="91" t="s">
        <v>14</v>
      </c>
      <c r="S13" s="91" t="s">
        <v>91</v>
      </c>
      <c r="T13" s="91" t="s">
        <v>18</v>
      </c>
      <c r="U13" s="91" t="s">
        <v>19</v>
      </c>
      <c r="V13" s="91" t="s">
        <v>20</v>
      </c>
      <c r="W13" s="91" t="s">
        <v>16</v>
      </c>
      <c r="X13" s="91" t="s">
        <v>21</v>
      </c>
      <c r="Y13" s="91" t="s">
        <v>22</v>
      </c>
      <c r="Z13" s="91" t="s">
        <v>92</v>
      </c>
      <c r="AA13" s="91" t="s">
        <v>23</v>
      </c>
      <c r="AB13" s="91" t="s">
        <v>93</v>
      </c>
      <c r="AC13" s="93" t="s">
        <v>94</v>
      </c>
      <c r="AD13" s="93" t="s">
        <v>95</v>
      </c>
      <c r="AE13" s="93" t="s">
        <v>96</v>
      </c>
      <c r="AF13" s="93" t="s">
        <v>97</v>
      </c>
      <c r="AG13" s="94" t="s">
        <v>98</v>
      </c>
      <c r="AH13" s="95" t="s">
        <v>99</v>
      </c>
      <c r="AI13" s="95" t="s">
        <v>13</v>
      </c>
      <c r="AJ13" s="95" t="s">
        <v>14</v>
      </c>
      <c r="AK13" s="95" t="s">
        <v>100</v>
      </c>
      <c r="AL13" s="96" t="s">
        <v>16</v>
      </c>
      <c r="AM13" s="96" t="s">
        <v>17</v>
      </c>
      <c r="AN13" s="95" t="s">
        <v>18</v>
      </c>
      <c r="AO13" s="95" t="s">
        <v>19</v>
      </c>
      <c r="AP13" s="95" t="s">
        <v>20</v>
      </c>
      <c r="AQ13" s="95" t="s">
        <v>21</v>
      </c>
      <c r="AR13" s="95" t="s">
        <v>22</v>
      </c>
      <c r="AS13" s="95" t="s">
        <v>23</v>
      </c>
      <c r="AT13" s="10" t="s">
        <v>5</v>
      </c>
      <c r="AU13" s="10" t="s">
        <v>6</v>
      </c>
      <c r="AV13" s="10" t="s">
        <v>7</v>
      </c>
      <c r="AW13" s="10" t="s">
        <v>8</v>
      </c>
      <c r="AX13" s="10" t="s">
        <v>9</v>
      </c>
      <c r="AY13" s="97" t="s">
        <v>101</v>
      </c>
      <c r="AZ13" s="97" t="s">
        <v>102</v>
      </c>
      <c r="BA13" s="97" t="s">
        <v>103</v>
      </c>
      <c r="BB13" s="97" t="s">
        <v>104</v>
      </c>
      <c r="BC13" s="97" t="s">
        <v>105</v>
      </c>
      <c r="BD13" s="97" t="s">
        <v>106</v>
      </c>
      <c r="BE13" s="97" t="s">
        <v>107</v>
      </c>
      <c r="BF13" s="97" t="s">
        <v>108</v>
      </c>
      <c r="BG13" s="97" t="s">
        <v>109</v>
      </c>
      <c r="BH13" s="97" t="s">
        <v>110</v>
      </c>
      <c r="BI13" s="97" t="s">
        <v>111</v>
      </c>
      <c r="BJ13" s="97" t="s">
        <v>112</v>
      </c>
      <c r="BK13" s="97" t="s">
        <v>113</v>
      </c>
      <c r="BL13" s="97" t="s">
        <v>114</v>
      </c>
      <c r="BM13" s="97" t="s">
        <v>102</v>
      </c>
      <c r="BN13" s="97" t="s">
        <v>115</v>
      </c>
      <c r="BO13" s="97" t="s">
        <v>105</v>
      </c>
      <c r="BP13" s="97" t="s">
        <v>106</v>
      </c>
      <c r="BQ13" s="97" t="s">
        <v>107</v>
      </c>
      <c r="BR13" s="97" t="s">
        <v>116</v>
      </c>
      <c r="BS13" s="97" t="s">
        <v>109</v>
      </c>
      <c r="BT13" s="97" t="s">
        <v>110</v>
      </c>
      <c r="BU13" s="97" t="s">
        <v>117</v>
      </c>
      <c r="BV13" s="97" t="s">
        <v>112</v>
      </c>
      <c r="BW13" s="97" t="s">
        <v>113</v>
      </c>
      <c r="BX13" s="97" t="s">
        <v>118</v>
      </c>
      <c r="BY13" s="97" t="s">
        <v>68</v>
      </c>
      <c r="BZ13" s="98" t="s">
        <v>119</v>
      </c>
      <c r="CA13" s="99" t="s">
        <v>12</v>
      </c>
      <c r="CB13" s="100" t="s">
        <v>13</v>
      </c>
      <c r="CC13" s="100" t="s">
        <v>14</v>
      </c>
      <c r="CD13" s="99" t="s">
        <v>100</v>
      </c>
      <c r="CE13" s="99" t="s">
        <v>16</v>
      </c>
      <c r="CF13" s="99" t="s">
        <v>17</v>
      </c>
      <c r="CG13" s="99" t="s">
        <v>18</v>
      </c>
      <c r="CH13" s="99" t="s">
        <v>19</v>
      </c>
      <c r="CI13" s="101" t="s">
        <v>20</v>
      </c>
      <c r="CJ13" s="99" t="s">
        <v>21</v>
      </c>
      <c r="CK13" s="99" t="s">
        <v>22</v>
      </c>
      <c r="CL13" s="102" t="s">
        <v>23</v>
      </c>
      <c r="CM13" s="103" t="s">
        <v>120</v>
      </c>
      <c r="CN13" s="103" t="s">
        <v>121</v>
      </c>
      <c r="CO13" s="103" t="s">
        <v>122</v>
      </c>
      <c r="CP13" s="103" t="s">
        <v>123</v>
      </c>
      <c r="CQ13" s="97" t="s">
        <v>124</v>
      </c>
      <c r="CR13" s="103" t="s">
        <v>125</v>
      </c>
      <c r="CS13" s="103" t="s">
        <v>126</v>
      </c>
      <c r="CT13" s="103" t="s">
        <v>127</v>
      </c>
      <c r="CU13" s="98" t="s">
        <v>119</v>
      </c>
      <c r="CV13" s="99" t="s">
        <v>12</v>
      </c>
      <c r="CW13" s="100" t="s">
        <v>13</v>
      </c>
      <c r="CX13" s="100" t="s">
        <v>14</v>
      </c>
      <c r="CY13" s="99" t="s">
        <v>100</v>
      </c>
      <c r="CZ13" s="99" t="s">
        <v>16</v>
      </c>
      <c r="DA13" s="99" t="s">
        <v>17</v>
      </c>
      <c r="DB13" s="99" t="s">
        <v>18</v>
      </c>
      <c r="DC13" s="99" t="s">
        <v>19</v>
      </c>
      <c r="DD13" s="101" t="s">
        <v>20</v>
      </c>
      <c r="DE13" s="99" t="s">
        <v>21</v>
      </c>
      <c r="DF13" s="99" t="s">
        <v>22</v>
      </c>
      <c r="DG13" s="102" t="s">
        <v>23</v>
      </c>
      <c r="DH13" s="103" t="s">
        <v>120</v>
      </c>
      <c r="DI13" s="103" t="s">
        <v>121</v>
      </c>
      <c r="DJ13" s="103" t="s">
        <v>122</v>
      </c>
      <c r="DK13" s="103" t="s">
        <v>123</v>
      </c>
      <c r="DL13" s="97" t="s">
        <v>124</v>
      </c>
      <c r="DM13" s="103" t="s">
        <v>128</v>
      </c>
      <c r="DN13" s="103" t="s">
        <v>126</v>
      </c>
      <c r="DO13" s="103" t="s">
        <v>127</v>
      </c>
      <c r="DP13" s="104" t="s">
        <v>119</v>
      </c>
      <c r="DQ13" s="104" t="s">
        <v>129</v>
      </c>
      <c r="DR13" s="104" t="s">
        <v>130</v>
      </c>
      <c r="DS13" s="104" t="s">
        <v>131</v>
      </c>
      <c r="DT13" s="104" t="s">
        <v>132</v>
      </c>
      <c r="DU13" s="105" t="s">
        <v>133</v>
      </c>
      <c r="DV13" s="104" t="s">
        <v>134</v>
      </c>
      <c r="DW13" s="104" t="s">
        <v>135</v>
      </c>
      <c r="DX13" s="104" t="s">
        <v>127</v>
      </c>
      <c r="DY13" s="106" t="s">
        <v>136</v>
      </c>
      <c r="DZ13" s="107" t="s">
        <v>137</v>
      </c>
      <c r="EA13" s="107" t="s">
        <v>138</v>
      </c>
      <c r="EB13" s="107" t="s">
        <v>139</v>
      </c>
      <c r="EC13" s="107" t="s">
        <v>140</v>
      </c>
      <c r="ED13" s="107" t="s">
        <v>141</v>
      </c>
      <c r="EE13" s="107" t="s">
        <v>142</v>
      </c>
    </row>
    <row r="14">
      <c r="A14" s="108">
        <v>1.0</v>
      </c>
      <c r="B14" s="109" t="s">
        <v>143</v>
      </c>
      <c r="C14" s="109">
        <v>32.0</v>
      </c>
      <c r="D14" s="109">
        <v>74.0</v>
      </c>
      <c r="E14" s="109">
        <v>74.0</v>
      </c>
      <c r="F14" s="109">
        <v>2794.0</v>
      </c>
      <c r="G14" s="109">
        <v>736.0</v>
      </c>
      <c r="H14" s="109">
        <v>1344.0</v>
      </c>
      <c r="I14" s="109">
        <v>0.548</v>
      </c>
      <c r="J14" s="109">
        <v>124.0</v>
      </c>
      <c r="K14" s="109">
        <v>342.0</v>
      </c>
      <c r="L14" s="109">
        <v>0.363</v>
      </c>
      <c r="M14" s="109">
        <v>612.0</v>
      </c>
      <c r="N14" s="109">
        <v>1002.0</v>
      </c>
      <c r="O14" s="109">
        <v>0.611</v>
      </c>
      <c r="P14" s="109">
        <v>0.594</v>
      </c>
      <c r="Q14" s="109">
        <v>358.0</v>
      </c>
      <c r="R14" s="109">
        <v>531.0</v>
      </c>
      <c r="S14" s="109">
        <v>0.674</v>
      </c>
      <c r="T14" s="109">
        <v>97.0</v>
      </c>
      <c r="U14" s="109">
        <v>542.0</v>
      </c>
      <c r="V14" s="109">
        <v>639.0</v>
      </c>
      <c r="W14" s="109">
        <v>646.0</v>
      </c>
      <c r="X14" s="109">
        <v>92.0</v>
      </c>
      <c r="Y14" s="109">
        <v>44.0</v>
      </c>
      <c r="Z14" s="109">
        <v>303.0</v>
      </c>
      <c r="AA14" s="109">
        <v>134.0</v>
      </c>
      <c r="AB14" s="109">
        <v>1954.0</v>
      </c>
      <c r="AC14" s="110">
        <f t="shared" ref="AC14:AC34" si="10">H14+$S$6*R14</f>
        <v>1577.64</v>
      </c>
      <c r="AD14" s="111">
        <f t="shared" ref="AD14:AD34" si="11">if(AC14=0,0,AB14/AC14)</f>
        <v>1.23855886</v>
      </c>
      <c r="AE14" s="4">
        <f t="shared" ref="AE14:AE34" si="12">((AD14-$R$7)+$R$8)*AC14</f>
        <v>1702.684353</v>
      </c>
      <c r="AF14" s="110">
        <f t="shared" ref="AF14:AF34" si="13">F14*$C$7/48</f>
        <v>5599.641667</v>
      </c>
      <c r="AG14" s="112">
        <f t="shared" ref="AG14:AG34" si="14">AC14*(AD14-($R$7+BN$7))</f>
        <v>645.6655526</v>
      </c>
      <c r="AH14" s="113">
        <f t="shared" ref="AH14:AH34" si="15">AE14/$AF14*100</f>
        <v>30.40702341</v>
      </c>
      <c r="AI14" s="113">
        <f t="shared" ref="AI14:AI34" si="16">H14/$AF14*100</f>
        <v>24.00153581</v>
      </c>
      <c r="AJ14" s="113">
        <f t="shared" ref="AJ14:AJ34" si="17">R14/$AF14*100</f>
        <v>9.48274964</v>
      </c>
      <c r="AK14" s="113">
        <f t="shared" ref="AK14:AK34" si="18">J14/$AF14*100</f>
        <v>2.214427411</v>
      </c>
      <c r="AL14" s="113">
        <f t="shared" ref="AL14:AL34" si="19">W14/$AF14*100</f>
        <v>11.53645248</v>
      </c>
      <c r="AM14" s="113">
        <f t="shared" ref="AM14:AM34" si="20">Z14/$AF14*100</f>
        <v>5.411060529</v>
      </c>
      <c r="AN14" s="113">
        <f t="shared" ref="AN14:AP14" si="4">T14/$AF14*100</f>
        <v>1.732253701</v>
      </c>
      <c r="AO14" s="113">
        <f t="shared" si="4"/>
        <v>9.679190782</v>
      </c>
      <c r="AP14" s="113">
        <f t="shared" si="4"/>
        <v>11.41144448</v>
      </c>
      <c r="AQ14" s="113">
        <f t="shared" ref="AQ14:AR14" si="5">X14/$AF14*100</f>
        <v>1.642962273</v>
      </c>
      <c r="AR14" s="113">
        <f t="shared" si="5"/>
        <v>0.7857645653</v>
      </c>
      <c r="AS14" s="113">
        <f t="shared" ref="AS14:AS34" si="23">AA14/$AF14*100</f>
        <v>2.393010267</v>
      </c>
      <c r="AT14" s="114">
        <f t="shared" ref="AT14:AT34" si="24">V14/$X$4/$CS14</f>
        <v>0.2535194597</v>
      </c>
      <c r="AU14" s="114">
        <f t="shared" ref="AU14:AU34" si="25">X14/$X$5/$CS14</f>
        <v>0.242907476</v>
      </c>
      <c r="AV14" s="114">
        <f t="shared" ref="AV14:AV34" si="26">AA14/$X$6/$CS14</f>
        <v>0.1283298859</v>
      </c>
      <c r="AW14" s="114">
        <f t="shared" ref="AW14:AW34" si="27">W14/$X$7/$CS14</f>
        <v>0.4947987884</v>
      </c>
      <c r="AX14" s="114">
        <f t="shared" ref="AX14:AX34" si="28">Y14/$X$8/$CS14</f>
        <v>0.1914902839</v>
      </c>
      <c r="AY14" s="115">
        <f t="shared" ref="AY14:AY34" si="29">AG14/$AB$4/$CS14</f>
        <v>0.3567616542</v>
      </c>
      <c r="AZ14" s="116" t="str">
        <f t="shared" ref="AZ14:AZ34" si="30">if(iserror(index($C$51:$C$81,match(B14,$N$51:$N$81,false))),"?",index($C$51:$C$81,match(B14,$N$51:$N$81,false)))</f>
        <v>SF</v>
      </c>
      <c r="BA14" s="117">
        <f t="shared" ref="BA14:BA34" si="31">vlookup(AZ14,$S$51:$T$65,2,false)</f>
        <v>3</v>
      </c>
      <c r="BB14" s="118">
        <f t="shared" ref="BB14:BB34" si="32">$BK$3+sumproduct($BL$3:$BP$3,AT14:AX14)</f>
        <v>2.419953398</v>
      </c>
      <c r="BC14" s="118">
        <f t="shared" ref="BC14:BC34" si="33">(BB14*$F14+ BA14*$BQ$3)/($F14+$BQ$3)</f>
        <v>2.430151123</v>
      </c>
      <c r="BD14" s="118">
        <f t="shared" ref="BD14:BD34" si="34">max(min(BC14,5),1)</f>
        <v>2.430151123</v>
      </c>
      <c r="BE14" s="119">
        <f>sumproduct(BD14:BD39,$F14:$F39)/$R$9</f>
        <v>3.116564532</v>
      </c>
      <c r="BF14" s="118">
        <f t="shared" ref="BF14:BF34" si="35">BC14-(BE14-3)</f>
        <v>2.313586592</v>
      </c>
      <c r="BG14" s="118">
        <f t="shared" ref="BG14:BG34" si="36">max(min(BF14,5),1)</f>
        <v>2.313586592</v>
      </c>
      <c r="BH14" s="119">
        <f>sumproduct(BG14:BG39,$F14:$F39)/$R$9</f>
        <v>3.014583965</v>
      </c>
      <c r="BI14" s="118">
        <f t="shared" ref="BI14:BI34" si="37">BC14-(BE14-3)-(BH14-3)</f>
        <v>2.299002627</v>
      </c>
      <c r="BJ14" s="118">
        <f t="shared" ref="BJ14:BJ34" si="38">max(min(BI14,5),1)</f>
        <v>2.299002627</v>
      </c>
      <c r="BK14" s="119">
        <f>sumproduct(BJ14:BJ39,$F14:$F39)/$R$9</f>
        <v>3.001824371</v>
      </c>
      <c r="BL14" s="118">
        <f t="shared" ref="BL14:BL34" si="39">BC14-(BE14-3)-(BH14-3)-(BK14-3)</f>
        <v>2.297178256</v>
      </c>
      <c r="BM14" s="118">
        <f t="shared" ref="BM14:BM34" si="40">max(min(BL14,5),1)</f>
        <v>2.297178256</v>
      </c>
      <c r="BN14" s="120">
        <f t="shared" ref="BN14:BN34" si="41">$BK$7+$BL$7*AW14+$BM$7*AY14</f>
        <v>-0.3344628828</v>
      </c>
      <c r="BO14" s="118">
        <f t="shared" ref="BO14:BO34" si="42">(BN14*$F14+$BP$7*$BQ$7)/($F14+$BQ$7)</f>
        <v>-0.2582592456</v>
      </c>
      <c r="BP14" s="118">
        <f t="shared" ref="BP14:BP34" si="43">max(min(BO14,5),1)</f>
        <v>1</v>
      </c>
      <c r="BQ14" s="119">
        <f>sumproduct(BP14:BP39,$F14:$F39)/$R$9</f>
        <v>3.160209217</v>
      </c>
      <c r="BR14" s="118">
        <f t="shared" ref="BR14:BR34" si="44">BO14-(BQ14-3)</f>
        <v>-0.4184684624</v>
      </c>
      <c r="BS14" s="118">
        <f t="shared" ref="BS14:BS34" si="45">max(min(BR14,5),1)</f>
        <v>1</v>
      </c>
      <c r="BT14" s="119">
        <f>sumproduct(BS14:BS39,$F14:$F39)/$R$9</f>
        <v>3.042862674</v>
      </c>
      <c r="BU14" s="118">
        <f t="shared" ref="BU14:BU34" si="46">BO14-(BQ14-3)-(BT14-3)</f>
        <v>-0.4613311365</v>
      </c>
      <c r="BV14" s="118">
        <f t="shared" ref="BV14:BV34" si="47">max(min(BU14,5),1)</f>
        <v>1</v>
      </c>
      <c r="BW14" s="119">
        <f>sumproduct(BV14:BV39,$F14:$F39)/$R$9</f>
        <v>3.01146756</v>
      </c>
      <c r="BX14" s="118">
        <f t="shared" ref="BX14:BX34" si="48">BO14-(BQ14-3)-(BT14-3)-(BW14-3)</f>
        <v>-0.4727986967</v>
      </c>
      <c r="BY14" s="118">
        <f t="shared" ref="BY14:BY34" si="49">max(min(BX14,5),1)</f>
        <v>1</v>
      </c>
      <c r="BZ14" s="61" t="str">
        <f t="shared" ref="BZ14:BZ34" si="50">B14</f>
        <v>LeBron James</v>
      </c>
      <c r="CA14" s="121">
        <f t="shared" ref="CA14:CA34" si="51">(5-$BM14)/4*CA$3+($BM14-1)/4*CA$4</f>
        <v>0.86</v>
      </c>
      <c r="CB14" s="122">
        <f t="shared" ref="CB14:CC14" si="6">(5-$BY14)/4*CB$3+($BY14-1)/4*CB$4</f>
        <v>-0.56</v>
      </c>
      <c r="CC14" s="122">
        <f t="shared" si="6"/>
        <v>-0.2464</v>
      </c>
      <c r="CD14" s="121">
        <f t="shared" ref="CD14:CL14" si="7">(5-$BM14)/4*CD$3+($BM14-1)/4*CD$4</f>
        <v>0.389</v>
      </c>
      <c r="CE14" s="121">
        <f t="shared" si="7"/>
        <v>0.7272297321</v>
      </c>
      <c r="CF14" s="121">
        <f t="shared" si="7"/>
        <v>-0.964</v>
      </c>
      <c r="CG14" s="121">
        <f t="shared" si="7"/>
        <v>0.4729047483</v>
      </c>
      <c r="CH14" s="121">
        <f t="shared" si="7"/>
        <v>0.1370791467</v>
      </c>
      <c r="CI14" s="121">
        <f t="shared" si="7"/>
        <v>0</v>
      </c>
      <c r="CJ14" s="121">
        <f t="shared" si="7"/>
        <v>1.251929662</v>
      </c>
      <c r="CK14" s="121">
        <f t="shared" si="7"/>
        <v>1.124640192</v>
      </c>
      <c r="CL14" s="121">
        <f t="shared" si="7"/>
        <v>-0.367</v>
      </c>
      <c r="CM14" s="118">
        <f t="shared" ref="CM14:CM34" si="54">sumproduct(CA14:CD14,AH14:AK14)</f>
        <v>11.23404283</v>
      </c>
      <c r="CN14" s="118">
        <f t="shared" ref="CN14:CN34" si="55">sumproduct(CE14:CF14,AL14:AM14)</f>
        <v>3.173388897</v>
      </c>
      <c r="CO14" s="118">
        <f t="shared" ref="CO14:CO34" si="56">sumproduct(CG14:CI14,AN14:AP14)</f>
        <v>2.146006213</v>
      </c>
      <c r="CP14" s="118">
        <f t="shared" ref="CP14:CP34" si="57">SUMPRODUCT(CJ14:CL14,AQ14:AS14)</f>
        <v>2.062340847</v>
      </c>
      <c r="CQ14" s="123">
        <f t="shared" ref="CQ14:CQ34" si="58">if(BM14&lt;3,(BM14-1)/2*$CP$4+(3-BM14)/2*$CO$4,(BM14-3)/2*$CQ$4+(5-BM14)/2*$CP$4)+$CR$4*(BY14-3)</f>
        <v>-3.061454093</v>
      </c>
      <c r="CR14" s="124">
        <f t="shared" ref="CR14:CR34" si="59">sum(CM14:CQ14)</f>
        <v>15.5543247</v>
      </c>
      <c r="CS14" s="114">
        <f t="shared" ref="CS14:CS34" si="60">F14/($R$9/5)</f>
        <v>0.7026809517</v>
      </c>
      <c r="CT14" s="118">
        <f t="shared" ref="CT14:CT34" si="61">CS14*CR14</f>
        <v>10.92972768</v>
      </c>
      <c r="CU14" s="125" t="str">
        <f t="shared" ref="CU14:CU34" si="62">BZ14</f>
        <v>LeBron James</v>
      </c>
      <c r="CV14" s="121">
        <f t="shared" ref="CV14:CV34" si="63">(5-$BM14)/4*CA$7+($BM14-1)/4*CA$8</f>
        <v>0.605</v>
      </c>
      <c r="CW14" s="122">
        <f t="shared" ref="CW14:CX14" si="8">(5-$BY14)/4*CB$7+($BY14-1)/4*CB$8</f>
        <v>-0.33</v>
      </c>
      <c r="CX14" s="122">
        <f t="shared" si="8"/>
        <v>-0.1452</v>
      </c>
      <c r="CY14" s="121">
        <f t="shared" ref="CY14:DG14" si="9">(5-$BM14)/4*CD$7+($BM14-1)/4*CD$8</f>
        <v>0.477</v>
      </c>
      <c r="CZ14" s="121">
        <f t="shared" si="9"/>
        <v>0.476</v>
      </c>
      <c r="DA14" s="121">
        <f t="shared" si="9"/>
        <v>-0.6772612529</v>
      </c>
      <c r="DB14" s="121">
        <f t="shared" si="9"/>
        <v>0.5463298002</v>
      </c>
      <c r="DC14" s="121">
        <f t="shared" si="9"/>
        <v>-0.04227666872</v>
      </c>
      <c r="DD14" s="121">
        <f t="shared" si="9"/>
        <v>0</v>
      </c>
      <c r="DE14" s="121">
        <f t="shared" si="9"/>
        <v>0.214942464</v>
      </c>
      <c r="DF14" s="121">
        <f t="shared" si="9"/>
        <v>0.5213430138</v>
      </c>
      <c r="DG14" s="121">
        <f t="shared" si="9"/>
        <v>-0.439</v>
      </c>
      <c r="DH14" s="118">
        <f t="shared" ref="DH14:DH34" si="66">sumproduct(CV14:CY14,AH14:AK14)</f>
        <v>10.15512897</v>
      </c>
      <c r="DI14" s="118">
        <f t="shared" ref="DI14:DI34" si="67">sumproduct(CZ14:DA14,AL14:AM14)</f>
        <v>1.826649748</v>
      </c>
      <c r="DJ14" s="118">
        <f t="shared" ref="DJ14:DJ34" si="68">sumproduct(DB14:DD14,AN14:AP14)</f>
        <v>0.5371778761</v>
      </c>
      <c r="DK14" s="118">
        <f t="shared" ref="DK14:DK34" si="69">SUMPRODUCT(DE14:DG14,AQ14:AS14)</f>
        <v>-0.2877362815</v>
      </c>
      <c r="DL14" s="123">
        <f t="shared" ref="DL14:DL34" si="70">if(BM14&lt;3,(BM14-1)/2*$CP$8+(3-BM14)/2*$CO$8,(BM14-3)/2*$CQ$8+(5-BM14)/2*$CP$8)+$CR$8*(BY14-3)</f>
        <v>-1.45669566</v>
      </c>
      <c r="DM14" s="124">
        <f t="shared" ref="DM14:DM34" si="71">sum(DH14:DL14)</f>
        <v>10.77452466</v>
      </c>
      <c r="DN14" s="114">
        <f t="shared" ref="DN14:DN34" si="72">CS14</f>
        <v>0.7026809517</v>
      </c>
      <c r="DO14" s="118">
        <f t="shared" ref="DO14:DO34" si="73">DN14*DM14</f>
        <v>7.571053239</v>
      </c>
      <c r="DP14" s="126" t="str">
        <f t="shared" ref="DP14:DP34" si="74">concatenate(B14,if(iserror(vlookup(B14,$N$51:$O$81,2,false)),"",concatenate(" (",vlookup(B14,$N$51:$O$81,2,false),")")))</f>
        <v>LeBron James (14th)</v>
      </c>
      <c r="DQ14" s="127">
        <f t="shared" ref="DQ14:DQ34" si="75">BM14</f>
        <v>2.297178256</v>
      </c>
      <c r="DR14" s="127">
        <f t="shared" ref="DR14:DR34" si="76">BY14</f>
        <v>1</v>
      </c>
      <c r="DS14" s="128">
        <f t="shared" ref="DS14:DS34" si="77">F14</f>
        <v>2794</v>
      </c>
      <c r="DT14" s="127">
        <f t="shared" ref="DT14:DT34" si="78">F14/D14</f>
        <v>37.75675676</v>
      </c>
      <c r="DU14" s="127">
        <f t="shared" ref="DU14:DU34" si="79">CR14+$CT$11</f>
        <v>7.587560846</v>
      </c>
      <c r="DV14" s="127">
        <f t="shared" ref="DV14:DV34" si="80">DM14+$DO$11</f>
        <v>6.331534003</v>
      </c>
      <c r="DW14" s="127">
        <f t="shared" ref="DW14:DW34" si="81">DU14-DV14</f>
        <v>1.256026843</v>
      </c>
      <c r="DX14" s="127">
        <f t="shared" ref="DX14:DX34" si="82">DU14*CS14</f>
        <v>5.331634476</v>
      </c>
      <c r="DY14" s="129">
        <f t="shared" ref="DY14:DY34" si="83">(DU14+2)* DN14*$X$9/82</f>
        <v>6.73699638</v>
      </c>
      <c r="DZ14" s="130">
        <f t="shared" ref="DZ14:DZ34" si="84">F14/(D14+4)</f>
        <v>35.82051282</v>
      </c>
      <c r="EA14" s="130">
        <f t="shared" ref="EA14:EA34" si="85">max((450-DS14)/3,0)</f>
        <v>0</v>
      </c>
      <c r="EB14" s="130">
        <f t="shared" ref="EB14:EB34" si="86">-4.75+0.175*DZ14</f>
        <v>1.518589744</v>
      </c>
      <c r="EC14" s="130">
        <f t="shared" ref="EC14:EC34" si="87">(DU14*DS14+EB14* EA14)/(DS14+ EA14)</f>
        <v>7.587560846</v>
      </c>
      <c r="ED14" s="32">
        <f t="shared" ref="ED14:ED34" si="88">(DV14*DS14+EB14* EA14)/(DS14+ EA14)</f>
        <v>6.331534003</v>
      </c>
      <c r="EE14" s="32">
        <f t="shared" ref="EE14:EE34" si="89">EC14-ED14</f>
        <v>1.256026843</v>
      </c>
    </row>
    <row r="15">
      <c r="A15" s="108">
        <v>2.0</v>
      </c>
      <c r="B15" s="109" t="s">
        <v>144</v>
      </c>
      <c r="C15" s="109">
        <v>24.0</v>
      </c>
      <c r="D15" s="109">
        <v>72.0</v>
      </c>
      <c r="E15" s="109">
        <v>72.0</v>
      </c>
      <c r="F15" s="109">
        <v>2525.0</v>
      </c>
      <c r="G15" s="109">
        <v>671.0</v>
      </c>
      <c r="H15" s="109">
        <v>1420.0</v>
      </c>
      <c r="I15" s="109">
        <v>0.473</v>
      </c>
      <c r="J15" s="109">
        <v>177.0</v>
      </c>
      <c r="K15" s="109">
        <v>441.0</v>
      </c>
      <c r="L15" s="109">
        <v>0.401</v>
      </c>
      <c r="M15" s="109">
        <v>494.0</v>
      </c>
      <c r="N15" s="109">
        <v>979.0</v>
      </c>
      <c r="O15" s="109">
        <v>0.505</v>
      </c>
      <c r="P15" s="109">
        <v>0.535</v>
      </c>
      <c r="Q15" s="109">
        <v>297.0</v>
      </c>
      <c r="R15" s="109">
        <v>328.0</v>
      </c>
      <c r="S15" s="109">
        <v>0.905</v>
      </c>
      <c r="T15" s="109">
        <v>52.0</v>
      </c>
      <c r="U15" s="109">
        <v>178.0</v>
      </c>
      <c r="V15" s="109">
        <v>230.0</v>
      </c>
      <c r="W15" s="109">
        <v>418.0</v>
      </c>
      <c r="X15" s="109">
        <v>83.0</v>
      </c>
      <c r="Y15" s="109">
        <v>24.0</v>
      </c>
      <c r="Z15" s="109">
        <v>180.0</v>
      </c>
      <c r="AA15" s="109">
        <v>157.0</v>
      </c>
      <c r="AB15" s="109">
        <v>1816.0</v>
      </c>
      <c r="AC15" s="110">
        <f t="shared" si="10"/>
        <v>1564.32</v>
      </c>
      <c r="AD15" s="111">
        <f t="shared" si="11"/>
        <v>1.160887798</v>
      </c>
      <c r="AE15" s="4">
        <f t="shared" si="12"/>
        <v>1566.806208</v>
      </c>
      <c r="AF15" s="110">
        <f t="shared" si="13"/>
        <v>5060.520833</v>
      </c>
      <c r="AG15" s="112">
        <f t="shared" si="14"/>
        <v>518.7118083</v>
      </c>
      <c r="AH15" s="113">
        <f t="shared" si="15"/>
        <v>30.96136267</v>
      </c>
      <c r="AI15" s="113">
        <f t="shared" si="16"/>
        <v>28.06035281</v>
      </c>
      <c r="AJ15" s="113">
        <f t="shared" si="17"/>
        <v>6.481546284</v>
      </c>
      <c r="AK15" s="113">
        <f t="shared" si="18"/>
        <v>3.497663696</v>
      </c>
      <c r="AL15" s="113">
        <f t="shared" si="19"/>
        <v>8.260019349</v>
      </c>
      <c r="AM15" s="113">
        <f t="shared" si="20"/>
        <v>3.556946131</v>
      </c>
      <c r="AN15" s="113">
        <f t="shared" ref="AN15:AP15" si="21">T15/$AF15*100</f>
        <v>1.027562216</v>
      </c>
      <c r="AO15" s="113">
        <f t="shared" si="21"/>
        <v>3.517424508</v>
      </c>
      <c r="AP15" s="113">
        <f t="shared" si="21"/>
        <v>4.544986723</v>
      </c>
      <c r="AQ15" s="113">
        <f t="shared" ref="AQ15:AR15" si="22">X15/$AF15*100</f>
        <v>1.640147383</v>
      </c>
      <c r="AR15" s="113">
        <f t="shared" si="22"/>
        <v>0.4742594842</v>
      </c>
      <c r="AS15" s="113">
        <f t="shared" si="23"/>
        <v>3.102447459</v>
      </c>
      <c r="AT15" s="114">
        <f t="shared" si="24"/>
        <v>0.1009725439</v>
      </c>
      <c r="AU15" s="114">
        <f t="shared" si="25"/>
        <v>0.2424913022</v>
      </c>
      <c r="AV15" s="114">
        <f t="shared" si="26"/>
        <v>0.1663748518</v>
      </c>
      <c r="AW15" s="114">
        <f t="shared" si="27"/>
        <v>0.3542724744</v>
      </c>
      <c r="AX15" s="114">
        <f t="shared" si="28"/>
        <v>0.11557671</v>
      </c>
      <c r="AY15" s="115">
        <f t="shared" si="29"/>
        <v>0.3171478023</v>
      </c>
      <c r="AZ15" s="116" t="str">
        <f t="shared" si="30"/>
        <v>PG</v>
      </c>
      <c r="BA15" s="117">
        <f t="shared" si="31"/>
        <v>1</v>
      </c>
      <c r="BB15" s="118">
        <f t="shared" si="32"/>
        <v>1.506887769</v>
      </c>
      <c r="BC15" s="118">
        <f t="shared" si="33"/>
        <v>1.497045288</v>
      </c>
      <c r="BD15" s="118">
        <f t="shared" si="34"/>
        <v>1.497045288</v>
      </c>
      <c r="BE15" s="131">
        <f t="shared" ref="BE15:BE34" si="92">BE14</f>
        <v>3.116564532</v>
      </c>
      <c r="BF15" s="118">
        <f t="shared" si="35"/>
        <v>1.380480756</v>
      </c>
      <c r="BG15" s="118">
        <f t="shared" si="36"/>
        <v>1.380480756</v>
      </c>
      <c r="BH15" s="131">
        <f t="shared" ref="BH15:BH34" si="93">BH14</f>
        <v>3.014583965</v>
      </c>
      <c r="BI15" s="118">
        <f t="shared" si="37"/>
        <v>1.365896792</v>
      </c>
      <c r="BJ15" s="118">
        <f t="shared" si="38"/>
        <v>1.365896792</v>
      </c>
      <c r="BK15" s="131">
        <f t="shared" ref="BK15:BK34" si="94">BK14</f>
        <v>3.001824371</v>
      </c>
      <c r="BL15" s="118">
        <f t="shared" si="39"/>
        <v>1.364072421</v>
      </c>
      <c r="BM15" s="118">
        <f t="shared" si="40"/>
        <v>1.364072421</v>
      </c>
      <c r="BN15" s="120">
        <f t="shared" si="41"/>
        <v>0.9373213962</v>
      </c>
      <c r="BO15" s="118">
        <f t="shared" si="42"/>
        <v>0.9967908836</v>
      </c>
      <c r="BP15" s="118">
        <f t="shared" si="43"/>
        <v>1</v>
      </c>
      <c r="BQ15" s="131">
        <f t="shared" ref="BQ15:BQ34" si="95">BQ14</f>
        <v>3.160209217</v>
      </c>
      <c r="BR15" s="118">
        <f t="shared" si="44"/>
        <v>0.8365816668</v>
      </c>
      <c r="BS15" s="118">
        <f t="shared" si="45"/>
        <v>1</v>
      </c>
      <c r="BT15" s="131">
        <f t="shared" ref="BT15:BT34" si="96">BT14</f>
        <v>3.042862674</v>
      </c>
      <c r="BU15" s="118">
        <f t="shared" si="46"/>
        <v>0.7937189927</v>
      </c>
      <c r="BV15" s="118">
        <f t="shared" si="47"/>
        <v>1</v>
      </c>
      <c r="BW15" s="131">
        <f t="shared" ref="BW15:BW34" si="97">BW14</f>
        <v>3.01146756</v>
      </c>
      <c r="BX15" s="118">
        <f t="shared" si="48"/>
        <v>0.7822514325</v>
      </c>
      <c r="BY15" s="118">
        <f t="shared" si="49"/>
        <v>1</v>
      </c>
      <c r="BZ15" s="61" t="str">
        <f t="shared" si="50"/>
        <v>Kyrie Irving</v>
      </c>
      <c r="CA15" s="121">
        <f t="shared" si="51"/>
        <v>0.86</v>
      </c>
      <c r="CB15" s="122">
        <f t="shared" ref="CB15:CC15" si="52">(5-$BY15)/4*CB$3+($BY15-1)/4*CB$4</f>
        <v>-0.56</v>
      </c>
      <c r="CC15" s="122">
        <f t="shared" si="52"/>
        <v>-0.2464</v>
      </c>
      <c r="CD15" s="121">
        <f t="shared" ref="CD15:CL15" si="53">(5-$BM15)/4*CD$3+($BM15-1)/4*CD$4</f>
        <v>0.389</v>
      </c>
      <c r="CE15" s="121">
        <f t="shared" si="53"/>
        <v>0.6213222198</v>
      </c>
      <c r="CF15" s="121">
        <f t="shared" si="53"/>
        <v>-0.964</v>
      </c>
      <c r="CG15" s="121">
        <f t="shared" si="53"/>
        <v>0.5736801786</v>
      </c>
      <c r="CH15" s="121">
        <f t="shared" si="53"/>
        <v>0.1219161768</v>
      </c>
      <c r="CI15" s="121">
        <f t="shared" si="53"/>
        <v>0</v>
      </c>
      <c r="CJ15" s="121">
        <f t="shared" si="53"/>
        <v>1.336142464</v>
      </c>
      <c r="CK15" s="121">
        <f t="shared" si="53"/>
        <v>1.270204702</v>
      </c>
      <c r="CL15" s="121">
        <f t="shared" si="53"/>
        <v>-0.367</v>
      </c>
      <c r="CM15" s="118">
        <f t="shared" si="54"/>
        <v>10.6765125</v>
      </c>
      <c r="CN15" s="118">
        <f t="shared" si="55"/>
        <v>1.703237487</v>
      </c>
      <c r="CO15" s="118">
        <f t="shared" si="56"/>
        <v>1.018323024</v>
      </c>
      <c r="CP15" s="118">
        <f t="shared" si="57"/>
        <v>1.655278975</v>
      </c>
      <c r="CQ15" s="123">
        <f t="shared" si="58"/>
        <v>-3.44309438</v>
      </c>
      <c r="CR15" s="124">
        <f t="shared" si="59"/>
        <v>11.6102576</v>
      </c>
      <c r="CS15" s="114">
        <f t="shared" si="60"/>
        <v>0.6350284191</v>
      </c>
      <c r="CT15" s="118">
        <f t="shared" si="61"/>
        <v>7.37284353</v>
      </c>
      <c r="CU15" s="125" t="str">
        <f t="shared" si="62"/>
        <v>Kyrie Irving</v>
      </c>
      <c r="CV15" s="121">
        <f t="shared" si="63"/>
        <v>0.605</v>
      </c>
      <c r="CW15" s="122">
        <f t="shared" ref="CW15:CX15" si="64">(5-$BY15)/4*CB$7+($BY15-1)/4*CB$8</f>
        <v>-0.33</v>
      </c>
      <c r="CX15" s="122">
        <f t="shared" si="64"/>
        <v>-0.1452</v>
      </c>
      <c r="CY15" s="121">
        <f t="shared" ref="CY15:DG15" si="65">(5-$BM15)/4*CD$7+($BM15-1)/4*CD$8</f>
        <v>0.477</v>
      </c>
      <c r="CZ15" s="121">
        <f t="shared" si="65"/>
        <v>0.476</v>
      </c>
      <c r="DA15" s="121">
        <f t="shared" si="65"/>
        <v>-0.6065784859</v>
      </c>
      <c r="DB15" s="121">
        <f t="shared" si="65"/>
        <v>0.5892526686</v>
      </c>
      <c r="DC15" s="121">
        <f t="shared" si="65"/>
        <v>-0.09243110738</v>
      </c>
      <c r="DD15" s="121">
        <f t="shared" si="65"/>
        <v>0</v>
      </c>
      <c r="DE15" s="121">
        <f t="shared" si="65"/>
        <v>0.1876491183</v>
      </c>
      <c r="DF15" s="121">
        <f t="shared" si="65"/>
        <v>0.6678406299</v>
      </c>
      <c r="DG15" s="121">
        <f t="shared" si="65"/>
        <v>-0.439</v>
      </c>
      <c r="DH15" s="118">
        <f t="shared" si="66"/>
        <v>10.19897305</v>
      </c>
      <c r="DI15" s="118">
        <f t="shared" si="67"/>
        <v>1.774202212</v>
      </c>
      <c r="DJ15" s="118">
        <f t="shared" si="68"/>
        <v>0.2803743354</v>
      </c>
      <c r="DK15" s="118">
        <f t="shared" si="69"/>
        <v>-0.7374724715</v>
      </c>
      <c r="DL15" s="123">
        <f t="shared" si="70"/>
        <v>-2.248902515</v>
      </c>
      <c r="DM15" s="124">
        <f t="shared" si="71"/>
        <v>9.267174612</v>
      </c>
      <c r="DN15" s="114">
        <f t="shared" si="72"/>
        <v>0.6350284191</v>
      </c>
      <c r="DO15" s="118">
        <f t="shared" si="73"/>
        <v>5.884919243</v>
      </c>
      <c r="DP15" s="126" t="str">
        <f t="shared" si="74"/>
        <v>Kyrie Irving (6th)</v>
      </c>
      <c r="DQ15" s="127">
        <f t="shared" si="75"/>
        <v>1.364072421</v>
      </c>
      <c r="DR15" s="127">
        <f t="shared" si="76"/>
        <v>1</v>
      </c>
      <c r="DS15" s="128">
        <f t="shared" si="77"/>
        <v>2525</v>
      </c>
      <c r="DT15" s="127">
        <f t="shared" si="78"/>
        <v>35.06944444</v>
      </c>
      <c r="DU15" s="127">
        <f t="shared" si="79"/>
        <v>3.643493752</v>
      </c>
      <c r="DV15" s="127">
        <f t="shared" si="80"/>
        <v>4.824183959</v>
      </c>
      <c r="DW15" s="127">
        <f t="shared" si="81"/>
        <v>-1.180690207</v>
      </c>
      <c r="DX15" s="127">
        <f t="shared" si="82"/>
        <v>2.313722077</v>
      </c>
      <c r="DY15" s="129">
        <f t="shared" si="83"/>
        <v>3.583778915</v>
      </c>
      <c r="DZ15" s="130">
        <f t="shared" si="84"/>
        <v>33.22368421</v>
      </c>
      <c r="EA15" s="130">
        <f t="shared" si="85"/>
        <v>0</v>
      </c>
      <c r="EB15" s="130">
        <f t="shared" si="86"/>
        <v>1.064144737</v>
      </c>
      <c r="EC15" s="130">
        <f t="shared" si="87"/>
        <v>3.643493752</v>
      </c>
      <c r="ED15" s="32">
        <f t="shared" si="88"/>
        <v>4.824183959</v>
      </c>
      <c r="EE15" s="32">
        <f t="shared" si="89"/>
        <v>-1.180690207</v>
      </c>
    </row>
    <row r="16">
      <c r="A16" s="108">
        <v>3.0</v>
      </c>
      <c r="B16" s="109" t="s">
        <v>145</v>
      </c>
      <c r="C16" s="109">
        <v>25.0</v>
      </c>
      <c r="D16" s="109">
        <v>78.0</v>
      </c>
      <c r="E16" s="109">
        <v>78.0</v>
      </c>
      <c r="F16" s="109">
        <v>2336.0</v>
      </c>
      <c r="G16" s="109">
        <v>262.0</v>
      </c>
      <c r="H16" s="109">
        <v>437.0</v>
      </c>
      <c r="I16" s="109">
        <v>0.6</v>
      </c>
      <c r="J16" s="109">
        <v>0.0</v>
      </c>
      <c r="K16" s="109">
        <v>3.0</v>
      </c>
      <c r="L16" s="109">
        <v>0.0</v>
      </c>
      <c r="M16" s="109">
        <v>262.0</v>
      </c>
      <c r="N16" s="109">
        <v>434.0</v>
      </c>
      <c r="O16" s="109">
        <v>0.604</v>
      </c>
      <c r="P16" s="109">
        <v>0.6</v>
      </c>
      <c r="Q16" s="109">
        <v>106.0</v>
      </c>
      <c r="R16" s="109">
        <v>213.0</v>
      </c>
      <c r="S16" s="109">
        <v>0.498</v>
      </c>
      <c r="T16" s="109">
        <v>286.0</v>
      </c>
      <c r="U16" s="109">
        <v>429.0</v>
      </c>
      <c r="V16" s="109">
        <v>715.0</v>
      </c>
      <c r="W16" s="109">
        <v>77.0</v>
      </c>
      <c r="X16" s="109">
        <v>39.0</v>
      </c>
      <c r="Y16" s="109">
        <v>84.0</v>
      </c>
      <c r="Z16" s="109">
        <v>64.0</v>
      </c>
      <c r="AA16" s="109">
        <v>176.0</v>
      </c>
      <c r="AB16" s="109">
        <v>630.0</v>
      </c>
      <c r="AC16" s="110">
        <f t="shared" si="10"/>
        <v>530.72</v>
      </c>
      <c r="AD16" s="111">
        <f t="shared" si="11"/>
        <v>1.187066626</v>
      </c>
      <c r="AE16" s="4">
        <f t="shared" si="12"/>
        <v>545.4571129</v>
      </c>
      <c r="AF16" s="110">
        <f t="shared" si="13"/>
        <v>4681.733333</v>
      </c>
      <c r="AG16" s="112">
        <f t="shared" si="14"/>
        <v>189.8747129</v>
      </c>
      <c r="AH16" s="113">
        <f t="shared" si="15"/>
        <v>11.65075142</v>
      </c>
      <c r="AI16" s="113">
        <f t="shared" si="16"/>
        <v>9.334149745</v>
      </c>
      <c r="AJ16" s="113">
        <f t="shared" si="17"/>
        <v>4.549597015</v>
      </c>
      <c r="AK16" s="113">
        <f t="shared" si="18"/>
        <v>0</v>
      </c>
      <c r="AL16" s="113">
        <f t="shared" si="19"/>
        <v>1.644690001</v>
      </c>
      <c r="AM16" s="113">
        <f t="shared" si="20"/>
        <v>1.367015066</v>
      </c>
      <c r="AN16" s="113">
        <f t="shared" ref="AN16:AP16" si="90">T16/$AF16*100</f>
        <v>6.108848575</v>
      </c>
      <c r="AO16" s="113">
        <f t="shared" si="90"/>
        <v>9.163272862</v>
      </c>
      <c r="AP16" s="113">
        <f t="shared" si="90"/>
        <v>15.27212144</v>
      </c>
      <c r="AQ16" s="113">
        <f t="shared" ref="AQ16:AR16" si="91">X16/$AF16*100</f>
        <v>0.8330248056</v>
      </c>
      <c r="AR16" s="113">
        <f t="shared" si="91"/>
        <v>1.794207274</v>
      </c>
      <c r="AS16" s="113">
        <f t="shared" si="23"/>
        <v>3.759291431</v>
      </c>
      <c r="AT16" s="114">
        <f t="shared" si="24"/>
        <v>0.3392892093</v>
      </c>
      <c r="AU16" s="114">
        <f t="shared" si="25"/>
        <v>0.1231604379</v>
      </c>
      <c r="AV16" s="114">
        <f t="shared" si="26"/>
        <v>0.2015994026</v>
      </c>
      <c r="AW16" s="114">
        <f t="shared" si="27"/>
        <v>0.07054080282</v>
      </c>
      <c r="AX16" s="114">
        <f t="shared" si="28"/>
        <v>0.437247078</v>
      </c>
      <c r="AY16" s="115">
        <f t="shared" si="29"/>
        <v>0.1254848356</v>
      </c>
      <c r="AZ16" s="116" t="str">
        <f t="shared" si="30"/>
        <v>C</v>
      </c>
      <c r="BA16" s="117">
        <f t="shared" si="31"/>
        <v>5</v>
      </c>
      <c r="BB16" s="118">
        <f t="shared" si="32"/>
        <v>5.443628415</v>
      </c>
      <c r="BC16" s="118">
        <f t="shared" si="33"/>
        <v>5.434331927</v>
      </c>
      <c r="BD16" s="118">
        <f t="shared" si="34"/>
        <v>5</v>
      </c>
      <c r="BE16" s="131">
        <f t="shared" si="92"/>
        <v>3.116564532</v>
      </c>
      <c r="BF16" s="118">
        <f t="shared" si="35"/>
        <v>5.317767395</v>
      </c>
      <c r="BG16" s="118">
        <f t="shared" si="36"/>
        <v>5</v>
      </c>
      <c r="BH16" s="131">
        <f t="shared" si="93"/>
        <v>3.014583965</v>
      </c>
      <c r="BI16" s="118">
        <f t="shared" si="37"/>
        <v>5.303183431</v>
      </c>
      <c r="BJ16" s="118">
        <f t="shared" si="38"/>
        <v>5</v>
      </c>
      <c r="BK16" s="131">
        <f t="shared" si="94"/>
        <v>3.001824371</v>
      </c>
      <c r="BL16" s="118">
        <f t="shared" si="39"/>
        <v>5.30135906</v>
      </c>
      <c r="BM16" s="118">
        <f t="shared" si="40"/>
        <v>5</v>
      </c>
      <c r="BN16" s="120">
        <f t="shared" si="41"/>
        <v>4.459341221</v>
      </c>
      <c r="BO16" s="118">
        <f t="shared" si="42"/>
        <v>4.449715462</v>
      </c>
      <c r="BP16" s="118">
        <f t="shared" si="43"/>
        <v>4.449715462</v>
      </c>
      <c r="BQ16" s="131">
        <f t="shared" si="95"/>
        <v>3.160209217</v>
      </c>
      <c r="BR16" s="118">
        <f t="shared" si="44"/>
        <v>4.289506245</v>
      </c>
      <c r="BS16" s="118">
        <f t="shared" si="45"/>
        <v>4.289506245</v>
      </c>
      <c r="BT16" s="131">
        <f t="shared" si="96"/>
        <v>3.042862674</v>
      </c>
      <c r="BU16" s="118">
        <f t="shared" si="46"/>
        <v>4.246643571</v>
      </c>
      <c r="BV16" s="118">
        <f t="shared" si="47"/>
        <v>4.246643571</v>
      </c>
      <c r="BW16" s="131">
        <f t="shared" si="97"/>
        <v>3.01146756</v>
      </c>
      <c r="BX16" s="118">
        <f t="shared" si="48"/>
        <v>4.23517601</v>
      </c>
      <c r="BY16" s="118">
        <f t="shared" si="49"/>
        <v>4.23517601</v>
      </c>
      <c r="BZ16" s="61" t="str">
        <f t="shared" si="50"/>
        <v>Tristan Thompson</v>
      </c>
      <c r="CA16" s="121">
        <f t="shared" si="51"/>
        <v>0.86</v>
      </c>
      <c r="CB16" s="122">
        <f t="shared" ref="CB16:CC16" si="98">(5-$BY16)/4*CB$3+($BY16-1)/4*CB$4</f>
        <v>-0.7379346806</v>
      </c>
      <c r="CC16" s="122">
        <f t="shared" si="98"/>
        <v>-0.3246912595</v>
      </c>
      <c r="CD16" s="121">
        <f t="shared" ref="CD16:CL16" si="99">(5-$BM16)/4*CD$3+($BM16-1)/4*CD$4</f>
        <v>0.389</v>
      </c>
      <c r="CE16" s="121">
        <f t="shared" si="99"/>
        <v>1.034</v>
      </c>
      <c r="CF16" s="121">
        <f t="shared" si="99"/>
        <v>-0.964</v>
      </c>
      <c r="CG16" s="121">
        <f t="shared" si="99"/>
        <v>0.181</v>
      </c>
      <c r="CH16" s="121">
        <f t="shared" si="99"/>
        <v>0.181</v>
      </c>
      <c r="CI16" s="121">
        <f t="shared" si="99"/>
        <v>0</v>
      </c>
      <c r="CJ16" s="121">
        <f t="shared" si="99"/>
        <v>1.008</v>
      </c>
      <c r="CK16" s="121">
        <f t="shared" si="99"/>
        <v>0.703</v>
      </c>
      <c r="CL16" s="121">
        <f t="shared" si="99"/>
        <v>-0.367</v>
      </c>
      <c r="CM16" s="118">
        <f t="shared" si="54"/>
        <v>1.654439028</v>
      </c>
      <c r="CN16" s="118">
        <f t="shared" si="55"/>
        <v>0.3828069376</v>
      </c>
      <c r="CO16" s="118">
        <f t="shared" si="56"/>
        <v>2.76425398</v>
      </c>
      <c r="CP16" s="118">
        <f t="shared" si="57"/>
        <v>0.7213567625</v>
      </c>
      <c r="CQ16" s="123">
        <f t="shared" si="58"/>
        <v>1.713189126</v>
      </c>
      <c r="CR16" s="124">
        <f t="shared" si="59"/>
        <v>7.236045834</v>
      </c>
      <c r="CS16" s="114">
        <f t="shared" si="60"/>
        <v>0.5874955988</v>
      </c>
      <c r="CT16" s="118">
        <f t="shared" si="61"/>
        <v>4.25114508</v>
      </c>
      <c r="CU16" s="125" t="str">
        <f t="shared" si="62"/>
        <v>Tristan Thompson</v>
      </c>
      <c r="CV16" s="121">
        <f t="shared" si="63"/>
        <v>0.605</v>
      </c>
      <c r="CW16" s="122">
        <f t="shared" ref="CW16:CX16" si="100">(5-$BY16)/4*CB$7+($BY16-1)/4*CB$8</f>
        <v>-0.4448487484</v>
      </c>
      <c r="CX16" s="122">
        <f t="shared" si="100"/>
        <v>-0.1957334493</v>
      </c>
      <c r="CY16" s="121">
        <f t="shared" ref="CY16:DG16" si="101">(5-$BM16)/4*CD$7+($BM16-1)/4*CD$8</f>
        <v>0.477</v>
      </c>
      <c r="CZ16" s="121">
        <f t="shared" si="101"/>
        <v>0.476</v>
      </c>
      <c r="DA16" s="121">
        <f t="shared" si="101"/>
        <v>-0.882</v>
      </c>
      <c r="DB16" s="121">
        <f t="shared" si="101"/>
        <v>0.422</v>
      </c>
      <c r="DC16" s="121">
        <f t="shared" si="101"/>
        <v>0.103</v>
      </c>
      <c r="DD16" s="121">
        <f t="shared" si="101"/>
        <v>0</v>
      </c>
      <c r="DE16" s="121">
        <f t="shared" si="101"/>
        <v>0.294</v>
      </c>
      <c r="DF16" s="121">
        <f t="shared" si="101"/>
        <v>0.097</v>
      </c>
      <c r="DG16" s="121">
        <f t="shared" si="101"/>
        <v>-0.439</v>
      </c>
      <c r="DH16" s="118">
        <f t="shared" si="66"/>
        <v>2.005911463</v>
      </c>
      <c r="DI16" s="118">
        <f t="shared" si="67"/>
        <v>-0.4228348475</v>
      </c>
      <c r="DJ16" s="118">
        <f t="shared" si="68"/>
        <v>3.521751203</v>
      </c>
      <c r="DK16" s="118">
        <f t="shared" si="69"/>
        <v>-1.23138154</v>
      </c>
      <c r="DL16" s="123">
        <f t="shared" si="70"/>
        <v>0.5311256845</v>
      </c>
      <c r="DM16" s="124">
        <f t="shared" si="71"/>
        <v>4.404571963</v>
      </c>
      <c r="DN16" s="114">
        <f t="shared" si="72"/>
        <v>0.5874955988</v>
      </c>
      <c r="DO16" s="118">
        <f t="shared" si="73"/>
        <v>2.587666643</v>
      </c>
      <c r="DP16" s="126" t="str">
        <f t="shared" si="74"/>
        <v>Tristan Thompson (6th)</v>
      </c>
      <c r="DQ16" s="127">
        <f t="shared" si="75"/>
        <v>5</v>
      </c>
      <c r="DR16" s="127">
        <f t="shared" si="76"/>
        <v>4.23517601</v>
      </c>
      <c r="DS16" s="128">
        <f t="shared" si="77"/>
        <v>2336</v>
      </c>
      <c r="DT16" s="127">
        <f t="shared" si="78"/>
        <v>29.94871795</v>
      </c>
      <c r="DU16" s="127">
        <f t="shared" si="79"/>
        <v>-0.7307180159</v>
      </c>
      <c r="DV16" s="127">
        <f t="shared" si="80"/>
        <v>-0.03841868958</v>
      </c>
      <c r="DW16" s="127">
        <f t="shared" si="81"/>
        <v>-0.6922993263</v>
      </c>
      <c r="DX16" s="127">
        <f t="shared" si="82"/>
        <v>-0.4292936183</v>
      </c>
      <c r="DY16" s="129">
        <f t="shared" si="83"/>
        <v>0.7456975793</v>
      </c>
      <c r="DZ16" s="130">
        <f t="shared" si="84"/>
        <v>28.48780488</v>
      </c>
      <c r="EA16" s="130">
        <f t="shared" si="85"/>
        <v>0</v>
      </c>
      <c r="EB16" s="130">
        <f t="shared" si="86"/>
        <v>0.2353658537</v>
      </c>
      <c r="EC16" s="130">
        <f t="shared" si="87"/>
        <v>-0.7307180159</v>
      </c>
      <c r="ED16" s="32">
        <f t="shared" si="88"/>
        <v>-0.03841868958</v>
      </c>
      <c r="EE16" s="32">
        <f t="shared" si="89"/>
        <v>-0.6922993263</v>
      </c>
    </row>
    <row r="17">
      <c r="A17" s="108">
        <v>4.0</v>
      </c>
      <c r="B17" s="109" t="s">
        <v>146</v>
      </c>
      <c r="C17" s="109">
        <v>26.0</v>
      </c>
      <c r="D17" s="109">
        <v>76.0</v>
      </c>
      <c r="E17" s="109">
        <v>31.0</v>
      </c>
      <c r="F17" s="109">
        <v>1937.0</v>
      </c>
      <c r="G17" s="109">
        <v>201.0</v>
      </c>
      <c r="H17" s="109">
        <v>489.0</v>
      </c>
      <c r="I17" s="109">
        <v>0.411</v>
      </c>
      <c r="J17" s="109">
        <v>94.0</v>
      </c>
      <c r="K17" s="109">
        <v>261.0</v>
      </c>
      <c r="L17" s="109">
        <v>0.36</v>
      </c>
      <c r="M17" s="109">
        <v>107.0</v>
      </c>
      <c r="N17" s="109">
        <v>228.0</v>
      </c>
      <c r="O17" s="109">
        <v>0.469</v>
      </c>
      <c r="P17" s="109">
        <v>0.507</v>
      </c>
      <c r="Q17" s="109">
        <v>71.0</v>
      </c>
      <c r="R17" s="109">
        <v>90.0</v>
      </c>
      <c r="S17" s="109">
        <v>0.789</v>
      </c>
      <c r="T17" s="109">
        <v>39.0</v>
      </c>
      <c r="U17" s="109">
        <v>179.0</v>
      </c>
      <c r="V17" s="109">
        <v>218.0</v>
      </c>
      <c r="W17" s="109">
        <v>109.0</v>
      </c>
      <c r="X17" s="109">
        <v>62.0</v>
      </c>
      <c r="Y17" s="109">
        <v>27.0</v>
      </c>
      <c r="Z17" s="109">
        <v>78.0</v>
      </c>
      <c r="AA17" s="109">
        <v>150.0</v>
      </c>
      <c r="AB17" s="109">
        <v>567.0</v>
      </c>
      <c r="AC17" s="110">
        <f t="shared" si="10"/>
        <v>528.6</v>
      </c>
      <c r="AD17" s="111">
        <f t="shared" si="11"/>
        <v>1.072644722</v>
      </c>
      <c r="AE17" s="4">
        <f t="shared" si="12"/>
        <v>482.7948257</v>
      </c>
      <c r="AF17" s="110">
        <f t="shared" si="13"/>
        <v>3882.070833</v>
      </c>
      <c r="AG17" s="112">
        <f t="shared" si="14"/>
        <v>128.6328257</v>
      </c>
      <c r="AH17" s="113">
        <f t="shared" si="15"/>
        <v>12.43652799</v>
      </c>
      <c r="AI17" s="113">
        <f t="shared" si="16"/>
        <v>12.59636985</v>
      </c>
      <c r="AJ17" s="113">
        <f t="shared" si="17"/>
        <v>2.318350279</v>
      </c>
      <c r="AK17" s="113">
        <f t="shared" si="18"/>
        <v>2.421388069</v>
      </c>
      <c r="AL17" s="113">
        <f t="shared" si="19"/>
        <v>2.807779782</v>
      </c>
      <c r="AM17" s="113">
        <f t="shared" si="20"/>
        <v>2.009236909</v>
      </c>
      <c r="AN17" s="113">
        <f t="shared" ref="AN17:AP17" si="102">T17/$AF17*100</f>
        <v>1.004618454</v>
      </c>
      <c r="AO17" s="113">
        <f t="shared" si="102"/>
        <v>4.610941111</v>
      </c>
      <c r="AP17" s="113">
        <f t="shared" si="102"/>
        <v>5.615559565</v>
      </c>
      <c r="AQ17" s="113">
        <f t="shared" ref="AQ17:AR17" si="103">X17/$AF17*100</f>
        <v>1.597085748</v>
      </c>
      <c r="AR17" s="113">
        <f t="shared" si="103"/>
        <v>0.6955050837</v>
      </c>
      <c r="AS17" s="113">
        <f t="shared" si="23"/>
        <v>3.863917132</v>
      </c>
      <c r="AT17" s="114">
        <f t="shared" si="24"/>
        <v>0.1247566537</v>
      </c>
      <c r="AU17" s="114">
        <f t="shared" si="25"/>
        <v>0.2361247573</v>
      </c>
      <c r="AV17" s="114">
        <f t="shared" si="26"/>
        <v>0.2072101618</v>
      </c>
      <c r="AW17" s="114">
        <f t="shared" si="27"/>
        <v>0.120425758</v>
      </c>
      <c r="AX17" s="114">
        <f t="shared" si="28"/>
        <v>0.1694941103</v>
      </c>
      <c r="AY17" s="115">
        <f t="shared" si="29"/>
        <v>0.1025224895</v>
      </c>
      <c r="AZ17" s="116" t="str">
        <f t="shared" si="30"/>
        <v>SG</v>
      </c>
      <c r="BA17" s="117">
        <f t="shared" si="31"/>
        <v>2</v>
      </c>
      <c r="BB17" s="118">
        <f t="shared" si="32"/>
        <v>2.686155702</v>
      </c>
      <c r="BC17" s="118">
        <f t="shared" si="33"/>
        <v>2.66888958</v>
      </c>
      <c r="BD17" s="118">
        <f t="shared" si="34"/>
        <v>2.66888958</v>
      </c>
      <c r="BE17" s="131">
        <f t="shared" si="92"/>
        <v>3.116564532</v>
      </c>
      <c r="BF17" s="118">
        <f t="shared" si="35"/>
        <v>2.552325048</v>
      </c>
      <c r="BG17" s="118">
        <f t="shared" si="36"/>
        <v>2.552325048</v>
      </c>
      <c r="BH17" s="131">
        <f t="shared" si="93"/>
        <v>3.014583965</v>
      </c>
      <c r="BI17" s="118">
        <f t="shared" si="37"/>
        <v>2.537741084</v>
      </c>
      <c r="BJ17" s="118">
        <f t="shared" si="38"/>
        <v>2.537741084</v>
      </c>
      <c r="BK17" s="131">
        <f t="shared" si="94"/>
        <v>3.001824371</v>
      </c>
      <c r="BL17" s="118">
        <f t="shared" si="39"/>
        <v>2.535916713</v>
      </c>
      <c r="BM17" s="118">
        <f t="shared" si="40"/>
        <v>2.535916713</v>
      </c>
      <c r="BN17" s="120">
        <f t="shared" si="41"/>
        <v>4.324217883</v>
      </c>
      <c r="BO17" s="118">
        <f t="shared" si="42"/>
        <v>4.316059406</v>
      </c>
      <c r="BP17" s="118">
        <f t="shared" si="43"/>
        <v>4.316059406</v>
      </c>
      <c r="BQ17" s="131">
        <f t="shared" si="95"/>
        <v>3.160209217</v>
      </c>
      <c r="BR17" s="118">
        <f t="shared" si="44"/>
        <v>4.155850189</v>
      </c>
      <c r="BS17" s="118">
        <f t="shared" si="45"/>
        <v>4.155850189</v>
      </c>
      <c r="BT17" s="131">
        <f t="shared" si="96"/>
        <v>3.042862674</v>
      </c>
      <c r="BU17" s="118">
        <f t="shared" si="46"/>
        <v>4.112987515</v>
      </c>
      <c r="BV17" s="118">
        <f t="shared" si="47"/>
        <v>4.112987515</v>
      </c>
      <c r="BW17" s="131">
        <f t="shared" si="97"/>
        <v>3.01146756</v>
      </c>
      <c r="BX17" s="118">
        <f t="shared" si="48"/>
        <v>4.101519955</v>
      </c>
      <c r="BY17" s="118">
        <f t="shared" si="49"/>
        <v>4.101519955</v>
      </c>
      <c r="BZ17" s="61" t="str">
        <f t="shared" si="50"/>
        <v>Iman Shumpert</v>
      </c>
      <c r="CA17" s="121">
        <f t="shared" si="51"/>
        <v>0.86</v>
      </c>
      <c r="CB17" s="122">
        <f t="shared" ref="CB17:CC17" si="104">(5-$BY17)/4*CB$3+($BY17-1)/4*CB$4</f>
        <v>-0.7305835975</v>
      </c>
      <c r="CC17" s="122">
        <f t="shared" si="104"/>
        <v>-0.3214567829</v>
      </c>
      <c r="CD17" s="121">
        <f t="shared" ref="CD17:CL17" si="105">(5-$BM17)/4*CD$3+($BM17-1)/4*CD$4</f>
        <v>0.389</v>
      </c>
      <c r="CE17" s="121">
        <f t="shared" si="105"/>
        <v>0.7543265469</v>
      </c>
      <c r="CF17" s="121">
        <f t="shared" si="105"/>
        <v>-0.964</v>
      </c>
      <c r="CG17" s="121">
        <f t="shared" si="105"/>
        <v>0.447120995</v>
      </c>
      <c r="CH17" s="121">
        <f t="shared" si="105"/>
        <v>0.1409586466</v>
      </c>
      <c r="CI17" s="121">
        <f t="shared" si="105"/>
        <v>0</v>
      </c>
      <c r="CJ17" s="121">
        <f t="shared" si="105"/>
        <v>1.230383517</v>
      </c>
      <c r="CK17" s="121">
        <f t="shared" si="105"/>
        <v>1.087396993</v>
      </c>
      <c r="CL17" s="121">
        <f t="shared" si="105"/>
        <v>-0.367</v>
      </c>
      <c r="CM17" s="118">
        <f t="shared" si="54"/>
        <v>1.689383405</v>
      </c>
      <c r="CN17" s="118">
        <f t="shared" si="55"/>
        <v>0.1810784479</v>
      </c>
      <c r="CO17" s="118">
        <f t="shared" si="56"/>
        <v>1.099138021</v>
      </c>
      <c r="CP17" s="118">
        <f t="shared" si="57"/>
        <v>1.303260528</v>
      </c>
      <c r="CQ17" s="123">
        <f t="shared" si="58"/>
        <v>1.337998113</v>
      </c>
      <c r="CR17" s="124">
        <f t="shared" si="59"/>
        <v>5.610858516</v>
      </c>
      <c r="CS17" s="114">
        <f t="shared" si="60"/>
        <v>0.4871485338</v>
      </c>
      <c r="CT17" s="118">
        <f t="shared" si="61"/>
        <v>2.733321499</v>
      </c>
      <c r="CU17" s="125" t="str">
        <f t="shared" si="62"/>
        <v>Iman Shumpert</v>
      </c>
      <c r="CV17" s="121">
        <f t="shared" si="63"/>
        <v>0.605</v>
      </c>
      <c r="CW17" s="122">
        <f t="shared" ref="CW17:CX17" si="106">(5-$BY17)/4*CB$7+($BY17-1)/4*CB$8</f>
        <v>-0.4401039584</v>
      </c>
      <c r="CX17" s="122">
        <f t="shared" si="106"/>
        <v>-0.1936457417</v>
      </c>
      <c r="CY17" s="121">
        <f t="shared" ref="CY17:DG17" si="107">(5-$BM17)/4*CD$7+($BM17-1)/4*CD$8</f>
        <v>0.477</v>
      </c>
      <c r="CZ17" s="121">
        <f t="shared" si="107"/>
        <v>0.476</v>
      </c>
      <c r="DA17" s="121">
        <f t="shared" si="107"/>
        <v>-0.695345691</v>
      </c>
      <c r="DB17" s="121">
        <f t="shared" si="107"/>
        <v>0.5353478312</v>
      </c>
      <c r="DC17" s="121">
        <f t="shared" si="107"/>
        <v>-0.02944447669</v>
      </c>
      <c r="DD17" s="121">
        <f t="shared" si="107"/>
        <v>0</v>
      </c>
      <c r="DE17" s="121">
        <f t="shared" si="107"/>
        <v>0.2219255638</v>
      </c>
      <c r="DF17" s="121">
        <f t="shared" si="107"/>
        <v>0.4838610761</v>
      </c>
      <c r="DG17" s="121">
        <f t="shared" si="107"/>
        <v>-0.439</v>
      </c>
      <c r="DH17" s="118">
        <f t="shared" si="66"/>
        <v>2.68645065</v>
      </c>
      <c r="DI17" s="118">
        <f t="shared" si="67"/>
        <v>-0.0606110501</v>
      </c>
      <c r="DJ17" s="118">
        <f t="shared" si="68"/>
        <v>0.4020535627</v>
      </c>
      <c r="DK17" s="118">
        <f t="shared" si="69"/>
        <v>-1.005297628</v>
      </c>
      <c r="DL17" s="123">
        <f t="shared" si="70"/>
        <v>0.07964686989</v>
      </c>
      <c r="DM17" s="124">
        <f t="shared" si="71"/>
        <v>2.102242405</v>
      </c>
      <c r="DN17" s="114">
        <f t="shared" si="72"/>
        <v>0.4871485338</v>
      </c>
      <c r="DO17" s="118">
        <f t="shared" si="73"/>
        <v>1.024104305</v>
      </c>
      <c r="DP17" s="126" t="str">
        <f t="shared" si="74"/>
        <v>Iman Shumpert (6th)</v>
      </c>
      <c r="DQ17" s="127">
        <f t="shared" si="75"/>
        <v>2.535916713</v>
      </c>
      <c r="DR17" s="127">
        <f t="shared" si="76"/>
        <v>4.101519955</v>
      </c>
      <c r="DS17" s="128">
        <f t="shared" si="77"/>
        <v>1937</v>
      </c>
      <c r="DT17" s="127">
        <f t="shared" si="78"/>
        <v>25.48684211</v>
      </c>
      <c r="DU17" s="127">
        <f t="shared" si="79"/>
        <v>-2.355905334</v>
      </c>
      <c r="DV17" s="127">
        <f t="shared" si="80"/>
        <v>-2.340748248</v>
      </c>
      <c r="DW17" s="127">
        <f t="shared" si="81"/>
        <v>-0.01515708618</v>
      </c>
      <c r="DX17" s="127">
        <f t="shared" si="82"/>
        <v>-1.147675829</v>
      </c>
      <c r="DY17" s="129">
        <f t="shared" si="83"/>
        <v>-0.1733787618</v>
      </c>
      <c r="DZ17" s="130">
        <f t="shared" si="84"/>
        <v>24.2125</v>
      </c>
      <c r="EA17" s="130">
        <f t="shared" si="85"/>
        <v>0</v>
      </c>
      <c r="EB17" s="130">
        <f t="shared" si="86"/>
        <v>-0.5128125</v>
      </c>
      <c r="EC17" s="130">
        <f t="shared" si="87"/>
        <v>-2.355905334</v>
      </c>
      <c r="ED17" s="32">
        <f t="shared" si="88"/>
        <v>-2.340748248</v>
      </c>
      <c r="EE17" s="32">
        <f t="shared" si="89"/>
        <v>-0.01515708618</v>
      </c>
    </row>
    <row r="18">
      <c r="A18" s="108">
        <v>5.0</v>
      </c>
      <c r="B18" s="109" t="s">
        <v>147</v>
      </c>
      <c r="C18" s="109">
        <v>28.0</v>
      </c>
      <c r="D18" s="109">
        <v>60.0</v>
      </c>
      <c r="E18" s="109">
        <v>60.0</v>
      </c>
      <c r="F18" s="109">
        <v>1885.0</v>
      </c>
      <c r="G18" s="109">
        <v>370.0</v>
      </c>
      <c r="H18" s="109">
        <v>867.0</v>
      </c>
      <c r="I18" s="109">
        <v>0.427</v>
      </c>
      <c r="J18" s="109">
        <v>145.0</v>
      </c>
      <c r="K18" s="109">
        <v>389.0</v>
      </c>
      <c r="L18" s="109">
        <v>0.373</v>
      </c>
      <c r="M18" s="109">
        <v>225.0</v>
      </c>
      <c r="N18" s="109">
        <v>478.0</v>
      </c>
      <c r="O18" s="109">
        <v>0.471</v>
      </c>
      <c r="P18" s="109">
        <v>0.51</v>
      </c>
      <c r="Q18" s="109">
        <v>257.0</v>
      </c>
      <c r="R18" s="109">
        <v>295.0</v>
      </c>
      <c r="S18" s="109">
        <v>0.871</v>
      </c>
      <c r="T18" s="109">
        <v>148.0</v>
      </c>
      <c r="U18" s="109">
        <v>518.0</v>
      </c>
      <c r="V18" s="109">
        <v>666.0</v>
      </c>
      <c r="W18" s="109">
        <v>116.0</v>
      </c>
      <c r="X18" s="109">
        <v>53.0</v>
      </c>
      <c r="Y18" s="109">
        <v>21.0</v>
      </c>
      <c r="Z18" s="109">
        <v>122.0</v>
      </c>
      <c r="AA18" s="109">
        <v>125.0</v>
      </c>
      <c r="AB18" s="109">
        <v>1142.0</v>
      </c>
      <c r="AC18" s="110">
        <f t="shared" si="10"/>
        <v>996.8</v>
      </c>
      <c r="AD18" s="111">
        <f t="shared" si="11"/>
        <v>1.145666132</v>
      </c>
      <c r="AE18" s="4">
        <f t="shared" si="12"/>
        <v>983.2112793</v>
      </c>
      <c r="AF18" s="110">
        <f t="shared" si="13"/>
        <v>3777.854167</v>
      </c>
      <c r="AG18" s="112">
        <f t="shared" si="14"/>
        <v>315.3552793</v>
      </c>
      <c r="AH18" s="113">
        <f t="shared" si="15"/>
        <v>26.02565467</v>
      </c>
      <c r="AI18" s="113">
        <f t="shared" si="16"/>
        <v>22.94953595</v>
      </c>
      <c r="AJ18" s="113">
        <f t="shared" si="17"/>
        <v>7.808665634</v>
      </c>
      <c r="AK18" s="113">
        <f t="shared" si="18"/>
        <v>3.838157684</v>
      </c>
      <c r="AL18" s="113">
        <f t="shared" si="19"/>
        <v>3.070526147</v>
      </c>
      <c r="AM18" s="113">
        <f t="shared" si="20"/>
        <v>3.229346465</v>
      </c>
      <c r="AN18" s="113">
        <f t="shared" ref="AN18:AP18" si="108">T18/$AF18*100</f>
        <v>3.917567843</v>
      </c>
      <c r="AO18" s="113">
        <f t="shared" si="108"/>
        <v>13.71148745</v>
      </c>
      <c r="AP18" s="113">
        <f t="shared" si="108"/>
        <v>17.62905529</v>
      </c>
      <c r="AQ18" s="113">
        <f t="shared" ref="AQ18:AR18" si="109">X18/$AF18*100</f>
        <v>1.402912809</v>
      </c>
      <c r="AR18" s="113">
        <f t="shared" si="109"/>
        <v>0.5558711129</v>
      </c>
      <c r="AS18" s="113">
        <f t="shared" si="23"/>
        <v>3.308756624</v>
      </c>
      <c r="AT18" s="114">
        <f t="shared" si="24"/>
        <v>0.3916514321</v>
      </c>
      <c r="AU18" s="114">
        <f t="shared" si="25"/>
        <v>0.2074168196</v>
      </c>
      <c r="AV18" s="114">
        <f t="shared" si="26"/>
        <v>0.1774385868</v>
      </c>
      <c r="AW18" s="114">
        <f t="shared" si="27"/>
        <v>0.1316949574</v>
      </c>
      <c r="AX18" s="114">
        <f t="shared" si="28"/>
        <v>0.1354654077</v>
      </c>
      <c r="AY18" s="115">
        <f t="shared" si="29"/>
        <v>0.2582769834</v>
      </c>
      <c r="AZ18" s="116" t="str">
        <f t="shared" si="30"/>
        <v>PF</v>
      </c>
      <c r="BA18" s="117">
        <f t="shared" si="31"/>
        <v>4</v>
      </c>
      <c r="BB18" s="118">
        <f t="shared" si="32"/>
        <v>4.944758825</v>
      </c>
      <c r="BC18" s="118">
        <f t="shared" si="33"/>
        <v>4.920346453</v>
      </c>
      <c r="BD18" s="118">
        <f t="shared" si="34"/>
        <v>4.920346453</v>
      </c>
      <c r="BE18" s="131">
        <f t="shared" si="92"/>
        <v>3.116564532</v>
      </c>
      <c r="BF18" s="118">
        <f t="shared" si="35"/>
        <v>4.803781921</v>
      </c>
      <c r="BG18" s="118">
        <f t="shared" si="36"/>
        <v>4.803781921</v>
      </c>
      <c r="BH18" s="131">
        <f t="shared" si="93"/>
        <v>3.014583965</v>
      </c>
      <c r="BI18" s="118">
        <f t="shared" si="37"/>
        <v>4.789197956</v>
      </c>
      <c r="BJ18" s="118">
        <f t="shared" si="38"/>
        <v>4.789197956</v>
      </c>
      <c r="BK18" s="131">
        <f t="shared" si="94"/>
        <v>3.001824371</v>
      </c>
      <c r="BL18" s="118">
        <f t="shared" si="39"/>
        <v>4.787373585</v>
      </c>
      <c r="BM18" s="118">
        <f t="shared" si="40"/>
        <v>4.787373585</v>
      </c>
      <c r="BN18" s="120">
        <f t="shared" si="41"/>
        <v>2.918590397</v>
      </c>
      <c r="BO18" s="118">
        <f t="shared" si="42"/>
        <v>2.946533798</v>
      </c>
      <c r="BP18" s="118">
        <f t="shared" si="43"/>
        <v>2.946533798</v>
      </c>
      <c r="BQ18" s="131">
        <f t="shared" si="95"/>
        <v>3.160209217</v>
      </c>
      <c r="BR18" s="118">
        <f t="shared" si="44"/>
        <v>2.786324581</v>
      </c>
      <c r="BS18" s="118">
        <f t="shared" si="45"/>
        <v>2.786324581</v>
      </c>
      <c r="BT18" s="131">
        <f t="shared" si="96"/>
        <v>3.042862674</v>
      </c>
      <c r="BU18" s="118">
        <f t="shared" si="46"/>
        <v>2.743461907</v>
      </c>
      <c r="BV18" s="118">
        <f t="shared" si="47"/>
        <v>2.743461907</v>
      </c>
      <c r="BW18" s="131">
        <f t="shared" si="97"/>
        <v>3.01146756</v>
      </c>
      <c r="BX18" s="118">
        <f t="shared" si="48"/>
        <v>2.731994347</v>
      </c>
      <c r="BY18" s="118">
        <f t="shared" si="49"/>
        <v>2.731994347</v>
      </c>
      <c r="BZ18" s="61" t="str">
        <f t="shared" si="50"/>
        <v>Kevin Love</v>
      </c>
      <c r="CA18" s="121">
        <f t="shared" si="51"/>
        <v>0.86</v>
      </c>
      <c r="CB18" s="122">
        <f t="shared" ref="CB18:CC18" si="110">(5-$BY18)/4*CB$3+($BY18-1)/4*CB$4</f>
        <v>-0.6552596891</v>
      </c>
      <c r="CC18" s="122">
        <f t="shared" si="110"/>
        <v>-0.2883142632</v>
      </c>
      <c r="CD18" s="121">
        <f t="shared" ref="CD18:CL18" si="111">(5-$BM18)/4*CD$3+($BM18-1)/4*CD$4</f>
        <v>0.389</v>
      </c>
      <c r="CE18" s="121">
        <f t="shared" si="111"/>
        <v>1.009866902</v>
      </c>
      <c r="CF18" s="121">
        <f t="shared" si="111"/>
        <v>-0.964</v>
      </c>
      <c r="CG18" s="121">
        <f t="shared" si="111"/>
        <v>0.2039636528</v>
      </c>
      <c r="CH18" s="121">
        <f t="shared" si="111"/>
        <v>0.1775448208</v>
      </c>
      <c r="CI18" s="121">
        <f t="shared" si="111"/>
        <v>0</v>
      </c>
      <c r="CJ18" s="121">
        <f t="shared" si="111"/>
        <v>1.027189534</v>
      </c>
      <c r="CK18" s="121">
        <f t="shared" si="111"/>
        <v>0.7361697207</v>
      </c>
      <c r="CL18" s="121">
        <f t="shared" si="111"/>
        <v>-0.367</v>
      </c>
      <c r="CM18" s="118">
        <f t="shared" si="54"/>
        <v>6.585850887</v>
      </c>
      <c r="CN18" s="118">
        <f t="shared" si="55"/>
        <v>-0.01226726481</v>
      </c>
      <c r="CO18" s="118">
        <f t="shared" si="56"/>
        <v>3.233445029</v>
      </c>
      <c r="CP18" s="118">
        <f t="shared" si="57"/>
        <v>0.6359591549</v>
      </c>
      <c r="CQ18" s="123">
        <f t="shared" si="58"/>
        <v>-0.3717238412</v>
      </c>
      <c r="CR18" s="124">
        <f t="shared" si="59"/>
        <v>10.07126397</v>
      </c>
      <c r="CS18" s="114">
        <f t="shared" si="60"/>
        <v>0.4740707208</v>
      </c>
      <c r="CT18" s="118">
        <f t="shared" si="61"/>
        <v>4.774491367</v>
      </c>
      <c r="CU18" s="125" t="str">
        <f t="shared" si="62"/>
        <v>Kevin Love</v>
      </c>
      <c r="CV18" s="121">
        <f t="shared" si="63"/>
        <v>0.605</v>
      </c>
      <c r="CW18" s="122">
        <f t="shared" ref="CW18:CX18" si="112">(5-$BY18)/4*CB$7+($BY18-1)/4*CB$8</f>
        <v>-0.3914857993</v>
      </c>
      <c r="CX18" s="122">
        <f t="shared" si="112"/>
        <v>-0.1722537517</v>
      </c>
      <c r="CY18" s="121">
        <f t="shared" ref="CY18:DG18" si="113">(5-$BM18)/4*CD$7+($BM18-1)/4*CD$8</f>
        <v>0.477</v>
      </c>
      <c r="CZ18" s="121">
        <f t="shared" si="113"/>
        <v>0.476</v>
      </c>
      <c r="DA18" s="121">
        <f t="shared" si="113"/>
        <v>-0.8658935491</v>
      </c>
      <c r="DB18" s="121">
        <f t="shared" si="113"/>
        <v>0.4317808151</v>
      </c>
      <c r="DC18" s="121">
        <f t="shared" si="113"/>
        <v>0.09157133021</v>
      </c>
      <c r="DD18" s="121">
        <f t="shared" si="113"/>
        <v>0</v>
      </c>
      <c r="DE18" s="121">
        <f t="shared" si="113"/>
        <v>0.2877806774</v>
      </c>
      <c r="DF18" s="121">
        <f t="shared" si="113"/>
        <v>0.1303823471</v>
      </c>
      <c r="DG18" s="121">
        <f t="shared" si="113"/>
        <v>-0.439</v>
      </c>
      <c r="DH18" s="118">
        <f t="shared" si="66"/>
        <v>7.246832915</v>
      </c>
      <c r="DI18" s="118">
        <f t="shared" si="67"/>
        <v>-1.334699826</v>
      </c>
      <c r="DJ18" s="118">
        <f t="shared" si="68"/>
        <v>2.947109782</v>
      </c>
      <c r="DK18" s="118">
        <f t="shared" si="69"/>
        <v>-0.9763371793</v>
      </c>
      <c r="DL18" s="123">
        <f t="shared" si="70"/>
        <v>-0.115242431</v>
      </c>
      <c r="DM18" s="124">
        <f t="shared" si="71"/>
        <v>7.767663261</v>
      </c>
      <c r="DN18" s="114">
        <f t="shared" si="72"/>
        <v>0.4740707208</v>
      </c>
      <c r="DO18" s="118">
        <f t="shared" si="73"/>
        <v>3.682421721</v>
      </c>
      <c r="DP18" s="126" t="str">
        <f t="shared" si="74"/>
        <v>Kevin Love (9th)</v>
      </c>
      <c r="DQ18" s="127">
        <f t="shared" si="75"/>
        <v>4.787373585</v>
      </c>
      <c r="DR18" s="127">
        <f t="shared" si="76"/>
        <v>2.731994347</v>
      </c>
      <c r="DS18" s="128">
        <f t="shared" si="77"/>
        <v>1885</v>
      </c>
      <c r="DT18" s="127">
        <f t="shared" si="78"/>
        <v>31.41666667</v>
      </c>
      <c r="DU18" s="127">
        <f t="shared" si="79"/>
        <v>2.104500115</v>
      </c>
      <c r="DV18" s="127">
        <f t="shared" si="80"/>
        <v>3.324672608</v>
      </c>
      <c r="DW18" s="127">
        <f t="shared" si="81"/>
        <v>-1.220172492</v>
      </c>
      <c r="DX18" s="127">
        <f t="shared" si="82"/>
        <v>0.9976818866</v>
      </c>
      <c r="DY18" s="129">
        <f t="shared" si="83"/>
        <v>1.945823328</v>
      </c>
      <c r="DZ18" s="130">
        <f t="shared" si="84"/>
        <v>29.453125</v>
      </c>
      <c r="EA18" s="130">
        <f t="shared" si="85"/>
        <v>0</v>
      </c>
      <c r="EB18" s="130">
        <f t="shared" si="86"/>
        <v>0.404296875</v>
      </c>
      <c r="EC18" s="130">
        <f t="shared" si="87"/>
        <v>2.104500115</v>
      </c>
      <c r="ED18" s="32">
        <f t="shared" si="88"/>
        <v>3.324672608</v>
      </c>
      <c r="EE18" s="32">
        <f t="shared" si="89"/>
        <v>-1.220172492</v>
      </c>
    </row>
    <row r="19">
      <c r="A19" s="108">
        <v>6.0</v>
      </c>
      <c r="B19" s="109" t="s">
        <v>148</v>
      </c>
      <c r="C19" s="109">
        <v>36.0</v>
      </c>
      <c r="D19" s="109">
        <v>79.0</v>
      </c>
      <c r="E19" s="109">
        <v>13.0</v>
      </c>
      <c r="F19" s="109">
        <v>1614.0</v>
      </c>
      <c r="G19" s="109">
        <v>153.0</v>
      </c>
      <c r="H19" s="109">
        <v>343.0</v>
      </c>
      <c r="I19" s="109">
        <v>0.446</v>
      </c>
      <c r="J19" s="109">
        <v>62.0</v>
      </c>
      <c r="K19" s="109">
        <v>186.0</v>
      </c>
      <c r="L19" s="109">
        <v>0.333</v>
      </c>
      <c r="M19" s="109">
        <v>91.0</v>
      </c>
      <c r="N19" s="109">
        <v>157.0</v>
      </c>
      <c r="O19" s="109">
        <v>0.58</v>
      </c>
      <c r="P19" s="109">
        <v>0.536</v>
      </c>
      <c r="Q19" s="109">
        <v>80.0</v>
      </c>
      <c r="R19" s="109">
        <v>108.0</v>
      </c>
      <c r="S19" s="109">
        <v>0.741</v>
      </c>
      <c r="T19" s="109">
        <v>28.0</v>
      </c>
      <c r="U19" s="109">
        <v>175.0</v>
      </c>
      <c r="V19" s="109">
        <v>203.0</v>
      </c>
      <c r="W19" s="109">
        <v>78.0</v>
      </c>
      <c r="X19" s="109">
        <v>26.0</v>
      </c>
      <c r="Y19" s="109">
        <v>10.0</v>
      </c>
      <c r="Z19" s="109">
        <v>52.0</v>
      </c>
      <c r="AA19" s="109">
        <v>153.0</v>
      </c>
      <c r="AB19" s="109">
        <v>448.0</v>
      </c>
      <c r="AC19" s="110">
        <f t="shared" si="10"/>
        <v>390.52</v>
      </c>
      <c r="AD19" s="111">
        <f t="shared" si="11"/>
        <v>1.147188364</v>
      </c>
      <c r="AE19" s="4">
        <f t="shared" si="12"/>
        <v>385.7907592</v>
      </c>
      <c r="AF19" s="110">
        <f t="shared" si="13"/>
        <v>3234.725</v>
      </c>
      <c r="AG19" s="112">
        <f t="shared" si="14"/>
        <v>124.1423592</v>
      </c>
      <c r="AH19" s="113">
        <f t="shared" si="15"/>
        <v>11.92653964</v>
      </c>
      <c r="AI19" s="113">
        <f t="shared" si="16"/>
        <v>10.60368347</v>
      </c>
      <c r="AJ19" s="113">
        <f t="shared" si="17"/>
        <v>3.338769138</v>
      </c>
      <c r="AK19" s="113">
        <f t="shared" si="18"/>
        <v>1.916700801</v>
      </c>
      <c r="AL19" s="113">
        <f t="shared" si="19"/>
        <v>2.411333266</v>
      </c>
      <c r="AM19" s="113">
        <f t="shared" si="20"/>
        <v>1.607555511</v>
      </c>
      <c r="AN19" s="113">
        <f t="shared" ref="AN19:AP19" si="114">T19/$AF19*100</f>
        <v>0.8656068136</v>
      </c>
      <c r="AO19" s="113">
        <f t="shared" si="114"/>
        <v>5.410042585</v>
      </c>
      <c r="AP19" s="113">
        <f t="shared" si="114"/>
        <v>6.275649398</v>
      </c>
      <c r="AQ19" s="113">
        <f t="shared" ref="AQ19:AR19" si="115">X19/$AF19*100</f>
        <v>0.8037777555</v>
      </c>
      <c r="AR19" s="113">
        <f t="shared" si="115"/>
        <v>0.3091452906</v>
      </c>
      <c r="AS19" s="113">
        <f t="shared" si="23"/>
        <v>4.729922946</v>
      </c>
      <c r="AT19" s="114">
        <f t="shared" si="24"/>
        <v>0.1394213719</v>
      </c>
      <c r="AU19" s="114">
        <f t="shared" si="25"/>
        <v>0.1188363416</v>
      </c>
      <c r="AV19" s="114">
        <f t="shared" si="26"/>
        <v>0.2536514282</v>
      </c>
      <c r="AW19" s="114">
        <f t="shared" si="27"/>
        <v>0.1034221552</v>
      </c>
      <c r="AX19" s="114">
        <f t="shared" si="28"/>
        <v>0.07533849459</v>
      </c>
      <c r="AY19" s="115">
        <f t="shared" si="29"/>
        <v>0.1187444768</v>
      </c>
      <c r="AZ19" s="116" t="str">
        <f t="shared" si="30"/>
        <v>SF</v>
      </c>
      <c r="BA19" s="117">
        <f t="shared" si="31"/>
        <v>3</v>
      </c>
      <c r="BB19" s="118">
        <f t="shared" si="32"/>
        <v>3.054102525</v>
      </c>
      <c r="BC19" s="118">
        <f t="shared" si="33"/>
        <v>3.052476848</v>
      </c>
      <c r="BD19" s="118">
        <f t="shared" si="34"/>
        <v>3.052476848</v>
      </c>
      <c r="BE19" s="131">
        <f t="shared" si="92"/>
        <v>3.116564532</v>
      </c>
      <c r="BF19" s="118">
        <f t="shared" si="35"/>
        <v>2.935912316</v>
      </c>
      <c r="BG19" s="118">
        <f t="shared" si="36"/>
        <v>2.935912316</v>
      </c>
      <c r="BH19" s="131">
        <f t="shared" si="93"/>
        <v>3.014583965</v>
      </c>
      <c r="BI19" s="118">
        <f t="shared" si="37"/>
        <v>2.921328352</v>
      </c>
      <c r="BJ19" s="118">
        <f t="shared" si="38"/>
        <v>2.921328352</v>
      </c>
      <c r="BK19" s="131">
        <f t="shared" si="94"/>
        <v>3.001824371</v>
      </c>
      <c r="BL19" s="118">
        <f t="shared" si="39"/>
        <v>2.919503981</v>
      </c>
      <c r="BM19" s="118">
        <f t="shared" si="40"/>
        <v>2.919503981</v>
      </c>
      <c r="BN19" s="120">
        <f t="shared" si="41"/>
        <v>4.29854673</v>
      </c>
      <c r="BO19" s="118">
        <f t="shared" si="42"/>
        <v>4.289575975</v>
      </c>
      <c r="BP19" s="118">
        <f t="shared" si="43"/>
        <v>4.289575975</v>
      </c>
      <c r="BQ19" s="131">
        <f t="shared" si="95"/>
        <v>3.160209217</v>
      </c>
      <c r="BR19" s="118">
        <f t="shared" si="44"/>
        <v>4.129366758</v>
      </c>
      <c r="BS19" s="118">
        <f t="shared" si="45"/>
        <v>4.129366758</v>
      </c>
      <c r="BT19" s="131">
        <f t="shared" si="96"/>
        <v>3.042862674</v>
      </c>
      <c r="BU19" s="118">
        <f t="shared" si="46"/>
        <v>4.086504084</v>
      </c>
      <c r="BV19" s="118">
        <f t="shared" si="47"/>
        <v>4.086504084</v>
      </c>
      <c r="BW19" s="131">
        <f t="shared" si="97"/>
        <v>3.01146756</v>
      </c>
      <c r="BX19" s="118">
        <f t="shared" si="48"/>
        <v>4.075036524</v>
      </c>
      <c r="BY19" s="118">
        <f t="shared" si="49"/>
        <v>4.075036524</v>
      </c>
      <c r="BZ19" s="61" t="str">
        <f t="shared" si="50"/>
        <v>Richard Jefferson</v>
      </c>
      <c r="CA19" s="121">
        <f t="shared" si="51"/>
        <v>0.86</v>
      </c>
      <c r="CB19" s="122">
        <f t="shared" ref="CB19:CC19" si="116">(5-$BY19)/4*CB$3+($BY19-1)/4*CB$4</f>
        <v>-0.7291270088</v>
      </c>
      <c r="CC19" s="122">
        <f t="shared" si="116"/>
        <v>-0.3208158839</v>
      </c>
      <c r="CD19" s="121">
        <f t="shared" ref="CD19:CL19" si="117">(5-$BM19)/4*CD$3+($BM19-1)/4*CD$4</f>
        <v>0.389</v>
      </c>
      <c r="CE19" s="121">
        <f t="shared" si="117"/>
        <v>0.7978637018</v>
      </c>
      <c r="CF19" s="121">
        <f t="shared" si="117"/>
        <v>-0.964</v>
      </c>
      <c r="CG19" s="121">
        <f t="shared" si="117"/>
        <v>0.4056935701</v>
      </c>
      <c r="CH19" s="121">
        <f t="shared" si="117"/>
        <v>0.1471919397</v>
      </c>
      <c r="CI19" s="121">
        <f t="shared" si="117"/>
        <v>0</v>
      </c>
      <c r="CJ19" s="121">
        <f t="shared" si="117"/>
        <v>1.195764766</v>
      </c>
      <c r="CK19" s="121">
        <f t="shared" si="117"/>
        <v>1.027557379</v>
      </c>
      <c r="CL19" s="121">
        <f t="shared" si="117"/>
        <v>-0.367</v>
      </c>
      <c r="CM19" s="118">
        <f t="shared" si="54"/>
        <v>2.199858518</v>
      </c>
      <c r="CN19" s="118">
        <f t="shared" si="55"/>
        <v>0.3742317737</v>
      </c>
      <c r="CO19" s="118">
        <f t="shared" si="56"/>
        <v>1.14748578</v>
      </c>
      <c r="CP19" s="118">
        <f t="shared" si="57"/>
        <v>-0.4570880771</v>
      </c>
      <c r="CQ19" s="123">
        <f t="shared" si="58"/>
        <v>1.458152787</v>
      </c>
      <c r="CR19" s="124">
        <f t="shared" si="59"/>
        <v>4.722640782</v>
      </c>
      <c r="CS19" s="114">
        <f t="shared" si="60"/>
        <v>0.4059151954</v>
      </c>
      <c r="CT19" s="118">
        <f t="shared" si="61"/>
        <v>1.916991656</v>
      </c>
      <c r="CU19" s="125" t="str">
        <f t="shared" si="62"/>
        <v>Richard Jefferson</v>
      </c>
      <c r="CV19" s="121">
        <f t="shared" si="63"/>
        <v>0.605</v>
      </c>
      <c r="CW19" s="122">
        <f t="shared" ref="CW19:CX19" si="118">(5-$BY19)/4*CB$7+($BY19-1)/4*CB$8</f>
        <v>-0.4391637966</v>
      </c>
      <c r="CX19" s="122">
        <f t="shared" si="118"/>
        <v>-0.1932320705</v>
      </c>
      <c r="CY19" s="121">
        <f t="shared" ref="CY19:DG19" si="119">(5-$BM19)/4*CD$7+($BM19-1)/4*CD$8</f>
        <v>0.477</v>
      </c>
      <c r="CZ19" s="121">
        <f t="shared" si="119"/>
        <v>0.476</v>
      </c>
      <c r="DA19" s="121">
        <f t="shared" si="119"/>
        <v>-0.7244024265</v>
      </c>
      <c r="DB19" s="121">
        <f t="shared" si="119"/>
        <v>0.5177028169</v>
      </c>
      <c r="DC19" s="121">
        <f t="shared" si="119"/>
        <v>-0.008826661037</v>
      </c>
      <c r="DD19" s="121">
        <f t="shared" si="119"/>
        <v>0</v>
      </c>
      <c r="DE19" s="121">
        <f t="shared" si="119"/>
        <v>0.2331454914</v>
      </c>
      <c r="DF19" s="121">
        <f t="shared" si="119"/>
        <v>0.423637875</v>
      </c>
      <c r="DG19" s="121">
        <f t="shared" si="119"/>
        <v>-0.439</v>
      </c>
      <c r="DH19" s="118">
        <f t="shared" si="66"/>
        <v>2.8279116</v>
      </c>
      <c r="DI19" s="118">
        <f t="shared" si="67"/>
        <v>-0.01672247811</v>
      </c>
      <c r="DJ19" s="118">
        <f t="shared" si="68"/>
        <v>0.4003744736</v>
      </c>
      <c r="DK19" s="118">
        <f t="shared" si="69"/>
        <v>-1.758073359</v>
      </c>
      <c r="DL19" s="123">
        <f t="shared" si="70"/>
        <v>0.3939245849</v>
      </c>
      <c r="DM19" s="124">
        <f t="shared" si="71"/>
        <v>1.847414821</v>
      </c>
      <c r="DN19" s="114">
        <f t="shared" si="72"/>
        <v>0.4059151954</v>
      </c>
      <c r="DO19" s="118">
        <f t="shared" si="73"/>
        <v>0.7498937479</v>
      </c>
      <c r="DP19" s="126" t="str">
        <f t="shared" si="74"/>
        <v>Richard Jefferson (16th)</v>
      </c>
      <c r="DQ19" s="127">
        <f t="shared" si="75"/>
        <v>2.919503981</v>
      </c>
      <c r="DR19" s="127">
        <f t="shared" si="76"/>
        <v>4.075036524</v>
      </c>
      <c r="DS19" s="128">
        <f t="shared" si="77"/>
        <v>1614</v>
      </c>
      <c r="DT19" s="127">
        <f t="shared" si="78"/>
        <v>20.43037975</v>
      </c>
      <c r="DU19" s="127">
        <f t="shared" si="79"/>
        <v>-3.244123068</v>
      </c>
      <c r="DV19" s="127">
        <f t="shared" si="80"/>
        <v>-2.595575832</v>
      </c>
      <c r="DW19" s="127">
        <f t="shared" si="81"/>
        <v>-0.6485472358</v>
      </c>
      <c r="DX19" s="127">
        <f t="shared" si="82"/>
        <v>-1.316838849</v>
      </c>
      <c r="DY19" s="129">
        <f t="shared" si="83"/>
        <v>-0.5050084583</v>
      </c>
      <c r="DZ19" s="130">
        <f t="shared" si="84"/>
        <v>19.44578313</v>
      </c>
      <c r="EA19" s="130">
        <f t="shared" si="85"/>
        <v>0</v>
      </c>
      <c r="EB19" s="130">
        <f t="shared" si="86"/>
        <v>-1.346987952</v>
      </c>
      <c r="EC19" s="130">
        <f t="shared" si="87"/>
        <v>-3.244123068</v>
      </c>
      <c r="ED19" s="32">
        <f t="shared" si="88"/>
        <v>-2.595575832</v>
      </c>
      <c r="EE19" s="32">
        <f t="shared" si="89"/>
        <v>-0.6485472358</v>
      </c>
    </row>
    <row r="20">
      <c r="A20" s="108">
        <v>7.0</v>
      </c>
      <c r="B20" s="109" t="s">
        <v>149</v>
      </c>
      <c r="C20" s="109">
        <v>33.0</v>
      </c>
      <c r="D20" s="109">
        <v>74.0</v>
      </c>
      <c r="E20" s="109">
        <v>15.0</v>
      </c>
      <c r="F20" s="109">
        <v>1398.0</v>
      </c>
      <c r="G20" s="109">
        <v>238.0</v>
      </c>
      <c r="H20" s="109">
        <v>520.0</v>
      </c>
      <c r="I20" s="109">
        <v>0.458</v>
      </c>
      <c r="J20" s="109">
        <v>137.0</v>
      </c>
      <c r="K20" s="109">
        <v>335.0</v>
      </c>
      <c r="L20" s="109">
        <v>0.409</v>
      </c>
      <c r="M20" s="109">
        <v>101.0</v>
      </c>
      <c r="N20" s="109">
        <v>185.0</v>
      </c>
      <c r="O20" s="109">
        <v>0.546</v>
      </c>
      <c r="P20" s="109">
        <v>0.589</v>
      </c>
      <c r="Q20" s="109">
        <v>63.0</v>
      </c>
      <c r="R20" s="109">
        <v>74.0</v>
      </c>
      <c r="S20" s="109">
        <v>0.851</v>
      </c>
      <c r="T20" s="109">
        <v>37.0</v>
      </c>
      <c r="U20" s="109">
        <v>253.0</v>
      </c>
      <c r="V20" s="109">
        <v>290.0</v>
      </c>
      <c r="W20" s="109">
        <v>45.0</v>
      </c>
      <c r="X20" s="109">
        <v>33.0</v>
      </c>
      <c r="Y20" s="109">
        <v>37.0</v>
      </c>
      <c r="Z20" s="109">
        <v>53.0</v>
      </c>
      <c r="AA20" s="109">
        <v>138.0</v>
      </c>
      <c r="AB20" s="109">
        <v>676.0</v>
      </c>
      <c r="AC20" s="110">
        <f t="shared" si="10"/>
        <v>552.56</v>
      </c>
      <c r="AD20" s="111">
        <f t="shared" si="11"/>
        <v>1.223396554</v>
      </c>
      <c r="AE20" s="4">
        <f t="shared" si="12"/>
        <v>587.9780342</v>
      </c>
      <c r="AF20" s="110">
        <f t="shared" si="13"/>
        <v>2801.825</v>
      </c>
      <c r="AG20" s="112">
        <f t="shared" si="14"/>
        <v>217.7628342</v>
      </c>
      <c r="AH20" s="113">
        <f t="shared" si="15"/>
        <v>20.98553743</v>
      </c>
      <c r="AI20" s="113">
        <f t="shared" si="16"/>
        <v>18.55933186</v>
      </c>
      <c r="AJ20" s="113">
        <f t="shared" si="17"/>
        <v>2.641135688</v>
      </c>
      <c r="AK20" s="113">
        <f t="shared" si="18"/>
        <v>4.889670126</v>
      </c>
      <c r="AL20" s="113">
        <f t="shared" si="19"/>
        <v>1.606096027</v>
      </c>
      <c r="AM20" s="113">
        <f t="shared" si="20"/>
        <v>1.891624209</v>
      </c>
      <c r="AN20" s="113">
        <f t="shared" ref="AN20:AP20" si="120">T20/$AF20*100</f>
        <v>1.320567844</v>
      </c>
      <c r="AO20" s="113">
        <f t="shared" si="120"/>
        <v>9.029828772</v>
      </c>
      <c r="AP20" s="113">
        <f t="shared" si="120"/>
        <v>10.35039662</v>
      </c>
      <c r="AQ20" s="113">
        <f t="shared" ref="AQ20:AR20" si="121">X20/$AF20*100</f>
        <v>1.177803753</v>
      </c>
      <c r="AR20" s="113">
        <f t="shared" si="121"/>
        <v>1.320567844</v>
      </c>
      <c r="AS20" s="113">
        <f t="shared" si="23"/>
        <v>4.925361149</v>
      </c>
      <c r="AT20" s="114">
        <f t="shared" si="24"/>
        <v>0.2299469592</v>
      </c>
      <c r="AU20" s="114">
        <f t="shared" si="25"/>
        <v>0.1741350618</v>
      </c>
      <c r="AV20" s="114">
        <f t="shared" si="26"/>
        <v>0.2641321865</v>
      </c>
      <c r="AW20" s="114">
        <f t="shared" si="27"/>
        <v>0.06888550613</v>
      </c>
      <c r="AX20" s="114">
        <f t="shared" si="28"/>
        <v>0.321821475</v>
      </c>
      <c r="AY20" s="115">
        <f t="shared" si="29"/>
        <v>0.2404769987</v>
      </c>
      <c r="AZ20" s="116" t="str">
        <f t="shared" si="30"/>
        <v>C</v>
      </c>
      <c r="BA20" s="117">
        <f t="shared" si="31"/>
        <v>5</v>
      </c>
      <c r="BB20" s="118">
        <f t="shared" si="32"/>
        <v>4.244648394</v>
      </c>
      <c r="BC20" s="118">
        <f t="shared" si="33"/>
        <v>4.270730977</v>
      </c>
      <c r="BD20" s="118">
        <f t="shared" si="34"/>
        <v>4.270730977</v>
      </c>
      <c r="BE20" s="131">
        <f t="shared" si="92"/>
        <v>3.116564532</v>
      </c>
      <c r="BF20" s="118">
        <f t="shared" si="35"/>
        <v>4.154166445</v>
      </c>
      <c r="BG20" s="118">
        <f t="shared" si="36"/>
        <v>4.154166445</v>
      </c>
      <c r="BH20" s="131">
        <f t="shared" si="93"/>
        <v>3.014583965</v>
      </c>
      <c r="BI20" s="118">
        <f t="shared" si="37"/>
        <v>4.139582481</v>
      </c>
      <c r="BJ20" s="118">
        <f t="shared" si="38"/>
        <v>4.139582481</v>
      </c>
      <c r="BK20" s="131">
        <f t="shared" si="94"/>
        <v>3.001824371</v>
      </c>
      <c r="BL20" s="118">
        <f t="shared" si="39"/>
        <v>4.13775811</v>
      </c>
      <c r="BM20" s="118">
        <f t="shared" si="40"/>
        <v>4.13775811</v>
      </c>
      <c r="BN20" s="120">
        <f t="shared" si="41"/>
        <v>3.487830498</v>
      </c>
      <c r="BO20" s="118">
        <f t="shared" si="42"/>
        <v>3.505515909</v>
      </c>
      <c r="BP20" s="118">
        <f t="shared" si="43"/>
        <v>3.505515909</v>
      </c>
      <c r="BQ20" s="131">
        <f t="shared" si="95"/>
        <v>3.160209217</v>
      </c>
      <c r="BR20" s="118">
        <f t="shared" si="44"/>
        <v>3.345306692</v>
      </c>
      <c r="BS20" s="118">
        <f t="shared" si="45"/>
        <v>3.345306692</v>
      </c>
      <c r="BT20" s="131">
        <f t="shared" si="96"/>
        <v>3.042862674</v>
      </c>
      <c r="BU20" s="118">
        <f t="shared" si="46"/>
        <v>3.302444018</v>
      </c>
      <c r="BV20" s="118">
        <f t="shared" si="47"/>
        <v>3.302444018</v>
      </c>
      <c r="BW20" s="131">
        <f t="shared" si="97"/>
        <v>3.01146756</v>
      </c>
      <c r="BX20" s="118">
        <f t="shared" si="48"/>
        <v>3.290976458</v>
      </c>
      <c r="BY20" s="118">
        <f t="shared" si="49"/>
        <v>3.290976458</v>
      </c>
      <c r="BZ20" s="61" t="str">
        <f t="shared" si="50"/>
        <v>Channing Frye</v>
      </c>
      <c r="CA20" s="121">
        <f t="shared" si="51"/>
        <v>0.86</v>
      </c>
      <c r="CB20" s="122">
        <f t="shared" ref="CB20:CC20" si="122">(5-$BY20)/4*CB$3+($BY20-1)/4*CB$4</f>
        <v>-0.6860037052</v>
      </c>
      <c r="CC20" s="122">
        <f t="shared" si="122"/>
        <v>-0.3018416303</v>
      </c>
      <c r="CD20" s="121">
        <f t="shared" ref="CD20:CL20" si="123">(5-$BM20)/4*CD$3+($BM20-1)/4*CD$4</f>
        <v>0.389</v>
      </c>
      <c r="CE20" s="121">
        <f t="shared" si="123"/>
        <v>0.9361355454</v>
      </c>
      <c r="CF20" s="121">
        <f t="shared" si="123"/>
        <v>-0.964</v>
      </c>
      <c r="CG20" s="121">
        <f t="shared" si="123"/>
        <v>0.2741221242</v>
      </c>
      <c r="CH20" s="121">
        <f t="shared" si="123"/>
        <v>0.1669885693</v>
      </c>
      <c r="CI20" s="121">
        <f t="shared" si="123"/>
        <v>0</v>
      </c>
      <c r="CJ20" s="121">
        <f t="shared" si="123"/>
        <v>1.085817331</v>
      </c>
      <c r="CK20" s="121">
        <f t="shared" si="123"/>
        <v>0.8375097349</v>
      </c>
      <c r="CL20" s="121">
        <f t="shared" si="123"/>
        <v>-0.367</v>
      </c>
      <c r="CM20" s="118">
        <f t="shared" si="54"/>
        <v>6.420668746</v>
      </c>
      <c r="CN20" s="118">
        <f t="shared" si="55"/>
        <v>-0.3200021577</v>
      </c>
      <c r="CO20" s="118">
        <f t="shared" si="56"/>
        <v>1.86987505</v>
      </c>
      <c r="CP20" s="118">
        <f t="shared" si="57"/>
        <v>0.5772606106</v>
      </c>
      <c r="CQ20" s="123">
        <f t="shared" si="58"/>
        <v>0.4035843474</v>
      </c>
      <c r="CR20" s="124">
        <f t="shared" si="59"/>
        <v>8.951386596</v>
      </c>
      <c r="CS20" s="114">
        <f t="shared" si="60"/>
        <v>0.3515919722</v>
      </c>
      <c r="CT20" s="118">
        <f t="shared" si="61"/>
        <v>3.147235668</v>
      </c>
      <c r="CU20" s="125" t="str">
        <f t="shared" si="62"/>
        <v>Channing Frye</v>
      </c>
      <c r="CV20" s="121">
        <f t="shared" si="63"/>
        <v>0.605</v>
      </c>
      <c r="CW20" s="122">
        <f t="shared" ref="CW20:CX20" si="124">(5-$BY20)/4*CB$7+($BY20-1)/4*CB$8</f>
        <v>-0.4113296643</v>
      </c>
      <c r="CX20" s="122">
        <f t="shared" si="124"/>
        <v>-0.1809850523</v>
      </c>
      <c r="CY20" s="121">
        <f t="shared" ref="CY20:DG20" si="125">(5-$BM20)/4*CD$7+($BM20-1)/4*CD$8</f>
        <v>0.477</v>
      </c>
      <c r="CZ20" s="121">
        <f t="shared" si="125"/>
        <v>0.476</v>
      </c>
      <c r="DA20" s="121">
        <f t="shared" si="125"/>
        <v>-0.8166851768</v>
      </c>
      <c r="DB20" s="121">
        <f t="shared" si="125"/>
        <v>0.461663127</v>
      </c>
      <c r="DC20" s="121">
        <f t="shared" si="125"/>
        <v>0.05665449839</v>
      </c>
      <c r="DD20" s="121">
        <f t="shared" si="125"/>
        <v>0</v>
      </c>
      <c r="DE20" s="121">
        <f t="shared" si="125"/>
        <v>0.2687794247</v>
      </c>
      <c r="DF20" s="121">
        <f t="shared" si="125"/>
        <v>0.2323719768</v>
      </c>
      <c r="DG20" s="121">
        <f t="shared" si="125"/>
        <v>-0.439</v>
      </c>
      <c r="DH20" s="118">
        <f t="shared" si="66"/>
        <v>6.916612972</v>
      </c>
      <c r="DI20" s="118">
        <f t="shared" si="67"/>
        <v>-0.780359743</v>
      </c>
      <c r="DJ20" s="118">
        <f t="shared" si="68"/>
        <v>1.1212379</v>
      </c>
      <c r="DK20" s="118">
        <f t="shared" si="69"/>
        <v>-1.538801169</v>
      </c>
      <c r="DL20" s="123">
        <f t="shared" si="70"/>
        <v>0.125119877</v>
      </c>
      <c r="DM20" s="124">
        <f t="shared" si="71"/>
        <v>5.843809838</v>
      </c>
      <c r="DN20" s="114">
        <f t="shared" si="72"/>
        <v>0.3515919722</v>
      </c>
      <c r="DO20" s="118">
        <f t="shared" si="73"/>
        <v>2.054636626</v>
      </c>
      <c r="DP20" s="126" t="str">
        <f t="shared" si="74"/>
        <v>Channing Frye (11th)</v>
      </c>
      <c r="DQ20" s="127">
        <f t="shared" si="75"/>
        <v>4.13775811</v>
      </c>
      <c r="DR20" s="127">
        <f t="shared" si="76"/>
        <v>3.290976458</v>
      </c>
      <c r="DS20" s="128">
        <f t="shared" si="77"/>
        <v>1398</v>
      </c>
      <c r="DT20" s="127">
        <f t="shared" si="78"/>
        <v>18.89189189</v>
      </c>
      <c r="DU20" s="127">
        <f t="shared" si="79"/>
        <v>0.9846227458</v>
      </c>
      <c r="DV20" s="127">
        <f t="shared" si="80"/>
        <v>1.400819185</v>
      </c>
      <c r="DW20" s="127">
        <f t="shared" si="81"/>
        <v>-0.416196439</v>
      </c>
      <c r="DX20" s="127">
        <f t="shared" si="82"/>
        <v>0.3461854531</v>
      </c>
      <c r="DY20" s="129">
        <f t="shared" si="83"/>
        <v>1.049369398</v>
      </c>
      <c r="DZ20" s="130">
        <f t="shared" si="84"/>
        <v>17.92307692</v>
      </c>
      <c r="EA20" s="130">
        <f t="shared" si="85"/>
        <v>0</v>
      </c>
      <c r="EB20" s="130">
        <f t="shared" si="86"/>
        <v>-1.613461538</v>
      </c>
      <c r="EC20" s="130">
        <f t="shared" si="87"/>
        <v>0.9846227458</v>
      </c>
      <c r="ED20" s="32">
        <f t="shared" si="88"/>
        <v>1.400819185</v>
      </c>
      <c r="EE20" s="32">
        <f t="shared" si="89"/>
        <v>-0.416196439</v>
      </c>
    </row>
    <row r="21">
      <c r="A21" s="108">
        <v>8.0</v>
      </c>
      <c r="B21" s="109" t="s">
        <v>150</v>
      </c>
      <c r="C21" s="109">
        <v>31.0</v>
      </c>
      <c r="D21" s="109">
        <v>41.0</v>
      </c>
      <c r="E21" s="109">
        <v>35.0</v>
      </c>
      <c r="F21" s="109">
        <v>1187.0</v>
      </c>
      <c r="G21" s="109">
        <v>123.0</v>
      </c>
      <c r="H21" s="109">
        <v>356.0</v>
      </c>
      <c r="I21" s="109">
        <v>0.346</v>
      </c>
      <c r="J21" s="109">
        <v>95.0</v>
      </c>
      <c r="K21" s="109">
        <v>271.0</v>
      </c>
      <c r="L21" s="109">
        <v>0.351</v>
      </c>
      <c r="M21" s="109">
        <v>28.0</v>
      </c>
      <c r="N21" s="109">
        <v>85.0</v>
      </c>
      <c r="O21" s="109">
        <v>0.329</v>
      </c>
      <c r="P21" s="109">
        <v>0.479</v>
      </c>
      <c r="Q21" s="109">
        <v>10.0</v>
      </c>
      <c r="R21" s="109">
        <v>15.0</v>
      </c>
      <c r="S21" s="109">
        <v>0.667</v>
      </c>
      <c r="T21" s="109">
        <v>17.0</v>
      </c>
      <c r="U21" s="109">
        <v>96.0</v>
      </c>
      <c r="V21" s="109">
        <v>113.0</v>
      </c>
      <c r="W21" s="109">
        <v>62.0</v>
      </c>
      <c r="X21" s="109">
        <v>40.0</v>
      </c>
      <c r="Y21" s="109">
        <v>11.0</v>
      </c>
      <c r="Z21" s="109">
        <v>26.0</v>
      </c>
      <c r="AA21" s="109">
        <v>77.0</v>
      </c>
      <c r="AB21" s="109">
        <v>351.0</v>
      </c>
      <c r="AC21" s="110">
        <f t="shared" si="10"/>
        <v>362.6</v>
      </c>
      <c r="AD21" s="111">
        <f t="shared" si="11"/>
        <v>0.9680088252</v>
      </c>
      <c r="AE21" s="4">
        <f t="shared" si="12"/>
        <v>293.2383727</v>
      </c>
      <c r="AF21" s="110">
        <f t="shared" si="13"/>
        <v>2378.945833</v>
      </c>
      <c r="AG21" s="112">
        <f t="shared" si="14"/>
        <v>50.29637268</v>
      </c>
      <c r="AH21" s="113">
        <f t="shared" si="15"/>
        <v>12.32639973</v>
      </c>
      <c r="AI21" s="113">
        <f t="shared" si="16"/>
        <v>14.96461143</v>
      </c>
      <c r="AJ21" s="113">
        <f t="shared" si="17"/>
        <v>0.6305313803</v>
      </c>
      <c r="AK21" s="113">
        <f t="shared" si="18"/>
        <v>3.993365409</v>
      </c>
      <c r="AL21" s="113">
        <f t="shared" si="19"/>
        <v>2.606196372</v>
      </c>
      <c r="AM21" s="113">
        <f t="shared" si="20"/>
        <v>1.092921059</v>
      </c>
      <c r="AN21" s="113">
        <f t="shared" ref="AN21:AP21" si="126">T21/$AF21*100</f>
        <v>0.714602231</v>
      </c>
      <c r="AO21" s="113">
        <f t="shared" si="126"/>
        <v>4.035400834</v>
      </c>
      <c r="AP21" s="113">
        <f t="shared" si="126"/>
        <v>4.750003065</v>
      </c>
      <c r="AQ21" s="113">
        <f t="shared" ref="AQ21:AR21" si="127">X21/$AF21*100</f>
        <v>1.681417014</v>
      </c>
      <c r="AR21" s="113">
        <f t="shared" si="127"/>
        <v>0.4623896789</v>
      </c>
      <c r="AS21" s="113">
        <f t="shared" si="23"/>
        <v>3.236727752</v>
      </c>
      <c r="AT21" s="114">
        <f t="shared" si="24"/>
        <v>0.1055272374</v>
      </c>
      <c r="AU21" s="114">
        <f t="shared" si="25"/>
        <v>0.2485929043</v>
      </c>
      <c r="AV21" s="114">
        <f t="shared" si="26"/>
        <v>0.1735758968</v>
      </c>
      <c r="AW21" s="114">
        <f t="shared" si="27"/>
        <v>0.1117798395</v>
      </c>
      <c r="AX21" s="114">
        <f t="shared" si="28"/>
        <v>0.1126840466</v>
      </c>
      <c r="AY21" s="115">
        <f t="shared" si="29"/>
        <v>0.06541583667</v>
      </c>
      <c r="AZ21" s="116" t="str">
        <f t="shared" si="30"/>
        <v>SG</v>
      </c>
      <c r="BA21" s="117">
        <f t="shared" si="31"/>
        <v>2</v>
      </c>
      <c r="BB21" s="118">
        <f t="shared" si="32"/>
        <v>2.3909967</v>
      </c>
      <c r="BC21" s="118">
        <f t="shared" si="33"/>
        <v>2.375192468</v>
      </c>
      <c r="BD21" s="118">
        <f t="shared" si="34"/>
        <v>2.375192468</v>
      </c>
      <c r="BE21" s="131">
        <f t="shared" si="92"/>
        <v>3.116564532</v>
      </c>
      <c r="BF21" s="118">
        <f t="shared" si="35"/>
        <v>2.258627936</v>
      </c>
      <c r="BG21" s="118">
        <f t="shared" si="36"/>
        <v>2.258627936</v>
      </c>
      <c r="BH21" s="131">
        <f t="shared" si="93"/>
        <v>3.014583965</v>
      </c>
      <c r="BI21" s="118">
        <f t="shared" si="37"/>
        <v>2.244043972</v>
      </c>
      <c r="BJ21" s="118">
        <f t="shared" si="38"/>
        <v>2.244043972</v>
      </c>
      <c r="BK21" s="131">
        <f t="shared" si="94"/>
        <v>3.001824371</v>
      </c>
      <c r="BL21" s="118">
        <f t="shared" si="39"/>
        <v>2.242219601</v>
      </c>
      <c r="BM21" s="118">
        <f t="shared" si="40"/>
        <v>2.242219601</v>
      </c>
      <c r="BN21" s="120">
        <f t="shared" si="41"/>
        <v>4.698683568</v>
      </c>
      <c r="BO21" s="118">
        <f t="shared" si="42"/>
        <v>4.670442518</v>
      </c>
      <c r="BP21" s="118">
        <f t="shared" si="43"/>
        <v>4.670442518</v>
      </c>
      <c r="BQ21" s="131">
        <f t="shared" si="95"/>
        <v>3.160209217</v>
      </c>
      <c r="BR21" s="118">
        <f t="shared" si="44"/>
        <v>4.510233301</v>
      </c>
      <c r="BS21" s="118">
        <f t="shared" si="45"/>
        <v>4.510233301</v>
      </c>
      <c r="BT21" s="131">
        <f t="shared" si="96"/>
        <v>3.042862674</v>
      </c>
      <c r="BU21" s="118">
        <f t="shared" si="46"/>
        <v>4.467370627</v>
      </c>
      <c r="BV21" s="118">
        <f t="shared" si="47"/>
        <v>4.467370627</v>
      </c>
      <c r="BW21" s="131">
        <f t="shared" si="97"/>
        <v>3.01146756</v>
      </c>
      <c r="BX21" s="118">
        <f t="shared" si="48"/>
        <v>4.455903067</v>
      </c>
      <c r="BY21" s="118">
        <f t="shared" si="49"/>
        <v>4.455903067</v>
      </c>
      <c r="BZ21" s="61" t="str">
        <f t="shared" si="50"/>
        <v>J.R. Smith</v>
      </c>
      <c r="CA21" s="121">
        <f t="shared" si="51"/>
        <v>0.86</v>
      </c>
      <c r="CB21" s="122">
        <f t="shared" ref="CB21:CC21" si="128">(5-$BY21)/4*CB$3+($BY21-1)/4*CB$4</f>
        <v>-0.7500746687</v>
      </c>
      <c r="CC21" s="122">
        <f t="shared" si="128"/>
        <v>-0.3300328542</v>
      </c>
      <c r="CD21" s="121">
        <f t="shared" ref="CD21:CL21" si="129">(5-$BM21)/4*CD$3+($BM21-1)/4*CD$4</f>
        <v>0.389</v>
      </c>
      <c r="CE21" s="121">
        <f t="shared" si="129"/>
        <v>0.7209919247</v>
      </c>
      <c r="CF21" s="121">
        <f t="shared" si="129"/>
        <v>-0.964</v>
      </c>
      <c r="CG21" s="121">
        <f t="shared" si="129"/>
        <v>0.4788402831</v>
      </c>
      <c r="CH21" s="121">
        <f t="shared" si="129"/>
        <v>0.1361860685</v>
      </c>
      <c r="CI21" s="121">
        <f t="shared" si="129"/>
        <v>0</v>
      </c>
      <c r="CJ21" s="121">
        <f t="shared" si="129"/>
        <v>1.256889681</v>
      </c>
      <c r="CK21" s="121">
        <f t="shared" si="129"/>
        <v>1.133213742</v>
      </c>
      <c r="CL21" s="121">
        <f t="shared" si="129"/>
        <v>-0.367</v>
      </c>
      <c r="CM21" s="118">
        <f t="shared" si="54"/>
        <v>0.7214508796</v>
      </c>
      <c r="CN21" s="118">
        <f t="shared" si="55"/>
        <v>0.8254706372</v>
      </c>
      <c r="CO21" s="118">
        <f t="shared" si="56"/>
        <v>0.8917457091</v>
      </c>
      <c r="CP21" s="118">
        <f t="shared" si="57"/>
        <v>1.449462948</v>
      </c>
      <c r="CQ21" s="123">
        <f t="shared" si="58"/>
        <v>1.70940537</v>
      </c>
      <c r="CR21" s="124">
        <f t="shared" si="59"/>
        <v>5.597535544</v>
      </c>
      <c r="CS21" s="114">
        <f t="shared" si="60"/>
        <v>0.2985262311</v>
      </c>
      <c r="CT21" s="118">
        <f t="shared" si="61"/>
        <v>1.671011189</v>
      </c>
      <c r="CU21" s="125" t="str">
        <f t="shared" si="62"/>
        <v>J.R. Smith</v>
      </c>
      <c r="CV21" s="121">
        <f t="shared" si="63"/>
        <v>0.605</v>
      </c>
      <c r="CW21" s="122">
        <f t="shared" ref="CW21:CX21" si="130">(5-$BY21)/4*CB$7+($BY21-1)/4*CB$8</f>
        <v>-0.4526845589</v>
      </c>
      <c r="CX21" s="122">
        <f t="shared" si="130"/>
        <v>-0.1991812059</v>
      </c>
      <c r="CY21" s="121">
        <f t="shared" ref="CY21:DG21" si="131">(5-$BM21)/4*CD$7+($BM21-1)/4*CD$8</f>
        <v>0.477</v>
      </c>
      <c r="CZ21" s="121">
        <f t="shared" si="131"/>
        <v>0.476</v>
      </c>
      <c r="DA21" s="121">
        <f t="shared" si="131"/>
        <v>-0.6730981347</v>
      </c>
      <c r="DB21" s="121">
        <f t="shared" si="131"/>
        <v>0.5488578984</v>
      </c>
      <c r="DC21" s="121">
        <f t="shared" si="131"/>
        <v>-0.04523069647</v>
      </c>
      <c r="DD21" s="121">
        <f t="shared" si="131"/>
        <v>0</v>
      </c>
      <c r="DE21" s="121">
        <f t="shared" si="131"/>
        <v>0.2133349233</v>
      </c>
      <c r="DF21" s="121">
        <f t="shared" si="131"/>
        <v>0.5299715227</v>
      </c>
      <c r="DG21" s="121">
        <f t="shared" si="131"/>
        <v>-0.439</v>
      </c>
      <c r="DH21" s="118">
        <f t="shared" si="66"/>
        <v>2.462468611</v>
      </c>
      <c r="DI21" s="118">
        <f t="shared" si="67"/>
        <v>0.5049063467</v>
      </c>
      <c r="DJ21" s="118">
        <f t="shared" si="68"/>
        <v>0.2096910884</v>
      </c>
      <c r="DK21" s="118">
        <f t="shared" si="69"/>
        <v>-0.8171651513</v>
      </c>
      <c r="DL21" s="123">
        <f t="shared" si="70"/>
        <v>-0.01731724037</v>
      </c>
      <c r="DM21" s="124">
        <f t="shared" si="71"/>
        <v>2.342583655</v>
      </c>
      <c r="DN21" s="114">
        <f t="shared" si="72"/>
        <v>0.2985262311</v>
      </c>
      <c r="DO21" s="118">
        <f t="shared" si="73"/>
        <v>0.6993226694</v>
      </c>
      <c r="DP21" s="126" t="str">
        <f t="shared" si="74"/>
        <v>J.R. Smith (13th)</v>
      </c>
      <c r="DQ21" s="127">
        <f t="shared" si="75"/>
        <v>2.242219601</v>
      </c>
      <c r="DR21" s="127">
        <f t="shared" si="76"/>
        <v>4.455903067</v>
      </c>
      <c r="DS21" s="128">
        <f t="shared" si="77"/>
        <v>1187</v>
      </c>
      <c r="DT21" s="127">
        <f t="shared" si="78"/>
        <v>28.95121951</v>
      </c>
      <c r="DU21" s="127">
        <f t="shared" si="79"/>
        <v>-2.369228306</v>
      </c>
      <c r="DV21" s="127">
        <f t="shared" si="80"/>
        <v>-2.100406998</v>
      </c>
      <c r="DW21" s="127">
        <f t="shared" si="81"/>
        <v>-0.2688213076</v>
      </c>
      <c r="DX21" s="127">
        <f t="shared" si="82"/>
        <v>-0.7072767967</v>
      </c>
      <c r="DY21" s="129">
        <f t="shared" si="83"/>
        <v>-0.1102243346</v>
      </c>
      <c r="DZ21" s="130">
        <f t="shared" si="84"/>
        <v>26.37777778</v>
      </c>
      <c r="EA21" s="130">
        <f t="shared" si="85"/>
        <v>0</v>
      </c>
      <c r="EB21" s="130">
        <f t="shared" si="86"/>
        <v>-0.1338888889</v>
      </c>
      <c r="EC21" s="130">
        <f t="shared" si="87"/>
        <v>-2.369228306</v>
      </c>
      <c r="ED21" s="32">
        <f t="shared" si="88"/>
        <v>-2.100406998</v>
      </c>
      <c r="EE21" s="32">
        <f t="shared" si="89"/>
        <v>-0.2688213076</v>
      </c>
    </row>
    <row r="22">
      <c r="A22" s="108">
        <v>9.0</v>
      </c>
      <c r="B22" s="109" t="s">
        <v>151</v>
      </c>
      <c r="C22" s="109">
        <v>35.0</v>
      </c>
      <c r="D22" s="109">
        <v>35.0</v>
      </c>
      <c r="E22" s="109">
        <v>1.0</v>
      </c>
      <c r="F22" s="109">
        <v>859.0</v>
      </c>
      <c r="G22" s="109">
        <v>131.0</v>
      </c>
      <c r="H22" s="109">
        <v>269.0</v>
      </c>
      <c r="I22" s="109">
        <v>0.487</v>
      </c>
      <c r="J22" s="109">
        <v>97.0</v>
      </c>
      <c r="K22" s="109">
        <v>200.0</v>
      </c>
      <c r="L22" s="109">
        <v>0.485</v>
      </c>
      <c r="M22" s="109">
        <v>34.0</v>
      </c>
      <c r="N22" s="109">
        <v>69.0</v>
      </c>
      <c r="O22" s="109">
        <v>0.493</v>
      </c>
      <c r="P22" s="109">
        <v>0.667</v>
      </c>
      <c r="Q22" s="109">
        <v>14.0</v>
      </c>
      <c r="R22" s="109">
        <v>15.0</v>
      </c>
      <c r="S22" s="109">
        <v>0.933</v>
      </c>
      <c r="T22" s="109">
        <v>7.0</v>
      </c>
      <c r="U22" s="109">
        <v>90.0</v>
      </c>
      <c r="V22" s="109">
        <v>97.0</v>
      </c>
      <c r="W22" s="109">
        <v>35.0</v>
      </c>
      <c r="X22" s="109">
        <v>11.0</v>
      </c>
      <c r="Y22" s="109">
        <v>8.0</v>
      </c>
      <c r="Z22" s="109">
        <v>29.0</v>
      </c>
      <c r="AA22" s="109">
        <v>60.0</v>
      </c>
      <c r="AB22" s="109">
        <v>373.0</v>
      </c>
      <c r="AC22" s="110">
        <f t="shared" si="10"/>
        <v>275.6</v>
      </c>
      <c r="AD22" s="111">
        <f t="shared" si="11"/>
        <v>1.35341074</v>
      </c>
      <c r="AE22" s="4">
        <f t="shared" si="12"/>
        <v>329.0973401</v>
      </c>
      <c r="AF22" s="110">
        <f t="shared" si="13"/>
        <v>1721.579167</v>
      </c>
      <c r="AG22" s="112">
        <f t="shared" si="14"/>
        <v>144.4453401</v>
      </c>
      <c r="AH22" s="113">
        <f t="shared" si="15"/>
        <v>19.11601548</v>
      </c>
      <c r="AI22" s="113">
        <f t="shared" si="16"/>
        <v>15.62518908</v>
      </c>
      <c r="AJ22" s="113">
        <f t="shared" si="17"/>
        <v>0.8712930715</v>
      </c>
      <c r="AK22" s="113">
        <f t="shared" si="18"/>
        <v>5.634361863</v>
      </c>
      <c r="AL22" s="113">
        <f t="shared" si="19"/>
        <v>2.033017167</v>
      </c>
      <c r="AM22" s="113">
        <f t="shared" si="20"/>
        <v>1.684499938</v>
      </c>
      <c r="AN22" s="113">
        <f t="shared" ref="AN22:AP22" si="132">T22/$AF22*100</f>
        <v>0.4066034334</v>
      </c>
      <c r="AO22" s="113">
        <f t="shared" si="132"/>
        <v>5.227758429</v>
      </c>
      <c r="AP22" s="113">
        <f t="shared" si="132"/>
        <v>5.634361863</v>
      </c>
      <c r="AQ22" s="113">
        <f t="shared" ref="AQ22:AR22" si="133">X22/$AF22*100</f>
        <v>0.6389482525</v>
      </c>
      <c r="AR22" s="113">
        <f t="shared" si="133"/>
        <v>0.4646896381</v>
      </c>
      <c r="AS22" s="113">
        <f t="shared" si="23"/>
        <v>3.485172286</v>
      </c>
      <c r="AT22" s="114">
        <f t="shared" si="24"/>
        <v>0.1251743701</v>
      </c>
      <c r="AU22" s="114">
        <f t="shared" si="25"/>
        <v>0.09446675061</v>
      </c>
      <c r="AV22" s="114">
        <f t="shared" si="26"/>
        <v>0.186899224</v>
      </c>
      <c r="AW22" s="114">
        <f t="shared" si="27"/>
        <v>0.08719616647</v>
      </c>
      <c r="AX22" s="114">
        <f t="shared" si="28"/>
        <v>0.1132445451</v>
      </c>
      <c r="AY22" s="115">
        <f t="shared" si="29"/>
        <v>0.2596015767</v>
      </c>
      <c r="AZ22" s="116" t="str">
        <f t="shared" si="30"/>
        <v>SG</v>
      </c>
      <c r="BA22" s="117">
        <f t="shared" si="31"/>
        <v>2</v>
      </c>
      <c r="BB22" s="118">
        <f t="shared" si="32"/>
        <v>3.04554458</v>
      </c>
      <c r="BC22" s="118">
        <f t="shared" si="33"/>
        <v>2.988033877</v>
      </c>
      <c r="BD22" s="118">
        <f t="shared" si="34"/>
        <v>2.988033877</v>
      </c>
      <c r="BE22" s="131">
        <f t="shared" si="92"/>
        <v>3.116564532</v>
      </c>
      <c r="BF22" s="118">
        <f t="shared" si="35"/>
        <v>2.871469345</v>
      </c>
      <c r="BG22" s="118">
        <f t="shared" si="36"/>
        <v>2.871469345</v>
      </c>
      <c r="BH22" s="131">
        <f t="shared" si="93"/>
        <v>3.014583965</v>
      </c>
      <c r="BI22" s="118">
        <f t="shared" si="37"/>
        <v>2.856885381</v>
      </c>
      <c r="BJ22" s="118">
        <f t="shared" si="38"/>
        <v>2.856885381</v>
      </c>
      <c r="BK22" s="131">
        <f t="shared" si="94"/>
        <v>3.001824371</v>
      </c>
      <c r="BL22" s="118">
        <f t="shared" si="39"/>
        <v>2.85506101</v>
      </c>
      <c r="BM22" s="118">
        <f t="shared" si="40"/>
        <v>2.85506101</v>
      </c>
      <c r="BN22" s="120">
        <f t="shared" si="41"/>
        <v>3.202816109</v>
      </c>
      <c r="BO22" s="118">
        <f t="shared" si="42"/>
        <v>3.246665608</v>
      </c>
      <c r="BP22" s="118">
        <f t="shared" si="43"/>
        <v>3.246665608</v>
      </c>
      <c r="BQ22" s="131">
        <f t="shared" si="95"/>
        <v>3.160209217</v>
      </c>
      <c r="BR22" s="118">
        <f t="shared" si="44"/>
        <v>3.086456391</v>
      </c>
      <c r="BS22" s="118">
        <f t="shared" si="45"/>
        <v>3.086456391</v>
      </c>
      <c r="BT22" s="131">
        <f t="shared" si="96"/>
        <v>3.042862674</v>
      </c>
      <c r="BU22" s="118">
        <f t="shared" si="46"/>
        <v>3.043593717</v>
      </c>
      <c r="BV22" s="118">
        <f t="shared" si="47"/>
        <v>3.043593717</v>
      </c>
      <c r="BW22" s="131">
        <f t="shared" si="97"/>
        <v>3.01146756</v>
      </c>
      <c r="BX22" s="118">
        <f t="shared" si="48"/>
        <v>3.032126157</v>
      </c>
      <c r="BY22" s="118">
        <f t="shared" si="49"/>
        <v>3.032126157</v>
      </c>
      <c r="BZ22" s="61" t="str">
        <f t="shared" si="50"/>
        <v>Kyle Korver</v>
      </c>
      <c r="CA22" s="121">
        <f t="shared" si="51"/>
        <v>0.86</v>
      </c>
      <c r="CB22" s="122">
        <f t="shared" ref="CB22:CC22" si="134">(5-$BY22)/4*CB$3+($BY22-1)/4*CB$4</f>
        <v>-0.6717669386</v>
      </c>
      <c r="CC22" s="122">
        <f t="shared" si="134"/>
        <v>-0.295577453</v>
      </c>
      <c r="CD22" s="121">
        <f t="shared" ref="CD22:CL22" si="135">(5-$BM22)/4*CD$3+($BM22-1)/4*CD$4</f>
        <v>0.389</v>
      </c>
      <c r="CE22" s="121">
        <f t="shared" si="135"/>
        <v>0.7905494246</v>
      </c>
      <c r="CF22" s="121">
        <f t="shared" si="135"/>
        <v>-0.964</v>
      </c>
      <c r="CG22" s="121">
        <f t="shared" si="135"/>
        <v>0.4126534109</v>
      </c>
      <c r="CH22" s="121">
        <f t="shared" si="135"/>
        <v>0.1461447414</v>
      </c>
      <c r="CI22" s="121">
        <f t="shared" si="135"/>
        <v>0</v>
      </c>
      <c r="CJ22" s="121">
        <f t="shared" si="135"/>
        <v>1.201580744</v>
      </c>
      <c r="CK22" s="121">
        <f t="shared" si="135"/>
        <v>1.037610482</v>
      </c>
      <c r="CL22" s="121">
        <f t="shared" si="135"/>
        <v>-0.367</v>
      </c>
      <c r="CM22" s="118">
        <f t="shared" si="54"/>
        <v>7.877520058</v>
      </c>
      <c r="CN22" s="118">
        <f t="shared" si="55"/>
        <v>-0.01665738899</v>
      </c>
      <c r="CO22" s="118">
        <f t="shared" si="56"/>
        <v>0.9317956975</v>
      </c>
      <c r="CP22" s="118">
        <f t="shared" si="57"/>
        <v>-0.02914347289</v>
      </c>
      <c r="CQ22" s="123">
        <f t="shared" si="58"/>
        <v>-0.01472106755</v>
      </c>
      <c r="CR22" s="124">
        <f t="shared" si="59"/>
        <v>8.748793827</v>
      </c>
      <c r="CS22" s="114">
        <f t="shared" si="60"/>
        <v>0.2160354107</v>
      </c>
      <c r="CT22" s="118">
        <f t="shared" si="61"/>
        <v>1.890049267</v>
      </c>
      <c r="CU22" s="125" t="str">
        <f t="shared" si="62"/>
        <v>Kyle Korver</v>
      </c>
      <c r="CV22" s="121">
        <f t="shared" si="63"/>
        <v>0.605</v>
      </c>
      <c r="CW22" s="122">
        <f t="shared" ref="CW22:CX22" si="136">(5-$BY22)/4*CB$7+($BY22-1)/4*CB$8</f>
        <v>-0.4021404786</v>
      </c>
      <c r="CX22" s="122">
        <f t="shared" si="136"/>
        <v>-0.1769418106</v>
      </c>
      <c r="CY22" s="121">
        <f t="shared" ref="CY22:DG22" si="137">(5-$BM22)/4*CD$7+($BM22-1)/4*CD$8</f>
        <v>0.477</v>
      </c>
      <c r="CZ22" s="121">
        <f t="shared" si="137"/>
        <v>0.476</v>
      </c>
      <c r="DA22" s="121">
        <f t="shared" si="137"/>
        <v>-0.7195208715</v>
      </c>
      <c r="DB22" s="121">
        <f t="shared" si="137"/>
        <v>0.5206671935</v>
      </c>
      <c r="DC22" s="121">
        <f t="shared" si="137"/>
        <v>-0.01229047072</v>
      </c>
      <c r="DD22" s="121">
        <f t="shared" si="137"/>
        <v>0</v>
      </c>
      <c r="DE22" s="121">
        <f t="shared" si="137"/>
        <v>0.2312605345</v>
      </c>
      <c r="DF22" s="121">
        <f t="shared" si="137"/>
        <v>0.4337554215</v>
      </c>
      <c r="DG22" s="121">
        <f t="shared" si="137"/>
        <v>-0.439</v>
      </c>
      <c r="DH22" s="118">
        <f t="shared" si="66"/>
        <v>7.815090787</v>
      </c>
      <c r="DI22" s="118">
        <f t="shared" si="67"/>
        <v>-0.2443166922</v>
      </c>
      <c r="DJ22" s="118">
        <f t="shared" si="68"/>
        <v>0.1474534566</v>
      </c>
      <c r="DK22" s="118">
        <f t="shared" si="69"/>
        <v>-1.180665469</v>
      </c>
      <c r="DL22" s="123">
        <f t="shared" si="70"/>
        <v>-0.1092389553</v>
      </c>
      <c r="DM22" s="124">
        <f t="shared" si="71"/>
        <v>6.428323127</v>
      </c>
      <c r="DN22" s="114">
        <f t="shared" si="72"/>
        <v>0.2160354107</v>
      </c>
      <c r="DO22" s="118">
        <f t="shared" si="73"/>
        <v>1.388745427</v>
      </c>
      <c r="DP22" s="126" t="str">
        <f t="shared" si="74"/>
        <v>Kyle Korver (14th)</v>
      </c>
      <c r="DQ22" s="127">
        <f t="shared" si="75"/>
        <v>2.85506101</v>
      </c>
      <c r="DR22" s="127">
        <f t="shared" si="76"/>
        <v>3.032126157</v>
      </c>
      <c r="DS22" s="128">
        <f t="shared" si="77"/>
        <v>859</v>
      </c>
      <c r="DT22" s="127">
        <f t="shared" si="78"/>
        <v>24.54285714</v>
      </c>
      <c r="DU22" s="127">
        <f t="shared" si="79"/>
        <v>0.7820299763</v>
      </c>
      <c r="DV22" s="127">
        <f t="shared" si="80"/>
        <v>1.985332474</v>
      </c>
      <c r="DW22" s="127">
        <f t="shared" si="81"/>
        <v>-1.203302498</v>
      </c>
      <c r="DX22" s="127">
        <f t="shared" si="82"/>
        <v>0.1689461671</v>
      </c>
      <c r="DY22" s="129">
        <f t="shared" si="83"/>
        <v>0.6010169885</v>
      </c>
      <c r="DZ22" s="130">
        <f t="shared" si="84"/>
        <v>22.02564103</v>
      </c>
      <c r="EA22" s="130">
        <f t="shared" si="85"/>
        <v>0</v>
      </c>
      <c r="EB22" s="130">
        <f t="shared" si="86"/>
        <v>-0.8955128205</v>
      </c>
      <c r="EC22" s="130">
        <f t="shared" si="87"/>
        <v>0.7820299763</v>
      </c>
      <c r="ED22" s="32">
        <f t="shared" si="88"/>
        <v>1.985332474</v>
      </c>
      <c r="EE22" s="32">
        <f t="shared" si="89"/>
        <v>-1.203302498</v>
      </c>
    </row>
    <row r="23">
      <c r="A23" s="108">
        <v>10.0</v>
      </c>
      <c r="B23" s="109" t="s">
        <v>152</v>
      </c>
      <c r="C23" s="109">
        <v>28.0</v>
      </c>
      <c r="D23" s="109">
        <v>61.0</v>
      </c>
      <c r="E23" s="109">
        <v>19.0</v>
      </c>
      <c r="F23" s="109">
        <v>752.0</v>
      </c>
      <c r="G23" s="109">
        <v>52.0</v>
      </c>
      <c r="H23" s="109">
        <v>136.0</v>
      </c>
      <c r="I23" s="109">
        <v>0.382</v>
      </c>
      <c r="J23" s="109">
        <v>17.0</v>
      </c>
      <c r="K23" s="109">
        <v>45.0</v>
      </c>
      <c r="L23" s="109">
        <v>0.378</v>
      </c>
      <c r="M23" s="109">
        <v>35.0</v>
      </c>
      <c r="N23" s="109">
        <v>91.0</v>
      </c>
      <c r="O23" s="109">
        <v>0.385</v>
      </c>
      <c r="P23" s="109">
        <v>0.445</v>
      </c>
      <c r="Q23" s="109">
        <v>23.0</v>
      </c>
      <c r="R23" s="109">
        <v>37.0</v>
      </c>
      <c r="S23" s="109">
        <v>0.622</v>
      </c>
      <c r="T23" s="109">
        <v>17.0</v>
      </c>
      <c r="U23" s="109">
        <v>84.0</v>
      </c>
      <c r="V23" s="109">
        <v>101.0</v>
      </c>
      <c r="W23" s="109">
        <v>54.0</v>
      </c>
      <c r="X23" s="109">
        <v>45.0</v>
      </c>
      <c r="Y23" s="109">
        <v>14.0</v>
      </c>
      <c r="Z23" s="109">
        <v>42.0</v>
      </c>
      <c r="AA23" s="109">
        <v>78.0</v>
      </c>
      <c r="AB23" s="109">
        <v>144.0</v>
      </c>
      <c r="AC23" s="110">
        <f t="shared" si="10"/>
        <v>152.28</v>
      </c>
      <c r="AD23" s="111">
        <f t="shared" si="11"/>
        <v>0.9456264775</v>
      </c>
      <c r="AE23" s="4">
        <f t="shared" si="12"/>
        <v>119.7420281</v>
      </c>
      <c r="AF23" s="110">
        <f t="shared" si="13"/>
        <v>1507.133333</v>
      </c>
      <c r="AG23" s="112">
        <f t="shared" si="14"/>
        <v>17.71442811</v>
      </c>
      <c r="AH23" s="113">
        <f t="shared" si="15"/>
        <v>7.945018895</v>
      </c>
      <c r="AI23" s="113">
        <f t="shared" si="16"/>
        <v>9.023753705</v>
      </c>
      <c r="AJ23" s="113">
        <f t="shared" si="17"/>
        <v>2.454991817</v>
      </c>
      <c r="AK23" s="113">
        <f t="shared" si="18"/>
        <v>1.127969213</v>
      </c>
      <c r="AL23" s="113">
        <f t="shared" si="19"/>
        <v>3.58296103</v>
      </c>
      <c r="AM23" s="113">
        <f t="shared" si="20"/>
        <v>2.786747468</v>
      </c>
      <c r="AN23" s="113">
        <f t="shared" ref="AN23:AP23" si="138">T23/$AF23*100</f>
        <v>1.127969213</v>
      </c>
      <c r="AO23" s="113">
        <f t="shared" si="138"/>
        <v>5.573494935</v>
      </c>
      <c r="AP23" s="113">
        <f t="shared" si="138"/>
        <v>6.701464148</v>
      </c>
      <c r="AQ23" s="113">
        <f t="shared" ref="AQ23:AR23" si="139">X23/$AF23*100</f>
        <v>2.985800858</v>
      </c>
      <c r="AR23" s="113">
        <f t="shared" si="139"/>
        <v>0.9289158225</v>
      </c>
      <c r="AS23" s="113">
        <f t="shared" si="23"/>
        <v>5.175388154</v>
      </c>
      <c r="AT23" s="114">
        <f t="shared" si="24"/>
        <v>0.1488813772</v>
      </c>
      <c r="AU23" s="114">
        <f t="shared" si="25"/>
        <v>0.4414424861</v>
      </c>
      <c r="AV23" s="114">
        <f t="shared" si="26"/>
        <v>0.2775403769</v>
      </c>
      <c r="AW23" s="114">
        <f t="shared" si="27"/>
        <v>0.1536733046</v>
      </c>
      <c r="AX23" s="114">
        <f t="shared" si="28"/>
        <v>0.2263761468</v>
      </c>
      <c r="AY23" s="115">
        <f t="shared" si="29"/>
        <v>0.03636689725</v>
      </c>
      <c r="AZ23" s="116" t="str">
        <f t="shared" si="30"/>
        <v>SG</v>
      </c>
      <c r="BA23" s="117">
        <f t="shared" si="31"/>
        <v>2</v>
      </c>
      <c r="BB23" s="118">
        <f t="shared" si="32"/>
        <v>2.431836341</v>
      </c>
      <c r="BC23" s="118">
        <f t="shared" si="33"/>
        <v>2.404913876</v>
      </c>
      <c r="BD23" s="118">
        <f t="shared" si="34"/>
        <v>2.404913876</v>
      </c>
      <c r="BE23" s="131">
        <f t="shared" si="92"/>
        <v>3.116564532</v>
      </c>
      <c r="BF23" s="118">
        <f t="shared" si="35"/>
        <v>2.288349344</v>
      </c>
      <c r="BG23" s="118">
        <f t="shared" si="36"/>
        <v>2.288349344</v>
      </c>
      <c r="BH23" s="131">
        <f t="shared" si="93"/>
        <v>3.014583965</v>
      </c>
      <c r="BI23" s="118">
        <f t="shared" si="37"/>
        <v>2.273765379</v>
      </c>
      <c r="BJ23" s="118">
        <f t="shared" si="38"/>
        <v>2.273765379</v>
      </c>
      <c r="BK23" s="131">
        <f t="shared" si="94"/>
        <v>3.001824371</v>
      </c>
      <c r="BL23" s="118">
        <f t="shared" si="39"/>
        <v>2.271941008</v>
      </c>
      <c r="BM23" s="118">
        <f t="shared" si="40"/>
        <v>2.271941008</v>
      </c>
      <c r="BN23" s="120">
        <f t="shared" si="41"/>
        <v>4.668640973</v>
      </c>
      <c r="BO23" s="118">
        <f t="shared" si="42"/>
        <v>4.626955127</v>
      </c>
      <c r="BP23" s="118">
        <f t="shared" si="43"/>
        <v>4.626955127</v>
      </c>
      <c r="BQ23" s="131">
        <f t="shared" si="95"/>
        <v>3.160209217</v>
      </c>
      <c r="BR23" s="118">
        <f t="shared" si="44"/>
        <v>4.46674591</v>
      </c>
      <c r="BS23" s="118">
        <f t="shared" si="45"/>
        <v>4.46674591</v>
      </c>
      <c r="BT23" s="131">
        <f t="shared" si="96"/>
        <v>3.042862674</v>
      </c>
      <c r="BU23" s="118">
        <f t="shared" si="46"/>
        <v>4.423883236</v>
      </c>
      <c r="BV23" s="118">
        <f t="shared" si="47"/>
        <v>4.423883236</v>
      </c>
      <c r="BW23" s="131">
        <f t="shared" si="97"/>
        <v>3.01146756</v>
      </c>
      <c r="BX23" s="118">
        <f t="shared" si="48"/>
        <v>4.412415676</v>
      </c>
      <c r="BY23" s="118">
        <f t="shared" si="49"/>
        <v>4.412415676</v>
      </c>
      <c r="BZ23" s="61" t="str">
        <f t="shared" si="50"/>
        <v>DeAndre Liggins</v>
      </c>
      <c r="CA23" s="121">
        <f t="shared" si="51"/>
        <v>0.86</v>
      </c>
      <c r="CB23" s="122">
        <f t="shared" ref="CB23:CC23" si="140">(5-$BY23)/4*CB$3+($BY23-1)/4*CB$4</f>
        <v>-0.7476828622</v>
      </c>
      <c r="CC23" s="122">
        <f t="shared" si="140"/>
        <v>-0.3289804594</v>
      </c>
      <c r="CD23" s="121">
        <f t="shared" ref="CD23:CL23" si="141">(5-$BM23)/4*CD$3+($BM23-1)/4*CD$4</f>
        <v>0.389</v>
      </c>
      <c r="CE23" s="121">
        <f t="shared" si="141"/>
        <v>0.7243653045</v>
      </c>
      <c r="CF23" s="121">
        <f t="shared" si="141"/>
        <v>-0.964</v>
      </c>
      <c r="CG23" s="121">
        <f t="shared" si="141"/>
        <v>0.4756303711</v>
      </c>
      <c r="CH23" s="121">
        <f t="shared" si="141"/>
        <v>0.1366690414</v>
      </c>
      <c r="CI23" s="121">
        <f t="shared" si="141"/>
        <v>0</v>
      </c>
      <c r="CJ23" s="121">
        <f t="shared" si="141"/>
        <v>1.254207324</v>
      </c>
      <c r="CK23" s="121">
        <f t="shared" si="141"/>
        <v>1.128577203</v>
      </c>
      <c r="CL23" s="121">
        <f t="shared" si="141"/>
        <v>-0.367</v>
      </c>
      <c r="CM23" s="118">
        <f t="shared" si="54"/>
        <v>-0.2830540594</v>
      </c>
      <c r="CN23" s="118">
        <f t="shared" si="55"/>
        <v>-0.09105190158</v>
      </c>
      <c r="CO23" s="118">
        <f t="shared" si="56"/>
        <v>1.298220625</v>
      </c>
      <c r="CP23" s="118">
        <f t="shared" si="57"/>
        <v>2.893799072</v>
      </c>
      <c r="CQ23" s="123">
        <f t="shared" si="58"/>
        <v>1.661244415</v>
      </c>
      <c r="CR23" s="124">
        <f t="shared" si="59"/>
        <v>5.479158151</v>
      </c>
      <c r="CS23" s="114">
        <f t="shared" si="60"/>
        <v>0.1891252955</v>
      </c>
      <c r="CT23" s="118">
        <f t="shared" si="61"/>
        <v>1.036247405</v>
      </c>
      <c r="CU23" s="125" t="str">
        <f t="shared" si="62"/>
        <v>DeAndre Liggins</v>
      </c>
      <c r="CV23" s="121">
        <f t="shared" si="63"/>
        <v>0.605</v>
      </c>
      <c r="CW23" s="122">
        <f t="shared" ref="CW23:CX23" si="142">(5-$BY23)/4*CB$7+($BY23-1)/4*CB$8</f>
        <v>-0.4511407565</v>
      </c>
      <c r="CX23" s="122">
        <f t="shared" si="142"/>
        <v>-0.1985019329</v>
      </c>
      <c r="CY23" s="121">
        <f t="shared" ref="CY23:DG23" si="143">(5-$BM23)/4*CD$7+($BM23-1)/4*CD$8</f>
        <v>0.477</v>
      </c>
      <c r="CZ23" s="121">
        <f t="shared" si="143"/>
        <v>0.476</v>
      </c>
      <c r="DA23" s="121">
        <f t="shared" si="143"/>
        <v>-0.6753495314</v>
      </c>
      <c r="DB23" s="121">
        <f t="shared" si="143"/>
        <v>0.5474907136</v>
      </c>
      <c r="DC23" s="121">
        <f t="shared" si="143"/>
        <v>-0.0436331708</v>
      </c>
      <c r="DD23" s="121">
        <f t="shared" si="143"/>
        <v>0</v>
      </c>
      <c r="DE23" s="121">
        <f t="shared" si="143"/>
        <v>0.2142042745</v>
      </c>
      <c r="DF23" s="121">
        <f t="shared" si="143"/>
        <v>0.5253052617</v>
      </c>
      <c r="DG23" s="121">
        <f t="shared" si="143"/>
        <v>-0.439</v>
      </c>
      <c r="DH23" s="118">
        <f t="shared" si="66"/>
        <v>0.7864740526</v>
      </c>
      <c r="DI23" s="118">
        <f t="shared" si="67"/>
        <v>-0.1765391462</v>
      </c>
      <c r="DJ23" s="118">
        <f t="shared" si="68"/>
        <v>0.374363413</v>
      </c>
      <c r="DK23" s="118">
        <f t="shared" si="69"/>
        <v>-1.144459724</v>
      </c>
      <c r="DL23" s="123">
        <f t="shared" si="70"/>
        <v>-0.01078334324</v>
      </c>
      <c r="DM23" s="124">
        <f t="shared" si="71"/>
        <v>-0.1709447476</v>
      </c>
      <c r="DN23" s="114">
        <f t="shared" si="72"/>
        <v>0.1891252955</v>
      </c>
      <c r="DO23" s="118">
        <f t="shared" si="73"/>
        <v>-0.03232997591</v>
      </c>
      <c r="DP23" s="126" t="str">
        <f t="shared" si="74"/>
        <v>DeAndre Liggins (4th)</v>
      </c>
      <c r="DQ23" s="127">
        <f t="shared" si="75"/>
        <v>2.271941008</v>
      </c>
      <c r="DR23" s="127">
        <f t="shared" si="76"/>
        <v>4.412415676</v>
      </c>
      <c r="DS23" s="128">
        <f t="shared" si="77"/>
        <v>752</v>
      </c>
      <c r="DT23" s="127">
        <f t="shared" si="78"/>
        <v>12.32786885</v>
      </c>
      <c r="DU23" s="127">
        <f t="shared" si="79"/>
        <v>-2.487605699</v>
      </c>
      <c r="DV23" s="127">
        <f t="shared" si="80"/>
        <v>-4.613935401</v>
      </c>
      <c r="DW23" s="127">
        <f t="shared" si="81"/>
        <v>2.126329702</v>
      </c>
      <c r="DX23" s="127">
        <f t="shared" si="82"/>
        <v>-0.4704691629</v>
      </c>
      <c r="DY23" s="129">
        <f t="shared" si="83"/>
        <v>-0.09221857186</v>
      </c>
      <c r="DZ23" s="130">
        <f t="shared" si="84"/>
        <v>11.56923077</v>
      </c>
      <c r="EA23" s="130">
        <f t="shared" si="85"/>
        <v>0</v>
      </c>
      <c r="EB23" s="130">
        <f t="shared" si="86"/>
        <v>-2.725384615</v>
      </c>
      <c r="EC23" s="130">
        <f t="shared" si="87"/>
        <v>-2.487605699</v>
      </c>
      <c r="ED23" s="32">
        <f t="shared" si="88"/>
        <v>-4.613935401</v>
      </c>
      <c r="EE23" s="32">
        <f t="shared" si="89"/>
        <v>2.126329702</v>
      </c>
    </row>
    <row r="24">
      <c r="A24" s="108">
        <v>11.0</v>
      </c>
      <c r="B24" s="109" t="s">
        <v>153</v>
      </c>
      <c r="C24" s="109">
        <v>32.0</v>
      </c>
      <c r="D24" s="109">
        <v>24.0</v>
      </c>
      <c r="E24" s="109">
        <v>4.0</v>
      </c>
      <c r="F24" s="109">
        <v>486.0</v>
      </c>
      <c r="G24" s="109">
        <v>68.0</v>
      </c>
      <c r="H24" s="109">
        <v>147.0</v>
      </c>
      <c r="I24" s="109">
        <v>0.463</v>
      </c>
      <c r="J24" s="109">
        <v>22.0</v>
      </c>
      <c r="K24" s="109">
        <v>53.0</v>
      </c>
      <c r="L24" s="109">
        <v>0.415</v>
      </c>
      <c r="M24" s="109">
        <v>46.0</v>
      </c>
      <c r="N24" s="109">
        <v>94.0</v>
      </c>
      <c r="O24" s="109">
        <v>0.489</v>
      </c>
      <c r="P24" s="109">
        <v>0.537</v>
      </c>
      <c r="Q24" s="109">
        <v>21.0</v>
      </c>
      <c r="R24" s="109">
        <v>25.0</v>
      </c>
      <c r="S24" s="109">
        <v>0.84</v>
      </c>
      <c r="T24" s="109">
        <v>1.0</v>
      </c>
      <c r="U24" s="109">
        <v>44.0</v>
      </c>
      <c r="V24" s="109">
        <v>45.0</v>
      </c>
      <c r="W24" s="109">
        <v>86.0</v>
      </c>
      <c r="X24" s="109">
        <v>6.0</v>
      </c>
      <c r="Y24" s="109">
        <v>6.0</v>
      </c>
      <c r="Z24" s="109">
        <v>40.0</v>
      </c>
      <c r="AA24" s="109">
        <v>42.0</v>
      </c>
      <c r="AB24" s="109">
        <v>179.0</v>
      </c>
      <c r="AC24" s="110">
        <f t="shared" si="10"/>
        <v>158</v>
      </c>
      <c r="AD24" s="111">
        <f t="shared" si="11"/>
        <v>1.132911392</v>
      </c>
      <c r="AE24" s="4">
        <f t="shared" si="12"/>
        <v>153.8308408</v>
      </c>
      <c r="AF24" s="110">
        <f t="shared" si="13"/>
        <v>974.025</v>
      </c>
      <c r="AG24" s="112">
        <f t="shared" si="14"/>
        <v>47.97084082</v>
      </c>
      <c r="AH24" s="113">
        <f t="shared" si="15"/>
        <v>15.79331545</v>
      </c>
      <c r="AI24" s="113">
        <f t="shared" si="16"/>
        <v>15.09201509</v>
      </c>
      <c r="AJ24" s="113">
        <f t="shared" si="17"/>
        <v>2.566669233</v>
      </c>
      <c r="AK24" s="113">
        <f t="shared" si="18"/>
        <v>2.258668925</v>
      </c>
      <c r="AL24" s="113">
        <f t="shared" si="19"/>
        <v>8.829342163</v>
      </c>
      <c r="AM24" s="113">
        <f t="shared" si="20"/>
        <v>4.106670773</v>
      </c>
      <c r="AN24" s="113">
        <f t="shared" ref="AN24:AP24" si="144">T24/$AF24*100</f>
        <v>0.1026667693</v>
      </c>
      <c r="AO24" s="113">
        <f t="shared" si="144"/>
        <v>4.517337851</v>
      </c>
      <c r="AP24" s="113">
        <f t="shared" si="144"/>
        <v>4.62000462</v>
      </c>
      <c r="AQ24" s="113">
        <f t="shared" ref="AQ24:AR24" si="145">X24/$AF24*100</f>
        <v>0.616000616</v>
      </c>
      <c r="AR24" s="113">
        <f t="shared" si="145"/>
        <v>0.616000616</v>
      </c>
      <c r="AS24" s="113">
        <f t="shared" si="23"/>
        <v>4.312004312</v>
      </c>
      <c r="AT24" s="114">
        <f t="shared" si="24"/>
        <v>0.1026391599</v>
      </c>
      <c r="AU24" s="114">
        <f t="shared" si="25"/>
        <v>0.09107400536</v>
      </c>
      <c r="AV24" s="114">
        <f t="shared" si="26"/>
        <v>0.2312397189</v>
      </c>
      <c r="AW24" s="114">
        <f t="shared" si="27"/>
        <v>0.3786907467</v>
      </c>
      <c r="AX24" s="114">
        <f t="shared" si="28"/>
        <v>0.1501189263</v>
      </c>
      <c r="AY24" s="115">
        <f t="shared" si="29"/>
        <v>0.152383525</v>
      </c>
      <c r="AZ24" s="116" t="str">
        <f t="shared" si="30"/>
        <v>PG</v>
      </c>
      <c r="BA24" s="117">
        <f t="shared" si="31"/>
        <v>1</v>
      </c>
      <c r="BB24" s="118">
        <f t="shared" si="32"/>
        <v>1.933350788</v>
      </c>
      <c r="BC24" s="118">
        <f t="shared" si="33"/>
        <v>1.846284483</v>
      </c>
      <c r="BD24" s="118">
        <f t="shared" si="34"/>
        <v>1.846284483</v>
      </c>
      <c r="BE24" s="131">
        <f t="shared" si="92"/>
        <v>3.116564532</v>
      </c>
      <c r="BF24" s="118">
        <f t="shared" si="35"/>
        <v>1.729719951</v>
      </c>
      <c r="BG24" s="118">
        <f t="shared" si="36"/>
        <v>1.729719951</v>
      </c>
      <c r="BH24" s="131">
        <f t="shared" si="93"/>
        <v>3.014583965</v>
      </c>
      <c r="BI24" s="118">
        <f t="shared" si="37"/>
        <v>1.715135987</v>
      </c>
      <c r="BJ24" s="118">
        <f t="shared" si="38"/>
        <v>1.715135987</v>
      </c>
      <c r="BK24" s="131">
        <f t="shared" si="94"/>
        <v>3.001824371</v>
      </c>
      <c r="BL24" s="118">
        <f t="shared" si="39"/>
        <v>1.713311616</v>
      </c>
      <c r="BM24" s="118">
        <f t="shared" si="40"/>
        <v>1.713311616</v>
      </c>
      <c r="BN24" s="120">
        <f t="shared" si="41"/>
        <v>2.182907461</v>
      </c>
      <c r="BO24" s="118">
        <f t="shared" si="42"/>
        <v>2.352412362</v>
      </c>
      <c r="BP24" s="118">
        <f t="shared" si="43"/>
        <v>2.352412362</v>
      </c>
      <c r="BQ24" s="131">
        <f t="shared" si="95"/>
        <v>3.160209217</v>
      </c>
      <c r="BR24" s="118">
        <f t="shared" si="44"/>
        <v>2.192203145</v>
      </c>
      <c r="BS24" s="118">
        <f t="shared" si="45"/>
        <v>2.192203145</v>
      </c>
      <c r="BT24" s="131">
        <f t="shared" si="96"/>
        <v>3.042862674</v>
      </c>
      <c r="BU24" s="118">
        <f t="shared" si="46"/>
        <v>2.149340471</v>
      </c>
      <c r="BV24" s="118">
        <f t="shared" si="47"/>
        <v>2.149340471</v>
      </c>
      <c r="BW24" s="131">
        <f t="shared" si="97"/>
        <v>3.01146756</v>
      </c>
      <c r="BX24" s="118">
        <f t="shared" si="48"/>
        <v>2.137872911</v>
      </c>
      <c r="BY24" s="118">
        <f t="shared" si="49"/>
        <v>2.137872911</v>
      </c>
      <c r="BZ24" s="61" t="str">
        <f t="shared" si="50"/>
        <v>Deron Williams</v>
      </c>
      <c r="CA24" s="121">
        <f t="shared" si="51"/>
        <v>0.86</v>
      </c>
      <c r="CB24" s="122">
        <f t="shared" ref="CB24:CC24" si="146">(5-$BY24)/4*CB$3+($BY24-1)/4*CB$4</f>
        <v>-0.6225830101</v>
      </c>
      <c r="CC24" s="122">
        <f t="shared" si="146"/>
        <v>-0.2739365244</v>
      </c>
      <c r="CD24" s="121">
        <f t="shared" ref="CD24:CL24" si="147">(5-$BM24)/4*CD$3+($BM24-1)/4*CD$4</f>
        <v>0.389</v>
      </c>
      <c r="CE24" s="121">
        <f t="shared" si="147"/>
        <v>0.6609608684</v>
      </c>
      <c r="CF24" s="121">
        <f t="shared" si="147"/>
        <v>-0.964</v>
      </c>
      <c r="CG24" s="121">
        <f t="shared" si="147"/>
        <v>0.5359623455</v>
      </c>
      <c r="CH24" s="121">
        <f t="shared" si="147"/>
        <v>0.1275913138</v>
      </c>
      <c r="CI24" s="121">
        <f t="shared" si="147"/>
        <v>0</v>
      </c>
      <c r="CJ24" s="121">
        <f t="shared" si="147"/>
        <v>1.304623627</v>
      </c>
      <c r="CK24" s="121">
        <f t="shared" si="147"/>
        <v>1.215723388</v>
      </c>
      <c r="CL24" s="121">
        <f t="shared" si="147"/>
        <v>-0.367</v>
      </c>
      <c r="CM24" s="118">
        <f t="shared" si="54"/>
        <v>4.361736867</v>
      </c>
      <c r="CN24" s="118">
        <f t="shared" si="55"/>
        <v>1.877019038</v>
      </c>
      <c r="CO24" s="118">
        <f t="shared" si="56"/>
        <v>0.6313985935</v>
      </c>
      <c r="CP24" s="118">
        <f t="shared" si="57"/>
        <v>-0.02997026895</v>
      </c>
      <c r="CQ24" s="123">
        <f t="shared" si="58"/>
        <v>-1.722025822</v>
      </c>
      <c r="CR24" s="124">
        <f t="shared" si="59"/>
        <v>5.118158407</v>
      </c>
      <c r="CS24" s="114">
        <f t="shared" si="60"/>
        <v>0.1222272522</v>
      </c>
      <c r="CT24" s="118">
        <f t="shared" si="61"/>
        <v>0.6255784381</v>
      </c>
      <c r="CU24" s="125" t="str">
        <f t="shared" si="62"/>
        <v>Deron Williams</v>
      </c>
      <c r="CV24" s="121">
        <f t="shared" si="63"/>
        <v>0.605</v>
      </c>
      <c r="CW24" s="122">
        <f t="shared" ref="CW24:CX24" si="148">(5-$BY24)/4*CB$7+($BY24-1)/4*CB$8</f>
        <v>-0.3703944883</v>
      </c>
      <c r="CX24" s="122">
        <f t="shared" si="148"/>
        <v>-0.1629735749</v>
      </c>
      <c r="CY24" s="121">
        <f t="shared" ref="CY24:DG24" si="149">(5-$BM24)/4*CD$7+($BM24-1)/4*CD$8</f>
        <v>0.477</v>
      </c>
      <c r="CZ24" s="121">
        <f t="shared" si="149"/>
        <v>0.476</v>
      </c>
      <c r="DA24" s="121">
        <f t="shared" si="149"/>
        <v>-0.6330333549</v>
      </c>
      <c r="DB24" s="121">
        <f t="shared" si="149"/>
        <v>0.5731876657</v>
      </c>
      <c r="DC24" s="121">
        <f t="shared" si="149"/>
        <v>-0.07365950066</v>
      </c>
      <c r="DD24" s="121">
        <f t="shared" si="149"/>
        <v>0</v>
      </c>
      <c r="DE24" s="121">
        <f t="shared" si="149"/>
        <v>0.1978643648</v>
      </c>
      <c r="DF24" s="121">
        <f t="shared" si="149"/>
        <v>0.6130100763</v>
      </c>
      <c r="DG24" s="121">
        <f t="shared" si="149"/>
        <v>-0.439</v>
      </c>
      <c r="DH24" s="118">
        <f t="shared" si="66"/>
        <v>4.624042457</v>
      </c>
      <c r="DI24" s="118">
        <f t="shared" si="67"/>
        <v>1.603107292</v>
      </c>
      <c r="DJ24" s="118">
        <f t="shared" si="68"/>
        <v>-0.2738975245</v>
      </c>
      <c r="DK24" s="118">
        <f t="shared" si="69"/>
        <v>-1.393470738</v>
      </c>
      <c r="DL24" s="123">
        <f t="shared" si="70"/>
        <v>-1.463113087</v>
      </c>
      <c r="DM24" s="124">
        <f t="shared" si="71"/>
        <v>3.0966684</v>
      </c>
      <c r="DN24" s="114">
        <f t="shared" si="72"/>
        <v>0.1222272522</v>
      </c>
      <c r="DO24" s="118">
        <f t="shared" si="73"/>
        <v>0.3784972694</v>
      </c>
      <c r="DP24" s="126" t="str">
        <f t="shared" si="74"/>
        <v>Deron Williams (12th)</v>
      </c>
      <c r="DQ24" s="127">
        <f t="shared" si="75"/>
        <v>1.713311616</v>
      </c>
      <c r="DR24" s="127">
        <f t="shared" si="76"/>
        <v>2.137872911</v>
      </c>
      <c r="DS24" s="128">
        <f t="shared" si="77"/>
        <v>486</v>
      </c>
      <c r="DT24" s="127">
        <f t="shared" si="78"/>
        <v>20.25</v>
      </c>
      <c r="DU24" s="127">
        <f t="shared" si="79"/>
        <v>-2.848605443</v>
      </c>
      <c r="DV24" s="127">
        <f t="shared" si="80"/>
        <v>-1.346322252</v>
      </c>
      <c r="DW24" s="127">
        <f t="shared" si="81"/>
        <v>-1.502283191</v>
      </c>
      <c r="DX24" s="127">
        <f t="shared" si="82"/>
        <v>-0.3481772158</v>
      </c>
      <c r="DY24" s="129">
        <f t="shared" si="83"/>
        <v>-0.1037227115</v>
      </c>
      <c r="DZ24" s="130">
        <f t="shared" si="84"/>
        <v>17.35714286</v>
      </c>
      <c r="EA24" s="130">
        <f t="shared" si="85"/>
        <v>0</v>
      </c>
      <c r="EB24" s="130">
        <f t="shared" si="86"/>
        <v>-1.7125</v>
      </c>
      <c r="EC24" s="130">
        <f t="shared" si="87"/>
        <v>-2.848605443</v>
      </c>
      <c r="ED24" s="32">
        <f t="shared" si="88"/>
        <v>-1.346322252</v>
      </c>
      <c r="EE24" s="32">
        <f t="shared" si="89"/>
        <v>-1.502283191</v>
      </c>
    </row>
    <row r="25">
      <c r="A25" s="108">
        <v>12.0</v>
      </c>
      <c r="B25" s="109" t="s">
        <v>154</v>
      </c>
      <c r="C25" s="109">
        <v>25.0</v>
      </c>
      <c r="D25" s="109">
        <v>25.0</v>
      </c>
      <c r="E25" s="109">
        <v>0.0</v>
      </c>
      <c r="F25" s="109">
        <v>427.0</v>
      </c>
      <c r="G25" s="109">
        <v>54.0</v>
      </c>
      <c r="H25" s="109">
        <v>107.0</v>
      </c>
      <c r="I25" s="109">
        <v>0.505</v>
      </c>
      <c r="J25" s="109">
        <v>21.0</v>
      </c>
      <c r="K25" s="109">
        <v>52.0</v>
      </c>
      <c r="L25" s="109">
        <v>0.404</v>
      </c>
      <c r="M25" s="109">
        <v>33.0</v>
      </c>
      <c r="N25" s="109">
        <v>55.0</v>
      </c>
      <c r="O25" s="109">
        <v>0.6</v>
      </c>
      <c r="P25" s="109">
        <v>0.603</v>
      </c>
      <c r="Q25" s="109">
        <v>27.0</v>
      </c>
      <c r="R25" s="109">
        <v>39.0</v>
      </c>
      <c r="S25" s="109">
        <v>0.692</v>
      </c>
      <c r="T25" s="109">
        <v>3.0</v>
      </c>
      <c r="U25" s="109">
        <v>54.0</v>
      </c>
      <c r="V25" s="109">
        <v>57.0</v>
      </c>
      <c r="W25" s="109">
        <v>14.0</v>
      </c>
      <c r="X25" s="109">
        <v>5.0</v>
      </c>
      <c r="Y25" s="109">
        <v>2.0</v>
      </c>
      <c r="Z25" s="109">
        <v>14.0</v>
      </c>
      <c r="AA25" s="109">
        <v>27.0</v>
      </c>
      <c r="AB25" s="109">
        <v>156.0</v>
      </c>
      <c r="AC25" s="110">
        <f t="shared" si="10"/>
        <v>124.16</v>
      </c>
      <c r="AD25" s="111">
        <f t="shared" si="11"/>
        <v>1.256443299</v>
      </c>
      <c r="AE25" s="4">
        <f t="shared" si="12"/>
        <v>136.2215012</v>
      </c>
      <c r="AF25" s="110">
        <f t="shared" si="13"/>
        <v>855.7791667</v>
      </c>
      <c r="AG25" s="112">
        <f t="shared" si="14"/>
        <v>53.03430125</v>
      </c>
      <c r="AH25" s="113">
        <f t="shared" si="15"/>
        <v>15.91783331</v>
      </c>
      <c r="AI25" s="113">
        <f t="shared" si="16"/>
        <v>12.50322562</v>
      </c>
      <c r="AJ25" s="113">
        <f t="shared" si="17"/>
        <v>4.557250459</v>
      </c>
      <c r="AK25" s="113">
        <f t="shared" si="18"/>
        <v>2.453904093</v>
      </c>
      <c r="AL25" s="113">
        <f t="shared" si="19"/>
        <v>1.635936062</v>
      </c>
      <c r="AM25" s="113">
        <f t="shared" si="20"/>
        <v>1.635936062</v>
      </c>
      <c r="AN25" s="113">
        <f t="shared" ref="AN25:AP25" si="150">T25/$AF25*100</f>
        <v>0.3505577276</v>
      </c>
      <c r="AO25" s="113">
        <f t="shared" si="150"/>
        <v>6.310039097</v>
      </c>
      <c r="AP25" s="113">
        <f t="shared" si="150"/>
        <v>6.660596825</v>
      </c>
      <c r="AQ25" s="113">
        <f t="shared" ref="AQ25:AR25" si="151">X25/$AF25*100</f>
        <v>0.5842628793</v>
      </c>
      <c r="AR25" s="113">
        <f t="shared" si="151"/>
        <v>0.2337051517</v>
      </c>
      <c r="AS25" s="113">
        <f t="shared" si="23"/>
        <v>3.155019548</v>
      </c>
      <c r="AT25" s="114">
        <f t="shared" si="24"/>
        <v>0.1479734587</v>
      </c>
      <c r="AU25" s="114">
        <f t="shared" si="25"/>
        <v>0.08638166785</v>
      </c>
      <c r="AV25" s="114">
        <f t="shared" si="26"/>
        <v>0.1691941335</v>
      </c>
      <c r="AW25" s="114">
        <f t="shared" si="27"/>
        <v>0.07016534613</v>
      </c>
      <c r="AX25" s="114">
        <f t="shared" si="28"/>
        <v>0.05695378467</v>
      </c>
      <c r="AY25" s="115">
        <f t="shared" si="29"/>
        <v>0.191745831</v>
      </c>
      <c r="AZ25" s="116" t="str">
        <f t="shared" si="30"/>
        <v>PF</v>
      </c>
      <c r="BA25" s="117">
        <f t="shared" si="31"/>
        <v>4</v>
      </c>
      <c r="BB25" s="118">
        <f t="shared" si="32"/>
        <v>3.21208645</v>
      </c>
      <c r="BC25" s="118">
        <f t="shared" si="33"/>
        <v>3.294676969</v>
      </c>
      <c r="BD25" s="118">
        <f t="shared" si="34"/>
        <v>3.294676969</v>
      </c>
      <c r="BE25" s="131">
        <f t="shared" si="92"/>
        <v>3.116564532</v>
      </c>
      <c r="BF25" s="118">
        <f t="shared" si="35"/>
        <v>3.178112437</v>
      </c>
      <c r="BG25" s="118">
        <f t="shared" si="36"/>
        <v>3.178112437</v>
      </c>
      <c r="BH25" s="131">
        <f t="shared" si="93"/>
        <v>3.014583965</v>
      </c>
      <c r="BI25" s="118">
        <f t="shared" si="37"/>
        <v>3.163528472</v>
      </c>
      <c r="BJ25" s="118">
        <f t="shared" si="38"/>
        <v>3.163528472</v>
      </c>
      <c r="BK25" s="131">
        <f t="shared" si="94"/>
        <v>3.001824371</v>
      </c>
      <c r="BL25" s="118">
        <f t="shared" si="39"/>
        <v>3.161704101</v>
      </c>
      <c r="BM25" s="118">
        <f t="shared" si="40"/>
        <v>3.161704101</v>
      </c>
      <c r="BN25" s="120">
        <f t="shared" si="41"/>
        <v>3.895694282</v>
      </c>
      <c r="BO25" s="118">
        <f t="shared" si="42"/>
        <v>3.906627796</v>
      </c>
      <c r="BP25" s="118">
        <f t="shared" si="43"/>
        <v>3.906627796</v>
      </c>
      <c r="BQ25" s="131">
        <f t="shared" si="95"/>
        <v>3.160209217</v>
      </c>
      <c r="BR25" s="118">
        <f t="shared" si="44"/>
        <v>3.746418579</v>
      </c>
      <c r="BS25" s="118">
        <f t="shared" si="45"/>
        <v>3.746418579</v>
      </c>
      <c r="BT25" s="131">
        <f t="shared" si="96"/>
        <v>3.042862674</v>
      </c>
      <c r="BU25" s="118">
        <f t="shared" si="46"/>
        <v>3.703555905</v>
      </c>
      <c r="BV25" s="118">
        <f t="shared" si="47"/>
        <v>3.703555905</v>
      </c>
      <c r="BW25" s="131">
        <f t="shared" si="97"/>
        <v>3.01146756</v>
      </c>
      <c r="BX25" s="118">
        <f t="shared" si="48"/>
        <v>3.692088345</v>
      </c>
      <c r="BY25" s="118">
        <f t="shared" si="49"/>
        <v>3.692088345</v>
      </c>
      <c r="BZ25" s="61" t="str">
        <f t="shared" si="50"/>
        <v>Derrick Williams</v>
      </c>
      <c r="CA25" s="121">
        <f t="shared" si="51"/>
        <v>0.86</v>
      </c>
      <c r="CB25" s="122">
        <f t="shared" ref="CB25:CC25" si="152">(5-$BY25)/4*CB$3+($BY25-1)/4*CB$4</f>
        <v>-0.708064859</v>
      </c>
      <c r="CC25" s="122">
        <f t="shared" si="152"/>
        <v>-0.3115485379</v>
      </c>
      <c r="CD25" s="121">
        <f t="shared" ref="CD25:CL25" si="153">(5-$BM25)/4*CD$3+($BM25-1)/4*CD$4</f>
        <v>0.389</v>
      </c>
      <c r="CE25" s="121">
        <f t="shared" si="153"/>
        <v>0.8253534155</v>
      </c>
      <c r="CF25" s="121">
        <f t="shared" si="153"/>
        <v>-0.964</v>
      </c>
      <c r="CG25" s="121">
        <f t="shared" si="153"/>
        <v>0.3795359571</v>
      </c>
      <c r="CH25" s="121">
        <f t="shared" si="153"/>
        <v>0.1511276916</v>
      </c>
      <c r="CI25" s="121">
        <f t="shared" si="153"/>
        <v>0</v>
      </c>
      <c r="CJ25" s="121">
        <f t="shared" si="153"/>
        <v>1.173906205</v>
      </c>
      <c r="CK25" s="121">
        <f t="shared" si="153"/>
        <v>0.9897741602</v>
      </c>
      <c r="CL25" s="121">
        <f t="shared" si="153"/>
        <v>-0.367</v>
      </c>
      <c r="CM25" s="118">
        <f t="shared" si="54"/>
        <v>4.371005937</v>
      </c>
      <c r="CN25" s="118">
        <f t="shared" si="55"/>
        <v>-0.2268169475</v>
      </c>
      <c r="CO25" s="118">
        <f t="shared" si="56"/>
        <v>1.086670906</v>
      </c>
      <c r="CP25" s="118">
        <f t="shared" si="57"/>
        <v>-0.2407070347</v>
      </c>
      <c r="CQ25" s="123">
        <f t="shared" si="58"/>
        <v>0.959926534</v>
      </c>
      <c r="CR25" s="124">
        <f t="shared" si="59"/>
        <v>5.950079394</v>
      </c>
      <c r="CS25" s="114">
        <f t="shared" si="60"/>
        <v>0.1073889643</v>
      </c>
      <c r="CT25" s="118">
        <f t="shared" si="61"/>
        <v>0.6389728639</v>
      </c>
      <c r="CU25" s="125" t="str">
        <f t="shared" si="62"/>
        <v>Derrick Williams</v>
      </c>
      <c r="CV25" s="121">
        <f t="shared" si="63"/>
        <v>0.605</v>
      </c>
      <c r="CW25" s="122">
        <f t="shared" ref="CW25:CX25" si="154">(5-$BY25)/4*CB$7+($BY25-1)/4*CB$8</f>
        <v>-0.4255691362</v>
      </c>
      <c r="CX25" s="122">
        <f t="shared" si="154"/>
        <v>-0.1872504199</v>
      </c>
      <c r="CY25" s="121">
        <f t="shared" ref="CY25:DG25" si="155">(5-$BM25)/4*CD$7+($BM25-1)/4*CD$8</f>
        <v>0.477</v>
      </c>
      <c r="CZ25" s="121">
        <f t="shared" si="155"/>
        <v>0.476</v>
      </c>
      <c r="DA25" s="121">
        <f t="shared" si="155"/>
        <v>-0.7427490857</v>
      </c>
      <c r="DB25" s="121">
        <f t="shared" si="155"/>
        <v>0.5065616113</v>
      </c>
      <c r="DC25" s="121">
        <f t="shared" si="155"/>
        <v>0.004191595447</v>
      </c>
      <c r="DD25" s="121">
        <f t="shared" si="155"/>
        <v>0</v>
      </c>
      <c r="DE25" s="121">
        <f t="shared" si="155"/>
        <v>0.240229845</v>
      </c>
      <c r="DF25" s="121">
        <f t="shared" si="155"/>
        <v>0.3856124561</v>
      </c>
      <c r="DG25" s="121">
        <f t="shared" si="155"/>
        <v>-0.439</v>
      </c>
      <c r="DH25" s="118">
        <f t="shared" si="66"/>
        <v>4.626467416</v>
      </c>
      <c r="DI25" s="118">
        <f t="shared" si="67"/>
        <v>-0.4363844488</v>
      </c>
      <c r="DJ25" s="118">
        <f t="shared" si="68"/>
        <v>0.2040282185</v>
      </c>
      <c r="DK25" s="118">
        <f t="shared" si="69"/>
        <v>-1.154576583</v>
      </c>
      <c r="DL25" s="123">
        <f t="shared" si="70"/>
        <v>0.2975979882</v>
      </c>
      <c r="DM25" s="124">
        <f t="shared" si="71"/>
        <v>3.537132591</v>
      </c>
      <c r="DN25" s="114">
        <f t="shared" si="72"/>
        <v>0.1073889643</v>
      </c>
      <c r="DO25" s="118">
        <f t="shared" si="73"/>
        <v>0.3798490056</v>
      </c>
      <c r="DP25" s="126" t="str">
        <f t="shared" si="74"/>
        <v>Derrick Williams (6th)</v>
      </c>
      <c r="DQ25" s="127">
        <f t="shared" si="75"/>
        <v>3.161704101</v>
      </c>
      <c r="DR25" s="127">
        <f t="shared" si="76"/>
        <v>3.692088345</v>
      </c>
      <c r="DS25" s="128">
        <f t="shared" si="77"/>
        <v>427</v>
      </c>
      <c r="DT25" s="127">
        <f t="shared" si="78"/>
        <v>17.08</v>
      </c>
      <c r="DU25" s="127">
        <f t="shared" si="79"/>
        <v>-2.016684456</v>
      </c>
      <c r="DV25" s="127">
        <f t="shared" si="80"/>
        <v>-0.9058580623</v>
      </c>
      <c r="DW25" s="127">
        <f t="shared" si="81"/>
        <v>-1.110826393</v>
      </c>
      <c r="DX25" s="127">
        <f t="shared" si="82"/>
        <v>-0.2165696551</v>
      </c>
      <c r="DY25" s="129">
        <f t="shared" si="83"/>
        <v>-0.001791726419</v>
      </c>
      <c r="DZ25" s="130">
        <f t="shared" si="84"/>
        <v>14.72413793</v>
      </c>
      <c r="EA25" s="130">
        <f t="shared" si="85"/>
        <v>7.666666667</v>
      </c>
      <c r="EB25" s="130">
        <f t="shared" si="86"/>
        <v>-2.173275862</v>
      </c>
      <c r="EC25" s="130">
        <f t="shared" si="87"/>
        <v>-2.019446421</v>
      </c>
      <c r="ED25" s="32">
        <f t="shared" si="88"/>
        <v>-0.9282128241</v>
      </c>
      <c r="EE25" s="32">
        <f t="shared" si="89"/>
        <v>-1.091233597</v>
      </c>
    </row>
    <row r="26">
      <c r="A26" s="108">
        <v>13.0</v>
      </c>
      <c r="B26" s="109" t="s">
        <v>155</v>
      </c>
      <c r="C26" s="109">
        <v>21.0</v>
      </c>
      <c r="D26" s="109">
        <v>42.0</v>
      </c>
      <c r="E26" s="109">
        <v>0.0</v>
      </c>
      <c r="F26" s="109">
        <v>386.0</v>
      </c>
      <c r="G26" s="109">
        <v>62.0</v>
      </c>
      <c r="H26" s="109">
        <v>158.0</v>
      </c>
      <c r="I26" s="109">
        <v>0.392</v>
      </c>
      <c r="J26" s="109">
        <v>7.0</v>
      </c>
      <c r="K26" s="109">
        <v>22.0</v>
      </c>
      <c r="L26" s="109">
        <v>0.318</v>
      </c>
      <c r="M26" s="109">
        <v>55.0</v>
      </c>
      <c r="N26" s="109">
        <v>136.0</v>
      </c>
      <c r="O26" s="109">
        <v>0.404</v>
      </c>
      <c r="P26" s="109">
        <v>0.415</v>
      </c>
      <c r="Q26" s="109">
        <v>35.0</v>
      </c>
      <c r="R26" s="109">
        <v>49.0</v>
      </c>
      <c r="S26" s="109">
        <v>0.714</v>
      </c>
      <c r="T26" s="109">
        <v>3.0</v>
      </c>
      <c r="U26" s="109">
        <v>38.0</v>
      </c>
      <c r="V26" s="109">
        <v>41.0</v>
      </c>
      <c r="W26" s="109">
        <v>58.0</v>
      </c>
      <c r="X26" s="109">
        <v>18.0</v>
      </c>
      <c r="Y26" s="109">
        <v>7.0</v>
      </c>
      <c r="Z26" s="109">
        <v>30.0</v>
      </c>
      <c r="AA26" s="109">
        <v>38.0</v>
      </c>
      <c r="AB26" s="109">
        <v>166.0</v>
      </c>
      <c r="AC26" s="110">
        <f t="shared" si="10"/>
        <v>179.56</v>
      </c>
      <c r="AD26" s="111">
        <f t="shared" si="11"/>
        <v>0.9244820673</v>
      </c>
      <c r="AE26" s="4">
        <f t="shared" si="12"/>
        <v>137.3963657</v>
      </c>
      <c r="AF26" s="110">
        <f t="shared" si="13"/>
        <v>773.6083333</v>
      </c>
      <c r="AG26" s="112">
        <f t="shared" si="14"/>
        <v>17.09116569</v>
      </c>
      <c r="AH26" s="113">
        <f t="shared" si="15"/>
        <v>17.76045575</v>
      </c>
      <c r="AI26" s="113">
        <f t="shared" si="16"/>
        <v>20.42377172</v>
      </c>
      <c r="AJ26" s="113">
        <f t="shared" si="17"/>
        <v>6.33395452</v>
      </c>
      <c r="AK26" s="113">
        <f t="shared" si="18"/>
        <v>0.9048506458</v>
      </c>
      <c r="AL26" s="113">
        <f t="shared" si="19"/>
        <v>7.497333922</v>
      </c>
      <c r="AM26" s="113">
        <f t="shared" si="20"/>
        <v>3.877931339</v>
      </c>
      <c r="AN26" s="113">
        <f t="shared" ref="AN26:AP26" si="156">T26/$AF26*100</f>
        <v>0.3877931339</v>
      </c>
      <c r="AO26" s="113">
        <f t="shared" si="156"/>
        <v>4.912046363</v>
      </c>
      <c r="AP26" s="113">
        <f t="shared" si="156"/>
        <v>5.299839497</v>
      </c>
      <c r="AQ26" s="113">
        <f t="shared" ref="AQ26:AR26" si="157">X26/$AF26*100</f>
        <v>2.326758803</v>
      </c>
      <c r="AR26" s="113">
        <f t="shared" si="157"/>
        <v>0.9048506458</v>
      </c>
      <c r="AS26" s="113">
        <f t="shared" si="23"/>
        <v>4.912046363</v>
      </c>
      <c r="AT26" s="114">
        <f t="shared" si="24"/>
        <v>0.1177425389</v>
      </c>
      <c r="AU26" s="114">
        <f t="shared" si="25"/>
        <v>0.3440049218</v>
      </c>
      <c r="AV26" s="114">
        <f t="shared" si="26"/>
        <v>0.2634181549</v>
      </c>
      <c r="AW26" s="114">
        <f t="shared" si="27"/>
        <v>0.3215608739</v>
      </c>
      <c r="AX26" s="114">
        <f t="shared" si="28"/>
        <v>0.2205114798</v>
      </c>
      <c r="AY26" s="115">
        <f t="shared" si="29"/>
        <v>0.0683567386</v>
      </c>
      <c r="AZ26" s="116" t="str">
        <f t="shared" si="30"/>
        <v>PG</v>
      </c>
      <c r="BA26" s="117">
        <f t="shared" si="31"/>
        <v>1</v>
      </c>
      <c r="BB26" s="118">
        <f t="shared" si="32"/>
        <v>1.786724583</v>
      </c>
      <c r="BC26" s="118">
        <f t="shared" si="33"/>
        <v>1.696503874</v>
      </c>
      <c r="BD26" s="118">
        <f t="shared" si="34"/>
        <v>1.696503874</v>
      </c>
      <c r="BE26" s="131">
        <f t="shared" si="92"/>
        <v>3.116564532</v>
      </c>
      <c r="BF26" s="118">
        <f t="shared" si="35"/>
        <v>1.579939343</v>
      </c>
      <c r="BG26" s="118">
        <f t="shared" si="36"/>
        <v>1.579939343</v>
      </c>
      <c r="BH26" s="131">
        <f t="shared" si="93"/>
        <v>3.014583965</v>
      </c>
      <c r="BI26" s="118">
        <f t="shared" si="37"/>
        <v>1.565355378</v>
      </c>
      <c r="BJ26" s="118">
        <f t="shared" si="38"/>
        <v>1.565355378</v>
      </c>
      <c r="BK26" s="131">
        <f t="shared" si="94"/>
        <v>3.001824371</v>
      </c>
      <c r="BL26" s="118">
        <f t="shared" si="39"/>
        <v>1.563531007</v>
      </c>
      <c r="BM26" s="118">
        <f t="shared" si="40"/>
        <v>1.563531007</v>
      </c>
      <c r="BN26" s="120">
        <f t="shared" si="41"/>
        <v>3.28027449</v>
      </c>
      <c r="BO26" s="118">
        <f t="shared" si="42"/>
        <v>3.362811819</v>
      </c>
      <c r="BP26" s="118">
        <f t="shared" si="43"/>
        <v>3.362811819</v>
      </c>
      <c r="BQ26" s="131">
        <f t="shared" si="95"/>
        <v>3.160209217</v>
      </c>
      <c r="BR26" s="118">
        <f t="shared" si="44"/>
        <v>3.202602602</v>
      </c>
      <c r="BS26" s="118">
        <f t="shared" si="45"/>
        <v>3.202602602</v>
      </c>
      <c r="BT26" s="131">
        <f t="shared" si="96"/>
        <v>3.042862674</v>
      </c>
      <c r="BU26" s="118">
        <f t="shared" si="46"/>
        <v>3.159739928</v>
      </c>
      <c r="BV26" s="118">
        <f t="shared" si="47"/>
        <v>3.159739928</v>
      </c>
      <c r="BW26" s="131">
        <f t="shared" si="97"/>
        <v>3.01146756</v>
      </c>
      <c r="BX26" s="118">
        <f t="shared" si="48"/>
        <v>3.148272368</v>
      </c>
      <c r="BY26" s="118">
        <f t="shared" si="49"/>
        <v>3.148272368</v>
      </c>
      <c r="BZ26" s="61" t="str">
        <f t="shared" si="50"/>
        <v>Kay Felder</v>
      </c>
      <c r="CA26" s="121">
        <f t="shared" si="51"/>
        <v>0.86</v>
      </c>
      <c r="CB26" s="122">
        <f t="shared" ref="CB26:CC26" si="158">(5-$BY26)/4*CB$3+($BY26-1)/4*CB$4</f>
        <v>-0.6781549802</v>
      </c>
      <c r="CC26" s="122">
        <f t="shared" si="158"/>
        <v>-0.2983881913</v>
      </c>
      <c r="CD26" s="121">
        <f t="shared" ref="CD26:CL26" si="159">(5-$BM26)/4*CD$3+($BM26-1)/4*CD$4</f>
        <v>0.389</v>
      </c>
      <c r="CE26" s="121">
        <f t="shared" si="159"/>
        <v>0.6439607693</v>
      </c>
      <c r="CF26" s="121">
        <f t="shared" si="159"/>
        <v>-0.964</v>
      </c>
      <c r="CG26" s="121">
        <f t="shared" si="159"/>
        <v>0.5521386512</v>
      </c>
      <c r="CH26" s="121">
        <f t="shared" si="159"/>
        <v>0.1251573789</v>
      </c>
      <c r="CI26" s="121">
        <f t="shared" si="159"/>
        <v>0</v>
      </c>
      <c r="CJ26" s="121">
        <f t="shared" si="159"/>
        <v>1.318141327</v>
      </c>
      <c r="CK26" s="121">
        <f t="shared" si="159"/>
        <v>1.239089163</v>
      </c>
      <c r="CL26" s="121">
        <f t="shared" si="159"/>
        <v>-0.367</v>
      </c>
      <c r="CM26" s="118">
        <f t="shared" si="54"/>
        <v>-0.1144808972</v>
      </c>
      <c r="CN26" s="118">
        <f t="shared" si="55"/>
        <v>1.089663109</v>
      </c>
      <c r="CO26" s="118">
        <f t="shared" si="56"/>
        <v>0.8288944255</v>
      </c>
      <c r="CP26" s="118">
        <f t="shared" si="57"/>
        <v>2.38546655</v>
      </c>
      <c r="CQ26" s="123">
        <f t="shared" si="58"/>
        <v>-0.3818620438</v>
      </c>
      <c r="CR26" s="124">
        <f t="shared" si="59"/>
        <v>3.807681144</v>
      </c>
      <c r="CS26" s="114">
        <f t="shared" si="60"/>
        <v>0.09707761179</v>
      </c>
      <c r="CT26" s="118">
        <f t="shared" si="61"/>
        <v>0.3696405919</v>
      </c>
      <c r="CU26" s="125" t="str">
        <f t="shared" si="62"/>
        <v>Kay Felder</v>
      </c>
      <c r="CV26" s="121">
        <f t="shared" si="63"/>
        <v>0.605</v>
      </c>
      <c r="CW26" s="122">
        <f t="shared" ref="CW26:CX26" si="160">(5-$BY26)/4*CB$7+($BY26-1)/4*CB$8</f>
        <v>-0.4062636691</v>
      </c>
      <c r="CX26" s="122">
        <f t="shared" si="160"/>
        <v>-0.1787560144</v>
      </c>
      <c r="CY26" s="121">
        <f t="shared" ref="CY26:DG26" si="161">(5-$BM26)/4*CD$7+($BM26-1)/4*CD$8</f>
        <v>0.477</v>
      </c>
      <c r="CZ26" s="121">
        <f t="shared" si="161"/>
        <v>0.476</v>
      </c>
      <c r="DA26" s="121">
        <f t="shared" si="161"/>
        <v>-0.6216874738</v>
      </c>
      <c r="DB26" s="121">
        <f t="shared" si="161"/>
        <v>0.5800775737</v>
      </c>
      <c r="DC26" s="121">
        <f t="shared" si="161"/>
        <v>-0.08171020837</v>
      </c>
      <c r="DD26" s="121">
        <f t="shared" si="161"/>
        <v>0</v>
      </c>
      <c r="DE26" s="121">
        <f t="shared" si="161"/>
        <v>0.193483282</v>
      </c>
      <c r="DF26" s="121">
        <f t="shared" si="161"/>
        <v>0.6365256319</v>
      </c>
      <c r="DG26" s="121">
        <f t="shared" si="161"/>
        <v>-0.439</v>
      </c>
      <c r="DH26" s="118">
        <f t="shared" si="66"/>
        <v>1.747020584</v>
      </c>
      <c r="DI26" s="118">
        <f t="shared" si="67"/>
        <v>1.157869609</v>
      </c>
      <c r="DJ26" s="118">
        <f t="shared" si="68"/>
        <v>-0.1764142316</v>
      </c>
      <c r="DK26" s="118">
        <f t="shared" si="69"/>
        <v>-1.130238795</v>
      </c>
      <c r="DL26" s="123">
        <f t="shared" si="70"/>
        <v>-1.155805057</v>
      </c>
      <c r="DM26" s="124">
        <f t="shared" si="71"/>
        <v>0.4424321104</v>
      </c>
      <c r="DN26" s="114">
        <f t="shared" si="72"/>
        <v>0.09707761179</v>
      </c>
      <c r="DO26" s="118">
        <f t="shared" si="73"/>
        <v>0.04295025265</v>
      </c>
      <c r="DP26" s="126" t="str">
        <f t="shared" si="74"/>
        <v>Kay Felder (R)</v>
      </c>
      <c r="DQ26" s="127">
        <f t="shared" si="75"/>
        <v>1.563531007</v>
      </c>
      <c r="DR26" s="127">
        <f t="shared" si="76"/>
        <v>3.148272368</v>
      </c>
      <c r="DS26" s="128">
        <f t="shared" si="77"/>
        <v>386</v>
      </c>
      <c r="DT26" s="127">
        <f t="shared" si="78"/>
        <v>9.19047619</v>
      </c>
      <c r="DU26" s="127">
        <f t="shared" si="79"/>
        <v>-4.159082706</v>
      </c>
      <c r="DV26" s="127">
        <f t="shared" si="80"/>
        <v>-4.000558543</v>
      </c>
      <c r="DW26" s="127">
        <f t="shared" si="81"/>
        <v>-0.1585241637</v>
      </c>
      <c r="DX26" s="127">
        <f t="shared" si="82"/>
        <v>-0.4037538164</v>
      </c>
      <c r="DY26" s="129">
        <f t="shared" si="83"/>
        <v>-0.2095985928</v>
      </c>
      <c r="DZ26" s="130">
        <f t="shared" si="84"/>
        <v>8.391304348</v>
      </c>
      <c r="EA26" s="130">
        <f t="shared" si="85"/>
        <v>21.33333333</v>
      </c>
      <c r="EB26" s="130">
        <f t="shared" si="86"/>
        <v>-3.281521739</v>
      </c>
      <c r="EC26" s="130">
        <f t="shared" si="87"/>
        <v>-4.113122066</v>
      </c>
      <c r="ED26" s="32">
        <f t="shared" si="88"/>
        <v>-3.962900314</v>
      </c>
      <c r="EE26" s="32">
        <f t="shared" si="89"/>
        <v>-0.1502217526</v>
      </c>
    </row>
    <row r="27">
      <c r="A27" s="108">
        <v>14.0</v>
      </c>
      <c r="B27" s="109" t="s">
        <v>156</v>
      </c>
      <c r="C27" s="109">
        <v>25.0</v>
      </c>
      <c r="D27" s="109">
        <v>37.0</v>
      </c>
      <c r="E27" s="109">
        <v>4.0</v>
      </c>
      <c r="F27" s="109">
        <v>384.0</v>
      </c>
      <c r="G27" s="109">
        <v>58.0</v>
      </c>
      <c r="H27" s="109">
        <v>150.0</v>
      </c>
      <c r="I27" s="109">
        <v>0.387</v>
      </c>
      <c r="J27" s="109">
        <v>18.0</v>
      </c>
      <c r="K27" s="109">
        <v>51.0</v>
      </c>
      <c r="L27" s="109">
        <v>0.353</v>
      </c>
      <c r="M27" s="109">
        <v>40.0</v>
      </c>
      <c r="N27" s="109">
        <v>99.0</v>
      </c>
      <c r="O27" s="109">
        <v>0.404</v>
      </c>
      <c r="P27" s="109">
        <v>0.447</v>
      </c>
      <c r="Q27" s="109">
        <v>27.0</v>
      </c>
      <c r="R27" s="109">
        <v>34.0</v>
      </c>
      <c r="S27" s="109">
        <v>0.794</v>
      </c>
      <c r="T27" s="109">
        <v>6.0</v>
      </c>
      <c r="U27" s="109">
        <v>35.0</v>
      </c>
      <c r="V27" s="109">
        <v>41.0</v>
      </c>
      <c r="W27" s="109">
        <v>19.0</v>
      </c>
      <c r="X27" s="109">
        <v>8.0</v>
      </c>
      <c r="Y27" s="109">
        <v>6.0</v>
      </c>
      <c r="Z27" s="109">
        <v>14.0</v>
      </c>
      <c r="AA27" s="109">
        <v>31.0</v>
      </c>
      <c r="AB27" s="109">
        <v>161.0</v>
      </c>
      <c r="AC27" s="110">
        <f t="shared" si="10"/>
        <v>164.96</v>
      </c>
      <c r="AD27" s="111">
        <f t="shared" si="11"/>
        <v>0.9759941804</v>
      </c>
      <c r="AE27" s="4">
        <f t="shared" si="12"/>
        <v>134.7221234</v>
      </c>
      <c r="AF27" s="110">
        <f t="shared" si="13"/>
        <v>769.6</v>
      </c>
      <c r="AG27" s="112">
        <f t="shared" si="14"/>
        <v>24.19892343</v>
      </c>
      <c r="AH27" s="113">
        <f t="shared" si="15"/>
        <v>17.50547342</v>
      </c>
      <c r="AI27" s="113">
        <f t="shared" si="16"/>
        <v>19.49064449</v>
      </c>
      <c r="AJ27" s="113">
        <f t="shared" si="17"/>
        <v>4.417879418</v>
      </c>
      <c r="AK27" s="113">
        <f t="shared" si="18"/>
        <v>2.338877339</v>
      </c>
      <c r="AL27" s="113">
        <f t="shared" si="19"/>
        <v>2.468814969</v>
      </c>
      <c r="AM27" s="113">
        <f t="shared" si="20"/>
        <v>1.819126819</v>
      </c>
      <c r="AN27" s="113">
        <f t="shared" ref="AN27:AP27" si="162">T27/$AF27*100</f>
        <v>0.7796257796</v>
      </c>
      <c r="AO27" s="113">
        <f t="shared" si="162"/>
        <v>4.547817048</v>
      </c>
      <c r="AP27" s="113">
        <f t="shared" si="162"/>
        <v>5.327442827</v>
      </c>
      <c r="AQ27" s="113">
        <f t="shared" ref="AQ27:AR27" si="163">X27/$AF27*100</f>
        <v>1.03950104</v>
      </c>
      <c r="AR27" s="113">
        <f t="shared" si="163"/>
        <v>0.7796257796</v>
      </c>
      <c r="AS27" s="113">
        <f t="shared" si="23"/>
        <v>4.028066528</v>
      </c>
      <c r="AT27" s="114">
        <f t="shared" si="24"/>
        <v>0.1183557813</v>
      </c>
      <c r="AU27" s="114">
        <f t="shared" si="25"/>
        <v>0.153687384</v>
      </c>
      <c r="AV27" s="114">
        <f t="shared" si="26"/>
        <v>0.2160129963</v>
      </c>
      <c r="AW27" s="114">
        <f t="shared" si="27"/>
        <v>0.1058875471</v>
      </c>
      <c r="AX27" s="114">
        <f t="shared" si="28"/>
        <v>0.1899942661</v>
      </c>
      <c r="AY27" s="115">
        <f t="shared" si="29"/>
        <v>0.09728855995</v>
      </c>
      <c r="AZ27" s="116" t="str">
        <f t="shared" si="30"/>
        <v>SG</v>
      </c>
      <c r="BA27" s="117">
        <f t="shared" si="31"/>
        <v>2</v>
      </c>
      <c r="BB27" s="118">
        <f t="shared" si="32"/>
        <v>2.929935744</v>
      </c>
      <c r="BC27" s="118">
        <f t="shared" si="33"/>
        <v>2.822800289</v>
      </c>
      <c r="BD27" s="118">
        <f t="shared" si="34"/>
        <v>2.822800289</v>
      </c>
      <c r="BE27" s="131">
        <f t="shared" si="92"/>
        <v>3.116564532</v>
      </c>
      <c r="BF27" s="118">
        <f t="shared" si="35"/>
        <v>2.706235758</v>
      </c>
      <c r="BG27" s="118">
        <f t="shared" si="36"/>
        <v>2.706235758</v>
      </c>
      <c r="BH27" s="131">
        <f t="shared" si="93"/>
        <v>3.014583965</v>
      </c>
      <c r="BI27" s="118">
        <f t="shared" si="37"/>
        <v>2.691651793</v>
      </c>
      <c r="BJ27" s="118">
        <f t="shared" si="38"/>
        <v>2.691651793</v>
      </c>
      <c r="BK27" s="131">
        <f t="shared" si="94"/>
        <v>3.001824371</v>
      </c>
      <c r="BL27" s="118">
        <f t="shared" si="39"/>
        <v>2.689827422</v>
      </c>
      <c r="BM27" s="118">
        <f t="shared" si="40"/>
        <v>2.689827422</v>
      </c>
      <c r="BN27" s="120">
        <f t="shared" si="41"/>
        <v>4.465494082</v>
      </c>
      <c r="BO27" s="118">
        <f t="shared" si="42"/>
        <v>4.411865732</v>
      </c>
      <c r="BP27" s="118">
        <f t="shared" si="43"/>
        <v>4.411865732</v>
      </c>
      <c r="BQ27" s="131">
        <f t="shared" si="95"/>
        <v>3.160209217</v>
      </c>
      <c r="BR27" s="118">
        <f t="shared" si="44"/>
        <v>4.251656515</v>
      </c>
      <c r="BS27" s="118">
        <f t="shared" si="45"/>
        <v>4.251656515</v>
      </c>
      <c r="BT27" s="131">
        <f t="shared" si="96"/>
        <v>3.042862674</v>
      </c>
      <c r="BU27" s="118">
        <f t="shared" si="46"/>
        <v>4.208793841</v>
      </c>
      <c r="BV27" s="118">
        <f t="shared" si="47"/>
        <v>4.208793841</v>
      </c>
      <c r="BW27" s="131">
        <f t="shared" si="97"/>
        <v>3.01146756</v>
      </c>
      <c r="BX27" s="118">
        <f t="shared" si="48"/>
        <v>4.197326281</v>
      </c>
      <c r="BY27" s="118">
        <f t="shared" si="49"/>
        <v>4.197326281</v>
      </c>
      <c r="BZ27" s="61" t="str">
        <f t="shared" si="50"/>
        <v>Jordan McRae</v>
      </c>
      <c r="CA27" s="121">
        <f t="shared" si="51"/>
        <v>0.86</v>
      </c>
      <c r="CB27" s="122">
        <f t="shared" ref="CB27:CC27" si="164">(5-$BY27)/4*CB$3+($BY27-1)/4*CB$4</f>
        <v>-0.7358529454</v>
      </c>
      <c r="CC27" s="122">
        <f t="shared" si="164"/>
        <v>-0.323775296</v>
      </c>
      <c r="CD27" s="121">
        <f t="shared" ref="CD27:CL27" si="165">(5-$BM27)/4*CD$3+($BM27-1)/4*CD$4</f>
        <v>0.389</v>
      </c>
      <c r="CE27" s="121">
        <f t="shared" si="165"/>
        <v>0.7717954124</v>
      </c>
      <c r="CF27" s="121">
        <f t="shared" si="165"/>
        <v>-0.964</v>
      </c>
      <c r="CG27" s="121">
        <f t="shared" si="165"/>
        <v>0.4304986384</v>
      </c>
      <c r="CH27" s="121">
        <f t="shared" si="165"/>
        <v>0.1434596956</v>
      </c>
      <c r="CI27" s="121">
        <f t="shared" si="165"/>
        <v>0</v>
      </c>
      <c r="CJ27" s="121">
        <f t="shared" si="165"/>
        <v>1.216493075</v>
      </c>
      <c r="CK27" s="121">
        <f t="shared" si="165"/>
        <v>1.063386922</v>
      </c>
      <c r="CL27" s="121">
        <f t="shared" si="165"/>
        <v>-0.367</v>
      </c>
      <c r="CM27" s="118">
        <f t="shared" si="54"/>
        <v>0.1918820523</v>
      </c>
      <c r="CN27" s="118">
        <f t="shared" si="55"/>
        <v>0.1517818134</v>
      </c>
      <c r="CO27" s="118">
        <f t="shared" si="56"/>
        <v>0.988056286</v>
      </c>
      <c r="CP27" s="118">
        <f t="shared" si="57"/>
        <v>0.6152892586</v>
      </c>
      <c r="CQ27" s="123">
        <f t="shared" si="58"/>
        <v>1.533830967</v>
      </c>
      <c r="CR27" s="124">
        <f t="shared" si="59"/>
        <v>3.480840377</v>
      </c>
      <c r="CS27" s="114">
        <f t="shared" si="60"/>
        <v>0.09657461898</v>
      </c>
      <c r="CT27" s="118">
        <f t="shared" si="61"/>
        <v>0.3361608331</v>
      </c>
      <c r="CU27" s="125" t="str">
        <f t="shared" si="62"/>
        <v>Jordan McRae</v>
      </c>
      <c r="CV27" s="121">
        <f t="shared" si="63"/>
        <v>0.605</v>
      </c>
      <c r="CW27" s="122">
        <f t="shared" ref="CW27:CX27" si="166">(5-$BY27)/4*CB$7+($BY27-1)/4*CB$8</f>
        <v>-0.443505083</v>
      </c>
      <c r="CX27" s="122">
        <f t="shared" si="166"/>
        <v>-0.1951422365</v>
      </c>
      <c r="CY27" s="121">
        <f t="shared" ref="CY27:DG27" si="167">(5-$BM27)/4*CD$7+($BM27-1)/4*CD$8</f>
        <v>0.477</v>
      </c>
      <c r="CZ27" s="121">
        <f t="shared" si="167"/>
        <v>0.476</v>
      </c>
      <c r="DA27" s="121">
        <f t="shared" si="167"/>
        <v>-0.7070044272</v>
      </c>
      <c r="DB27" s="121">
        <f t="shared" si="167"/>
        <v>0.5282679386</v>
      </c>
      <c r="DC27" s="121">
        <f t="shared" si="167"/>
        <v>-0.02117177606</v>
      </c>
      <c r="DD27" s="121">
        <f t="shared" si="167"/>
        <v>0</v>
      </c>
      <c r="DE27" s="121">
        <f t="shared" si="167"/>
        <v>0.2264274521</v>
      </c>
      <c r="DF27" s="121">
        <f t="shared" si="167"/>
        <v>0.4596970947</v>
      </c>
      <c r="DG27" s="121">
        <f t="shared" si="167"/>
        <v>-0.439</v>
      </c>
      <c r="DH27" s="118">
        <f t="shared" si="66"/>
        <v>2.200141137</v>
      </c>
      <c r="DI27" s="118">
        <f t="shared" si="67"/>
        <v>-0.1109747896</v>
      </c>
      <c r="DJ27" s="118">
        <f t="shared" si="68"/>
        <v>0.3155659394</v>
      </c>
      <c r="DK27" s="118">
        <f t="shared" si="69"/>
        <v>-1.174557928</v>
      </c>
      <c r="DL27" s="123">
        <f t="shared" si="70"/>
        <v>0.251513782</v>
      </c>
      <c r="DM27" s="124">
        <f t="shared" si="71"/>
        <v>1.481688141</v>
      </c>
      <c r="DN27" s="114">
        <f t="shared" si="72"/>
        <v>0.09657461898</v>
      </c>
      <c r="DO27" s="118">
        <f t="shared" si="73"/>
        <v>0.1430934676</v>
      </c>
      <c r="DP27" s="126" t="str">
        <f t="shared" si="74"/>
        <v>Jordan McRae (2nd)</v>
      </c>
      <c r="DQ27" s="127">
        <f t="shared" si="75"/>
        <v>2.689827422</v>
      </c>
      <c r="DR27" s="127">
        <f t="shared" si="76"/>
        <v>4.197326281</v>
      </c>
      <c r="DS27" s="128">
        <f t="shared" si="77"/>
        <v>384</v>
      </c>
      <c r="DT27" s="127">
        <f t="shared" si="78"/>
        <v>10.37837838</v>
      </c>
      <c r="DU27" s="127">
        <f t="shared" si="79"/>
        <v>-4.485923473</v>
      </c>
      <c r="DV27" s="127">
        <f t="shared" si="80"/>
        <v>-2.961302512</v>
      </c>
      <c r="DW27" s="127">
        <f t="shared" si="81"/>
        <v>-1.524620961</v>
      </c>
      <c r="DX27" s="127">
        <f t="shared" si="82"/>
        <v>-0.4332263502</v>
      </c>
      <c r="DY27" s="129">
        <f t="shared" si="83"/>
        <v>-0.2400771122</v>
      </c>
      <c r="DZ27" s="130">
        <f t="shared" si="84"/>
        <v>9.365853659</v>
      </c>
      <c r="EA27" s="130">
        <f t="shared" si="85"/>
        <v>22</v>
      </c>
      <c r="EB27" s="130">
        <f t="shared" si="86"/>
        <v>-3.11097561</v>
      </c>
      <c r="EC27" s="130">
        <f t="shared" si="87"/>
        <v>-4.411418909</v>
      </c>
      <c r="ED27" s="32">
        <f t="shared" si="88"/>
        <v>-2.969412877</v>
      </c>
      <c r="EE27" s="32">
        <f t="shared" si="89"/>
        <v>-1.442006032</v>
      </c>
    </row>
    <row r="28">
      <c r="A28" s="108">
        <v>15.0</v>
      </c>
      <c r="B28" s="109" t="s">
        <v>157</v>
      </c>
      <c r="C28" s="109">
        <v>36.0</v>
      </c>
      <c r="D28" s="109">
        <v>48.0</v>
      </c>
      <c r="E28" s="109">
        <v>2.0</v>
      </c>
      <c r="F28" s="109">
        <v>381.0</v>
      </c>
      <c r="G28" s="109">
        <v>44.0</v>
      </c>
      <c r="H28" s="109">
        <v>92.0</v>
      </c>
      <c r="I28" s="109">
        <v>0.478</v>
      </c>
      <c r="J28" s="109">
        <v>31.0</v>
      </c>
      <c r="K28" s="109">
        <v>66.0</v>
      </c>
      <c r="L28" s="109">
        <v>0.47</v>
      </c>
      <c r="M28" s="109">
        <v>13.0</v>
      </c>
      <c r="N28" s="109">
        <v>26.0</v>
      </c>
      <c r="O28" s="109">
        <v>0.5</v>
      </c>
      <c r="P28" s="109">
        <v>0.647</v>
      </c>
      <c r="Q28" s="109">
        <v>13.0</v>
      </c>
      <c r="R28" s="109">
        <v>20.0</v>
      </c>
      <c r="S28" s="109">
        <v>0.65</v>
      </c>
      <c r="T28" s="109">
        <v>3.0</v>
      </c>
      <c r="U28" s="109">
        <v>34.0</v>
      </c>
      <c r="V28" s="109">
        <v>37.0</v>
      </c>
      <c r="W28" s="109">
        <v>14.0</v>
      </c>
      <c r="X28" s="109">
        <v>6.0</v>
      </c>
      <c r="Y28" s="109">
        <v>10.0</v>
      </c>
      <c r="Z28" s="109">
        <v>10.0</v>
      </c>
      <c r="AA28" s="109">
        <v>37.0</v>
      </c>
      <c r="AB28" s="109">
        <v>132.0</v>
      </c>
      <c r="AC28" s="110">
        <f t="shared" si="10"/>
        <v>100.8</v>
      </c>
      <c r="AD28" s="111">
        <f t="shared" si="11"/>
        <v>1.30952381</v>
      </c>
      <c r="AE28" s="4">
        <f t="shared" si="12"/>
        <v>115.9427136</v>
      </c>
      <c r="AF28" s="110">
        <f t="shared" si="13"/>
        <v>763.5875</v>
      </c>
      <c r="AG28" s="112">
        <f t="shared" si="14"/>
        <v>48.40671364</v>
      </c>
      <c r="AH28" s="113">
        <f t="shared" si="15"/>
        <v>15.183946</v>
      </c>
      <c r="AI28" s="113">
        <f t="shared" si="16"/>
        <v>12.04839</v>
      </c>
      <c r="AJ28" s="113">
        <f t="shared" si="17"/>
        <v>2.619215218</v>
      </c>
      <c r="AK28" s="113">
        <f t="shared" si="18"/>
        <v>4.059783587</v>
      </c>
      <c r="AL28" s="113">
        <f t="shared" si="19"/>
        <v>1.833450652</v>
      </c>
      <c r="AM28" s="113">
        <f t="shared" si="20"/>
        <v>1.309607609</v>
      </c>
      <c r="AN28" s="113">
        <f t="shared" ref="AN28:AP28" si="168">T28/$AF28*100</f>
        <v>0.3928822826</v>
      </c>
      <c r="AO28" s="113">
        <f t="shared" si="168"/>
        <v>4.45266587</v>
      </c>
      <c r="AP28" s="113">
        <f t="shared" si="168"/>
        <v>4.845548153</v>
      </c>
      <c r="AQ28" s="113">
        <f t="shared" ref="AQ28:AR28" si="169">X28/$AF28*100</f>
        <v>0.7857645653</v>
      </c>
      <c r="AR28" s="113">
        <f t="shared" si="169"/>
        <v>1.309607609</v>
      </c>
      <c r="AS28" s="113">
        <f t="shared" si="23"/>
        <v>4.845548153</v>
      </c>
      <c r="AT28" s="114">
        <f t="shared" si="24"/>
        <v>0.1076498906</v>
      </c>
      <c r="AU28" s="114">
        <f t="shared" si="25"/>
        <v>0.1161731407</v>
      </c>
      <c r="AV28" s="114">
        <f t="shared" si="26"/>
        <v>0.2598520575</v>
      </c>
      <c r="AW28" s="114">
        <f t="shared" si="27"/>
        <v>0.07863675275</v>
      </c>
      <c r="AX28" s="114">
        <f t="shared" si="28"/>
        <v>0.3191504732</v>
      </c>
      <c r="AY28" s="115">
        <f t="shared" si="29"/>
        <v>0.1961451516</v>
      </c>
      <c r="AZ28" s="116" t="str">
        <f t="shared" si="30"/>
        <v>SF</v>
      </c>
      <c r="BA28" s="117">
        <f t="shared" si="31"/>
        <v>3</v>
      </c>
      <c r="BB28" s="118">
        <f t="shared" si="32"/>
        <v>3.28554589</v>
      </c>
      <c r="BC28" s="118">
        <f t="shared" si="33"/>
        <v>3.252419917</v>
      </c>
      <c r="BD28" s="118">
        <f t="shared" si="34"/>
        <v>3.252419917</v>
      </c>
      <c r="BE28" s="131">
        <f t="shared" si="92"/>
        <v>3.116564532</v>
      </c>
      <c r="BF28" s="118">
        <f t="shared" si="35"/>
        <v>3.135855385</v>
      </c>
      <c r="BG28" s="118">
        <f t="shared" si="36"/>
        <v>3.135855385</v>
      </c>
      <c r="BH28" s="131">
        <f t="shared" si="93"/>
        <v>3.014583965</v>
      </c>
      <c r="BI28" s="118">
        <f t="shared" si="37"/>
        <v>3.12127142</v>
      </c>
      <c r="BJ28" s="118">
        <f t="shared" si="38"/>
        <v>3.12127142</v>
      </c>
      <c r="BK28" s="131">
        <f t="shared" si="94"/>
        <v>3.001824371</v>
      </c>
      <c r="BL28" s="118">
        <f t="shared" si="39"/>
        <v>3.119447049</v>
      </c>
      <c r="BM28" s="118">
        <f t="shared" si="40"/>
        <v>3.119447049</v>
      </c>
      <c r="BN28" s="120">
        <f t="shared" si="41"/>
        <v>3.801842353</v>
      </c>
      <c r="BO28" s="118">
        <f t="shared" si="42"/>
        <v>3.824830479</v>
      </c>
      <c r="BP28" s="118">
        <f t="shared" si="43"/>
        <v>3.824830479</v>
      </c>
      <c r="BQ28" s="131">
        <f t="shared" si="95"/>
        <v>3.160209217</v>
      </c>
      <c r="BR28" s="118">
        <f t="shared" si="44"/>
        <v>3.664621262</v>
      </c>
      <c r="BS28" s="118">
        <f t="shared" si="45"/>
        <v>3.664621262</v>
      </c>
      <c r="BT28" s="131">
        <f t="shared" si="96"/>
        <v>3.042862674</v>
      </c>
      <c r="BU28" s="118">
        <f t="shared" si="46"/>
        <v>3.621758588</v>
      </c>
      <c r="BV28" s="118">
        <f t="shared" si="47"/>
        <v>3.621758588</v>
      </c>
      <c r="BW28" s="131">
        <f t="shared" si="97"/>
        <v>3.01146756</v>
      </c>
      <c r="BX28" s="118">
        <f t="shared" si="48"/>
        <v>3.610291028</v>
      </c>
      <c r="BY28" s="118">
        <f t="shared" si="49"/>
        <v>3.610291028</v>
      </c>
      <c r="BZ28" s="61" t="str">
        <f t="shared" si="50"/>
        <v>James Jones</v>
      </c>
      <c r="CA28" s="121">
        <f t="shared" si="51"/>
        <v>0.86</v>
      </c>
      <c r="CB28" s="122">
        <f t="shared" ref="CB28:CC28" si="170">(5-$BY28)/4*CB$3+($BY28-1)/4*CB$4</f>
        <v>-0.7035660065</v>
      </c>
      <c r="CC28" s="122">
        <f t="shared" si="170"/>
        <v>-0.3095690429</v>
      </c>
      <c r="CD28" s="121">
        <f t="shared" ref="CD28:CL28" si="171">(5-$BM28)/4*CD$3+($BM28-1)/4*CD$4</f>
        <v>0.389</v>
      </c>
      <c r="CE28" s="121">
        <f t="shared" si="171"/>
        <v>0.8205572401</v>
      </c>
      <c r="CF28" s="121">
        <f t="shared" si="171"/>
        <v>-0.964</v>
      </c>
      <c r="CG28" s="121">
        <f t="shared" si="171"/>
        <v>0.3840997187</v>
      </c>
      <c r="CH28" s="121">
        <f t="shared" si="171"/>
        <v>0.1504410146</v>
      </c>
      <c r="CI28" s="121">
        <f t="shared" si="171"/>
        <v>0</v>
      </c>
      <c r="CJ28" s="121">
        <f t="shared" si="171"/>
        <v>1.177719904</v>
      </c>
      <c r="CK28" s="121">
        <f t="shared" si="171"/>
        <v>0.9963662603</v>
      </c>
      <c r="CL28" s="121">
        <f t="shared" si="171"/>
        <v>-0.367</v>
      </c>
      <c r="CM28" s="118">
        <f t="shared" si="54"/>
        <v>5.349783786</v>
      </c>
      <c r="CN28" s="118">
        <f t="shared" si="55"/>
        <v>0.2419894722</v>
      </c>
      <c r="CO28" s="118">
        <f t="shared" si="56"/>
        <v>0.8207695452</v>
      </c>
      <c r="CP28" s="118">
        <f t="shared" si="57"/>
        <v>0.4519432319</v>
      </c>
      <c r="CQ28" s="123">
        <f t="shared" si="58"/>
        <v>0.8464736561</v>
      </c>
      <c r="CR28" s="124">
        <f t="shared" si="59"/>
        <v>7.710959692</v>
      </c>
      <c r="CS28" s="114">
        <f t="shared" si="60"/>
        <v>0.09582012977</v>
      </c>
      <c r="CT28" s="118">
        <f t="shared" si="61"/>
        <v>0.7388651583</v>
      </c>
      <c r="CU28" s="125" t="str">
        <f t="shared" si="62"/>
        <v>James Jones</v>
      </c>
      <c r="CV28" s="121">
        <f t="shared" si="63"/>
        <v>0.605</v>
      </c>
      <c r="CW28" s="122">
        <f t="shared" ref="CW28:CX28" si="172">(5-$BY28)/4*CB$7+($BY28-1)/4*CB$8</f>
        <v>-0.4226653315</v>
      </c>
      <c r="CX28" s="122">
        <f t="shared" si="172"/>
        <v>-0.1859727459</v>
      </c>
      <c r="CY28" s="121">
        <f t="shared" ref="CY28:DG28" si="173">(5-$BM28)/4*CD$7+($BM28-1)/4*CD$8</f>
        <v>0.477</v>
      </c>
      <c r="CZ28" s="121">
        <f t="shared" si="173"/>
        <v>0.476</v>
      </c>
      <c r="DA28" s="121">
        <f t="shared" si="173"/>
        <v>-0.739548114</v>
      </c>
      <c r="DB28" s="121">
        <f t="shared" si="173"/>
        <v>0.5085054357</v>
      </c>
      <c r="DC28" s="121">
        <f t="shared" si="173"/>
        <v>0.001920278901</v>
      </c>
      <c r="DD28" s="121">
        <f t="shared" si="173"/>
        <v>0</v>
      </c>
      <c r="DE28" s="121">
        <f t="shared" si="173"/>
        <v>0.2389938262</v>
      </c>
      <c r="DF28" s="121">
        <f t="shared" si="173"/>
        <v>0.3922468133</v>
      </c>
      <c r="DG28" s="121">
        <f t="shared" si="173"/>
        <v>-0.439</v>
      </c>
      <c r="DH28" s="118">
        <f t="shared" si="66"/>
        <v>5.543264699</v>
      </c>
      <c r="DI28" s="118">
        <f t="shared" si="67"/>
        <v>-0.09579532665</v>
      </c>
      <c r="DJ28" s="118">
        <f t="shared" si="68"/>
        <v>0.2083331367</v>
      </c>
      <c r="DK28" s="118">
        <f t="shared" si="69"/>
        <v>-1.425713348</v>
      </c>
      <c r="DL28" s="123">
        <f t="shared" si="70"/>
        <v>0.2624251421</v>
      </c>
      <c r="DM28" s="124">
        <f t="shared" si="71"/>
        <v>4.492514304</v>
      </c>
      <c r="DN28" s="114">
        <f t="shared" si="72"/>
        <v>0.09582012977</v>
      </c>
      <c r="DO28" s="118">
        <f t="shared" si="73"/>
        <v>0.4304733036</v>
      </c>
      <c r="DP28" s="126" t="str">
        <f t="shared" si="74"/>
        <v>James Jones (14th)</v>
      </c>
      <c r="DQ28" s="127">
        <f t="shared" si="75"/>
        <v>3.119447049</v>
      </c>
      <c r="DR28" s="127">
        <f t="shared" si="76"/>
        <v>3.610291028</v>
      </c>
      <c r="DS28" s="128">
        <f t="shared" si="77"/>
        <v>381</v>
      </c>
      <c r="DT28" s="127">
        <f t="shared" si="78"/>
        <v>7.9375</v>
      </c>
      <c r="DU28" s="127">
        <f t="shared" si="79"/>
        <v>-0.2558041584</v>
      </c>
      <c r="DV28" s="127">
        <f t="shared" si="80"/>
        <v>0.04952365078</v>
      </c>
      <c r="DW28" s="127">
        <f t="shared" si="81"/>
        <v>-0.3053278092</v>
      </c>
      <c r="DX28" s="127">
        <f t="shared" si="82"/>
        <v>-0.02451118765</v>
      </c>
      <c r="DY28" s="129">
        <f t="shared" si="83"/>
        <v>0.1671290719</v>
      </c>
      <c r="DZ28" s="130">
        <f t="shared" si="84"/>
        <v>7.326923077</v>
      </c>
      <c r="EA28" s="130">
        <f t="shared" si="85"/>
        <v>23</v>
      </c>
      <c r="EB28" s="130">
        <f t="shared" si="86"/>
        <v>-3.467788462</v>
      </c>
      <c r="EC28" s="130">
        <f t="shared" si="87"/>
        <v>-0.4386646509</v>
      </c>
      <c r="ED28" s="32">
        <f t="shared" si="88"/>
        <v>-0.1507193655</v>
      </c>
      <c r="EE28" s="32">
        <f t="shared" si="89"/>
        <v>-0.2879452854</v>
      </c>
    </row>
    <row r="29">
      <c r="A29" s="108">
        <v>16.0</v>
      </c>
      <c r="B29" s="109" t="s">
        <v>158</v>
      </c>
      <c r="C29" s="109">
        <v>36.0</v>
      </c>
      <c r="D29" s="109">
        <v>23.0</v>
      </c>
      <c r="E29" s="109">
        <v>2.0</v>
      </c>
      <c r="F29" s="109">
        <v>366.0</v>
      </c>
      <c r="G29" s="109">
        <v>36.0</v>
      </c>
      <c r="H29" s="109">
        <v>90.0</v>
      </c>
      <c r="I29" s="109">
        <v>0.4</v>
      </c>
      <c r="J29" s="109">
        <v>20.0</v>
      </c>
      <c r="K29" s="109">
        <v>57.0</v>
      </c>
      <c r="L29" s="109">
        <v>0.351</v>
      </c>
      <c r="M29" s="109">
        <v>16.0</v>
      </c>
      <c r="N29" s="109">
        <v>33.0</v>
      </c>
      <c r="O29" s="109">
        <v>0.485</v>
      </c>
      <c r="P29" s="109">
        <v>0.511</v>
      </c>
      <c r="Q29" s="109">
        <v>14.0</v>
      </c>
      <c r="R29" s="109">
        <v>19.0</v>
      </c>
      <c r="S29" s="109">
        <v>0.737</v>
      </c>
      <c r="T29" s="109">
        <v>5.0</v>
      </c>
      <c r="U29" s="109">
        <v>42.0</v>
      </c>
      <c r="V29" s="109">
        <v>47.0</v>
      </c>
      <c r="W29" s="109">
        <v>20.0</v>
      </c>
      <c r="X29" s="109">
        <v>6.0</v>
      </c>
      <c r="Y29" s="109">
        <v>2.0</v>
      </c>
      <c r="Z29" s="109">
        <v>14.0</v>
      </c>
      <c r="AA29" s="109">
        <v>32.0</v>
      </c>
      <c r="AB29" s="109">
        <v>106.0</v>
      </c>
      <c r="AC29" s="110">
        <f t="shared" si="10"/>
        <v>98.36</v>
      </c>
      <c r="AD29" s="111">
        <f t="shared" si="11"/>
        <v>1.077673851</v>
      </c>
      <c r="AE29" s="4">
        <f t="shared" si="12"/>
        <v>90.33140192</v>
      </c>
      <c r="AF29" s="110">
        <f t="shared" si="13"/>
        <v>733.525</v>
      </c>
      <c r="AG29" s="112">
        <f t="shared" si="14"/>
        <v>24.43020192</v>
      </c>
      <c r="AH29" s="113">
        <f t="shared" si="15"/>
        <v>12.31469983</v>
      </c>
      <c r="AI29" s="113">
        <f t="shared" si="16"/>
        <v>12.26952047</v>
      </c>
      <c r="AJ29" s="113">
        <f t="shared" si="17"/>
        <v>2.590232098</v>
      </c>
      <c r="AK29" s="113">
        <f t="shared" si="18"/>
        <v>2.726560104</v>
      </c>
      <c r="AL29" s="113">
        <f t="shared" si="19"/>
        <v>2.726560104</v>
      </c>
      <c r="AM29" s="113">
        <f t="shared" si="20"/>
        <v>1.908592073</v>
      </c>
      <c r="AN29" s="113">
        <f t="shared" ref="AN29:AP29" si="174">T29/$AF29*100</f>
        <v>0.6816400259</v>
      </c>
      <c r="AO29" s="113">
        <f t="shared" si="174"/>
        <v>5.725776218</v>
      </c>
      <c r="AP29" s="113">
        <f t="shared" si="174"/>
        <v>6.407416243</v>
      </c>
      <c r="AQ29" s="113">
        <f t="shared" ref="AQ29:AR29" si="175">X29/$AF29*100</f>
        <v>0.8179680311</v>
      </c>
      <c r="AR29" s="113">
        <f t="shared" si="175"/>
        <v>0.2726560104</v>
      </c>
      <c r="AS29" s="113">
        <f t="shared" si="23"/>
        <v>4.362496166</v>
      </c>
      <c r="AT29" s="114">
        <f t="shared" si="24"/>
        <v>0.1423487366</v>
      </c>
      <c r="AU29" s="114">
        <f t="shared" si="25"/>
        <v>0.120934335</v>
      </c>
      <c r="AV29" s="114">
        <f t="shared" si="26"/>
        <v>0.2339474439</v>
      </c>
      <c r="AW29" s="114">
        <f t="shared" si="27"/>
        <v>0.1169422436</v>
      </c>
      <c r="AX29" s="114">
        <f t="shared" si="28"/>
        <v>0.06644608212</v>
      </c>
      <c r="AY29" s="115">
        <f t="shared" si="29"/>
        <v>0.1030487968</v>
      </c>
      <c r="AZ29" s="116" t="str">
        <f t="shared" si="30"/>
        <v>SF</v>
      </c>
      <c r="BA29" s="117">
        <f t="shared" si="31"/>
        <v>3</v>
      </c>
      <c r="BB29" s="118">
        <f t="shared" si="32"/>
        <v>2.99208243</v>
      </c>
      <c r="BC29" s="118">
        <f t="shared" si="33"/>
        <v>2.993034061</v>
      </c>
      <c r="BD29" s="118">
        <f t="shared" si="34"/>
        <v>2.993034061</v>
      </c>
      <c r="BE29" s="131">
        <f t="shared" si="92"/>
        <v>3.116564532</v>
      </c>
      <c r="BF29" s="118">
        <f t="shared" si="35"/>
        <v>2.876469529</v>
      </c>
      <c r="BG29" s="118">
        <f t="shared" si="36"/>
        <v>2.876469529</v>
      </c>
      <c r="BH29" s="131">
        <f t="shared" si="93"/>
        <v>3.014583965</v>
      </c>
      <c r="BI29" s="118">
        <f t="shared" si="37"/>
        <v>2.861885565</v>
      </c>
      <c r="BJ29" s="118">
        <f t="shared" si="38"/>
        <v>2.861885565</v>
      </c>
      <c r="BK29" s="131">
        <f t="shared" si="94"/>
        <v>3.001824371</v>
      </c>
      <c r="BL29" s="118">
        <f t="shared" si="39"/>
        <v>2.860061194</v>
      </c>
      <c r="BM29" s="118">
        <f t="shared" si="40"/>
        <v>2.860061194</v>
      </c>
      <c r="BN29" s="120">
        <f t="shared" si="41"/>
        <v>4.342857171</v>
      </c>
      <c r="BO29" s="118">
        <f t="shared" si="42"/>
        <v>4.301648376</v>
      </c>
      <c r="BP29" s="118">
        <f t="shared" si="43"/>
        <v>4.301648376</v>
      </c>
      <c r="BQ29" s="131">
        <f t="shared" si="95"/>
        <v>3.160209217</v>
      </c>
      <c r="BR29" s="118">
        <f t="shared" si="44"/>
        <v>4.141439159</v>
      </c>
      <c r="BS29" s="118">
        <f t="shared" si="45"/>
        <v>4.141439159</v>
      </c>
      <c r="BT29" s="131">
        <f t="shared" si="96"/>
        <v>3.042862674</v>
      </c>
      <c r="BU29" s="118">
        <f t="shared" si="46"/>
        <v>4.098576485</v>
      </c>
      <c r="BV29" s="118">
        <f t="shared" si="47"/>
        <v>4.098576485</v>
      </c>
      <c r="BW29" s="131">
        <f t="shared" si="97"/>
        <v>3.01146756</v>
      </c>
      <c r="BX29" s="118">
        <f t="shared" si="48"/>
        <v>4.087108925</v>
      </c>
      <c r="BY29" s="118">
        <f t="shared" si="49"/>
        <v>4.087108925</v>
      </c>
      <c r="BZ29" s="61" t="str">
        <f t="shared" si="50"/>
        <v>Mike Dunleavy</v>
      </c>
      <c r="CA29" s="121">
        <f t="shared" si="51"/>
        <v>0.86</v>
      </c>
      <c r="CB29" s="122">
        <f t="shared" ref="CB29:CC29" si="176">(5-$BY29)/4*CB$3+($BY29-1)/4*CB$4</f>
        <v>-0.7297909909</v>
      </c>
      <c r="CC29" s="122">
        <f t="shared" si="176"/>
        <v>-0.321108036</v>
      </c>
      <c r="CD29" s="121">
        <f t="shared" ref="CD29:CL29" si="177">(5-$BM29)/4*CD$3+($BM29-1)/4*CD$4</f>
        <v>0.389</v>
      </c>
      <c r="CE29" s="121">
        <f t="shared" si="177"/>
        <v>0.7911169455</v>
      </c>
      <c r="CF29" s="121">
        <f t="shared" si="177"/>
        <v>-0.964</v>
      </c>
      <c r="CG29" s="121">
        <f t="shared" si="177"/>
        <v>0.4121133911</v>
      </c>
      <c r="CH29" s="121">
        <f t="shared" si="177"/>
        <v>0.1462259944</v>
      </c>
      <c r="CI29" s="121">
        <f t="shared" si="177"/>
        <v>0</v>
      </c>
      <c r="CJ29" s="121">
        <f t="shared" si="177"/>
        <v>1.201129477</v>
      </c>
      <c r="CK29" s="121">
        <f t="shared" si="177"/>
        <v>1.036830454</v>
      </c>
      <c r="CL29" s="121">
        <f t="shared" si="177"/>
        <v>-0.367</v>
      </c>
      <c r="CM29" s="118">
        <f t="shared" si="54"/>
        <v>1.865343893</v>
      </c>
      <c r="CN29" s="118">
        <f t="shared" si="55"/>
        <v>0.317145143</v>
      </c>
      <c r="CO29" s="118">
        <f t="shared" si="56"/>
        <v>1.118170304</v>
      </c>
      <c r="CP29" s="118">
        <f t="shared" si="57"/>
        <v>-0.3358525243</v>
      </c>
      <c r="CQ29" s="123">
        <f t="shared" si="58"/>
        <v>1.450585107</v>
      </c>
      <c r="CR29" s="124">
        <f t="shared" si="59"/>
        <v>4.415391922</v>
      </c>
      <c r="CS29" s="114">
        <f t="shared" si="60"/>
        <v>0.09204768372</v>
      </c>
      <c r="CT29" s="118">
        <f t="shared" si="61"/>
        <v>0.4064265992</v>
      </c>
      <c r="CU29" s="125" t="str">
        <f t="shared" si="62"/>
        <v>Mike Dunleavy</v>
      </c>
      <c r="CV29" s="121">
        <f t="shared" si="63"/>
        <v>0.605</v>
      </c>
      <c r="CW29" s="122">
        <f t="shared" ref="CW29:CX29" si="178">(5-$BY29)/4*CB$7+($BY29-1)/4*CB$8</f>
        <v>-0.4395923668</v>
      </c>
      <c r="CX29" s="122">
        <f t="shared" si="178"/>
        <v>-0.1934206414</v>
      </c>
      <c r="CY29" s="121">
        <f t="shared" ref="CY29:DG29" si="179">(5-$BM29)/4*CD$7+($BM29-1)/4*CD$8</f>
        <v>0.477</v>
      </c>
      <c r="CZ29" s="121">
        <f t="shared" si="179"/>
        <v>0.476</v>
      </c>
      <c r="DA29" s="121">
        <f t="shared" si="179"/>
        <v>-0.7198996354</v>
      </c>
      <c r="DB29" s="121">
        <f t="shared" si="179"/>
        <v>0.5204371851</v>
      </c>
      <c r="DC29" s="121">
        <f t="shared" si="179"/>
        <v>-0.01202171083</v>
      </c>
      <c r="DD29" s="121">
        <f t="shared" si="179"/>
        <v>0</v>
      </c>
      <c r="DE29" s="121">
        <f t="shared" si="179"/>
        <v>0.2314067899</v>
      </c>
      <c r="DF29" s="121">
        <f t="shared" si="179"/>
        <v>0.4329703926</v>
      </c>
      <c r="DG29" s="121">
        <f t="shared" si="179"/>
        <v>-0.439</v>
      </c>
      <c r="DH29" s="118">
        <f t="shared" si="66"/>
        <v>2.85637067</v>
      </c>
      <c r="DI29" s="118">
        <f t="shared" si="67"/>
        <v>-0.07615212788</v>
      </c>
      <c r="DJ29" s="118">
        <f t="shared" si="68"/>
        <v>0.2859171903</v>
      </c>
      <c r="DK29" s="118">
        <f t="shared" si="69"/>
        <v>-1.607800481</v>
      </c>
      <c r="DL29" s="123">
        <f t="shared" si="70"/>
        <v>0.3486487913</v>
      </c>
      <c r="DM29" s="124">
        <f t="shared" si="71"/>
        <v>1.806984044</v>
      </c>
      <c r="DN29" s="114">
        <f t="shared" si="72"/>
        <v>0.09204768372</v>
      </c>
      <c r="DO29" s="118">
        <f t="shared" si="73"/>
        <v>0.1663286957</v>
      </c>
      <c r="DP29" s="126" t="str">
        <f t="shared" si="74"/>
        <v>Mike Dunleavy (15th)</v>
      </c>
      <c r="DQ29" s="127">
        <f t="shared" si="75"/>
        <v>2.860061194</v>
      </c>
      <c r="DR29" s="127">
        <f t="shared" si="76"/>
        <v>4.087108925</v>
      </c>
      <c r="DS29" s="128">
        <f t="shared" si="77"/>
        <v>366</v>
      </c>
      <c r="DT29" s="127">
        <f t="shared" si="78"/>
        <v>15.91304348</v>
      </c>
      <c r="DU29" s="127">
        <f t="shared" si="79"/>
        <v>-3.551371928</v>
      </c>
      <c r="DV29" s="127">
        <f t="shared" si="80"/>
        <v>-2.636006609</v>
      </c>
      <c r="DW29" s="127">
        <f t="shared" si="81"/>
        <v>-0.9153653184</v>
      </c>
      <c r="DX29" s="127">
        <f t="shared" si="82"/>
        <v>-0.32689556</v>
      </c>
      <c r="DY29" s="129">
        <f t="shared" si="83"/>
        <v>-0.1428001925</v>
      </c>
      <c r="DZ29" s="130">
        <f t="shared" si="84"/>
        <v>13.55555556</v>
      </c>
      <c r="EA29" s="130">
        <f t="shared" si="85"/>
        <v>28</v>
      </c>
      <c r="EB29" s="130">
        <f t="shared" si="86"/>
        <v>-2.377777778</v>
      </c>
      <c r="EC29" s="130">
        <f t="shared" si="87"/>
        <v>-3.467969298</v>
      </c>
      <c r="ED29" s="32">
        <f t="shared" si="88"/>
        <v>-2.617655322</v>
      </c>
      <c r="EE29" s="32">
        <f t="shared" si="89"/>
        <v>-0.850313976</v>
      </c>
    </row>
    <row r="30">
      <c r="A30" s="108">
        <v>17.0</v>
      </c>
      <c r="B30" s="109" t="s">
        <v>159</v>
      </c>
      <c r="C30" s="109">
        <v>38.0</v>
      </c>
      <c r="D30" s="109">
        <v>12.0</v>
      </c>
      <c r="E30" s="109">
        <v>0.0</v>
      </c>
      <c r="F30" s="109">
        <v>114.0</v>
      </c>
      <c r="G30" s="109">
        <v>9.0</v>
      </c>
      <c r="H30" s="109">
        <v>22.0</v>
      </c>
      <c r="I30" s="109">
        <v>0.409</v>
      </c>
      <c r="J30" s="109">
        <v>0.0</v>
      </c>
      <c r="K30" s="109">
        <v>3.0</v>
      </c>
      <c r="L30" s="109">
        <v>0.0</v>
      </c>
      <c r="M30" s="109">
        <v>9.0</v>
      </c>
      <c r="N30" s="109">
        <v>19.0</v>
      </c>
      <c r="O30" s="109">
        <v>0.474</v>
      </c>
      <c r="P30" s="109">
        <v>0.409</v>
      </c>
      <c r="Q30" s="109">
        <v>10.0</v>
      </c>
      <c r="R30" s="109">
        <v>14.0</v>
      </c>
      <c r="S30" s="109">
        <v>0.714</v>
      </c>
      <c r="T30" s="109">
        <v>9.0</v>
      </c>
      <c r="U30" s="109">
        <v>22.0</v>
      </c>
      <c r="V30" s="109">
        <v>31.0</v>
      </c>
      <c r="W30" s="109">
        <v>5.0</v>
      </c>
      <c r="X30" s="109">
        <v>5.0</v>
      </c>
      <c r="Y30" s="109">
        <v>7.0</v>
      </c>
      <c r="Z30" s="109">
        <v>5.0</v>
      </c>
      <c r="AA30" s="109">
        <v>20.0</v>
      </c>
      <c r="AB30" s="109">
        <v>28.0</v>
      </c>
      <c r="AC30" s="110">
        <f t="shared" si="10"/>
        <v>28.16</v>
      </c>
      <c r="AD30" s="111">
        <f t="shared" si="11"/>
        <v>0.9943181818</v>
      </c>
      <c r="AE30" s="4">
        <f t="shared" si="12"/>
        <v>23.51415492</v>
      </c>
      <c r="AF30" s="110">
        <f t="shared" si="13"/>
        <v>228.475</v>
      </c>
      <c r="AG30" s="112">
        <f t="shared" si="14"/>
        <v>4.646954922</v>
      </c>
      <c r="AH30" s="113">
        <f t="shared" si="15"/>
        <v>10.29178462</v>
      </c>
      <c r="AI30" s="113">
        <f t="shared" si="16"/>
        <v>9.629062261</v>
      </c>
      <c r="AJ30" s="113">
        <f t="shared" si="17"/>
        <v>6.127585075</v>
      </c>
      <c r="AK30" s="113">
        <f t="shared" si="18"/>
        <v>0</v>
      </c>
      <c r="AL30" s="113">
        <f t="shared" si="19"/>
        <v>2.188423241</v>
      </c>
      <c r="AM30" s="113">
        <f t="shared" si="20"/>
        <v>2.188423241</v>
      </c>
      <c r="AN30" s="113">
        <f t="shared" ref="AN30:AP30" si="180">T30/$AF30*100</f>
        <v>3.939161834</v>
      </c>
      <c r="AO30" s="113">
        <f t="shared" si="180"/>
        <v>9.629062261</v>
      </c>
      <c r="AP30" s="113">
        <f t="shared" si="180"/>
        <v>13.56822409</v>
      </c>
      <c r="AQ30" s="113">
        <f t="shared" ref="AQ30:AR30" si="181">X30/$AF30*100</f>
        <v>2.188423241</v>
      </c>
      <c r="AR30" s="113">
        <f t="shared" si="181"/>
        <v>3.063792537</v>
      </c>
      <c r="AS30" s="113">
        <f t="shared" si="23"/>
        <v>8.753692964</v>
      </c>
      <c r="AT30" s="114">
        <f t="shared" si="24"/>
        <v>0.3014350065</v>
      </c>
      <c r="AU30" s="114">
        <f t="shared" si="25"/>
        <v>0.3235523875</v>
      </c>
      <c r="AV30" s="114">
        <f t="shared" si="26"/>
        <v>0.4694340157</v>
      </c>
      <c r="AW30" s="114">
        <f t="shared" si="27"/>
        <v>0.09386153759</v>
      </c>
      <c r="AX30" s="114">
        <f t="shared" si="28"/>
        <v>0.7466441333</v>
      </c>
      <c r="AY30" s="115">
        <f t="shared" si="29"/>
        <v>0.06293041015</v>
      </c>
      <c r="AZ30" s="116" t="str">
        <f t="shared" si="30"/>
        <v>C</v>
      </c>
      <c r="BA30" s="117">
        <f t="shared" si="31"/>
        <v>5</v>
      </c>
      <c r="BB30" s="118">
        <f t="shared" si="32"/>
        <v>5.316290338</v>
      </c>
      <c r="BC30" s="118">
        <f t="shared" si="33"/>
        <v>5.219860357</v>
      </c>
      <c r="BD30" s="118">
        <f t="shared" si="34"/>
        <v>5</v>
      </c>
      <c r="BE30" s="131">
        <f t="shared" si="92"/>
        <v>3.116564532</v>
      </c>
      <c r="BF30" s="118">
        <f t="shared" si="35"/>
        <v>5.103295826</v>
      </c>
      <c r="BG30" s="118">
        <f t="shared" si="36"/>
        <v>5</v>
      </c>
      <c r="BH30" s="131">
        <f t="shared" si="93"/>
        <v>3.014583965</v>
      </c>
      <c r="BI30" s="118">
        <f t="shared" si="37"/>
        <v>5.088711861</v>
      </c>
      <c r="BJ30" s="118">
        <f t="shared" si="38"/>
        <v>5</v>
      </c>
      <c r="BK30" s="131">
        <f t="shared" si="94"/>
        <v>3.001824371</v>
      </c>
      <c r="BL30" s="118">
        <f t="shared" si="39"/>
        <v>5.08688749</v>
      </c>
      <c r="BM30" s="118">
        <f t="shared" si="40"/>
        <v>5</v>
      </c>
      <c r="BN30" s="120">
        <f t="shared" si="41"/>
        <v>4.838925495</v>
      </c>
      <c r="BO30" s="118">
        <f t="shared" si="42"/>
        <v>4.583155527</v>
      </c>
      <c r="BP30" s="118">
        <f t="shared" si="43"/>
        <v>4.583155527</v>
      </c>
      <c r="BQ30" s="131">
        <f t="shared" si="95"/>
        <v>3.160209217</v>
      </c>
      <c r="BR30" s="118">
        <f t="shared" si="44"/>
        <v>4.42294631</v>
      </c>
      <c r="BS30" s="118">
        <f t="shared" si="45"/>
        <v>4.42294631</v>
      </c>
      <c r="BT30" s="131">
        <f t="shared" si="96"/>
        <v>3.042862674</v>
      </c>
      <c r="BU30" s="118">
        <f t="shared" si="46"/>
        <v>4.380083636</v>
      </c>
      <c r="BV30" s="118">
        <f t="shared" si="47"/>
        <v>4.380083636</v>
      </c>
      <c r="BW30" s="131">
        <f t="shared" si="97"/>
        <v>3.01146756</v>
      </c>
      <c r="BX30" s="118">
        <f t="shared" si="48"/>
        <v>4.368616076</v>
      </c>
      <c r="BY30" s="118">
        <f t="shared" si="49"/>
        <v>4.368616076</v>
      </c>
      <c r="BZ30" s="61" t="str">
        <f t="shared" si="50"/>
        <v>Chris Andersen</v>
      </c>
      <c r="CA30" s="121">
        <f t="shared" si="51"/>
        <v>0.86</v>
      </c>
      <c r="CB30" s="122">
        <f t="shared" ref="CB30:CC30" si="182">(5-$BY30)/4*CB$3+($BY30-1)/4*CB$4</f>
        <v>-0.7452738842</v>
      </c>
      <c r="CC30" s="122">
        <f t="shared" si="182"/>
        <v>-0.327920509</v>
      </c>
      <c r="CD30" s="121">
        <f t="shared" ref="CD30:CL30" si="183">(5-$BM30)/4*CD$3+($BM30-1)/4*CD$4</f>
        <v>0.389</v>
      </c>
      <c r="CE30" s="121">
        <f t="shared" si="183"/>
        <v>1.034</v>
      </c>
      <c r="CF30" s="121">
        <f t="shared" si="183"/>
        <v>-0.964</v>
      </c>
      <c r="CG30" s="121">
        <f t="shared" si="183"/>
        <v>0.181</v>
      </c>
      <c r="CH30" s="121">
        <f t="shared" si="183"/>
        <v>0.181</v>
      </c>
      <c r="CI30" s="121">
        <f t="shared" si="183"/>
        <v>0</v>
      </c>
      <c r="CJ30" s="121">
        <f t="shared" si="183"/>
        <v>1.008</v>
      </c>
      <c r="CK30" s="121">
        <f t="shared" si="183"/>
        <v>0.703</v>
      </c>
      <c r="CL30" s="121">
        <f t="shared" si="183"/>
        <v>-0.367</v>
      </c>
      <c r="CM30" s="118">
        <f t="shared" si="54"/>
        <v>-0.3347146713</v>
      </c>
      <c r="CN30" s="118">
        <f t="shared" si="55"/>
        <v>0.1531896269</v>
      </c>
      <c r="CO30" s="118">
        <f t="shared" si="56"/>
        <v>2.455848561</v>
      </c>
      <c r="CP30" s="118">
        <f t="shared" si="57"/>
        <v>1.147171463</v>
      </c>
      <c r="CQ30" s="123">
        <f t="shared" si="58"/>
        <v>1.898270497</v>
      </c>
      <c r="CR30" s="124">
        <f t="shared" si="59"/>
        <v>5.319765477</v>
      </c>
      <c r="CS30" s="114">
        <f t="shared" si="60"/>
        <v>0.02867059001</v>
      </c>
      <c r="CT30" s="118">
        <f t="shared" si="61"/>
        <v>0.1525208149</v>
      </c>
      <c r="CU30" s="125" t="str">
        <f t="shared" si="62"/>
        <v>Chris Andersen</v>
      </c>
      <c r="CV30" s="121">
        <f t="shared" si="63"/>
        <v>0.605</v>
      </c>
      <c r="CW30" s="122">
        <f t="shared" ref="CW30:CX30" si="184">(5-$BY30)/4*CB$7+($BY30-1)/4*CB$8</f>
        <v>-0.4495858707</v>
      </c>
      <c r="CX30" s="122">
        <f t="shared" si="184"/>
        <v>-0.1978177831</v>
      </c>
      <c r="CY30" s="121">
        <f t="shared" ref="CY30:DG30" si="185">(5-$BM30)/4*CD$7+($BM30-1)/4*CD$8</f>
        <v>0.477</v>
      </c>
      <c r="CZ30" s="121">
        <f t="shared" si="185"/>
        <v>0.476</v>
      </c>
      <c r="DA30" s="121">
        <f t="shared" si="185"/>
        <v>-0.882</v>
      </c>
      <c r="DB30" s="121">
        <f t="shared" si="185"/>
        <v>0.422</v>
      </c>
      <c r="DC30" s="121">
        <f t="shared" si="185"/>
        <v>0.103</v>
      </c>
      <c r="DD30" s="121">
        <f t="shared" si="185"/>
        <v>0</v>
      </c>
      <c r="DE30" s="121">
        <f t="shared" si="185"/>
        <v>0.294</v>
      </c>
      <c r="DF30" s="121">
        <f t="shared" si="185"/>
        <v>0.097</v>
      </c>
      <c r="DG30" s="121">
        <f t="shared" si="185"/>
        <v>-0.439</v>
      </c>
      <c r="DH30" s="118">
        <f t="shared" si="66"/>
        <v>0.6852940624</v>
      </c>
      <c r="DI30" s="118">
        <f t="shared" si="67"/>
        <v>-0.8884998359</v>
      </c>
      <c r="DJ30" s="118">
        <f t="shared" si="68"/>
        <v>2.654119707</v>
      </c>
      <c r="DK30" s="118">
        <f t="shared" si="69"/>
        <v>-2.902286902</v>
      </c>
      <c r="DL30" s="123">
        <f t="shared" si="70"/>
        <v>0.5885049125</v>
      </c>
      <c r="DM30" s="124">
        <f t="shared" si="71"/>
        <v>0.1371319435</v>
      </c>
      <c r="DN30" s="114">
        <f t="shared" si="72"/>
        <v>0.02867059001</v>
      </c>
      <c r="DO30" s="118">
        <f t="shared" si="73"/>
        <v>0.00393165373</v>
      </c>
      <c r="DP30" s="126" t="str">
        <f t="shared" si="74"/>
        <v>Chris Andersen (15th)</v>
      </c>
      <c r="DQ30" s="127">
        <f t="shared" si="75"/>
        <v>5</v>
      </c>
      <c r="DR30" s="127">
        <f t="shared" si="76"/>
        <v>4.368616076</v>
      </c>
      <c r="DS30" s="128">
        <f t="shared" si="77"/>
        <v>114</v>
      </c>
      <c r="DT30" s="127">
        <f t="shared" si="78"/>
        <v>9.5</v>
      </c>
      <c r="DU30" s="127">
        <f t="shared" si="79"/>
        <v>-2.646998374</v>
      </c>
      <c r="DV30" s="127">
        <f t="shared" si="80"/>
        <v>-4.305858709</v>
      </c>
      <c r="DW30" s="127">
        <f t="shared" si="81"/>
        <v>1.658860336</v>
      </c>
      <c r="DX30" s="127">
        <f t="shared" si="82"/>
        <v>-0.07589100513</v>
      </c>
      <c r="DY30" s="129">
        <f t="shared" si="83"/>
        <v>-0.01854982511</v>
      </c>
      <c r="DZ30" s="130">
        <f t="shared" si="84"/>
        <v>7.125</v>
      </c>
      <c r="EA30" s="130">
        <f t="shared" si="85"/>
        <v>112</v>
      </c>
      <c r="EB30" s="130">
        <f t="shared" si="86"/>
        <v>-3.503125</v>
      </c>
      <c r="EC30" s="130">
        <f t="shared" si="87"/>
        <v>-3.071273516</v>
      </c>
      <c r="ED30" s="32">
        <f t="shared" si="88"/>
        <v>-3.908043774</v>
      </c>
      <c r="EE30" s="32">
        <f t="shared" si="89"/>
        <v>0.8367702578</v>
      </c>
    </row>
    <row r="31">
      <c r="A31" s="108">
        <v>18.0</v>
      </c>
      <c r="B31" s="109" t="s">
        <v>160</v>
      </c>
      <c r="C31" s="109">
        <v>24.0</v>
      </c>
      <c r="D31" s="109">
        <v>1.0</v>
      </c>
      <c r="E31" s="109">
        <v>0.0</v>
      </c>
      <c r="F31" s="109">
        <v>24.0</v>
      </c>
      <c r="G31" s="109">
        <v>3.0</v>
      </c>
      <c r="H31" s="109">
        <v>4.0</v>
      </c>
      <c r="I31" s="109">
        <v>0.75</v>
      </c>
      <c r="J31" s="109">
        <v>0.0</v>
      </c>
      <c r="K31" s="109">
        <v>0.0</v>
      </c>
      <c r="L31" s="132"/>
      <c r="M31" s="109">
        <v>3.0</v>
      </c>
      <c r="N31" s="109">
        <v>4.0</v>
      </c>
      <c r="O31" s="109">
        <v>0.75</v>
      </c>
      <c r="P31" s="109">
        <v>0.75</v>
      </c>
      <c r="Q31" s="109">
        <v>0.0</v>
      </c>
      <c r="R31" s="109">
        <v>1.0</v>
      </c>
      <c r="S31" s="109">
        <v>0.0</v>
      </c>
      <c r="T31" s="109">
        <v>4.0</v>
      </c>
      <c r="U31" s="109">
        <v>6.0</v>
      </c>
      <c r="V31" s="109">
        <v>10.0</v>
      </c>
      <c r="W31" s="109">
        <v>1.0</v>
      </c>
      <c r="X31" s="109">
        <v>0.0</v>
      </c>
      <c r="Y31" s="109">
        <v>6.0</v>
      </c>
      <c r="Z31" s="109">
        <v>2.0</v>
      </c>
      <c r="AA31" s="109">
        <v>3.0</v>
      </c>
      <c r="AB31" s="109">
        <v>6.0</v>
      </c>
      <c r="AC31" s="110">
        <f t="shared" si="10"/>
        <v>4.44</v>
      </c>
      <c r="AD31" s="111">
        <f t="shared" si="11"/>
        <v>1.351351351</v>
      </c>
      <c r="AE31" s="4">
        <f t="shared" si="12"/>
        <v>5.292714767</v>
      </c>
      <c r="AF31" s="110">
        <f t="shared" si="13"/>
        <v>48.1</v>
      </c>
      <c r="AG31" s="112">
        <f t="shared" si="14"/>
        <v>2.317914767</v>
      </c>
      <c r="AH31" s="113">
        <f t="shared" si="15"/>
        <v>11.00356501</v>
      </c>
      <c r="AI31" s="113">
        <f t="shared" si="16"/>
        <v>8.316008316</v>
      </c>
      <c r="AJ31" s="113">
        <f t="shared" si="17"/>
        <v>2.079002079</v>
      </c>
      <c r="AK31" s="113">
        <f t="shared" si="18"/>
        <v>0</v>
      </c>
      <c r="AL31" s="113">
        <f t="shared" si="19"/>
        <v>2.079002079</v>
      </c>
      <c r="AM31" s="113">
        <f t="shared" si="20"/>
        <v>4.158004158</v>
      </c>
      <c r="AN31" s="113">
        <f t="shared" ref="AN31:AP31" si="186">T31/$AF31*100</f>
        <v>8.316008316</v>
      </c>
      <c r="AO31" s="113">
        <f t="shared" si="186"/>
        <v>12.47401247</v>
      </c>
      <c r="AP31" s="113">
        <f t="shared" si="186"/>
        <v>20.79002079</v>
      </c>
      <c r="AQ31" s="113">
        <f t="shared" ref="AQ31:AR31" si="187">X31/$AF31*100</f>
        <v>0</v>
      </c>
      <c r="AR31" s="113">
        <f t="shared" si="187"/>
        <v>12.47401247</v>
      </c>
      <c r="AS31" s="113">
        <f t="shared" si="23"/>
        <v>6.237006237</v>
      </c>
      <c r="AT31" s="114">
        <f t="shared" si="24"/>
        <v>0.4618762197</v>
      </c>
      <c r="AU31" s="114">
        <f t="shared" si="25"/>
        <v>0</v>
      </c>
      <c r="AV31" s="114">
        <f t="shared" si="26"/>
        <v>0.3344717362</v>
      </c>
      <c r="AW31" s="114">
        <f t="shared" si="27"/>
        <v>0.08916846071</v>
      </c>
      <c r="AX31" s="114">
        <f t="shared" si="28"/>
        <v>3.039908257</v>
      </c>
      <c r="AY31" s="115">
        <f t="shared" si="29"/>
        <v>0.149101899</v>
      </c>
      <c r="AZ31" s="116" t="str">
        <f t="shared" si="30"/>
        <v>C</v>
      </c>
      <c r="BA31" s="117">
        <f t="shared" si="31"/>
        <v>5</v>
      </c>
      <c r="BB31" s="118">
        <f t="shared" si="32"/>
        <v>11.21666876</v>
      </c>
      <c r="BC31" s="118">
        <f t="shared" si="33"/>
        <v>7.016216896</v>
      </c>
      <c r="BD31" s="118">
        <f t="shared" si="34"/>
        <v>5</v>
      </c>
      <c r="BE31" s="131">
        <f t="shared" si="92"/>
        <v>3.116564532</v>
      </c>
      <c r="BF31" s="118">
        <f t="shared" si="35"/>
        <v>6.899652365</v>
      </c>
      <c r="BG31" s="118">
        <f t="shared" si="36"/>
        <v>5</v>
      </c>
      <c r="BH31" s="131">
        <f t="shared" si="93"/>
        <v>3.014583965</v>
      </c>
      <c r="BI31" s="118">
        <f t="shared" si="37"/>
        <v>6.8850684</v>
      </c>
      <c r="BJ31" s="118">
        <f t="shared" si="38"/>
        <v>5</v>
      </c>
      <c r="BK31" s="131">
        <f t="shared" si="94"/>
        <v>3.001824371</v>
      </c>
      <c r="BL31" s="118">
        <f t="shared" si="39"/>
        <v>6.883244029</v>
      </c>
      <c r="BM31" s="118">
        <f t="shared" si="40"/>
        <v>5</v>
      </c>
      <c r="BN31" s="120">
        <f t="shared" si="41"/>
        <v>4.133837216</v>
      </c>
      <c r="BO31" s="118">
        <f t="shared" si="42"/>
        <v>4.043406665</v>
      </c>
      <c r="BP31" s="118">
        <f t="shared" si="43"/>
        <v>4.043406665</v>
      </c>
      <c r="BQ31" s="131">
        <f t="shared" si="95"/>
        <v>3.160209217</v>
      </c>
      <c r="BR31" s="118">
        <f t="shared" si="44"/>
        <v>3.883197448</v>
      </c>
      <c r="BS31" s="118">
        <f t="shared" si="45"/>
        <v>3.883197448</v>
      </c>
      <c r="BT31" s="131">
        <f t="shared" si="96"/>
        <v>3.042862674</v>
      </c>
      <c r="BU31" s="118">
        <f t="shared" si="46"/>
        <v>3.840334774</v>
      </c>
      <c r="BV31" s="118">
        <f t="shared" si="47"/>
        <v>3.840334774</v>
      </c>
      <c r="BW31" s="131">
        <f t="shared" si="97"/>
        <v>3.01146756</v>
      </c>
      <c r="BX31" s="118">
        <f t="shared" si="48"/>
        <v>3.828867214</v>
      </c>
      <c r="BY31" s="118">
        <f t="shared" si="49"/>
        <v>3.828867214</v>
      </c>
      <c r="BZ31" s="61" t="str">
        <f t="shared" si="50"/>
        <v>Edy Tavares</v>
      </c>
      <c r="CA31" s="121">
        <f t="shared" si="51"/>
        <v>0.86</v>
      </c>
      <c r="CB31" s="122">
        <f t="shared" ref="CB31:CC31" si="188">(5-$BY31)/4*CB$3+($BY31-1)/4*CB$4</f>
        <v>-0.7155876967</v>
      </c>
      <c r="CC31" s="122">
        <f t="shared" si="188"/>
        <v>-0.3148585866</v>
      </c>
      <c r="CD31" s="121">
        <f t="shared" ref="CD31:CL31" si="189">(5-$BM31)/4*CD$3+($BM31-1)/4*CD$4</f>
        <v>0.389</v>
      </c>
      <c r="CE31" s="121">
        <f t="shared" si="189"/>
        <v>1.034</v>
      </c>
      <c r="CF31" s="121">
        <f t="shared" si="189"/>
        <v>-0.964</v>
      </c>
      <c r="CG31" s="121">
        <f t="shared" si="189"/>
        <v>0.181</v>
      </c>
      <c r="CH31" s="121">
        <f t="shared" si="189"/>
        <v>0.181</v>
      </c>
      <c r="CI31" s="121">
        <f t="shared" si="189"/>
        <v>0</v>
      </c>
      <c r="CJ31" s="121">
        <f t="shared" si="189"/>
        <v>1.008</v>
      </c>
      <c r="CK31" s="121">
        <f t="shared" si="189"/>
        <v>0.703</v>
      </c>
      <c r="CL31" s="121">
        <f t="shared" si="189"/>
        <v>-0.367</v>
      </c>
      <c r="CM31" s="118">
        <f t="shared" si="54"/>
        <v>2.857641011</v>
      </c>
      <c r="CN31" s="118">
        <f t="shared" si="55"/>
        <v>-1.858627859</v>
      </c>
      <c r="CO31" s="118">
        <f t="shared" si="56"/>
        <v>3.762993763</v>
      </c>
      <c r="CP31" s="118">
        <f t="shared" si="57"/>
        <v>6.48024948</v>
      </c>
      <c r="CQ31" s="123">
        <f t="shared" si="58"/>
        <v>1.149638825</v>
      </c>
      <c r="CR31" s="124">
        <f t="shared" si="59"/>
        <v>12.39189522</v>
      </c>
      <c r="CS31" s="114">
        <f t="shared" si="60"/>
        <v>0.006035913686</v>
      </c>
      <c r="CT31" s="118">
        <f t="shared" si="61"/>
        <v>0.07479640997</v>
      </c>
      <c r="CU31" s="125" t="str">
        <f t="shared" si="62"/>
        <v>Edy Tavares</v>
      </c>
      <c r="CV31" s="121">
        <f t="shared" si="63"/>
        <v>0.605</v>
      </c>
      <c r="CW31" s="122">
        <f t="shared" ref="CW31:CX31" si="190">(5-$BY31)/4*CB$7+($BY31-1)/4*CB$8</f>
        <v>-0.4304247861</v>
      </c>
      <c r="CX31" s="122">
        <f t="shared" si="190"/>
        <v>-0.1893869059</v>
      </c>
      <c r="CY31" s="121">
        <f t="shared" ref="CY31:DG31" si="191">(5-$BM31)/4*CD$7+($BM31-1)/4*CD$8</f>
        <v>0.477</v>
      </c>
      <c r="CZ31" s="121">
        <f t="shared" si="191"/>
        <v>0.476</v>
      </c>
      <c r="DA31" s="121">
        <f t="shared" si="191"/>
        <v>-0.882</v>
      </c>
      <c r="DB31" s="121">
        <f t="shared" si="191"/>
        <v>0.422</v>
      </c>
      <c r="DC31" s="121">
        <f t="shared" si="191"/>
        <v>0.103</v>
      </c>
      <c r="DD31" s="121">
        <f t="shared" si="191"/>
        <v>0</v>
      </c>
      <c r="DE31" s="121">
        <f t="shared" si="191"/>
        <v>0.294</v>
      </c>
      <c r="DF31" s="121">
        <f t="shared" si="191"/>
        <v>0.097</v>
      </c>
      <c r="DG31" s="121">
        <f t="shared" si="191"/>
        <v>-0.439</v>
      </c>
      <c r="DH31" s="118">
        <f t="shared" si="66"/>
        <v>2.684004957</v>
      </c>
      <c r="DI31" s="118">
        <f t="shared" si="67"/>
        <v>-2.677754678</v>
      </c>
      <c r="DJ31" s="118">
        <f t="shared" si="68"/>
        <v>4.794178794</v>
      </c>
      <c r="DK31" s="118">
        <f t="shared" si="69"/>
        <v>-1.528066528</v>
      </c>
      <c r="DL31" s="123">
        <f t="shared" si="70"/>
        <v>0.3564129019</v>
      </c>
      <c r="DM31" s="124">
        <f t="shared" si="71"/>
        <v>3.628775447</v>
      </c>
      <c r="DN31" s="114">
        <f t="shared" si="72"/>
        <v>0.006035913686</v>
      </c>
      <c r="DO31" s="118">
        <f t="shared" si="73"/>
        <v>0.02190297538</v>
      </c>
      <c r="DP31" s="126" t="str">
        <f t="shared" si="74"/>
        <v>Edy Tavares (2nd)</v>
      </c>
      <c r="DQ31" s="127">
        <f t="shared" si="75"/>
        <v>5</v>
      </c>
      <c r="DR31" s="127">
        <f t="shared" si="76"/>
        <v>3.828867214</v>
      </c>
      <c r="DS31" s="128">
        <f t="shared" si="77"/>
        <v>24</v>
      </c>
      <c r="DT31" s="127">
        <f t="shared" si="78"/>
        <v>24</v>
      </c>
      <c r="DU31" s="127">
        <f t="shared" si="79"/>
        <v>4.425131371</v>
      </c>
      <c r="DV31" s="127">
        <f t="shared" si="80"/>
        <v>-0.8142152061</v>
      </c>
      <c r="DW31" s="127">
        <f t="shared" si="81"/>
        <v>5.239346577</v>
      </c>
      <c r="DX31" s="127">
        <f t="shared" si="82"/>
        <v>0.02670971101</v>
      </c>
      <c r="DY31" s="129">
        <f t="shared" si="83"/>
        <v>0.03878153838</v>
      </c>
      <c r="DZ31" s="130">
        <f t="shared" si="84"/>
        <v>4.8</v>
      </c>
      <c r="EA31" s="130">
        <f t="shared" si="85"/>
        <v>142</v>
      </c>
      <c r="EB31" s="130">
        <f t="shared" si="86"/>
        <v>-3.91</v>
      </c>
      <c r="EC31" s="130">
        <f t="shared" si="87"/>
        <v>-2.704920766</v>
      </c>
      <c r="ED31" s="32">
        <f t="shared" si="88"/>
        <v>-3.462416656</v>
      </c>
      <c r="EE31" s="32">
        <f t="shared" si="89"/>
        <v>0.7574958907</v>
      </c>
    </row>
    <row r="32">
      <c r="A32" s="108">
        <v>19.0</v>
      </c>
      <c r="B32" s="109" t="s">
        <v>161</v>
      </c>
      <c r="C32" s="109">
        <v>28.0</v>
      </c>
      <c r="D32" s="109">
        <v>5.0</v>
      </c>
      <c r="E32" s="109">
        <v>0.0</v>
      </c>
      <c r="F32" s="109">
        <v>13.0</v>
      </c>
      <c r="G32" s="109">
        <v>1.0</v>
      </c>
      <c r="H32" s="109">
        <v>4.0</v>
      </c>
      <c r="I32" s="109">
        <v>0.25</v>
      </c>
      <c r="J32" s="109">
        <v>0.0</v>
      </c>
      <c r="K32" s="109">
        <v>0.0</v>
      </c>
      <c r="L32" s="132"/>
      <c r="M32" s="109">
        <v>1.0</v>
      </c>
      <c r="N32" s="109">
        <v>4.0</v>
      </c>
      <c r="O32" s="109">
        <v>0.25</v>
      </c>
      <c r="P32" s="109">
        <v>0.25</v>
      </c>
      <c r="Q32" s="109">
        <v>2.0</v>
      </c>
      <c r="R32" s="109">
        <v>2.0</v>
      </c>
      <c r="S32" s="109">
        <v>1.0</v>
      </c>
      <c r="T32" s="109">
        <v>3.0</v>
      </c>
      <c r="U32" s="109">
        <v>1.0</v>
      </c>
      <c r="V32" s="109">
        <v>4.0</v>
      </c>
      <c r="W32" s="109">
        <v>0.0</v>
      </c>
      <c r="X32" s="109">
        <v>1.0</v>
      </c>
      <c r="Y32" s="109">
        <v>1.0</v>
      </c>
      <c r="Z32" s="109">
        <v>2.0</v>
      </c>
      <c r="AA32" s="109">
        <v>5.0</v>
      </c>
      <c r="AB32" s="109">
        <v>4.0</v>
      </c>
      <c r="AC32" s="110">
        <f t="shared" si="10"/>
        <v>4.88</v>
      </c>
      <c r="AD32" s="111">
        <f t="shared" si="11"/>
        <v>0.8196721311</v>
      </c>
      <c r="AE32" s="4">
        <f t="shared" si="12"/>
        <v>3.222623438</v>
      </c>
      <c r="AF32" s="110">
        <f t="shared" si="13"/>
        <v>26.05416667</v>
      </c>
      <c r="AG32" s="112">
        <f t="shared" si="14"/>
        <v>-0.04697656188</v>
      </c>
      <c r="AH32" s="113">
        <f t="shared" si="15"/>
        <v>12.36893691</v>
      </c>
      <c r="AI32" s="113">
        <f t="shared" si="16"/>
        <v>15.35263074</v>
      </c>
      <c r="AJ32" s="113">
        <f t="shared" si="17"/>
        <v>7.676315369</v>
      </c>
      <c r="AK32" s="113">
        <f t="shared" si="18"/>
        <v>0</v>
      </c>
      <c r="AL32" s="113">
        <f t="shared" si="19"/>
        <v>0</v>
      </c>
      <c r="AM32" s="113">
        <f t="shared" si="20"/>
        <v>7.676315369</v>
      </c>
      <c r="AN32" s="113">
        <f t="shared" ref="AN32:AP32" si="192">T32/$AF32*100</f>
        <v>11.51447305</v>
      </c>
      <c r="AO32" s="113">
        <f t="shared" si="192"/>
        <v>3.838157684</v>
      </c>
      <c r="AP32" s="113">
        <f t="shared" si="192"/>
        <v>15.35263074</v>
      </c>
      <c r="AQ32" s="113">
        <f t="shared" ref="AQ32:AR32" si="193">X32/$AF32*100</f>
        <v>3.838157684</v>
      </c>
      <c r="AR32" s="113">
        <f t="shared" si="193"/>
        <v>3.838157684</v>
      </c>
      <c r="AS32" s="113">
        <f t="shared" si="23"/>
        <v>19.19078842</v>
      </c>
      <c r="AT32" s="114">
        <f t="shared" si="24"/>
        <v>0.3410778238</v>
      </c>
      <c r="AU32" s="114">
        <f t="shared" si="25"/>
        <v>0.5674611103</v>
      </c>
      <c r="AV32" s="114">
        <f t="shared" si="26"/>
        <v>1.029143804</v>
      </c>
      <c r="AW32" s="114">
        <f t="shared" si="27"/>
        <v>0</v>
      </c>
      <c r="AX32" s="114">
        <f t="shared" si="28"/>
        <v>0.9353563867</v>
      </c>
      <c r="AY32" s="115">
        <f t="shared" si="29"/>
        <v>-0.005578723414</v>
      </c>
      <c r="AZ32" s="116" t="str">
        <f t="shared" si="30"/>
        <v>C</v>
      </c>
      <c r="BA32" s="117">
        <f t="shared" si="31"/>
        <v>5</v>
      </c>
      <c r="BB32" s="118">
        <f t="shared" si="32"/>
        <v>6.255217293</v>
      </c>
      <c r="BC32" s="118">
        <f t="shared" si="33"/>
        <v>5.259013092</v>
      </c>
      <c r="BD32" s="118">
        <f t="shared" si="34"/>
        <v>5</v>
      </c>
      <c r="BE32" s="131">
        <f t="shared" si="92"/>
        <v>3.116564532</v>
      </c>
      <c r="BF32" s="118">
        <f t="shared" si="35"/>
        <v>5.142448561</v>
      </c>
      <c r="BG32" s="118">
        <f t="shared" si="36"/>
        <v>5</v>
      </c>
      <c r="BH32" s="131">
        <f t="shared" si="93"/>
        <v>3.014583965</v>
      </c>
      <c r="BI32" s="118">
        <f t="shared" si="37"/>
        <v>5.127864596</v>
      </c>
      <c r="BJ32" s="118">
        <f t="shared" si="38"/>
        <v>5</v>
      </c>
      <c r="BK32" s="131">
        <f t="shared" si="94"/>
        <v>3.001824371</v>
      </c>
      <c r="BL32" s="118">
        <f t="shared" si="39"/>
        <v>5.126040225</v>
      </c>
      <c r="BM32" s="118">
        <f t="shared" si="40"/>
        <v>5</v>
      </c>
      <c r="BN32" s="120">
        <f t="shared" si="41"/>
        <v>6.047665171</v>
      </c>
      <c r="BO32" s="118">
        <f t="shared" si="42"/>
        <v>4.422534083</v>
      </c>
      <c r="BP32" s="118">
        <f t="shared" si="43"/>
        <v>4.422534083</v>
      </c>
      <c r="BQ32" s="131">
        <f t="shared" si="95"/>
        <v>3.160209217</v>
      </c>
      <c r="BR32" s="118">
        <f t="shared" si="44"/>
        <v>4.262324866</v>
      </c>
      <c r="BS32" s="118">
        <f t="shared" si="45"/>
        <v>4.262324866</v>
      </c>
      <c r="BT32" s="131">
        <f t="shared" si="96"/>
        <v>3.042862674</v>
      </c>
      <c r="BU32" s="118">
        <f t="shared" si="46"/>
        <v>4.219462192</v>
      </c>
      <c r="BV32" s="118">
        <f t="shared" si="47"/>
        <v>4.219462192</v>
      </c>
      <c r="BW32" s="131">
        <f t="shared" si="97"/>
        <v>3.01146756</v>
      </c>
      <c r="BX32" s="118">
        <f t="shared" si="48"/>
        <v>4.207994632</v>
      </c>
      <c r="BY32" s="118">
        <f t="shared" si="49"/>
        <v>4.207994632</v>
      </c>
      <c r="BZ32" s="61" t="str">
        <f t="shared" si="50"/>
        <v>Larry Sanders</v>
      </c>
      <c r="CA32" s="121">
        <f t="shared" si="51"/>
        <v>0.86</v>
      </c>
      <c r="CB32" s="122">
        <f t="shared" ref="CB32:CC32" si="194">(5-$BY32)/4*CB$3+($BY32-1)/4*CB$4</f>
        <v>-0.7364397047</v>
      </c>
      <c r="CC32" s="122">
        <f t="shared" si="194"/>
        <v>-0.3240334701</v>
      </c>
      <c r="CD32" s="121">
        <f t="shared" ref="CD32:CL32" si="195">(5-$BM32)/4*CD$3+($BM32-1)/4*CD$4</f>
        <v>0.389</v>
      </c>
      <c r="CE32" s="121">
        <f t="shared" si="195"/>
        <v>1.034</v>
      </c>
      <c r="CF32" s="121">
        <f t="shared" si="195"/>
        <v>-0.964</v>
      </c>
      <c r="CG32" s="121">
        <f t="shared" si="195"/>
        <v>0.181</v>
      </c>
      <c r="CH32" s="121">
        <f t="shared" si="195"/>
        <v>0.181</v>
      </c>
      <c r="CI32" s="121">
        <f t="shared" si="195"/>
        <v>0</v>
      </c>
      <c r="CJ32" s="121">
        <f t="shared" si="195"/>
        <v>1.008</v>
      </c>
      <c r="CK32" s="121">
        <f t="shared" si="195"/>
        <v>0.703</v>
      </c>
      <c r="CL32" s="121">
        <f t="shared" si="195"/>
        <v>-0.367</v>
      </c>
      <c r="CM32" s="118">
        <f t="shared" si="54"/>
        <v>-3.156384209</v>
      </c>
      <c r="CN32" s="118">
        <f t="shared" si="55"/>
        <v>-7.399968015</v>
      </c>
      <c r="CO32" s="118">
        <f t="shared" si="56"/>
        <v>2.778826163</v>
      </c>
      <c r="CP32" s="118">
        <f t="shared" si="57"/>
        <v>-0.4759315529</v>
      </c>
      <c r="CQ32" s="123">
        <f t="shared" si="58"/>
        <v>1.675488554</v>
      </c>
      <c r="CR32" s="124">
        <f t="shared" si="59"/>
        <v>-6.577969059</v>
      </c>
      <c r="CS32" s="114">
        <f t="shared" si="60"/>
        <v>0.003269453247</v>
      </c>
      <c r="CT32" s="118">
        <f t="shared" si="61"/>
        <v>-0.0215063623</v>
      </c>
      <c r="CU32" s="125" t="str">
        <f t="shared" si="62"/>
        <v>Larry Sanders</v>
      </c>
      <c r="CV32" s="121">
        <f t="shared" si="63"/>
        <v>0.605</v>
      </c>
      <c r="CW32" s="122">
        <f t="shared" ref="CW32:CX32" si="196">(5-$BY32)/4*CB$7+($BY32-1)/4*CB$8</f>
        <v>-0.4438838094</v>
      </c>
      <c r="CX32" s="122">
        <f t="shared" si="196"/>
        <v>-0.1953088761</v>
      </c>
      <c r="CY32" s="121">
        <f t="shared" ref="CY32:DG32" si="197">(5-$BM32)/4*CD$7+($BM32-1)/4*CD$8</f>
        <v>0.477</v>
      </c>
      <c r="CZ32" s="121">
        <f t="shared" si="197"/>
        <v>0.476</v>
      </c>
      <c r="DA32" s="121">
        <f t="shared" si="197"/>
        <v>-0.882</v>
      </c>
      <c r="DB32" s="121">
        <f t="shared" si="197"/>
        <v>0.422</v>
      </c>
      <c r="DC32" s="121">
        <f t="shared" si="197"/>
        <v>0.103</v>
      </c>
      <c r="DD32" s="121">
        <f t="shared" si="197"/>
        <v>0</v>
      </c>
      <c r="DE32" s="121">
        <f t="shared" si="197"/>
        <v>0.294</v>
      </c>
      <c r="DF32" s="121">
        <f t="shared" si="197"/>
        <v>0.097</v>
      </c>
      <c r="DG32" s="121">
        <f t="shared" si="197"/>
        <v>-0.439</v>
      </c>
      <c r="DH32" s="118">
        <f t="shared" si="66"/>
        <v>-0.8308299118</v>
      </c>
      <c r="DI32" s="118">
        <f t="shared" si="67"/>
        <v>-6.770510155</v>
      </c>
      <c r="DJ32" s="118">
        <f t="shared" si="68"/>
        <v>5.25443787</v>
      </c>
      <c r="DK32" s="118">
        <f t="shared" si="69"/>
        <v>-6.924036462</v>
      </c>
      <c r="DL32" s="123">
        <f t="shared" si="70"/>
        <v>0.5194376917</v>
      </c>
      <c r="DM32" s="124">
        <f t="shared" si="71"/>
        <v>-8.751500968</v>
      </c>
      <c r="DN32" s="114">
        <f t="shared" si="72"/>
        <v>0.003269453247</v>
      </c>
      <c r="DO32" s="118">
        <f t="shared" si="73"/>
        <v>-0.02861262325</v>
      </c>
      <c r="DP32" s="126" t="str">
        <f t="shared" si="74"/>
        <v>Larry Sanders (6th)</v>
      </c>
      <c r="DQ32" s="127">
        <f t="shared" si="75"/>
        <v>5</v>
      </c>
      <c r="DR32" s="127">
        <f t="shared" si="76"/>
        <v>4.207994632</v>
      </c>
      <c r="DS32" s="128">
        <f t="shared" si="77"/>
        <v>13</v>
      </c>
      <c r="DT32" s="127">
        <f t="shared" si="78"/>
        <v>2.6</v>
      </c>
      <c r="DU32" s="127">
        <f t="shared" si="79"/>
        <v>-14.54473291</v>
      </c>
      <c r="DV32" s="127">
        <f t="shared" si="80"/>
        <v>-13.19449162</v>
      </c>
      <c r="DW32" s="127">
        <f t="shared" si="81"/>
        <v>-1.350241289</v>
      </c>
      <c r="DX32" s="127">
        <f t="shared" si="82"/>
        <v>-0.04755332423</v>
      </c>
      <c r="DY32" s="129">
        <f t="shared" si="83"/>
        <v>-0.04101441774</v>
      </c>
      <c r="DZ32" s="130">
        <f t="shared" si="84"/>
        <v>1.444444444</v>
      </c>
      <c r="EA32" s="130">
        <f t="shared" si="85"/>
        <v>145.6666667</v>
      </c>
      <c r="EB32" s="130">
        <f t="shared" si="86"/>
        <v>-4.497222222</v>
      </c>
      <c r="EC32" s="130">
        <f t="shared" si="87"/>
        <v>-5.320442636</v>
      </c>
      <c r="ED32" s="32">
        <f t="shared" si="88"/>
        <v>-5.209813623</v>
      </c>
      <c r="EE32" s="32">
        <f t="shared" si="89"/>
        <v>-0.1106290131</v>
      </c>
    </row>
    <row r="33">
      <c r="A33" s="108">
        <v>20.0</v>
      </c>
      <c r="B33" s="109" t="s">
        <v>162</v>
      </c>
      <c r="C33" s="109">
        <v>36.0</v>
      </c>
      <c r="D33" s="109">
        <v>1.0</v>
      </c>
      <c r="E33" s="109">
        <v>0.0</v>
      </c>
      <c r="F33" s="109">
        <v>12.0</v>
      </c>
      <c r="G33" s="109">
        <v>3.0</v>
      </c>
      <c r="H33" s="109">
        <v>8.0</v>
      </c>
      <c r="I33" s="109">
        <v>0.375</v>
      </c>
      <c r="J33" s="109">
        <v>0.0</v>
      </c>
      <c r="K33" s="109">
        <v>2.0</v>
      </c>
      <c r="L33" s="109">
        <v>0.0</v>
      </c>
      <c r="M33" s="109">
        <v>3.0</v>
      </c>
      <c r="N33" s="109">
        <v>6.0</v>
      </c>
      <c r="O33" s="109">
        <v>0.5</v>
      </c>
      <c r="P33" s="109">
        <v>0.375</v>
      </c>
      <c r="Q33" s="109">
        <v>3.0</v>
      </c>
      <c r="R33" s="109">
        <v>4.0</v>
      </c>
      <c r="S33" s="109">
        <v>0.75</v>
      </c>
      <c r="T33" s="109">
        <v>1.0</v>
      </c>
      <c r="U33" s="109">
        <v>1.0</v>
      </c>
      <c r="V33" s="109">
        <v>2.0</v>
      </c>
      <c r="W33" s="109">
        <v>1.0</v>
      </c>
      <c r="X33" s="109">
        <v>0.0</v>
      </c>
      <c r="Y33" s="109">
        <v>0.0</v>
      </c>
      <c r="Z33" s="109">
        <v>1.0</v>
      </c>
      <c r="AA33" s="109">
        <v>1.0</v>
      </c>
      <c r="AB33" s="109">
        <v>9.0</v>
      </c>
      <c r="AC33" s="110">
        <f t="shared" si="10"/>
        <v>9.76</v>
      </c>
      <c r="AD33" s="111">
        <f t="shared" si="11"/>
        <v>0.9221311475</v>
      </c>
      <c r="AE33" s="4">
        <f t="shared" si="12"/>
        <v>7.445246876</v>
      </c>
      <c r="AF33" s="110">
        <f t="shared" si="13"/>
        <v>24.05</v>
      </c>
      <c r="AG33" s="112">
        <f t="shared" si="14"/>
        <v>0.9060468762</v>
      </c>
      <c r="AH33" s="113">
        <f t="shared" si="15"/>
        <v>30.95736747</v>
      </c>
      <c r="AI33" s="113">
        <f t="shared" si="16"/>
        <v>33.26403326</v>
      </c>
      <c r="AJ33" s="113">
        <f t="shared" si="17"/>
        <v>16.63201663</v>
      </c>
      <c r="AK33" s="113">
        <f t="shared" si="18"/>
        <v>0</v>
      </c>
      <c r="AL33" s="113">
        <f t="shared" si="19"/>
        <v>4.158004158</v>
      </c>
      <c r="AM33" s="113">
        <f t="shared" si="20"/>
        <v>4.158004158</v>
      </c>
      <c r="AN33" s="113">
        <f t="shared" ref="AN33:AP33" si="198">T33/$AF33*100</f>
        <v>4.158004158</v>
      </c>
      <c r="AO33" s="113">
        <f t="shared" si="198"/>
        <v>4.158004158</v>
      </c>
      <c r="AP33" s="113">
        <f t="shared" si="198"/>
        <v>8.316008316</v>
      </c>
      <c r="AQ33" s="113">
        <f t="shared" ref="AQ33:AR33" si="199">X33/$AF33*100</f>
        <v>0</v>
      </c>
      <c r="AR33" s="113">
        <f t="shared" si="199"/>
        <v>0</v>
      </c>
      <c r="AS33" s="113">
        <f t="shared" si="23"/>
        <v>4.158004158</v>
      </c>
      <c r="AT33" s="114">
        <f t="shared" si="24"/>
        <v>0.1847504879</v>
      </c>
      <c r="AU33" s="114">
        <f t="shared" si="25"/>
        <v>0</v>
      </c>
      <c r="AV33" s="114">
        <f t="shared" si="26"/>
        <v>0.2229811575</v>
      </c>
      <c r="AW33" s="114">
        <f t="shared" si="27"/>
        <v>0.1783369214</v>
      </c>
      <c r="AX33" s="114">
        <f t="shared" si="28"/>
        <v>0</v>
      </c>
      <c r="AY33" s="115">
        <f t="shared" si="29"/>
        <v>0.1165645189</v>
      </c>
      <c r="AZ33" s="116" t="str">
        <f t="shared" si="30"/>
        <v>SF</v>
      </c>
      <c r="BA33" s="117">
        <f t="shared" si="31"/>
        <v>3</v>
      </c>
      <c r="BB33" s="118">
        <f t="shared" si="32"/>
        <v>3.321523449</v>
      </c>
      <c r="BC33" s="118">
        <f t="shared" si="33"/>
        <v>3.062230345</v>
      </c>
      <c r="BD33" s="118">
        <f t="shared" si="34"/>
        <v>3.062230345</v>
      </c>
      <c r="BE33" s="131">
        <f t="shared" si="92"/>
        <v>3.116564532</v>
      </c>
      <c r="BF33" s="118">
        <f t="shared" si="35"/>
        <v>2.945665813</v>
      </c>
      <c r="BG33" s="118">
        <f t="shared" si="36"/>
        <v>2.945665813</v>
      </c>
      <c r="BH33" s="131">
        <f t="shared" si="93"/>
        <v>3.014583965</v>
      </c>
      <c r="BI33" s="118">
        <f t="shared" si="37"/>
        <v>2.931081849</v>
      </c>
      <c r="BJ33" s="118">
        <f t="shared" si="38"/>
        <v>2.931081849</v>
      </c>
      <c r="BK33" s="131">
        <f t="shared" si="94"/>
        <v>3.001824371</v>
      </c>
      <c r="BL33" s="118">
        <f t="shared" si="39"/>
        <v>2.929257478</v>
      </c>
      <c r="BM33" s="118">
        <f t="shared" si="40"/>
        <v>2.929257478</v>
      </c>
      <c r="BN33" s="120">
        <f t="shared" si="41"/>
        <v>3.819618597</v>
      </c>
      <c r="BO33" s="118">
        <f t="shared" si="42"/>
        <v>3.96508747</v>
      </c>
      <c r="BP33" s="118">
        <f t="shared" si="43"/>
        <v>3.96508747</v>
      </c>
      <c r="BQ33" s="131">
        <f t="shared" si="95"/>
        <v>3.160209217</v>
      </c>
      <c r="BR33" s="118">
        <f t="shared" si="44"/>
        <v>3.804878254</v>
      </c>
      <c r="BS33" s="118">
        <f t="shared" si="45"/>
        <v>3.804878254</v>
      </c>
      <c r="BT33" s="131">
        <f t="shared" si="96"/>
        <v>3.042862674</v>
      </c>
      <c r="BU33" s="118">
        <f t="shared" si="46"/>
        <v>3.762015579</v>
      </c>
      <c r="BV33" s="118">
        <f t="shared" si="47"/>
        <v>3.762015579</v>
      </c>
      <c r="BW33" s="131">
        <f t="shared" si="97"/>
        <v>3.01146756</v>
      </c>
      <c r="BX33" s="118">
        <f t="shared" si="48"/>
        <v>3.750548019</v>
      </c>
      <c r="BY33" s="118">
        <f t="shared" si="49"/>
        <v>3.750548019</v>
      </c>
      <c r="BZ33" s="61" t="str">
        <f t="shared" si="50"/>
        <v>Dahntay Jones</v>
      </c>
      <c r="CA33" s="121">
        <f t="shared" si="51"/>
        <v>0.86</v>
      </c>
      <c r="CB33" s="122">
        <f t="shared" ref="CB33:CC33" si="200">(5-$BY33)/4*CB$3+($BY33-1)/4*CB$4</f>
        <v>-0.7112801411</v>
      </c>
      <c r="CC33" s="122">
        <f t="shared" si="200"/>
        <v>-0.3129632621</v>
      </c>
      <c r="CD33" s="121">
        <f t="shared" ref="CD33:CL33" si="201">(5-$BM33)/4*CD$3+($BM33-1)/4*CD$4</f>
        <v>0.389</v>
      </c>
      <c r="CE33" s="121">
        <f t="shared" si="201"/>
        <v>0.7989707237</v>
      </c>
      <c r="CF33" s="121">
        <f t="shared" si="201"/>
        <v>-0.964</v>
      </c>
      <c r="CG33" s="121">
        <f t="shared" si="201"/>
        <v>0.4046401924</v>
      </c>
      <c r="CH33" s="121">
        <f t="shared" si="201"/>
        <v>0.147350434</v>
      </c>
      <c r="CI33" s="121">
        <f t="shared" si="201"/>
        <v>0</v>
      </c>
      <c r="CJ33" s="121">
        <f t="shared" si="201"/>
        <v>1.194884513</v>
      </c>
      <c r="CK33" s="121">
        <f t="shared" si="201"/>
        <v>1.026035833</v>
      </c>
      <c r="CL33" s="121">
        <f t="shared" si="201"/>
        <v>-0.367</v>
      </c>
      <c r="CM33" s="118">
        <f t="shared" si="54"/>
        <v>-2.241920429</v>
      </c>
      <c r="CN33" s="118">
        <f t="shared" si="55"/>
        <v>-0.6861924169</v>
      </c>
      <c r="CO33" s="118">
        <f t="shared" si="56"/>
        <v>2.29517932</v>
      </c>
      <c r="CP33" s="118">
        <f t="shared" si="57"/>
        <v>-1.525987526</v>
      </c>
      <c r="CQ33" s="123">
        <f t="shared" si="58"/>
        <v>1.012076411</v>
      </c>
      <c r="CR33" s="124">
        <f t="shared" si="59"/>
        <v>-1.146844641</v>
      </c>
      <c r="CS33" s="114">
        <f t="shared" si="60"/>
        <v>0.003017956843</v>
      </c>
      <c r="CT33" s="118">
        <f t="shared" si="61"/>
        <v>-0.003461127632</v>
      </c>
      <c r="CU33" s="125" t="str">
        <f t="shared" si="62"/>
        <v>Dahntay Jones</v>
      </c>
      <c r="CV33" s="121">
        <f t="shared" si="63"/>
        <v>0.605</v>
      </c>
      <c r="CW33" s="122">
        <f t="shared" ref="CW33:CX33" si="202">(5-$BY33)/4*CB$7+($BY33-1)/4*CB$8</f>
        <v>-0.4276444547</v>
      </c>
      <c r="CX33" s="122">
        <f t="shared" si="202"/>
        <v>-0.1881635601</v>
      </c>
      <c r="CY33" s="121">
        <f t="shared" ref="CY33:DG33" si="203">(5-$BM33)/4*CD$7+($BM33-1)/4*CD$8</f>
        <v>0.477</v>
      </c>
      <c r="CZ33" s="121">
        <f t="shared" si="203"/>
        <v>0.476</v>
      </c>
      <c r="DA33" s="121">
        <f t="shared" si="203"/>
        <v>-0.7251412539</v>
      </c>
      <c r="DB33" s="121">
        <f t="shared" si="203"/>
        <v>0.517254156</v>
      </c>
      <c r="DC33" s="121">
        <f t="shared" si="203"/>
        <v>-0.008302410569</v>
      </c>
      <c r="DD33" s="121">
        <f t="shared" si="203"/>
        <v>0</v>
      </c>
      <c r="DE33" s="121">
        <f t="shared" si="203"/>
        <v>0.2334307812</v>
      </c>
      <c r="DF33" s="121">
        <f t="shared" si="203"/>
        <v>0.422106576</v>
      </c>
      <c r="DG33" s="121">
        <f t="shared" si="203"/>
        <v>-0.439</v>
      </c>
      <c r="DH33" s="118">
        <f t="shared" si="66"/>
        <v>1.374488492</v>
      </c>
      <c r="DI33" s="118">
        <f t="shared" si="67"/>
        <v>-1.03593037</v>
      </c>
      <c r="DJ33" s="118">
        <f t="shared" si="68"/>
        <v>2.116223474</v>
      </c>
      <c r="DK33" s="118">
        <f t="shared" si="69"/>
        <v>-1.825363825</v>
      </c>
      <c r="DL33" s="123">
        <f t="shared" si="70"/>
        <v>0.2626752469</v>
      </c>
      <c r="DM33" s="124">
        <f t="shared" si="71"/>
        <v>0.8920930179</v>
      </c>
      <c r="DN33" s="114">
        <f t="shared" si="72"/>
        <v>0.003017956843</v>
      </c>
      <c r="DO33" s="118">
        <f t="shared" si="73"/>
        <v>0.002692298228</v>
      </c>
      <c r="DP33" s="126" t="str">
        <f t="shared" si="74"/>
        <v>Dahntay Jones (13th)</v>
      </c>
      <c r="DQ33" s="127">
        <f t="shared" si="75"/>
        <v>2.929257478</v>
      </c>
      <c r="DR33" s="127">
        <f t="shared" si="76"/>
        <v>3.750548019</v>
      </c>
      <c r="DS33" s="128">
        <f t="shared" si="77"/>
        <v>12</v>
      </c>
      <c r="DT33" s="127">
        <f t="shared" si="78"/>
        <v>12</v>
      </c>
      <c r="DU33" s="127">
        <f t="shared" si="79"/>
        <v>-9.113608491</v>
      </c>
      <c r="DV33" s="127">
        <f t="shared" si="80"/>
        <v>-3.550897635</v>
      </c>
      <c r="DW33" s="127">
        <f t="shared" si="81"/>
        <v>-5.562710856</v>
      </c>
      <c r="DX33" s="127">
        <f t="shared" si="82"/>
        <v>-0.02750447711</v>
      </c>
      <c r="DY33" s="129">
        <f t="shared" si="83"/>
        <v>-0.02146856343</v>
      </c>
      <c r="DZ33" s="130">
        <f t="shared" si="84"/>
        <v>2.4</v>
      </c>
      <c r="EA33" s="130">
        <f t="shared" si="85"/>
        <v>146</v>
      </c>
      <c r="EB33" s="130">
        <f t="shared" si="86"/>
        <v>-4.33</v>
      </c>
      <c r="EC33" s="130">
        <f t="shared" si="87"/>
        <v>-4.693312037</v>
      </c>
      <c r="ED33" s="32">
        <f t="shared" si="88"/>
        <v>-4.270827668</v>
      </c>
      <c r="EE33" s="32">
        <f t="shared" si="89"/>
        <v>-0.4224843688</v>
      </c>
    </row>
    <row r="34">
      <c r="A34" s="108">
        <v>21.0</v>
      </c>
      <c r="B34" s="109" t="s">
        <v>163</v>
      </c>
      <c r="C34" s="109">
        <v>32.0</v>
      </c>
      <c r="D34" s="109">
        <v>1.0</v>
      </c>
      <c r="E34" s="109">
        <v>0.0</v>
      </c>
      <c r="F34" s="109">
        <v>1.0</v>
      </c>
      <c r="G34" s="109">
        <v>0.0</v>
      </c>
      <c r="H34" s="109">
        <v>0.0</v>
      </c>
      <c r="I34" s="132"/>
      <c r="J34" s="109">
        <v>0.0</v>
      </c>
      <c r="K34" s="109">
        <v>0.0</v>
      </c>
      <c r="L34" s="132"/>
      <c r="M34" s="109">
        <v>0.0</v>
      </c>
      <c r="N34" s="109">
        <v>0.0</v>
      </c>
      <c r="O34" s="132"/>
      <c r="P34" s="132"/>
      <c r="Q34" s="109">
        <v>0.0</v>
      </c>
      <c r="R34" s="109">
        <v>0.0</v>
      </c>
      <c r="S34" s="132"/>
      <c r="T34" s="109">
        <v>0.0</v>
      </c>
      <c r="U34" s="109">
        <v>0.0</v>
      </c>
      <c r="V34" s="109">
        <v>0.0</v>
      </c>
      <c r="W34" s="109">
        <v>0.0</v>
      </c>
      <c r="X34" s="109">
        <v>0.0</v>
      </c>
      <c r="Y34" s="109">
        <v>0.0</v>
      </c>
      <c r="Z34" s="109">
        <v>0.0</v>
      </c>
      <c r="AA34" s="109">
        <v>2.0</v>
      </c>
      <c r="AB34" s="109">
        <v>0.0</v>
      </c>
      <c r="AC34" s="110">
        <f t="shared" si="10"/>
        <v>0</v>
      </c>
      <c r="AD34" s="111">
        <f t="shared" si="11"/>
        <v>0</v>
      </c>
      <c r="AE34" s="4">
        <f t="shared" si="12"/>
        <v>0</v>
      </c>
      <c r="AF34" s="110">
        <f t="shared" si="13"/>
        <v>2.004166667</v>
      </c>
      <c r="AG34" s="112">
        <f t="shared" si="14"/>
        <v>0</v>
      </c>
      <c r="AH34" s="113">
        <f t="shared" si="15"/>
        <v>0</v>
      </c>
      <c r="AI34" s="113">
        <f t="shared" si="16"/>
        <v>0</v>
      </c>
      <c r="AJ34" s="113">
        <f t="shared" si="17"/>
        <v>0</v>
      </c>
      <c r="AK34" s="113">
        <f t="shared" si="18"/>
        <v>0</v>
      </c>
      <c r="AL34" s="113">
        <f t="shared" si="19"/>
        <v>0</v>
      </c>
      <c r="AM34" s="113">
        <f t="shared" si="20"/>
        <v>0</v>
      </c>
      <c r="AN34" s="113">
        <f t="shared" ref="AN34:AP34" si="204">T34/$AF34*100</f>
        <v>0</v>
      </c>
      <c r="AO34" s="113">
        <f t="shared" si="204"/>
        <v>0</v>
      </c>
      <c r="AP34" s="113">
        <f t="shared" si="204"/>
        <v>0</v>
      </c>
      <c r="AQ34" s="113">
        <f t="shared" ref="AQ34:AR34" si="205">X34/$AF34*100</f>
        <v>0</v>
      </c>
      <c r="AR34" s="113">
        <f t="shared" si="205"/>
        <v>0</v>
      </c>
      <c r="AS34" s="113">
        <f t="shared" si="23"/>
        <v>99.79209979</v>
      </c>
      <c r="AT34" s="114">
        <f t="shared" si="24"/>
        <v>0</v>
      </c>
      <c r="AU34" s="114">
        <f t="shared" si="25"/>
        <v>0</v>
      </c>
      <c r="AV34" s="114">
        <f t="shared" si="26"/>
        <v>5.351547779</v>
      </c>
      <c r="AW34" s="114">
        <f t="shared" si="27"/>
        <v>0</v>
      </c>
      <c r="AX34" s="114">
        <f t="shared" si="28"/>
        <v>0</v>
      </c>
      <c r="AY34" s="115">
        <f t="shared" si="29"/>
        <v>0</v>
      </c>
      <c r="AZ34" s="116" t="str">
        <f t="shared" si="30"/>
        <v>C</v>
      </c>
      <c r="BA34" s="117">
        <f t="shared" si="31"/>
        <v>5</v>
      </c>
      <c r="BB34" s="118">
        <f t="shared" si="32"/>
        <v>7.438335397</v>
      </c>
      <c r="BC34" s="118">
        <f t="shared" si="33"/>
        <v>5.047810498</v>
      </c>
      <c r="BD34" s="118">
        <f t="shared" si="34"/>
        <v>5</v>
      </c>
      <c r="BE34" s="131">
        <f t="shared" si="92"/>
        <v>3.116564532</v>
      </c>
      <c r="BF34" s="118">
        <f t="shared" si="35"/>
        <v>4.931245966</v>
      </c>
      <c r="BG34" s="118">
        <f t="shared" si="36"/>
        <v>4.931245966</v>
      </c>
      <c r="BH34" s="131">
        <f t="shared" si="93"/>
        <v>3.014583965</v>
      </c>
      <c r="BI34" s="118">
        <f t="shared" si="37"/>
        <v>4.916662002</v>
      </c>
      <c r="BJ34" s="118">
        <f t="shared" si="38"/>
        <v>4.916662002</v>
      </c>
      <c r="BK34" s="131">
        <f t="shared" si="94"/>
        <v>3.001824371</v>
      </c>
      <c r="BL34" s="118">
        <f t="shared" si="39"/>
        <v>4.914837631</v>
      </c>
      <c r="BM34" s="118">
        <f t="shared" si="40"/>
        <v>4.914837631</v>
      </c>
      <c r="BN34" s="120">
        <f t="shared" si="41"/>
        <v>6</v>
      </c>
      <c r="BO34" s="118">
        <f t="shared" si="42"/>
        <v>4.039215686</v>
      </c>
      <c r="BP34" s="118">
        <f t="shared" si="43"/>
        <v>4.039215686</v>
      </c>
      <c r="BQ34" s="131">
        <f t="shared" si="95"/>
        <v>3.160209217</v>
      </c>
      <c r="BR34" s="118">
        <f t="shared" si="44"/>
        <v>3.879006469</v>
      </c>
      <c r="BS34" s="118">
        <f t="shared" si="45"/>
        <v>3.879006469</v>
      </c>
      <c r="BT34" s="131">
        <f t="shared" si="96"/>
        <v>3.042862674</v>
      </c>
      <c r="BU34" s="118">
        <f t="shared" si="46"/>
        <v>3.836143795</v>
      </c>
      <c r="BV34" s="118">
        <f t="shared" si="47"/>
        <v>3.836143795</v>
      </c>
      <c r="BW34" s="131">
        <f t="shared" si="97"/>
        <v>3.01146756</v>
      </c>
      <c r="BX34" s="118">
        <f t="shared" si="48"/>
        <v>3.824676235</v>
      </c>
      <c r="BY34" s="118">
        <f t="shared" si="49"/>
        <v>3.824676235</v>
      </c>
      <c r="BZ34" s="61" t="str">
        <f t="shared" si="50"/>
        <v>Andrew Bogut</v>
      </c>
      <c r="CA34" s="121">
        <f t="shared" si="51"/>
        <v>0.86</v>
      </c>
      <c r="CB34" s="122">
        <f t="shared" ref="CB34:CC34" si="206">(5-$BY34)/4*CB$3+($BY34-1)/4*CB$4</f>
        <v>-0.7153571929</v>
      </c>
      <c r="CC34" s="122">
        <f t="shared" si="206"/>
        <v>-0.3147571649</v>
      </c>
      <c r="CD34" s="121">
        <f t="shared" ref="CD34:CL34" si="207">(5-$BM34)/4*CD$3+($BM34-1)/4*CD$4</f>
        <v>0.389</v>
      </c>
      <c r="CE34" s="121">
        <f t="shared" si="207"/>
        <v>1.024334071</v>
      </c>
      <c r="CF34" s="121">
        <f t="shared" si="207"/>
        <v>-0.964</v>
      </c>
      <c r="CG34" s="121">
        <f t="shared" si="207"/>
        <v>0.1901975359</v>
      </c>
      <c r="CH34" s="121">
        <f t="shared" si="207"/>
        <v>0.1796161115</v>
      </c>
      <c r="CI34" s="121">
        <f t="shared" si="207"/>
        <v>0</v>
      </c>
      <c r="CJ34" s="121">
        <f t="shared" si="207"/>
        <v>1.015685904</v>
      </c>
      <c r="CK34" s="121">
        <f t="shared" si="207"/>
        <v>0.7162853296</v>
      </c>
      <c r="CL34" s="121">
        <f t="shared" si="207"/>
        <v>-0.367</v>
      </c>
      <c r="CM34" s="118">
        <f t="shared" si="54"/>
        <v>0</v>
      </c>
      <c r="CN34" s="118">
        <f t="shared" si="55"/>
        <v>0</v>
      </c>
      <c r="CO34" s="118">
        <f t="shared" si="56"/>
        <v>0</v>
      </c>
      <c r="CP34" s="118">
        <f t="shared" si="57"/>
        <v>-36.62370062</v>
      </c>
      <c r="CQ34" s="123">
        <f t="shared" si="58"/>
        <v>1.143825938</v>
      </c>
      <c r="CR34" s="124">
        <f t="shared" si="59"/>
        <v>-35.47987469</v>
      </c>
      <c r="CS34" s="114">
        <f t="shared" si="60"/>
        <v>0.0002514964036</v>
      </c>
      <c r="CT34" s="118">
        <f t="shared" si="61"/>
        <v>-0.008923060884</v>
      </c>
      <c r="CU34" s="125" t="str">
        <f t="shared" si="62"/>
        <v>Andrew Bogut</v>
      </c>
      <c r="CV34" s="121">
        <f t="shared" si="63"/>
        <v>0.605</v>
      </c>
      <c r="CW34" s="122">
        <f t="shared" ref="CW34:CX34" si="208">(5-$BY34)/4*CB$7+($BY34-1)/4*CB$8</f>
        <v>-0.4302760063</v>
      </c>
      <c r="CX34" s="122">
        <f t="shared" si="208"/>
        <v>-0.1893214428</v>
      </c>
      <c r="CY34" s="121">
        <f t="shared" ref="CY34:DG34" si="209">(5-$BM34)/4*CD$7+($BM34-1)/4*CD$8</f>
        <v>0.477</v>
      </c>
      <c r="CZ34" s="121">
        <f t="shared" si="209"/>
        <v>0.476</v>
      </c>
      <c r="DA34" s="121">
        <f t="shared" si="209"/>
        <v>-0.8755489505</v>
      </c>
      <c r="DB34" s="121">
        <f t="shared" si="209"/>
        <v>0.425917469</v>
      </c>
      <c r="DC34" s="121">
        <f t="shared" si="209"/>
        <v>0.09842252266</v>
      </c>
      <c r="DD34" s="121">
        <f t="shared" si="209"/>
        <v>0</v>
      </c>
      <c r="DE34" s="121">
        <f t="shared" si="209"/>
        <v>0.2915090007</v>
      </c>
      <c r="DF34" s="121">
        <f t="shared" si="209"/>
        <v>0.110370492</v>
      </c>
      <c r="DG34" s="121">
        <f t="shared" si="209"/>
        <v>-0.439</v>
      </c>
      <c r="DH34" s="118">
        <f t="shared" si="66"/>
        <v>0</v>
      </c>
      <c r="DI34" s="118">
        <f t="shared" si="67"/>
        <v>0</v>
      </c>
      <c r="DJ34" s="118">
        <f t="shared" si="68"/>
        <v>0</v>
      </c>
      <c r="DK34" s="118">
        <f t="shared" si="69"/>
        <v>-43.80873181</v>
      </c>
      <c r="DL34" s="123">
        <f t="shared" si="70"/>
        <v>0.3546107811</v>
      </c>
      <c r="DM34" s="124">
        <f t="shared" si="71"/>
        <v>-43.45412103</v>
      </c>
      <c r="DN34" s="114">
        <f t="shared" si="72"/>
        <v>0.0002514964036</v>
      </c>
      <c r="DO34" s="118">
        <f t="shared" si="73"/>
        <v>-0.01092855516</v>
      </c>
      <c r="DP34" s="126" t="str">
        <f t="shared" si="74"/>
        <v>Andrew Bogut (12th)</v>
      </c>
      <c r="DQ34" s="127">
        <f t="shared" si="75"/>
        <v>4.914837631</v>
      </c>
      <c r="DR34" s="127">
        <f t="shared" si="76"/>
        <v>3.824676235</v>
      </c>
      <c r="DS34" s="128">
        <f t="shared" si="77"/>
        <v>1</v>
      </c>
      <c r="DT34" s="127">
        <f t="shared" si="78"/>
        <v>1</v>
      </c>
      <c r="DU34" s="127">
        <f t="shared" si="79"/>
        <v>-43.44663854</v>
      </c>
      <c r="DV34" s="127">
        <f t="shared" si="80"/>
        <v>-47.89711168</v>
      </c>
      <c r="DW34" s="127">
        <f t="shared" si="81"/>
        <v>4.450473145</v>
      </c>
      <c r="DX34" s="127">
        <f t="shared" si="82"/>
        <v>-0.01092667334</v>
      </c>
      <c r="DY34" s="129">
        <f t="shared" si="83"/>
        <v>-0.01042368053</v>
      </c>
      <c r="DZ34" s="130">
        <f t="shared" si="84"/>
        <v>0.2</v>
      </c>
      <c r="EA34" s="130">
        <f t="shared" si="85"/>
        <v>149.6666667</v>
      </c>
      <c r="EB34" s="130">
        <f t="shared" si="86"/>
        <v>-4.715</v>
      </c>
      <c r="EC34" s="130">
        <f t="shared" si="87"/>
        <v>-4.972068397</v>
      </c>
      <c r="ED34" s="32">
        <f t="shared" si="88"/>
        <v>-5.001606936</v>
      </c>
      <c r="EE34" s="32">
        <f t="shared" si="89"/>
        <v>0.02953853857</v>
      </c>
    </row>
    <row r="35">
      <c r="A35" s="108"/>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10"/>
      <c r="AD35" s="111"/>
      <c r="AE35" s="4"/>
      <c r="AF35" s="110"/>
      <c r="AG35" s="112"/>
      <c r="AH35" s="113"/>
      <c r="AI35" s="113"/>
      <c r="AJ35" s="113"/>
      <c r="AK35" s="113"/>
      <c r="AL35" s="113"/>
      <c r="AM35" s="113"/>
      <c r="AN35" s="113"/>
      <c r="AO35" s="113"/>
      <c r="AP35" s="113"/>
      <c r="AQ35" s="113"/>
      <c r="AR35" s="113"/>
      <c r="AS35" s="113"/>
      <c r="AT35" s="114"/>
      <c r="AU35" s="114"/>
      <c r="AV35" s="114"/>
      <c r="AW35" s="114"/>
      <c r="AX35" s="114"/>
      <c r="AY35" s="133"/>
      <c r="AZ35" s="116"/>
      <c r="BA35" s="117"/>
      <c r="BB35" s="118"/>
      <c r="BC35" s="118"/>
      <c r="BD35" s="118"/>
      <c r="BE35" s="131"/>
      <c r="BF35" s="118"/>
      <c r="BG35" s="118"/>
      <c r="BH35" s="131"/>
      <c r="BI35" s="118"/>
      <c r="BJ35" s="118"/>
      <c r="BK35" s="131"/>
      <c r="BL35" s="118"/>
      <c r="BM35" s="118"/>
      <c r="CA35" s="121"/>
      <c r="CB35" s="122"/>
      <c r="CC35" s="122"/>
      <c r="CD35" s="121"/>
      <c r="CE35" s="121"/>
      <c r="CF35" s="121"/>
      <c r="CG35" s="121"/>
      <c r="CH35" s="121"/>
      <c r="CI35" s="121"/>
      <c r="CJ35" s="121"/>
      <c r="CK35" s="121"/>
      <c r="CL35" s="121"/>
      <c r="CM35" s="118"/>
      <c r="CN35" s="118"/>
      <c r="CO35" s="118"/>
      <c r="CP35" s="118"/>
      <c r="CQ35" s="123"/>
      <c r="CR35" s="103"/>
      <c r="CS35" s="114"/>
      <c r="CT35" s="118"/>
      <c r="CU35" s="125"/>
      <c r="CV35" s="121"/>
      <c r="CW35" s="122"/>
      <c r="CX35" s="122"/>
      <c r="CY35" s="121"/>
      <c r="CZ35" s="121"/>
      <c r="DA35" s="121"/>
      <c r="DB35" s="121"/>
      <c r="DC35" s="121"/>
      <c r="DD35" s="121"/>
      <c r="DE35" s="121"/>
      <c r="DF35" s="121"/>
      <c r="DG35" s="121"/>
      <c r="DH35" s="118"/>
      <c r="DI35" s="118"/>
      <c r="DJ35" s="118"/>
      <c r="DK35" s="118"/>
      <c r="DL35" s="123"/>
      <c r="DM35" s="103"/>
      <c r="DN35" s="114"/>
      <c r="DO35" s="118"/>
      <c r="DP35" s="126"/>
      <c r="DQ35" s="128"/>
      <c r="DR35" s="128"/>
      <c r="DS35" s="128"/>
      <c r="DT35" s="127"/>
      <c r="DU35" s="127"/>
      <c r="DV35" s="127"/>
      <c r="DW35" s="127"/>
      <c r="DX35" s="127"/>
      <c r="DY35" s="129"/>
      <c r="DZ35" s="60"/>
      <c r="EA35" s="60"/>
      <c r="EB35" s="60"/>
      <c r="EC35" s="60"/>
      <c r="ED35" s="31"/>
      <c r="EE35" s="31"/>
    </row>
    <row r="36">
      <c r="A36" s="108"/>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10"/>
      <c r="AD36" s="111"/>
      <c r="AE36" s="4"/>
      <c r="AF36" s="110"/>
      <c r="AG36" s="112">
        <f t="shared" ref="AG36:AG37" si="210">AC36*(AD36-($R$7+BN$7))</f>
        <v>0</v>
      </c>
      <c r="AH36" s="113"/>
      <c r="AI36" s="113"/>
      <c r="AJ36" s="113"/>
      <c r="AK36" s="113"/>
      <c r="AL36" s="113"/>
      <c r="AM36" s="113"/>
      <c r="AN36" s="113"/>
      <c r="AO36" s="113"/>
      <c r="AP36" s="113"/>
      <c r="AQ36" s="113"/>
      <c r="AR36" s="113"/>
      <c r="AS36" s="113"/>
      <c r="AT36" s="114"/>
      <c r="AU36" s="114"/>
      <c r="AV36" s="114"/>
      <c r="AW36" s="114"/>
      <c r="AX36" s="114"/>
      <c r="AY36" s="133"/>
      <c r="AZ36" s="116"/>
      <c r="BA36" s="117"/>
      <c r="BB36" s="118"/>
      <c r="BC36" s="118"/>
      <c r="BD36" s="118"/>
      <c r="BE36" s="131"/>
      <c r="BF36" s="118"/>
      <c r="BG36" s="118"/>
      <c r="BH36" s="131"/>
      <c r="BI36" s="118"/>
      <c r="BJ36" s="118"/>
      <c r="BK36" s="131"/>
      <c r="BL36" s="118"/>
      <c r="BM36" s="118"/>
      <c r="CA36" s="121"/>
      <c r="CB36" s="122"/>
      <c r="CC36" s="122"/>
      <c r="CD36" s="121"/>
      <c r="CE36" s="121"/>
      <c r="CF36" s="121"/>
      <c r="CG36" s="121"/>
      <c r="CH36" s="121"/>
      <c r="CI36" s="121"/>
      <c r="CJ36" s="121"/>
      <c r="CK36" s="121"/>
      <c r="CL36" s="121"/>
      <c r="CM36" s="118"/>
      <c r="CN36" s="118"/>
      <c r="CO36" s="118"/>
      <c r="CP36" s="118"/>
      <c r="CQ36" s="123"/>
      <c r="CR36" s="103"/>
      <c r="CS36" s="114"/>
      <c r="CT36" s="118"/>
      <c r="CU36" s="125"/>
      <c r="CV36" s="121"/>
      <c r="CW36" s="122"/>
      <c r="CX36" s="122"/>
      <c r="CY36" s="121"/>
      <c r="CZ36" s="121"/>
      <c r="DA36" s="121"/>
      <c r="DB36" s="121"/>
      <c r="DC36" s="121"/>
      <c r="DD36" s="121"/>
      <c r="DE36" s="121"/>
      <c r="DF36" s="121"/>
      <c r="DG36" s="121"/>
      <c r="DH36" s="118"/>
      <c r="DI36" s="118"/>
      <c r="DJ36" s="118"/>
      <c r="DK36" s="118"/>
      <c r="DL36" s="123"/>
      <c r="DM36" s="103"/>
      <c r="DN36" s="114"/>
      <c r="DO36" s="118"/>
      <c r="DP36" s="126" t="str">
        <f t="shared" ref="DP36:DP40" si="211">concatenate(B36,if(iserror(vlookup(B36,$M$51:$O$81,2,false)),"",concatenate(" (",vlookup(B36,$M$51:$O$81,2,false),")")))</f>
        <v/>
      </c>
      <c r="DQ36" s="128"/>
      <c r="DR36" s="128"/>
      <c r="DS36" s="128"/>
      <c r="DT36" s="127"/>
      <c r="DU36" s="127"/>
      <c r="DV36" s="127"/>
      <c r="DW36" s="127"/>
      <c r="DX36" s="127"/>
      <c r="DY36" s="129"/>
      <c r="DZ36" s="60"/>
      <c r="EA36" s="60"/>
      <c r="EB36" s="60"/>
      <c r="EC36" s="60"/>
      <c r="ED36" s="31"/>
      <c r="EE36" s="31"/>
    </row>
    <row r="37">
      <c r="A37" s="108"/>
      <c r="B37" s="109"/>
      <c r="C37" s="109"/>
      <c r="D37" s="109"/>
      <c r="E37" s="109"/>
      <c r="F37" s="109"/>
      <c r="G37" s="109"/>
      <c r="H37" s="109"/>
      <c r="I37" s="109"/>
      <c r="J37" s="109"/>
      <c r="K37" s="109"/>
      <c r="L37" s="109"/>
      <c r="M37" s="109"/>
      <c r="N37" s="109"/>
      <c r="O37" s="109"/>
      <c r="P37" s="109"/>
      <c r="Q37" s="109"/>
      <c r="R37" s="109"/>
      <c r="S37" s="134"/>
      <c r="T37" s="109"/>
      <c r="U37" s="109"/>
      <c r="V37" s="109"/>
      <c r="W37" s="109"/>
      <c r="X37" s="109"/>
      <c r="Y37" s="109"/>
      <c r="Z37" s="109"/>
      <c r="AA37" s="109"/>
      <c r="AB37" s="109"/>
      <c r="AC37" s="110"/>
      <c r="AD37" s="111"/>
      <c r="AE37" s="4"/>
      <c r="AF37" s="110"/>
      <c r="AG37" s="112">
        <f t="shared" si="210"/>
        <v>0</v>
      </c>
      <c r="AH37" s="113"/>
      <c r="AI37" s="113"/>
      <c r="AJ37" s="113"/>
      <c r="AK37" s="113"/>
      <c r="AL37" s="113"/>
      <c r="AM37" s="113"/>
      <c r="AN37" s="113"/>
      <c r="AO37" s="113"/>
      <c r="AP37" s="113"/>
      <c r="AQ37" s="113"/>
      <c r="AR37" s="113"/>
      <c r="AS37" s="113"/>
      <c r="AT37" s="114"/>
      <c r="AU37" s="114"/>
      <c r="AV37" s="114"/>
      <c r="AW37" s="114"/>
      <c r="AX37" s="114"/>
      <c r="AY37" s="133"/>
      <c r="AZ37" s="116"/>
      <c r="BA37" s="117"/>
      <c r="BB37" s="118"/>
      <c r="BC37" s="118"/>
      <c r="BD37" s="118"/>
      <c r="BE37" s="131"/>
      <c r="BF37" s="118"/>
      <c r="BG37" s="118"/>
      <c r="BH37" s="131"/>
      <c r="BI37" s="118"/>
      <c r="BJ37" s="118"/>
      <c r="BK37" s="131"/>
      <c r="BL37" s="118"/>
      <c r="BM37" s="118"/>
      <c r="CA37" s="121"/>
      <c r="CB37" s="122"/>
      <c r="CC37" s="122"/>
      <c r="CD37" s="121"/>
      <c r="CE37" s="121"/>
      <c r="CF37" s="121"/>
      <c r="CG37" s="121"/>
      <c r="CH37" s="121"/>
      <c r="CI37" s="121"/>
      <c r="CJ37" s="121"/>
      <c r="CK37" s="121"/>
      <c r="CL37" s="121"/>
      <c r="CM37" s="118"/>
      <c r="CN37" s="118"/>
      <c r="CO37" s="118"/>
      <c r="CP37" s="118"/>
      <c r="CQ37" s="123"/>
      <c r="CR37" s="103"/>
      <c r="CS37" s="114"/>
      <c r="CT37" s="118"/>
      <c r="CU37" s="125"/>
      <c r="CV37" s="121"/>
      <c r="CW37" s="122"/>
      <c r="CX37" s="122"/>
      <c r="CY37" s="121"/>
      <c r="CZ37" s="121"/>
      <c r="DA37" s="121"/>
      <c r="DB37" s="121"/>
      <c r="DC37" s="121"/>
      <c r="DD37" s="121"/>
      <c r="DE37" s="121"/>
      <c r="DF37" s="121"/>
      <c r="DG37" s="121"/>
      <c r="DH37" s="118"/>
      <c r="DI37" s="118"/>
      <c r="DJ37" s="118"/>
      <c r="DK37" s="118"/>
      <c r="DL37" s="123"/>
      <c r="DM37" s="103"/>
      <c r="DN37" s="114"/>
      <c r="DO37" s="118"/>
      <c r="DP37" s="126" t="str">
        <f t="shared" si="211"/>
        <v/>
      </c>
      <c r="DQ37" s="128"/>
      <c r="DR37" s="128"/>
      <c r="DS37" s="128"/>
      <c r="DT37" s="127"/>
      <c r="DU37" s="127"/>
      <c r="DV37" s="127"/>
      <c r="DW37" s="127"/>
      <c r="DX37" s="127"/>
      <c r="DY37" s="129"/>
      <c r="DZ37" s="60"/>
      <c r="EA37" s="60"/>
      <c r="EB37" s="60"/>
      <c r="EC37" s="60"/>
      <c r="ED37" s="31"/>
      <c r="EE37" s="31"/>
    </row>
    <row r="38">
      <c r="AC38" s="110"/>
      <c r="AD38" s="111"/>
      <c r="AE38" s="4"/>
      <c r="AF38" s="110"/>
      <c r="AG38" s="135"/>
      <c r="AH38" s="113"/>
      <c r="AI38" s="113"/>
      <c r="AJ38" s="113"/>
      <c r="AK38" s="113"/>
      <c r="AL38" s="113"/>
      <c r="AM38" s="113"/>
      <c r="AN38" s="113"/>
      <c r="AO38" s="113"/>
      <c r="AP38" s="113"/>
      <c r="AQ38" s="113"/>
      <c r="AR38" s="113"/>
      <c r="AS38" s="113"/>
      <c r="AT38" s="114"/>
      <c r="AU38" s="114"/>
      <c r="AV38" s="114"/>
      <c r="AW38" s="114"/>
      <c r="AX38" s="114"/>
      <c r="AY38" s="133"/>
      <c r="AZ38" s="116"/>
      <c r="BA38" s="117"/>
      <c r="BB38" s="118"/>
      <c r="BC38" s="118"/>
      <c r="BD38" s="118"/>
      <c r="BE38" s="131"/>
      <c r="BF38" s="118"/>
      <c r="BG38" s="118"/>
      <c r="BH38" s="131"/>
      <c r="BI38" s="118"/>
      <c r="BJ38" s="118"/>
      <c r="BK38" s="131"/>
      <c r="BL38" s="118"/>
      <c r="BM38" s="118"/>
      <c r="CA38" s="121"/>
      <c r="CB38" s="122"/>
      <c r="CC38" s="122"/>
      <c r="CD38" s="121"/>
      <c r="CE38" s="121"/>
      <c r="CF38" s="121"/>
      <c r="CG38" s="121"/>
      <c r="CH38" s="121"/>
      <c r="CI38" s="121"/>
      <c r="CJ38" s="121"/>
      <c r="CK38" s="121"/>
      <c r="CL38" s="121"/>
      <c r="CM38" s="118"/>
      <c r="CN38" s="118"/>
      <c r="CO38" s="118"/>
      <c r="CP38" s="118"/>
      <c r="CQ38" s="123"/>
      <c r="CR38" s="103"/>
      <c r="CS38" s="114"/>
      <c r="CT38" s="118"/>
      <c r="CU38" s="125"/>
      <c r="CV38" s="121"/>
      <c r="CW38" s="122"/>
      <c r="CX38" s="122"/>
      <c r="CY38" s="121"/>
      <c r="CZ38" s="121"/>
      <c r="DA38" s="121"/>
      <c r="DB38" s="121"/>
      <c r="DC38" s="121"/>
      <c r="DD38" s="121"/>
      <c r="DE38" s="121"/>
      <c r="DF38" s="121"/>
      <c r="DG38" s="121"/>
      <c r="DH38" s="118"/>
      <c r="DI38" s="118"/>
      <c r="DJ38" s="118"/>
      <c r="DK38" s="118"/>
      <c r="DL38" s="123"/>
      <c r="DM38" s="103"/>
      <c r="DN38" s="114"/>
      <c r="DO38" s="118"/>
      <c r="DP38" s="126" t="str">
        <f t="shared" si="211"/>
        <v/>
      </c>
      <c r="DQ38" s="127"/>
      <c r="DR38" s="127"/>
      <c r="DS38" s="127"/>
      <c r="DT38" s="127"/>
      <c r="DU38" s="127"/>
      <c r="DV38" s="127"/>
      <c r="DW38" s="127"/>
      <c r="DX38" s="127"/>
      <c r="DY38" s="129"/>
      <c r="DZ38" s="60"/>
      <c r="EA38" s="60"/>
      <c r="EB38" s="60"/>
      <c r="EC38" s="60"/>
      <c r="ED38" s="31"/>
      <c r="EE38" s="31"/>
    </row>
    <row r="39">
      <c r="AC39" s="110"/>
      <c r="AD39" s="111"/>
      <c r="AE39" s="4"/>
      <c r="AF39" s="110"/>
      <c r="AG39" s="135"/>
      <c r="AH39" s="113"/>
      <c r="AI39" s="113"/>
      <c r="AJ39" s="113"/>
      <c r="AK39" s="113"/>
      <c r="AL39" s="113"/>
      <c r="AM39" s="113"/>
      <c r="AN39" s="113"/>
      <c r="AO39" s="113"/>
      <c r="AP39" s="113"/>
      <c r="AQ39" s="113"/>
      <c r="AR39" s="113"/>
      <c r="AS39" s="113"/>
      <c r="AT39" s="114"/>
      <c r="AU39" s="114"/>
      <c r="AV39" s="114"/>
      <c r="AW39" s="114"/>
      <c r="AX39" s="114"/>
      <c r="AY39" s="133"/>
      <c r="AZ39" s="116"/>
      <c r="BA39" s="117"/>
      <c r="BB39" s="118"/>
      <c r="BC39" s="118"/>
      <c r="BD39" s="118"/>
      <c r="BE39" s="131"/>
      <c r="BF39" s="118"/>
      <c r="BG39" s="118"/>
      <c r="BH39" s="131"/>
      <c r="BI39" s="118"/>
      <c r="BJ39" s="118"/>
      <c r="BK39" s="131"/>
      <c r="BL39" s="118"/>
      <c r="BM39" s="118"/>
      <c r="CA39" s="121"/>
      <c r="CB39" s="122"/>
      <c r="CC39" s="122"/>
      <c r="CD39" s="121"/>
      <c r="CE39" s="121"/>
      <c r="CF39" s="121"/>
      <c r="CG39" s="121"/>
      <c r="CH39" s="121"/>
      <c r="CI39" s="121"/>
      <c r="CJ39" s="121"/>
      <c r="CK39" s="121"/>
      <c r="CL39" s="121"/>
      <c r="CM39" s="118"/>
      <c r="CN39" s="118"/>
      <c r="CO39" s="118"/>
      <c r="CP39" s="118"/>
      <c r="CQ39" s="123"/>
      <c r="CR39" s="103"/>
      <c r="CS39" s="114"/>
      <c r="CT39" s="118"/>
      <c r="CU39" s="125"/>
      <c r="CV39" s="121"/>
      <c r="CW39" s="122"/>
      <c r="CX39" s="122"/>
      <c r="CY39" s="121"/>
      <c r="CZ39" s="121"/>
      <c r="DA39" s="121"/>
      <c r="DB39" s="121"/>
      <c r="DC39" s="121"/>
      <c r="DD39" s="121"/>
      <c r="DE39" s="121"/>
      <c r="DF39" s="121"/>
      <c r="DG39" s="121"/>
      <c r="DH39" s="118"/>
      <c r="DI39" s="118"/>
      <c r="DJ39" s="118"/>
      <c r="DK39" s="118"/>
      <c r="DL39" s="123"/>
      <c r="DM39" s="103"/>
      <c r="DN39" s="114"/>
      <c r="DO39" s="118"/>
      <c r="DP39" s="126" t="str">
        <f t="shared" si="211"/>
        <v/>
      </c>
      <c r="DQ39" s="127"/>
      <c r="DR39" s="127"/>
      <c r="DS39" s="127"/>
      <c r="DT39" s="127"/>
      <c r="DU39" s="127"/>
      <c r="DV39" s="127"/>
      <c r="DW39" s="127"/>
      <c r="DX39" s="127"/>
      <c r="DY39" s="129"/>
      <c r="DZ39" s="2"/>
      <c r="EA39" s="2"/>
      <c r="EB39" s="2"/>
      <c r="EC39" s="2"/>
      <c r="ED39" s="5"/>
      <c r="EE39" s="5"/>
    </row>
    <row r="40">
      <c r="AC40" s="110"/>
      <c r="AD40" s="111"/>
      <c r="AE40" s="4"/>
      <c r="AF40" s="110"/>
      <c r="AG40" s="135"/>
      <c r="AH40" s="113"/>
      <c r="AI40" s="113"/>
      <c r="AJ40" s="113"/>
      <c r="AK40" s="113"/>
      <c r="AL40" s="113"/>
      <c r="AM40" s="113"/>
      <c r="AN40" s="113"/>
      <c r="AO40" s="113"/>
      <c r="AP40" s="113"/>
      <c r="AQ40" s="113"/>
      <c r="AR40" s="113"/>
      <c r="AS40" s="113"/>
      <c r="AT40" s="114"/>
      <c r="AU40" s="114"/>
      <c r="AV40" s="114"/>
      <c r="AW40" s="114"/>
      <c r="AX40" s="114"/>
      <c r="AY40" s="133"/>
      <c r="AZ40" s="116"/>
      <c r="BA40" s="117"/>
      <c r="BB40" s="118"/>
      <c r="BC40" s="118"/>
      <c r="BD40" s="118"/>
      <c r="BE40" s="131"/>
      <c r="BF40" s="118"/>
      <c r="BG40" s="118"/>
      <c r="BH40" s="131"/>
      <c r="BI40" s="118"/>
      <c r="BJ40" s="118"/>
      <c r="BK40" s="131"/>
      <c r="BL40" s="118"/>
      <c r="BM40" s="118"/>
      <c r="CA40" s="121"/>
      <c r="CB40" s="122"/>
      <c r="CC40" s="122"/>
      <c r="CD40" s="121"/>
      <c r="CE40" s="121"/>
      <c r="CF40" s="121"/>
      <c r="CG40" s="121"/>
      <c r="CH40" s="121"/>
      <c r="CI40" s="121"/>
      <c r="CJ40" s="121"/>
      <c r="CK40" s="121"/>
      <c r="CL40" s="121"/>
      <c r="CM40" s="118"/>
      <c r="CN40" s="118"/>
      <c r="CO40" s="118"/>
      <c r="CP40" s="118"/>
      <c r="CQ40" s="123"/>
      <c r="CR40" s="103"/>
      <c r="CS40" s="114"/>
      <c r="CT40" s="118"/>
      <c r="CU40" s="125"/>
      <c r="CV40" s="121"/>
      <c r="CW40" s="122"/>
      <c r="CX40" s="122"/>
      <c r="CY40" s="121"/>
      <c r="CZ40" s="121"/>
      <c r="DA40" s="121"/>
      <c r="DB40" s="121"/>
      <c r="DC40" s="121"/>
      <c r="DD40" s="121"/>
      <c r="DE40" s="121"/>
      <c r="DF40" s="121"/>
      <c r="DG40" s="121"/>
      <c r="DH40" s="118"/>
      <c r="DI40" s="118"/>
      <c r="DJ40" s="118"/>
      <c r="DK40" s="118"/>
      <c r="DL40" s="123"/>
      <c r="DM40" s="103"/>
      <c r="DN40" s="114"/>
      <c r="DO40" s="118"/>
      <c r="DP40" s="126" t="str">
        <f t="shared" si="211"/>
        <v/>
      </c>
      <c r="DQ40" s="127"/>
      <c r="DR40" s="127"/>
      <c r="DS40" s="127"/>
      <c r="DT40" s="127"/>
      <c r="DU40" s="127"/>
      <c r="DV40" s="127"/>
      <c r="DW40" s="127"/>
      <c r="DX40" s="127"/>
      <c r="DY40" s="129"/>
      <c r="DZ40" s="2"/>
      <c r="EA40" s="2"/>
      <c r="EB40" s="2"/>
      <c r="EC40" s="2"/>
      <c r="ED40" s="5"/>
      <c r="EE40" s="5"/>
    </row>
    <row r="41">
      <c r="AW41" s="5"/>
      <c r="DU41" s="4"/>
      <c r="DZ41" s="5"/>
      <c r="EA41" s="5"/>
      <c r="EB41" s="5"/>
      <c r="EC41" s="5"/>
      <c r="ED41" s="5"/>
      <c r="EE41" s="5"/>
    </row>
    <row r="42">
      <c r="AW42" s="5"/>
      <c r="DU42" s="4"/>
      <c r="DZ42" s="5"/>
      <c r="EA42" s="5"/>
      <c r="EB42" s="5"/>
      <c r="EC42" s="5"/>
      <c r="ED42" s="5"/>
      <c r="EE42" s="5"/>
    </row>
    <row r="43">
      <c r="AW43" s="5"/>
      <c r="DU43" s="4"/>
      <c r="DZ43" s="5"/>
      <c r="EA43" s="5"/>
      <c r="EB43" s="5"/>
      <c r="EC43" s="5"/>
      <c r="ED43" s="5"/>
      <c r="EE43" s="5"/>
    </row>
    <row r="44">
      <c r="AW44" s="5"/>
      <c r="DU44" s="4"/>
      <c r="DZ44" s="5"/>
      <c r="EA44" s="5"/>
      <c r="EB44" s="5"/>
      <c r="EC44" s="5"/>
      <c r="ED44" s="5"/>
      <c r="EE44" s="5"/>
    </row>
    <row r="45">
      <c r="AW45" s="5"/>
      <c r="DU45" s="4"/>
      <c r="DZ45" s="5"/>
      <c r="EA45" s="5"/>
      <c r="EB45" s="5"/>
      <c r="EC45" s="5"/>
      <c r="ED45" s="5"/>
      <c r="EE45" s="5"/>
    </row>
    <row r="46">
      <c r="AW46" s="5"/>
      <c r="DU46" s="4"/>
      <c r="DZ46" s="5"/>
      <c r="EA46" s="5"/>
      <c r="EB46" s="5"/>
      <c r="EC46" s="5"/>
      <c r="ED46" s="5"/>
      <c r="EE46" s="5"/>
    </row>
    <row r="47">
      <c r="AW47" s="5"/>
      <c r="DU47" s="4"/>
      <c r="DZ47" s="5"/>
      <c r="EA47" s="5"/>
      <c r="EB47" s="5"/>
      <c r="EC47" s="5"/>
      <c r="ED47" s="5"/>
      <c r="EE47" s="5"/>
    </row>
    <row r="48">
      <c r="L48" s="61" t="s">
        <v>164</v>
      </c>
      <c r="M48" s="61" t="s">
        <v>165</v>
      </c>
      <c r="N48" s="61" t="s">
        <v>166</v>
      </c>
      <c r="AW48" s="5"/>
      <c r="DU48" s="4"/>
      <c r="DZ48" s="5"/>
      <c r="EA48" s="5"/>
      <c r="EB48" s="5"/>
      <c r="EC48" s="5"/>
      <c r="ED48" s="5"/>
      <c r="EE48" s="5"/>
    </row>
    <row r="49">
      <c r="A49" s="61" t="s">
        <v>167</v>
      </c>
      <c r="AW49" s="5"/>
      <c r="DU49" s="4"/>
      <c r="DZ49" s="5"/>
      <c r="EA49" s="5"/>
      <c r="EB49" s="5"/>
      <c r="EC49" s="5"/>
      <c r="ED49" s="5"/>
      <c r="EE49" s="5"/>
    </row>
    <row r="50">
      <c r="A50" s="136" t="s">
        <v>168</v>
      </c>
      <c r="B50" s="136" t="s">
        <v>119</v>
      </c>
      <c r="C50" s="136" t="s">
        <v>129</v>
      </c>
      <c r="D50" s="136" t="s">
        <v>169</v>
      </c>
      <c r="E50" s="136" t="s">
        <v>170</v>
      </c>
      <c r="F50" s="136" t="s">
        <v>171</v>
      </c>
      <c r="G50" s="137"/>
      <c r="H50" s="136" t="s">
        <v>172</v>
      </c>
      <c r="I50" s="136" t="s">
        <v>173</v>
      </c>
      <c r="J50" s="138"/>
      <c r="K50" s="138"/>
      <c r="L50" s="61" t="s">
        <v>119</v>
      </c>
      <c r="M50" s="61" t="s">
        <v>119</v>
      </c>
      <c r="N50" s="61" t="s">
        <v>119</v>
      </c>
      <c r="O50" s="61" t="s">
        <v>174</v>
      </c>
      <c r="AW50" s="5"/>
      <c r="DU50" s="4"/>
      <c r="DZ50" s="5"/>
      <c r="EA50" s="5"/>
      <c r="EB50" s="5"/>
      <c r="EC50" s="5"/>
      <c r="ED50" s="5"/>
      <c r="EE50" s="5"/>
    </row>
    <row r="51">
      <c r="A51" s="136">
        <v>0.0</v>
      </c>
      <c r="B51" s="139" t="s">
        <v>159</v>
      </c>
      <c r="C51" s="139" t="s">
        <v>175</v>
      </c>
      <c r="D51" s="140">
        <v>43992.0</v>
      </c>
      <c r="E51" s="139">
        <v>245.0</v>
      </c>
      <c r="F51" s="141">
        <v>28678.0</v>
      </c>
      <c r="G51" s="139" t="s">
        <v>176</v>
      </c>
      <c r="H51" s="139">
        <v>14.0</v>
      </c>
      <c r="I51" s="142" t="s">
        <v>177</v>
      </c>
      <c r="J51" s="138"/>
      <c r="K51" s="138"/>
      <c r="L51" s="143" t="str">
        <f t="shared" ref="L51:L81" si="213">if(iserror(search(L$48,B51)),B51,trim(left(B51,search(L$48,B51)-1)))</f>
        <v>Chris Andersen</v>
      </c>
      <c r="M51" s="143" t="str">
        <f t="shared" ref="M51:N51" si="212">if(iserror(search(M$48,L51)),L51,trim(left(L51,search(M$48,L51)-1)))</f>
        <v>Chris Andersen</v>
      </c>
      <c r="N51" s="143" t="str">
        <f t="shared" si="212"/>
        <v>Chris Andersen</v>
      </c>
      <c r="O51" s="143" t="str">
        <f t="shared" ref="O51:O81" si="215">if(not(isnumber(H51)),H51,if(H51&lt;3,vlookup(H51,$Y$51:$Z$53,2,false),concatenate(H51+1,"th")))</f>
        <v>15th</v>
      </c>
      <c r="S51" s="61" t="s">
        <v>178</v>
      </c>
      <c r="T51" s="61">
        <v>1.0</v>
      </c>
      <c r="Y51" s="61">
        <v>1.0</v>
      </c>
      <c r="Z51" s="61" t="s">
        <v>179</v>
      </c>
      <c r="AW51" s="5"/>
      <c r="DU51" s="4"/>
      <c r="DZ51" s="5"/>
      <c r="EA51" s="5"/>
      <c r="EB51" s="5"/>
      <c r="EC51" s="5"/>
      <c r="ED51" s="5"/>
      <c r="EE51" s="5"/>
    </row>
    <row r="52">
      <c r="A52" s="136">
        <v>6.0</v>
      </c>
      <c r="B52" s="139" t="s">
        <v>163</v>
      </c>
      <c r="C52" s="139" t="s">
        <v>175</v>
      </c>
      <c r="D52" s="140" t="s">
        <v>180</v>
      </c>
      <c r="E52" s="139">
        <v>260.0</v>
      </c>
      <c r="F52" s="141">
        <v>31014.0</v>
      </c>
      <c r="G52" s="139" t="s">
        <v>181</v>
      </c>
      <c r="H52" s="139">
        <v>11.0</v>
      </c>
      <c r="I52" s="139" t="s">
        <v>182</v>
      </c>
      <c r="J52" s="138"/>
      <c r="K52" s="138"/>
      <c r="L52" s="143" t="str">
        <f t="shared" si="213"/>
        <v>Andrew Bogut</v>
      </c>
      <c r="M52" s="143" t="str">
        <f t="shared" ref="M52:N52" si="214">if(iserror(search(M$48,L52)),L52,trim(left(L52,search(M$48,L52)-1)))</f>
        <v>Andrew Bogut</v>
      </c>
      <c r="N52" s="143" t="str">
        <f t="shared" si="214"/>
        <v>Andrew Bogut</v>
      </c>
      <c r="O52" s="143" t="str">
        <f t="shared" si="215"/>
        <v>12th</v>
      </c>
      <c r="S52" s="61" t="s">
        <v>183</v>
      </c>
      <c r="T52" s="61">
        <v>2.0</v>
      </c>
      <c r="Y52" s="61">
        <v>2.0</v>
      </c>
      <c r="Z52" s="61" t="s">
        <v>184</v>
      </c>
      <c r="AW52" s="5"/>
      <c r="DU52" s="4"/>
      <c r="DZ52" s="5"/>
      <c r="EA52" s="5"/>
      <c r="EB52" s="5"/>
      <c r="EC52" s="5"/>
      <c r="ED52" s="5"/>
      <c r="EE52" s="5"/>
    </row>
    <row r="53">
      <c r="A53" s="136">
        <v>3.0</v>
      </c>
      <c r="B53" s="139" t="s">
        <v>158</v>
      </c>
      <c r="C53" s="139" t="s">
        <v>185</v>
      </c>
      <c r="D53" s="140">
        <v>43991.0</v>
      </c>
      <c r="E53" s="139">
        <v>230.0</v>
      </c>
      <c r="F53" s="141">
        <v>29479.0</v>
      </c>
      <c r="G53" s="139" t="s">
        <v>176</v>
      </c>
      <c r="H53" s="139">
        <v>14.0</v>
      </c>
      <c r="I53" s="139" t="s">
        <v>186</v>
      </c>
      <c r="J53" s="138"/>
      <c r="K53" s="138"/>
      <c r="L53" s="143" t="str">
        <f t="shared" si="213"/>
        <v>Mike Dunleavy</v>
      </c>
      <c r="M53" s="143" t="str">
        <f t="shared" ref="M53:N53" si="216">if(iserror(search(M$48,L53)),L53,trim(left(L53,search(M$48,L53)-1)))</f>
        <v>Mike Dunleavy</v>
      </c>
      <c r="N53" s="143" t="str">
        <f t="shared" si="216"/>
        <v>Mike Dunleavy</v>
      </c>
      <c r="O53" s="143" t="str">
        <f t="shared" si="215"/>
        <v>15th</v>
      </c>
      <c r="S53" s="61" t="s">
        <v>185</v>
      </c>
      <c r="T53" s="61">
        <v>3.0</v>
      </c>
      <c r="Y53" s="61">
        <v>3.0</v>
      </c>
      <c r="AW53" s="5"/>
      <c r="DU53" s="4"/>
      <c r="DZ53" s="5"/>
      <c r="EA53" s="5"/>
      <c r="EB53" s="5"/>
      <c r="EC53" s="5"/>
      <c r="ED53" s="5"/>
      <c r="EE53" s="5"/>
    </row>
    <row r="54">
      <c r="A54" s="136">
        <v>20.0</v>
      </c>
      <c r="B54" s="139" t="s">
        <v>155</v>
      </c>
      <c r="C54" s="139" t="s">
        <v>178</v>
      </c>
      <c r="D54" s="140">
        <v>43960.0</v>
      </c>
      <c r="E54" s="139">
        <v>176.0</v>
      </c>
      <c r="F54" s="141">
        <v>34787.0</v>
      </c>
      <c r="G54" s="139" t="s">
        <v>176</v>
      </c>
      <c r="H54" s="139" t="s">
        <v>187</v>
      </c>
      <c r="I54" s="139" t="s">
        <v>188</v>
      </c>
      <c r="J54" s="138"/>
      <c r="K54" s="138"/>
      <c r="L54" s="143" t="str">
        <f t="shared" si="213"/>
        <v>Kay Felder</v>
      </c>
      <c r="M54" s="143" t="str">
        <f t="shared" ref="M54:N54" si="217">if(iserror(search(M$48,L54)),L54,trim(left(L54,search(M$48,L54)-1)))</f>
        <v>Kay Felder</v>
      </c>
      <c r="N54" s="143" t="str">
        <f t="shared" si="217"/>
        <v>Kay Felder</v>
      </c>
      <c r="O54" s="143" t="str">
        <f t="shared" si="215"/>
        <v>R</v>
      </c>
      <c r="S54" s="61" t="s">
        <v>23</v>
      </c>
      <c r="T54" s="61">
        <v>4.0</v>
      </c>
      <c r="Y54" s="61">
        <v>4.0</v>
      </c>
      <c r="AW54" s="5"/>
      <c r="DU54" s="4"/>
      <c r="DZ54" s="5"/>
      <c r="EA54" s="5"/>
      <c r="EB54" s="5"/>
      <c r="EC54" s="5"/>
      <c r="ED54" s="5"/>
      <c r="EE54" s="5"/>
    </row>
    <row r="55">
      <c r="A55" s="136">
        <v>8.0</v>
      </c>
      <c r="B55" s="139" t="s">
        <v>149</v>
      </c>
      <c r="C55" s="139" t="s">
        <v>175</v>
      </c>
      <c r="D55" s="139" t="s">
        <v>180</v>
      </c>
      <c r="E55" s="139">
        <v>255.0</v>
      </c>
      <c r="F55" s="141">
        <v>30453.0</v>
      </c>
      <c r="G55" s="139" t="s">
        <v>176</v>
      </c>
      <c r="H55" s="139">
        <v>10.0</v>
      </c>
      <c r="I55" s="139" t="s">
        <v>189</v>
      </c>
      <c r="J55" s="138"/>
      <c r="K55" s="138"/>
      <c r="L55" s="143" t="str">
        <f t="shared" si="213"/>
        <v>Channing Frye</v>
      </c>
      <c r="M55" s="143" t="str">
        <f t="shared" ref="M55:N55" si="218">if(iserror(search(M$48,L55)),L55,trim(left(L55,search(M$48,L55)-1)))</f>
        <v>Channing Frye</v>
      </c>
      <c r="N55" s="143" t="str">
        <f t="shared" si="218"/>
        <v>Channing Frye</v>
      </c>
      <c r="O55" s="143" t="str">
        <f t="shared" si="215"/>
        <v>11th</v>
      </c>
      <c r="S55" s="61" t="s">
        <v>175</v>
      </c>
      <c r="T55" s="61">
        <v>5.0</v>
      </c>
      <c r="AW55" s="5"/>
      <c r="DU55" s="4"/>
      <c r="DZ55" s="5"/>
      <c r="EA55" s="5"/>
      <c r="EB55" s="5"/>
      <c r="EC55" s="5"/>
      <c r="ED55" s="5"/>
      <c r="EE55" s="5"/>
    </row>
    <row r="56">
      <c r="A56" s="136">
        <v>2.0</v>
      </c>
      <c r="B56" s="139" t="s">
        <v>144</v>
      </c>
      <c r="C56" s="139" t="s">
        <v>178</v>
      </c>
      <c r="D56" s="140">
        <v>43984.0</v>
      </c>
      <c r="E56" s="139">
        <v>195.0</v>
      </c>
      <c r="F56" s="141">
        <v>33686.0</v>
      </c>
      <c r="G56" s="139" t="s">
        <v>181</v>
      </c>
      <c r="H56" s="139">
        <v>5.0</v>
      </c>
      <c r="I56" s="139" t="s">
        <v>186</v>
      </c>
      <c r="J56" s="138"/>
      <c r="K56" s="138"/>
      <c r="L56" s="143" t="str">
        <f t="shared" si="213"/>
        <v>Kyrie Irving</v>
      </c>
      <c r="M56" s="143" t="str">
        <f t="shared" ref="M56:N56" si="219">if(iserror(search(M$48,L56)),L56,trim(left(L56,search(M$48,L56)-1)))</f>
        <v>Kyrie Irving</v>
      </c>
      <c r="N56" s="143" t="str">
        <f t="shared" si="219"/>
        <v>Kyrie Irving</v>
      </c>
      <c r="O56" s="143" t="str">
        <f t="shared" si="215"/>
        <v>6th</v>
      </c>
      <c r="S56" s="61" t="s">
        <v>190</v>
      </c>
      <c r="T56" s="61">
        <v>2.5</v>
      </c>
      <c r="AW56" s="5"/>
      <c r="DU56" s="4"/>
      <c r="DZ56" s="5"/>
      <c r="EA56" s="5"/>
      <c r="EB56" s="5"/>
      <c r="EC56" s="5"/>
      <c r="ED56" s="5"/>
      <c r="EE56" s="5"/>
    </row>
    <row r="57">
      <c r="A57" s="136">
        <v>23.0</v>
      </c>
      <c r="B57" s="139" t="s">
        <v>143</v>
      </c>
      <c r="C57" s="139" t="s">
        <v>185</v>
      </c>
      <c r="D57" s="140">
        <v>43991.0</v>
      </c>
      <c r="E57" s="139">
        <v>250.0</v>
      </c>
      <c r="F57" s="141">
        <v>31046.0</v>
      </c>
      <c r="G57" s="139" t="s">
        <v>176</v>
      </c>
      <c r="H57" s="139">
        <v>13.0</v>
      </c>
      <c r="I57" s="139"/>
      <c r="J57" s="138"/>
      <c r="K57" s="138"/>
      <c r="L57" s="143" t="str">
        <f t="shared" si="213"/>
        <v>LeBron James</v>
      </c>
      <c r="M57" s="143" t="str">
        <f t="shared" ref="M57:N57" si="220">if(iserror(search(M$48,L57)),L57,trim(left(L57,search(M$48,L57)-1)))</f>
        <v>LeBron James</v>
      </c>
      <c r="N57" s="143" t="str">
        <f t="shared" si="220"/>
        <v>LeBron James</v>
      </c>
      <c r="O57" s="143" t="str">
        <f t="shared" si="215"/>
        <v>14th</v>
      </c>
      <c r="S57" s="61" t="s">
        <v>191</v>
      </c>
      <c r="T57" s="61">
        <v>2.5</v>
      </c>
      <c r="AW57" s="5"/>
      <c r="DU57" s="4"/>
      <c r="DZ57" s="5"/>
      <c r="EA57" s="5"/>
      <c r="EB57" s="5"/>
      <c r="EC57" s="5"/>
      <c r="ED57" s="5"/>
      <c r="EE57" s="5"/>
    </row>
    <row r="58">
      <c r="A58" s="136">
        <v>24.0</v>
      </c>
      <c r="B58" s="139" t="s">
        <v>148</v>
      </c>
      <c r="C58" s="139" t="s">
        <v>185</v>
      </c>
      <c r="D58" s="140">
        <v>43989.0</v>
      </c>
      <c r="E58" s="139">
        <v>233.0</v>
      </c>
      <c r="F58" s="141">
        <v>29393.0</v>
      </c>
      <c r="G58" s="139" t="s">
        <v>176</v>
      </c>
      <c r="H58" s="139">
        <v>15.0</v>
      </c>
      <c r="I58" s="139" t="s">
        <v>189</v>
      </c>
      <c r="J58" s="138"/>
      <c r="K58" s="138"/>
      <c r="L58" s="143" t="str">
        <f t="shared" si="213"/>
        <v>Richard Jefferson</v>
      </c>
      <c r="M58" s="143" t="str">
        <f t="shared" ref="M58:N58" si="221">if(iserror(search(M$48,L58)),L58,trim(left(L58,search(M$48,L58)-1)))</f>
        <v>Richard Jefferson</v>
      </c>
      <c r="N58" s="143" t="str">
        <f t="shared" si="221"/>
        <v>Richard Jefferson</v>
      </c>
      <c r="O58" s="143" t="str">
        <f t="shared" si="215"/>
        <v>16th</v>
      </c>
      <c r="S58" s="61" t="s">
        <v>78</v>
      </c>
      <c r="T58" s="61">
        <v>1.5</v>
      </c>
      <c r="AW58" s="5"/>
      <c r="DU58" s="4"/>
      <c r="DZ58" s="5"/>
      <c r="EA58" s="5"/>
      <c r="EB58" s="5"/>
      <c r="EC58" s="5"/>
      <c r="ED58" s="5"/>
      <c r="EE58" s="5"/>
    </row>
    <row r="59">
      <c r="A59" s="136">
        <v>30.0</v>
      </c>
      <c r="B59" s="139" t="s">
        <v>162</v>
      </c>
      <c r="C59" s="139" t="s">
        <v>185</v>
      </c>
      <c r="D59" s="140">
        <v>43988.0</v>
      </c>
      <c r="E59" s="139">
        <v>225.0</v>
      </c>
      <c r="F59" s="141">
        <v>29582.0</v>
      </c>
      <c r="G59" s="139" t="s">
        <v>176</v>
      </c>
      <c r="H59" s="139">
        <v>12.0</v>
      </c>
      <c r="I59" s="142" t="s">
        <v>192</v>
      </c>
      <c r="J59" s="138"/>
      <c r="K59" s="138"/>
      <c r="L59" s="143" t="str">
        <f t="shared" si="213"/>
        <v>Dahntay Jones</v>
      </c>
      <c r="M59" s="143" t="str">
        <f t="shared" ref="M59:N59" si="222">if(iserror(search(M$48,L59)),L59,trim(left(L59,search(M$48,L59)-1)))</f>
        <v>Dahntay Jones</v>
      </c>
      <c r="N59" s="143" t="str">
        <f t="shared" si="222"/>
        <v>Dahntay Jones</v>
      </c>
      <c r="O59" s="143" t="str">
        <f t="shared" si="215"/>
        <v>13th</v>
      </c>
      <c r="S59" s="61" t="s">
        <v>193</v>
      </c>
      <c r="T59" s="61">
        <v>3.5</v>
      </c>
      <c r="AW59" s="5"/>
      <c r="DU59" s="4"/>
      <c r="DZ59" s="5"/>
      <c r="EA59" s="5"/>
      <c r="EB59" s="5"/>
      <c r="EC59" s="5"/>
      <c r="ED59" s="5"/>
      <c r="EE59" s="5"/>
    </row>
    <row r="60">
      <c r="A60" s="136">
        <v>1.0</v>
      </c>
      <c r="B60" s="139" t="s">
        <v>157</v>
      </c>
      <c r="C60" s="139" t="s">
        <v>185</v>
      </c>
      <c r="D60" s="140">
        <v>43990.0</v>
      </c>
      <c r="E60" s="139">
        <v>218.0</v>
      </c>
      <c r="F60" s="141">
        <v>29498.0</v>
      </c>
      <c r="G60" s="139" t="s">
        <v>176</v>
      </c>
      <c r="H60" s="139">
        <v>13.0</v>
      </c>
      <c r="I60" s="142" t="s">
        <v>194</v>
      </c>
      <c r="J60" s="138"/>
      <c r="K60" s="138"/>
      <c r="L60" s="143" t="str">
        <f t="shared" si="213"/>
        <v>James Jones</v>
      </c>
      <c r="M60" s="143" t="str">
        <f t="shared" ref="M60:N60" si="223">if(iserror(search(M$48,L60)),L60,trim(left(L60,search(M$48,L60)-1)))</f>
        <v>James Jones</v>
      </c>
      <c r="N60" s="143" t="str">
        <f t="shared" si="223"/>
        <v>James Jones</v>
      </c>
      <c r="O60" s="143" t="str">
        <f t="shared" si="215"/>
        <v>14th</v>
      </c>
      <c r="S60" s="61" t="s">
        <v>195</v>
      </c>
      <c r="T60" s="61">
        <v>3.0</v>
      </c>
      <c r="AW60" s="5"/>
      <c r="DU60" s="4"/>
      <c r="DZ60" s="5"/>
      <c r="EA60" s="5"/>
      <c r="EB60" s="5"/>
      <c r="EC60" s="5"/>
      <c r="ED60" s="5"/>
      <c r="EE60" s="5"/>
    </row>
    <row r="61">
      <c r="A61" s="136">
        <v>26.0</v>
      </c>
      <c r="B61" s="139" t="s">
        <v>151</v>
      </c>
      <c r="C61" s="139" t="s">
        <v>183</v>
      </c>
      <c r="D61" s="140">
        <v>43989.0</v>
      </c>
      <c r="E61" s="139">
        <v>212.0</v>
      </c>
      <c r="F61" s="141">
        <v>29662.0</v>
      </c>
      <c r="G61" s="139" t="s">
        <v>176</v>
      </c>
      <c r="H61" s="139">
        <v>13.0</v>
      </c>
      <c r="I61" s="142" t="s">
        <v>196</v>
      </c>
      <c r="J61" s="138"/>
      <c r="K61" s="138"/>
      <c r="L61" s="143" t="str">
        <f t="shared" si="213"/>
        <v>Kyle Korver</v>
      </c>
      <c r="M61" s="143" t="str">
        <f t="shared" ref="M61:N61" si="224">if(iserror(search(M$48,L61)),L61,trim(left(L61,search(M$48,L61)-1)))</f>
        <v>Kyle Korver</v>
      </c>
      <c r="N61" s="143" t="str">
        <f t="shared" si="224"/>
        <v>Kyle Korver</v>
      </c>
      <c r="O61" s="143" t="str">
        <f t="shared" si="215"/>
        <v>14th</v>
      </c>
      <c r="AW61" s="5"/>
      <c r="DU61" s="4"/>
      <c r="DZ61" s="5"/>
      <c r="EA61" s="5"/>
      <c r="EB61" s="5"/>
      <c r="EC61" s="5"/>
      <c r="ED61" s="5"/>
      <c r="EE61" s="5"/>
    </row>
    <row r="62">
      <c r="A62" s="136">
        <v>14.0</v>
      </c>
      <c r="B62" s="139" t="s">
        <v>152</v>
      </c>
      <c r="C62" s="139" t="s">
        <v>183</v>
      </c>
      <c r="D62" s="140">
        <v>43988.0</v>
      </c>
      <c r="E62" s="139">
        <v>209.0</v>
      </c>
      <c r="F62" s="141">
        <v>32233.0</v>
      </c>
      <c r="G62" s="139" t="s">
        <v>176</v>
      </c>
      <c r="H62" s="139">
        <v>3.0</v>
      </c>
      <c r="I62" s="139" t="s">
        <v>197</v>
      </c>
      <c r="J62" s="138"/>
      <c r="K62" s="138"/>
      <c r="L62" s="143" t="str">
        <f t="shared" si="213"/>
        <v>DeAndre Liggins</v>
      </c>
      <c r="M62" s="143" t="str">
        <f t="shared" ref="M62:N62" si="225">if(iserror(search(M$48,L62)),L62,trim(left(L62,search(M$48,L62)-1)))</f>
        <v>DeAndre Liggins</v>
      </c>
      <c r="N62" s="143" t="str">
        <f t="shared" si="225"/>
        <v>DeAndre Liggins</v>
      </c>
      <c r="O62" s="143" t="str">
        <f t="shared" si="215"/>
        <v>4th</v>
      </c>
      <c r="AW62" s="5"/>
      <c r="DU62" s="4"/>
      <c r="DZ62" s="5"/>
      <c r="EA62" s="5"/>
      <c r="EB62" s="5"/>
      <c r="EC62" s="5"/>
      <c r="ED62" s="5"/>
      <c r="EE62" s="5"/>
    </row>
    <row r="63">
      <c r="A63" s="136">
        <v>0.0</v>
      </c>
      <c r="B63" s="139" t="s">
        <v>147</v>
      </c>
      <c r="C63" s="139" t="s">
        <v>23</v>
      </c>
      <c r="D63" s="140">
        <v>43990.0</v>
      </c>
      <c r="E63" s="139">
        <v>215.0</v>
      </c>
      <c r="F63" s="141">
        <v>32393.0</v>
      </c>
      <c r="G63" s="139" t="s">
        <v>176</v>
      </c>
      <c r="H63" s="139">
        <v>8.0</v>
      </c>
      <c r="I63" s="139" t="s">
        <v>198</v>
      </c>
      <c r="J63" s="138"/>
      <c r="K63" s="138"/>
      <c r="L63" s="143" t="str">
        <f t="shared" si="213"/>
        <v>Kevin Love</v>
      </c>
      <c r="M63" s="143" t="str">
        <f t="shared" ref="M63:N63" si="226">if(iserror(search(M$48,L63)),L63,trim(left(L63,search(M$48,L63)-1)))</f>
        <v>Kevin Love</v>
      </c>
      <c r="N63" s="143" t="str">
        <f t="shared" si="226"/>
        <v>Kevin Love</v>
      </c>
      <c r="O63" s="143" t="str">
        <f t="shared" si="215"/>
        <v>9th</v>
      </c>
      <c r="AW63" s="5"/>
      <c r="DU63" s="4"/>
      <c r="DZ63" s="5"/>
      <c r="EA63" s="5"/>
      <c r="EB63" s="5"/>
      <c r="EC63" s="5"/>
      <c r="ED63" s="5"/>
      <c r="EE63" s="5"/>
    </row>
    <row r="64">
      <c r="A64" s="136">
        <v>12.0</v>
      </c>
      <c r="B64" s="139" t="s">
        <v>156</v>
      </c>
      <c r="C64" s="139" t="s">
        <v>183</v>
      </c>
      <c r="D64" s="140">
        <v>43987.0</v>
      </c>
      <c r="E64" s="139">
        <v>179.0</v>
      </c>
      <c r="F64" s="141">
        <v>33325.0</v>
      </c>
      <c r="G64" s="139" t="s">
        <v>176</v>
      </c>
      <c r="H64" s="139">
        <v>1.0</v>
      </c>
      <c r="I64" s="139" t="s">
        <v>199</v>
      </c>
      <c r="J64" s="138"/>
      <c r="K64" s="138"/>
      <c r="L64" s="143" t="str">
        <f t="shared" si="213"/>
        <v>Jordan McRae</v>
      </c>
      <c r="M64" s="143" t="str">
        <f t="shared" ref="M64:N64" si="227">if(iserror(search(M$48,L64)),L64,trim(left(L64,search(M$48,L64)-1)))</f>
        <v>Jordan McRae</v>
      </c>
      <c r="N64" s="143" t="str">
        <f t="shared" si="227"/>
        <v>Jordan McRae</v>
      </c>
      <c r="O64" s="143" t="str">
        <f t="shared" si="215"/>
        <v>2nd</v>
      </c>
      <c r="AW64" s="5"/>
      <c r="DU64" s="4"/>
      <c r="DZ64" s="5"/>
      <c r="EA64" s="5"/>
      <c r="EB64" s="5"/>
      <c r="EC64" s="5"/>
      <c r="ED64" s="5"/>
      <c r="EE64" s="5"/>
    </row>
    <row r="65">
      <c r="A65" s="136">
        <v>9.0</v>
      </c>
      <c r="B65" s="139" t="s">
        <v>161</v>
      </c>
      <c r="C65" s="139" t="s">
        <v>175</v>
      </c>
      <c r="D65" s="140">
        <v>43993.0</v>
      </c>
      <c r="E65" s="139">
        <v>235.0</v>
      </c>
      <c r="F65" s="141">
        <v>32468.0</v>
      </c>
      <c r="G65" s="139" t="s">
        <v>176</v>
      </c>
      <c r="H65" s="139">
        <v>5.0</v>
      </c>
      <c r="I65" s="139" t="s">
        <v>200</v>
      </c>
      <c r="J65" s="138"/>
      <c r="K65" s="138"/>
      <c r="L65" s="143" t="str">
        <f t="shared" si="213"/>
        <v>Larry Sanders</v>
      </c>
      <c r="M65" s="143" t="str">
        <f t="shared" ref="M65:N65" si="228">if(iserror(search(M$48,L65)),L65,trim(left(L65,search(M$48,L65)-1)))</f>
        <v>Larry Sanders</v>
      </c>
      <c r="N65" s="143" t="str">
        <f t="shared" si="228"/>
        <v>Larry Sanders</v>
      </c>
      <c r="O65" s="143" t="str">
        <f t="shared" si="215"/>
        <v>6th</v>
      </c>
      <c r="AW65" s="5"/>
      <c r="DU65" s="4"/>
      <c r="DZ65" s="5"/>
      <c r="EA65" s="5"/>
      <c r="EB65" s="5"/>
      <c r="EC65" s="5"/>
      <c r="ED65" s="5"/>
      <c r="EE65" s="5"/>
    </row>
    <row r="66">
      <c r="A66" s="136">
        <v>4.0</v>
      </c>
      <c r="B66" s="139" t="s">
        <v>146</v>
      </c>
      <c r="C66" s="139" t="s">
        <v>183</v>
      </c>
      <c r="D66" s="139">
        <v>43987.0</v>
      </c>
      <c r="E66" s="139">
        <v>215.0</v>
      </c>
      <c r="F66" s="141">
        <v>33050.0</v>
      </c>
      <c r="G66" s="139" t="s">
        <v>176</v>
      </c>
      <c r="H66" s="139">
        <v>5.0</v>
      </c>
      <c r="I66" s="139" t="s">
        <v>201</v>
      </c>
      <c r="J66" s="138"/>
      <c r="K66" s="138"/>
      <c r="L66" s="143" t="str">
        <f t="shared" si="213"/>
        <v>Iman Shumpert</v>
      </c>
      <c r="M66" s="143" t="str">
        <f t="shared" ref="M66:N66" si="229">if(iserror(search(M$48,L66)),L66,trim(left(L66,search(M$48,L66)-1)))</f>
        <v>Iman Shumpert</v>
      </c>
      <c r="N66" s="143" t="str">
        <f t="shared" si="229"/>
        <v>Iman Shumpert</v>
      </c>
      <c r="O66" s="143" t="str">
        <f t="shared" si="215"/>
        <v>6th</v>
      </c>
      <c r="AW66" s="5"/>
      <c r="DU66" s="4"/>
      <c r="DZ66" s="5"/>
      <c r="EA66" s="5"/>
      <c r="EB66" s="5"/>
      <c r="EC66" s="5"/>
      <c r="ED66" s="5"/>
      <c r="EE66" s="5"/>
    </row>
    <row r="67">
      <c r="A67" s="136">
        <v>5.0</v>
      </c>
      <c r="B67" s="139" t="s">
        <v>150</v>
      </c>
      <c r="C67" s="139" t="s">
        <v>183</v>
      </c>
      <c r="D67" s="140">
        <v>43988.0</v>
      </c>
      <c r="E67" s="139">
        <v>225.0</v>
      </c>
      <c r="F67" s="141">
        <v>31299.0</v>
      </c>
      <c r="G67" s="139" t="s">
        <v>176</v>
      </c>
      <c r="H67" s="139">
        <v>12.0</v>
      </c>
      <c r="I67" s="139"/>
      <c r="J67" s="138"/>
      <c r="K67" s="138"/>
      <c r="L67" s="143" t="str">
        <f t="shared" si="213"/>
        <v>J.R. Smith</v>
      </c>
      <c r="M67" s="143" t="str">
        <f t="shared" ref="M67:N67" si="230">if(iserror(search(M$48,L67)),L67,trim(left(L67,search(M$48,L67)-1)))</f>
        <v>J.R. Smith</v>
      </c>
      <c r="N67" s="143" t="str">
        <f t="shared" si="230"/>
        <v>J.R. Smith</v>
      </c>
      <c r="O67" s="143" t="str">
        <f t="shared" si="215"/>
        <v>13th</v>
      </c>
      <c r="AW67" s="5"/>
      <c r="DU67" s="4"/>
      <c r="DZ67" s="5"/>
      <c r="EA67" s="5"/>
      <c r="EB67" s="5"/>
      <c r="EC67" s="5"/>
      <c r="ED67" s="5"/>
      <c r="EE67" s="5"/>
    </row>
    <row r="68">
      <c r="A68" s="136">
        <v>40.0</v>
      </c>
      <c r="B68" s="139" t="s">
        <v>160</v>
      </c>
      <c r="C68" s="139" t="s">
        <v>175</v>
      </c>
      <c r="D68" s="140">
        <v>44015.0</v>
      </c>
      <c r="E68" s="139">
        <v>260.0</v>
      </c>
      <c r="F68" s="141">
        <v>33685.0</v>
      </c>
      <c r="G68" s="139" t="s">
        <v>202</v>
      </c>
      <c r="H68" s="139">
        <v>1.0</v>
      </c>
      <c r="I68" s="139"/>
      <c r="J68" s="138"/>
      <c r="K68" s="138"/>
      <c r="L68" s="143" t="str">
        <f t="shared" si="213"/>
        <v>Edy Tavares</v>
      </c>
      <c r="M68" s="143" t="str">
        <f t="shared" ref="M68:N68" si="231">if(iserror(search(M$48,L68)),L68,trim(left(L68,search(M$48,L68)-1)))</f>
        <v>Edy Tavares</v>
      </c>
      <c r="N68" s="143" t="str">
        <f t="shared" si="231"/>
        <v>Edy Tavares</v>
      </c>
      <c r="O68" s="143" t="str">
        <f t="shared" si="215"/>
        <v>2nd</v>
      </c>
      <c r="AW68" s="5"/>
      <c r="DU68" s="4"/>
      <c r="DZ68" s="5"/>
      <c r="EA68" s="5"/>
      <c r="EB68" s="5"/>
      <c r="EC68" s="5"/>
      <c r="ED68" s="5"/>
      <c r="EE68" s="5"/>
    </row>
    <row r="69">
      <c r="A69" s="136">
        <v>13.0</v>
      </c>
      <c r="B69" s="139" t="s">
        <v>145</v>
      </c>
      <c r="C69" s="139" t="s">
        <v>175</v>
      </c>
      <c r="D69" s="140">
        <v>43991.0</v>
      </c>
      <c r="E69" s="139">
        <v>238.0</v>
      </c>
      <c r="F69" s="141">
        <v>33310.0</v>
      </c>
      <c r="G69" s="139" t="s">
        <v>203</v>
      </c>
      <c r="H69" s="139">
        <v>5.0</v>
      </c>
      <c r="I69" s="139" t="s">
        <v>204</v>
      </c>
      <c r="J69" s="138"/>
      <c r="K69" s="138"/>
      <c r="L69" s="143" t="str">
        <f t="shared" si="213"/>
        <v>Tristan Thompson</v>
      </c>
      <c r="M69" s="143" t="str">
        <f t="shared" ref="M69:N69" si="232">if(iserror(search(M$48,L69)),L69,trim(left(L69,search(M$48,L69)-1)))</f>
        <v>Tristan Thompson</v>
      </c>
      <c r="N69" s="143" t="str">
        <f t="shared" si="232"/>
        <v>Tristan Thompson</v>
      </c>
      <c r="O69" s="143" t="str">
        <f t="shared" si="215"/>
        <v>6th</v>
      </c>
      <c r="DU69" s="4"/>
      <c r="DZ69" s="5"/>
      <c r="EA69" s="5"/>
      <c r="EB69" s="5"/>
      <c r="EC69" s="5"/>
      <c r="ED69" s="5"/>
      <c r="EE69" s="5"/>
    </row>
    <row r="70">
      <c r="A70" s="136">
        <v>31.0</v>
      </c>
      <c r="B70" s="139" t="s">
        <v>153</v>
      </c>
      <c r="C70" s="139" t="s">
        <v>178</v>
      </c>
      <c r="D70" s="140">
        <v>43985.0</v>
      </c>
      <c r="E70" s="139">
        <v>200.0</v>
      </c>
      <c r="F70" s="141">
        <v>30859.0</v>
      </c>
      <c r="G70" s="139" t="s">
        <v>176</v>
      </c>
      <c r="H70" s="139">
        <v>11.0</v>
      </c>
      <c r="I70" s="139" t="s">
        <v>205</v>
      </c>
      <c r="J70" s="138"/>
      <c r="K70" s="138"/>
      <c r="L70" s="143" t="str">
        <f t="shared" si="213"/>
        <v>Deron Williams</v>
      </c>
      <c r="M70" s="143" t="str">
        <f t="shared" ref="M70:N70" si="233">if(iserror(search(M$48,L70)),L70,trim(left(L70,search(M$48,L70)-1)))</f>
        <v>Deron Williams</v>
      </c>
      <c r="N70" s="143" t="str">
        <f t="shared" si="233"/>
        <v>Deron Williams</v>
      </c>
      <c r="O70" s="143" t="str">
        <f t="shared" si="215"/>
        <v>12th</v>
      </c>
      <c r="AW70" s="5"/>
      <c r="DU70" s="4"/>
      <c r="DZ70" s="5"/>
      <c r="EA70" s="5"/>
      <c r="EB70" s="5"/>
      <c r="EC70" s="5"/>
      <c r="ED70" s="5"/>
      <c r="EE70" s="5"/>
    </row>
    <row r="71">
      <c r="A71" s="136" t="s">
        <v>206</v>
      </c>
      <c r="B71" s="139" t="s">
        <v>154</v>
      </c>
      <c r="C71" s="139" t="s">
        <v>23</v>
      </c>
      <c r="D71" s="139">
        <v>43990.0</v>
      </c>
      <c r="E71" s="139">
        <v>240.0</v>
      </c>
      <c r="F71" s="141">
        <v>33383.0</v>
      </c>
      <c r="G71" s="139" t="s">
        <v>176</v>
      </c>
      <c r="H71" s="139">
        <v>5.0</v>
      </c>
      <c r="I71" s="139" t="s">
        <v>189</v>
      </c>
      <c r="J71" s="138"/>
      <c r="K71" s="138"/>
      <c r="L71" s="143" t="str">
        <f t="shared" si="213"/>
        <v>Derrick Williams</v>
      </c>
      <c r="M71" s="143" t="str">
        <f t="shared" ref="M71:N71" si="234">if(iserror(search(M$48,L71)),L71,trim(left(L71,search(M$48,L71)-1)))</f>
        <v>Derrick Williams</v>
      </c>
      <c r="N71" s="143" t="str">
        <f t="shared" si="234"/>
        <v>Derrick Williams</v>
      </c>
      <c r="O71" s="143" t="str">
        <f t="shared" si="215"/>
        <v>6th</v>
      </c>
      <c r="AW71" s="5"/>
      <c r="DU71" s="4"/>
      <c r="DZ71" s="5"/>
      <c r="EA71" s="5"/>
      <c r="EB71" s="5"/>
      <c r="EC71" s="5"/>
      <c r="ED71" s="5"/>
      <c r="EE71" s="5"/>
    </row>
    <row r="72">
      <c r="A72" s="136"/>
      <c r="B72" s="139"/>
      <c r="C72" s="139"/>
      <c r="D72" s="140"/>
      <c r="E72" s="139"/>
      <c r="F72" s="141"/>
      <c r="G72" s="139"/>
      <c r="H72" s="139"/>
      <c r="I72" s="139"/>
      <c r="J72" s="138"/>
      <c r="K72" s="138"/>
      <c r="L72" s="143" t="str">
        <f t="shared" si="213"/>
        <v/>
      </c>
      <c r="M72" s="143" t="str">
        <f t="shared" ref="M72:N72" si="235">if(iserror(search(M$48,L72)),L72,trim(left(L72,search(M$48,L72)-1)))</f>
        <v/>
      </c>
      <c r="N72" s="143" t="str">
        <f t="shared" si="235"/>
        <v/>
      </c>
      <c r="O72" s="143" t="str">
        <f t="shared" si="215"/>
        <v/>
      </c>
      <c r="DU72" s="4"/>
      <c r="DZ72" s="5"/>
      <c r="EA72" s="5"/>
      <c r="EB72" s="5"/>
      <c r="EC72" s="5"/>
      <c r="ED72" s="5"/>
      <c r="EE72" s="5"/>
    </row>
    <row r="73">
      <c r="A73" s="136"/>
      <c r="B73" s="139"/>
      <c r="C73" s="139"/>
      <c r="D73" s="140"/>
      <c r="E73" s="139"/>
      <c r="F73" s="141"/>
      <c r="G73" s="139"/>
      <c r="H73" s="139"/>
      <c r="I73" s="139"/>
      <c r="J73" s="138"/>
      <c r="K73" s="138"/>
      <c r="L73" s="143" t="str">
        <f t="shared" si="213"/>
        <v/>
      </c>
      <c r="M73" s="143" t="str">
        <f t="shared" ref="M73:N73" si="236">if(iserror(search(M$48,L73)),L73,trim(left(L73,search(M$48,L73)-1)))</f>
        <v/>
      </c>
      <c r="N73" s="143" t="str">
        <f t="shared" si="236"/>
        <v/>
      </c>
      <c r="O73" s="143" t="str">
        <f t="shared" si="215"/>
        <v/>
      </c>
      <c r="AW73" s="5"/>
      <c r="DU73" s="4"/>
      <c r="DZ73" s="5"/>
      <c r="EA73" s="5"/>
      <c r="EB73" s="5"/>
      <c r="EC73" s="5"/>
      <c r="ED73" s="5"/>
      <c r="EE73" s="5"/>
    </row>
    <row r="74">
      <c r="A74" s="136"/>
      <c r="B74" s="139"/>
      <c r="C74" s="139"/>
      <c r="D74" s="140"/>
      <c r="E74" s="139"/>
      <c r="F74" s="141"/>
      <c r="G74" s="139"/>
      <c r="H74" s="139"/>
      <c r="I74" s="139"/>
      <c r="J74" s="138"/>
      <c r="K74" s="138"/>
      <c r="L74" s="143" t="str">
        <f t="shared" si="213"/>
        <v/>
      </c>
      <c r="M74" s="143" t="str">
        <f t="shared" ref="M74:N74" si="237">if(iserror(search(M$48,L74)),L74,trim(left(L74,search(M$48,L74)-1)))</f>
        <v/>
      </c>
      <c r="N74" s="143" t="str">
        <f t="shared" si="237"/>
        <v/>
      </c>
      <c r="O74" s="143" t="str">
        <f t="shared" si="215"/>
        <v/>
      </c>
      <c r="AW74" s="5"/>
      <c r="DU74" s="4"/>
      <c r="DZ74" s="5"/>
      <c r="EA74" s="5"/>
      <c r="EB74" s="5"/>
      <c r="EC74" s="5"/>
      <c r="ED74" s="5"/>
      <c r="EE74" s="5"/>
    </row>
    <row r="75">
      <c r="A75" s="138"/>
      <c r="B75" s="138"/>
      <c r="C75" s="138"/>
      <c r="D75" s="138"/>
      <c r="E75" s="138"/>
      <c r="F75" s="138"/>
      <c r="G75" s="138"/>
      <c r="H75" s="138"/>
      <c r="I75" s="138"/>
      <c r="J75" s="138"/>
      <c r="K75" s="138"/>
      <c r="L75" s="143" t="str">
        <f t="shared" si="213"/>
        <v/>
      </c>
      <c r="M75" s="143" t="str">
        <f t="shared" ref="M75:N75" si="238">if(iserror(search(M$48,L75)),L75,trim(left(L75,search(M$48,L75)-1)))</f>
        <v/>
      </c>
      <c r="N75" s="143" t="str">
        <f t="shared" si="238"/>
        <v/>
      </c>
      <c r="O75" s="143" t="str">
        <f t="shared" si="215"/>
        <v/>
      </c>
      <c r="AW75" s="5"/>
      <c r="DU75" s="4"/>
      <c r="DZ75" s="5"/>
      <c r="EA75" s="5"/>
      <c r="EB75" s="5"/>
      <c r="EC75" s="5"/>
      <c r="ED75" s="5"/>
      <c r="EE75" s="5"/>
    </row>
    <row r="76">
      <c r="A76" s="138"/>
      <c r="B76" s="138"/>
      <c r="C76" s="138"/>
      <c r="D76" s="138"/>
      <c r="E76" s="138"/>
      <c r="F76" s="138"/>
      <c r="G76" s="138"/>
      <c r="H76" s="138"/>
      <c r="I76" s="138"/>
      <c r="J76" s="138"/>
      <c r="K76" s="138"/>
      <c r="L76" s="143" t="str">
        <f t="shared" si="213"/>
        <v/>
      </c>
      <c r="M76" s="143" t="str">
        <f t="shared" ref="M76:N76" si="239">if(iserror(search(M$48,L76)),L76,trim(left(L76,search(M$48,L76)-1)))</f>
        <v/>
      </c>
      <c r="N76" s="143" t="str">
        <f t="shared" si="239"/>
        <v/>
      </c>
      <c r="O76" s="143" t="str">
        <f t="shared" si="215"/>
        <v/>
      </c>
      <c r="AW76" s="5"/>
      <c r="DU76" s="4"/>
      <c r="DZ76" s="5"/>
      <c r="EA76" s="5"/>
      <c r="EB76" s="5"/>
      <c r="EC76" s="5"/>
      <c r="ED76" s="5"/>
      <c r="EE76" s="5"/>
    </row>
    <row r="77">
      <c r="A77" s="138"/>
      <c r="B77" s="138"/>
      <c r="C77" s="138"/>
      <c r="D77" s="138"/>
      <c r="E77" s="138"/>
      <c r="F77" s="138"/>
      <c r="G77" s="138"/>
      <c r="H77" s="138"/>
      <c r="I77" s="138"/>
      <c r="J77" s="138"/>
      <c r="K77" s="138"/>
      <c r="L77" s="143" t="str">
        <f t="shared" si="213"/>
        <v/>
      </c>
      <c r="M77" s="143" t="str">
        <f t="shared" ref="M77:N77" si="240">if(iserror(search(M$48,L77)),L77,trim(left(L77,search(M$48,L77)-1)))</f>
        <v/>
      </c>
      <c r="N77" s="143" t="str">
        <f t="shared" si="240"/>
        <v/>
      </c>
      <c r="O77" s="143" t="str">
        <f t="shared" si="215"/>
        <v/>
      </c>
      <c r="AW77" s="5"/>
      <c r="DU77" s="4"/>
      <c r="DZ77" s="5"/>
      <c r="EA77" s="5"/>
      <c r="EB77" s="5"/>
      <c r="EC77" s="5"/>
      <c r="ED77" s="5"/>
      <c r="EE77" s="5"/>
    </row>
    <row r="78">
      <c r="A78" s="138"/>
      <c r="B78" s="138"/>
      <c r="C78" s="138"/>
      <c r="D78" s="138"/>
      <c r="E78" s="138"/>
      <c r="F78" s="138"/>
      <c r="G78" s="138"/>
      <c r="H78" s="138"/>
      <c r="I78" s="138"/>
      <c r="J78" s="138"/>
      <c r="K78" s="138"/>
      <c r="L78" s="143" t="str">
        <f t="shared" si="213"/>
        <v/>
      </c>
      <c r="M78" s="143" t="str">
        <f t="shared" ref="M78:N78" si="241">if(iserror(search(M$48,L78)),L78,trim(left(L78,search(M$48,L78)-1)))</f>
        <v/>
      </c>
      <c r="N78" s="143" t="str">
        <f t="shared" si="241"/>
        <v/>
      </c>
      <c r="O78" s="143" t="str">
        <f t="shared" si="215"/>
        <v/>
      </c>
      <c r="AW78" s="5"/>
      <c r="DU78" s="4"/>
      <c r="DZ78" s="5"/>
      <c r="EA78" s="5"/>
      <c r="EB78" s="5"/>
      <c r="EC78" s="5"/>
      <c r="ED78" s="5"/>
      <c r="EE78" s="5"/>
    </row>
    <row r="79">
      <c r="A79" s="138"/>
      <c r="B79" s="138"/>
      <c r="C79" s="138"/>
      <c r="D79" s="138"/>
      <c r="E79" s="138"/>
      <c r="F79" s="138"/>
      <c r="G79" s="138"/>
      <c r="H79" s="138"/>
      <c r="I79" s="138"/>
      <c r="J79" s="138"/>
      <c r="K79" s="138"/>
      <c r="L79" s="143" t="str">
        <f t="shared" si="213"/>
        <v/>
      </c>
      <c r="M79" s="143" t="str">
        <f t="shared" ref="M79:N79" si="242">if(iserror(search(M$48,L79)),L79,trim(left(L79,search(M$48,L79)-1)))</f>
        <v/>
      </c>
      <c r="N79" s="143" t="str">
        <f t="shared" si="242"/>
        <v/>
      </c>
      <c r="O79" s="143" t="str">
        <f t="shared" si="215"/>
        <v/>
      </c>
      <c r="AW79" s="5"/>
      <c r="DU79" s="4"/>
      <c r="DZ79" s="5"/>
      <c r="EA79" s="5"/>
      <c r="EB79" s="5"/>
      <c r="EC79" s="5"/>
      <c r="ED79" s="5"/>
      <c r="EE79" s="5"/>
    </row>
    <row r="80">
      <c r="A80" s="138"/>
      <c r="B80" s="138"/>
      <c r="C80" s="138"/>
      <c r="D80" s="138"/>
      <c r="E80" s="138"/>
      <c r="F80" s="138"/>
      <c r="G80" s="138"/>
      <c r="H80" s="138"/>
      <c r="I80" s="138"/>
      <c r="J80" s="138"/>
      <c r="K80" s="138"/>
      <c r="L80" s="143" t="str">
        <f t="shared" si="213"/>
        <v/>
      </c>
      <c r="M80" s="143" t="str">
        <f t="shared" ref="M80:N80" si="243">if(iserror(search(M$48,L80)),L80,trim(left(L80,search(M$48,L80)-1)))</f>
        <v/>
      </c>
      <c r="N80" s="143" t="str">
        <f t="shared" si="243"/>
        <v/>
      </c>
      <c r="O80" s="143" t="str">
        <f t="shared" si="215"/>
        <v/>
      </c>
      <c r="AW80" s="5"/>
      <c r="DU80" s="4"/>
      <c r="DZ80" s="5"/>
      <c r="EA80" s="5"/>
      <c r="EB80" s="5"/>
      <c r="EC80" s="5"/>
      <c r="ED80" s="5"/>
      <c r="EE80" s="5"/>
    </row>
    <row r="81">
      <c r="A81" s="138"/>
      <c r="B81" s="138"/>
      <c r="C81" s="138"/>
      <c r="D81" s="138"/>
      <c r="E81" s="138"/>
      <c r="F81" s="138"/>
      <c r="G81" s="138"/>
      <c r="H81" s="138"/>
      <c r="I81" s="138"/>
      <c r="J81" s="138"/>
      <c r="K81" s="138"/>
      <c r="L81" s="143" t="str">
        <f t="shared" si="213"/>
        <v/>
      </c>
      <c r="M81" s="143" t="str">
        <f t="shared" ref="M81:N81" si="244">if(iserror(search(M$48,L81)),L81,trim(left(L81,search(M$48,L81)-1)))</f>
        <v/>
      </c>
      <c r="N81" s="143" t="str">
        <f t="shared" si="244"/>
        <v/>
      </c>
      <c r="O81" s="143" t="str">
        <f t="shared" si="215"/>
        <v/>
      </c>
      <c r="AW81" s="5"/>
      <c r="DU81" s="4"/>
      <c r="DZ81" s="5"/>
      <c r="EA81" s="5"/>
      <c r="EB81" s="5"/>
      <c r="EC81" s="5"/>
      <c r="ED81" s="5"/>
      <c r="EE81" s="5"/>
    </row>
    <row r="82">
      <c r="AW82" s="5"/>
      <c r="DU82" s="4"/>
      <c r="DZ82" s="5"/>
      <c r="EA82" s="5"/>
      <c r="EB82" s="5"/>
      <c r="EC82" s="5"/>
      <c r="ED82" s="5"/>
      <c r="EE82" s="5"/>
    </row>
    <row r="83">
      <c r="AW83" s="5"/>
      <c r="DU83" s="4"/>
      <c r="DZ83" s="5"/>
      <c r="EA83" s="5"/>
      <c r="EB83" s="5"/>
      <c r="EC83" s="5"/>
      <c r="ED83" s="5"/>
      <c r="EE83" s="5"/>
    </row>
    <row r="84">
      <c r="AW84" s="5"/>
      <c r="DU84" s="4"/>
      <c r="DZ84" s="5"/>
      <c r="EA84" s="5"/>
      <c r="EB84" s="5"/>
      <c r="EC84" s="5"/>
      <c r="ED84" s="5"/>
      <c r="EE84" s="5"/>
    </row>
    <row r="85">
      <c r="AW85" s="5"/>
      <c r="DU85" s="4"/>
      <c r="DZ85" s="5"/>
      <c r="EA85" s="5"/>
      <c r="EB85" s="5"/>
      <c r="EC85" s="5"/>
      <c r="ED85" s="5"/>
      <c r="EE85" s="5"/>
    </row>
    <row r="86">
      <c r="AW86" s="5"/>
      <c r="DU86" s="4"/>
      <c r="DZ86" s="5"/>
      <c r="EA86" s="5"/>
      <c r="EB86" s="5"/>
      <c r="EC86" s="5"/>
      <c r="ED86" s="5"/>
      <c r="EE86" s="5"/>
    </row>
    <row r="87">
      <c r="A87" s="61" t="s">
        <v>207</v>
      </c>
      <c r="I87" s="143">
        <v>109.52849999999997</v>
      </c>
      <c r="AW87" s="5"/>
      <c r="DU87" s="4"/>
      <c r="DZ87" s="5"/>
      <c r="EA87" s="5"/>
      <c r="EB87" s="5"/>
      <c r="EC87" s="5"/>
      <c r="ED87" s="5"/>
      <c r="EE87" s="5"/>
    </row>
    <row r="88">
      <c r="A88" s="143"/>
      <c r="B88" s="143"/>
      <c r="C88" s="143"/>
      <c r="D88" s="143"/>
      <c r="E88" s="143"/>
      <c r="F88" s="143"/>
      <c r="G88" s="143"/>
      <c r="H88" s="143" t="s">
        <v>208</v>
      </c>
      <c r="I88" s="143"/>
      <c r="J88" s="143"/>
      <c r="K88" s="143"/>
      <c r="L88" s="143" t="s">
        <v>209</v>
      </c>
      <c r="M88" s="143"/>
      <c r="N88" s="143"/>
      <c r="O88" s="143"/>
      <c r="AW88" s="5"/>
      <c r="DU88" s="4"/>
      <c r="DZ88" s="5"/>
      <c r="EA88" s="5"/>
      <c r="EB88" s="5"/>
      <c r="EC88" s="5"/>
      <c r="ED88" s="5"/>
      <c r="EE88" s="5"/>
    </row>
    <row r="89">
      <c r="A89" s="143" t="s">
        <v>76</v>
      </c>
      <c r="B89" s="143" t="s">
        <v>210</v>
      </c>
      <c r="C89" s="143" t="s">
        <v>211</v>
      </c>
      <c r="D89" s="143" t="s">
        <v>212</v>
      </c>
      <c r="E89" s="143" t="s">
        <v>213</v>
      </c>
      <c r="F89" s="143" t="s">
        <v>214</v>
      </c>
      <c r="G89" s="143" t="s">
        <v>215</v>
      </c>
      <c r="H89" s="143" t="s">
        <v>216</v>
      </c>
      <c r="I89" s="143" t="s">
        <v>217</v>
      </c>
      <c r="J89" s="143" t="s">
        <v>218</v>
      </c>
      <c r="K89" s="143" t="s">
        <v>219</v>
      </c>
      <c r="L89" s="143" t="s">
        <v>220</v>
      </c>
      <c r="M89" s="143" t="s">
        <v>221</v>
      </c>
      <c r="N89" s="143" t="s">
        <v>222</v>
      </c>
      <c r="O89" s="143" t="s">
        <v>223</v>
      </c>
      <c r="P89" s="61" t="s">
        <v>224</v>
      </c>
      <c r="Q89" s="61" t="s">
        <v>225</v>
      </c>
      <c r="AW89" s="5"/>
      <c r="DU89" s="4"/>
      <c r="DZ89" s="5"/>
      <c r="EA89" s="5"/>
      <c r="EB89" s="5"/>
      <c r="EC89" s="5"/>
      <c r="ED89" s="5"/>
      <c r="EE89" s="5"/>
    </row>
    <row r="90">
      <c r="A90" s="143">
        <v>1.0</v>
      </c>
      <c r="B90" s="143" t="s">
        <v>226</v>
      </c>
      <c r="C90" s="143" t="s">
        <v>213</v>
      </c>
      <c r="D90" s="143" t="s">
        <v>227</v>
      </c>
      <c r="E90" s="143">
        <v>67.0</v>
      </c>
      <c r="F90" s="143">
        <v>15.0</v>
      </c>
      <c r="G90" s="143">
        <v>0.817</v>
      </c>
      <c r="H90" s="143">
        <v>11.63</v>
      </c>
      <c r="I90" s="143">
        <v>116.26</v>
      </c>
      <c r="J90" s="143">
        <v>104.57</v>
      </c>
      <c r="K90" s="143">
        <v>11.69</v>
      </c>
      <c r="L90" s="143">
        <v>11.35</v>
      </c>
      <c r="M90" s="143">
        <v>116.02</v>
      </c>
      <c r="N90" s="143">
        <v>104.61</v>
      </c>
      <c r="O90" s="4">
        <v>11.41</v>
      </c>
      <c r="P90" s="4">
        <f t="shared" ref="P90:P119" si="245">M90-$I$87</f>
        <v>6.4915</v>
      </c>
      <c r="Q90" s="4">
        <f t="shared" ref="Q90:Q119" si="246">$I$87-N90</f>
        <v>4.9185</v>
      </c>
      <c r="AW90" s="5"/>
      <c r="DU90" s="4"/>
      <c r="DZ90" s="5"/>
      <c r="EA90" s="5"/>
      <c r="EB90" s="5"/>
      <c r="EC90" s="5"/>
      <c r="ED90" s="5"/>
      <c r="EE90" s="5"/>
    </row>
    <row r="91">
      <c r="A91" s="143">
        <v>2.0</v>
      </c>
      <c r="B91" s="143" t="s">
        <v>228</v>
      </c>
      <c r="C91" s="143" t="s">
        <v>213</v>
      </c>
      <c r="D91" s="143" t="s">
        <v>229</v>
      </c>
      <c r="E91" s="143">
        <v>61.0</v>
      </c>
      <c r="F91" s="143">
        <v>21.0</v>
      </c>
      <c r="G91" s="143">
        <v>0.744</v>
      </c>
      <c r="H91" s="143">
        <v>7.2</v>
      </c>
      <c r="I91" s="143">
        <v>111.81</v>
      </c>
      <c r="J91" s="143">
        <v>104.25</v>
      </c>
      <c r="K91" s="143">
        <v>7.56</v>
      </c>
      <c r="L91" s="143">
        <v>7.13</v>
      </c>
      <c r="M91" s="143">
        <v>111.62</v>
      </c>
      <c r="N91" s="143">
        <v>104.12</v>
      </c>
      <c r="O91" s="4">
        <v>7.49</v>
      </c>
      <c r="P91" s="4">
        <f t="shared" si="245"/>
        <v>2.0915</v>
      </c>
      <c r="Q91" s="4">
        <f t="shared" si="246"/>
        <v>5.4085</v>
      </c>
      <c r="AW91" s="5"/>
      <c r="DU91" s="4"/>
      <c r="DZ91" s="5"/>
      <c r="EA91" s="5"/>
      <c r="EB91" s="5"/>
      <c r="EC91" s="5"/>
      <c r="ED91" s="5"/>
      <c r="EE91" s="5"/>
    </row>
    <row r="92">
      <c r="A92" s="143">
        <v>3.0</v>
      </c>
      <c r="B92" s="143" t="s">
        <v>230</v>
      </c>
      <c r="C92" s="143" t="s">
        <v>213</v>
      </c>
      <c r="D92" s="143" t="s">
        <v>229</v>
      </c>
      <c r="E92" s="143">
        <v>55.0</v>
      </c>
      <c r="F92" s="143">
        <v>27.0</v>
      </c>
      <c r="G92" s="143">
        <v>0.671</v>
      </c>
      <c r="H92" s="143">
        <v>5.77</v>
      </c>
      <c r="I92" s="143">
        <v>115.59</v>
      </c>
      <c r="J92" s="143">
        <v>109.96</v>
      </c>
      <c r="K92" s="143">
        <v>5.63</v>
      </c>
      <c r="L92" s="143">
        <v>5.84</v>
      </c>
      <c r="M92" s="143">
        <v>115.7</v>
      </c>
      <c r="N92" s="143">
        <v>109.98</v>
      </c>
      <c r="O92" s="4">
        <v>5.72</v>
      </c>
      <c r="P92" s="4">
        <f t="shared" si="245"/>
        <v>6.1715</v>
      </c>
      <c r="Q92" s="4">
        <f t="shared" si="246"/>
        <v>-0.4515</v>
      </c>
      <c r="AW92" s="5"/>
      <c r="DU92" s="4"/>
      <c r="DZ92" s="5"/>
      <c r="EA92" s="5"/>
      <c r="EB92" s="5"/>
      <c r="EC92" s="5"/>
      <c r="ED92" s="5"/>
      <c r="EE92" s="5"/>
    </row>
    <row r="93">
      <c r="A93" s="143">
        <v>4.0</v>
      </c>
      <c r="B93" s="143" t="s">
        <v>231</v>
      </c>
      <c r="C93" s="143" t="s">
        <v>213</v>
      </c>
      <c r="D93" s="143" t="s">
        <v>227</v>
      </c>
      <c r="E93" s="143">
        <v>51.0</v>
      </c>
      <c r="F93" s="143">
        <v>31.0</v>
      </c>
      <c r="G93" s="143">
        <v>0.622</v>
      </c>
      <c r="H93" s="143">
        <v>4.29</v>
      </c>
      <c r="I93" s="143">
        <v>113.38</v>
      </c>
      <c r="J93" s="143">
        <v>108.88</v>
      </c>
      <c r="K93" s="143">
        <v>4.5</v>
      </c>
      <c r="L93" s="143">
        <v>4.42</v>
      </c>
      <c r="M93" s="143">
        <v>113.46</v>
      </c>
      <c r="N93" s="143">
        <v>108.82</v>
      </c>
      <c r="O93" s="4">
        <v>4.64</v>
      </c>
      <c r="P93" s="4">
        <f t="shared" si="245"/>
        <v>3.9315</v>
      </c>
      <c r="Q93" s="4">
        <f t="shared" si="246"/>
        <v>0.7085</v>
      </c>
      <c r="AW93" s="5"/>
      <c r="DU93" s="4"/>
      <c r="DZ93" s="5"/>
      <c r="EA93" s="5"/>
      <c r="EB93" s="5"/>
      <c r="EC93" s="5"/>
      <c r="ED93" s="5"/>
      <c r="EE93" s="5"/>
    </row>
    <row r="94">
      <c r="A94" s="143">
        <v>5.0</v>
      </c>
      <c r="B94" s="143" t="s">
        <v>232</v>
      </c>
      <c r="C94" s="143" t="s">
        <v>213</v>
      </c>
      <c r="D94" s="143" t="s">
        <v>233</v>
      </c>
      <c r="E94" s="143">
        <v>51.0</v>
      </c>
      <c r="F94" s="143">
        <v>31.0</v>
      </c>
      <c r="G94" s="143">
        <v>0.622</v>
      </c>
      <c r="H94" s="143">
        <v>3.94</v>
      </c>
      <c r="I94" s="143">
        <v>110.46</v>
      </c>
      <c r="J94" s="143">
        <v>106.19</v>
      </c>
      <c r="K94" s="143">
        <v>4.27</v>
      </c>
      <c r="L94" s="143">
        <v>4.0</v>
      </c>
      <c r="M94" s="143">
        <v>110.31</v>
      </c>
      <c r="N94" s="143">
        <v>105.98</v>
      </c>
      <c r="O94" s="4">
        <v>4.33</v>
      </c>
      <c r="P94" s="4">
        <f t="shared" si="245"/>
        <v>0.7815</v>
      </c>
      <c r="Q94" s="4">
        <f t="shared" si="246"/>
        <v>3.5485</v>
      </c>
      <c r="AW94" s="5"/>
      <c r="DU94" s="4"/>
      <c r="DZ94" s="5"/>
      <c r="EA94" s="5"/>
      <c r="EB94" s="5"/>
      <c r="EC94" s="5"/>
      <c r="ED94" s="5"/>
      <c r="EE94" s="5"/>
    </row>
    <row r="95">
      <c r="A95" s="143">
        <v>6.0</v>
      </c>
      <c r="B95" s="143" t="s">
        <v>234</v>
      </c>
      <c r="C95" s="143" t="s">
        <v>235</v>
      </c>
      <c r="D95" s="143" t="s">
        <v>236</v>
      </c>
      <c r="E95" s="143">
        <v>51.0</v>
      </c>
      <c r="F95" s="143">
        <v>31.0</v>
      </c>
      <c r="G95" s="143">
        <v>0.622</v>
      </c>
      <c r="H95" s="143">
        <v>4.21</v>
      </c>
      <c r="I95" s="143">
        <v>113.2</v>
      </c>
      <c r="J95" s="143">
        <v>108.68</v>
      </c>
      <c r="K95" s="143">
        <v>4.51</v>
      </c>
      <c r="L95" s="143">
        <v>3.65</v>
      </c>
      <c r="M95" s="143">
        <v>113.07</v>
      </c>
      <c r="N95" s="143">
        <v>109.14</v>
      </c>
      <c r="O95" s="4">
        <v>3.93</v>
      </c>
      <c r="P95" s="4">
        <f t="shared" si="245"/>
        <v>3.5415</v>
      </c>
      <c r="Q95" s="4">
        <f t="shared" si="246"/>
        <v>0.3885</v>
      </c>
      <c r="AW95" s="5"/>
      <c r="DU95" s="4"/>
      <c r="DZ95" s="5"/>
      <c r="EA95" s="5"/>
      <c r="EB95" s="5"/>
      <c r="EC95" s="5"/>
      <c r="ED95" s="5"/>
      <c r="EE95" s="5"/>
    </row>
    <row r="96">
      <c r="A96" s="143">
        <v>7.0</v>
      </c>
      <c r="B96" s="143" t="s">
        <v>62</v>
      </c>
      <c r="C96" s="143" t="s">
        <v>235</v>
      </c>
      <c r="D96" s="143" t="s">
        <v>175</v>
      </c>
      <c r="E96" s="143">
        <v>51.0</v>
      </c>
      <c r="F96" s="143">
        <v>31.0</v>
      </c>
      <c r="G96" s="143">
        <v>0.622</v>
      </c>
      <c r="H96" s="143">
        <v>3.18</v>
      </c>
      <c r="I96" s="143">
        <v>114.25</v>
      </c>
      <c r="J96" s="143">
        <v>110.99</v>
      </c>
      <c r="K96" s="143">
        <v>3.27</v>
      </c>
      <c r="L96" s="143">
        <v>2.88</v>
      </c>
      <c r="M96" s="143">
        <v>114.33</v>
      </c>
      <c r="N96" s="143">
        <v>111.38</v>
      </c>
      <c r="O96" s="4">
        <v>2.95</v>
      </c>
      <c r="P96" s="4">
        <f t="shared" si="245"/>
        <v>4.8015</v>
      </c>
      <c r="Q96" s="4">
        <f t="shared" si="246"/>
        <v>-1.8515</v>
      </c>
      <c r="AW96" s="5"/>
      <c r="DU96" s="4"/>
      <c r="DZ96" s="5"/>
      <c r="EA96" s="5"/>
      <c r="EB96" s="5"/>
      <c r="EC96" s="5"/>
      <c r="ED96" s="5"/>
      <c r="EE96" s="5"/>
    </row>
    <row r="97">
      <c r="A97" s="143">
        <v>8.0</v>
      </c>
      <c r="B97" s="143" t="s">
        <v>237</v>
      </c>
      <c r="C97" s="143" t="s">
        <v>235</v>
      </c>
      <c r="D97" s="143" t="s">
        <v>236</v>
      </c>
      <c r="E97" s="143">
        <v>53.0</v>
      </c>
      <c r="F97" s="143">
        <v>29.0</v>
      </c>
      <c r="G97" s="143">
        <v>0.646</v>
      </c>
      <c r="H97" s="143">
        <v>2.63</v>
      </c>
      <c r="I97" s="143">
        <v>111.88</v>
      </c>
      <c r="J97" s="143">
        <v>109.16</v>
      </c>
      <c r="K97" s="143">
        <v>2.72</v>
      </c>
      <c r="L97" s="143">
        <v>2.25</v>
      </c>
      <c r="M97" s="143">
        <v>111.81</v>
      </c>
      <c r="N97" s="143">
        <v>109.49</v>
      </c>
      <c r="O97" s="4">
        <v>2.33</v>
      </c>
      <c r="P97" s="4">
        <f t="shared" si="245"/>
        <v>2.2815</v>
      </c>
      <c r="Q97" s="4">
        <f t="shared" si="246"/>
        <v>0.0385</v>
      </c>
      <c r="AW97" s="5"/>
      <c r="DU97" s="4"/>
      <c r="DZ97" s="5"/>
      <c r="EA97" s="5"/>
      <c r="EB97" s="5"/>
      <c r="EC97" s="5"/>
      <c r="ED97" s="5"/>
      <c r="EE97" s="5"/>
    </row>
    <row r="98">
      <c r="A98" s="143">
        <v>9.0</v>
      </c>
      <c r="B98" s="143" t="s">
        <v>238</v>
      </c>
      <c r="C98" s="143" t="s">
        <v>235</v>
      </c>
      <c r="D98" s="143" t="s">
        <v>239</v>
      </c>
      <c r="E98" s="143">
        <v>49.0</v>
      </c>
      <c r="F98" s="143">
        <v>33.0</v>
      </c>
      <c r="G98" s="143">
        <v>0.598</v>
      </c>
      <c r="H98" s="143">
        <v>1.8</v>
      </c>
      <c r="I98" s="143">
        <v>111.98</v>
      </c>
      <c r="J98" s="143">
        <v>110.06</v>
      </c>
      <c r="K98" s="143">
        <v>1.92</v>
      </c>
      <c r="L98" s="143">
        <v>1.36</v>
      </c>
      <c r="M98" s="143">
        <v>111.96</v>
      </c>
      <c r="N98" s="143">
        <v>110.49</v>
      </c>
      <c r="O98" s="4">
        <v>1.46</v>
      </c>
      <c r="P98" s="4">
        <f t="shared" si="245"/>
        <v>2.4315</v>
      </c>
      <c r="Q98" s="4">
        <f t="shared" si="246"/>
        <v>-0.9615</v>
      </c>
      <c r="AW98" s="5"/>
      <c r="DU98" s="4"/>
      <c r="DZ98" s="5"/>
      <c r="EA98" s="5"/>
      <c r="EB98" s="5"/>
      <c r="EC98" s="5"/>
      <c r="ED98" s="5"/>
      <c r="EE98" s="5"/>
    </row>
    <row r="99">
      <c r="A99" s="143">
        <v>10.0</v>
      </c>
      <c r="B99" s="143" t="s">
        <v>240</v>
      </c>
      <c r="C99" s="143" t="s">
        <v>213</v>
      </c>
      <c r="D99" s="143" t="s">
        <v>233</v>
      </c>
      <c r="E99" s="143">
        <v>47.0</v>
      </c>
      <c r="F99" s="143">
        <v>35.0</v>
      </c>
      <c r="G99" s="143">
        <v>0.573</v>
      </c>
      <c r="H99" s="143">
        <v>0.76</v>
      </c>
      <c r="I99" s="143">
        <v>108.95</v>
      </c>
      <c r="J99" s="143">
        <v>108.17</v>
      </c>
      <c r="K99" s="143">
        <v>0.78</v>
      </c>
      <c r="L99" s="143">
        <v>1.15</v>
      </c>
      <c r="M99" s="143">
        <v>108.94</v>
      </c>
      <c r="N99" s="143">
        <v>107.75</v>
      </c>
      <c r="O99" s="4">
        <v>1.18</v>
      </c>
      <c r="P99" s="4">
        <f t="shared" si="245"/>
        <v>-0.5885</v>
      </c>
      <c r="Q99" s="4">
        <f t="shared" si="246"/>
        <v>1.7785</v>
      </c>
      <c r="AW99" s="5"/>
      <c r="DU99" s="4"/>
      <c r="DZ99" s="5"/>
      <c r="EA99" s="5"/>
      <c r="EB99" s="5"/>
      <c r="EC99" s="5"/>
      <c r="ED99" s="5"/>
      <c r="EE99" s="5"/>
    </row>
    <row r="100">
      <c r="A100" s="143">
        <v>11.0</v>
      </c>
      <c r="B100" s="143" t="s">
        <v>241</v>
      </c>
      <c r="C100" s="143" t="s">
        <v>213</v>
      </c>
      <c r="D100" s="143" t="s">
        <v>229</v>
      </c>
      <c r="E100" s="143">
        <v>43.0</v>
      </c>
      <c r="F100" s="143">
        <v>39.0</v>
      </c>
      <c r="G100" s="143">
        <v>0.524</v>
      </c>
      <c r="H100" s="143">
        <v>0.49</v>
      </c>
      <c r="I100" s="143">
        <v>108.59</v>
      </c>
      <c r="J100" s="143">
        <v>107.89</v>
      </c>
      <c r="K100" s="143">
        <v>0.7</v>
      </c>
      <c r="L100" s="143">
        <v>0.96</v>
      </c>
      <c r="M100" s="143">
        <v>108.71</v>
      </c>
      <c r="N100" s="143">
        <v>107.55</v>
      </c>
      <c r="O100" s="4">
        <v>1.17</v>
      </c>
      <c r="P100" s="4">
        <f t="shared" si="245"/>
        <v>-0.8185</v>
      </c>
      <c r="Q100" s="4">
        <f t="shared" si="246"/>
        <v>1.9785</v>
      </c>
      <c r="AW100" s="5"/>
      <c r="DU100" s="4"/>
      <c r="DZ100" s="5"/>
      <c r="EA100" s="5"/>
      <c r="EB100" s="5"/>
      <c r="EC100" s="5"/>
      <c r="ED100" s="5"/>
      <c r="EE100" s="5"/>
    </row>
    <row r="101">
      <c r="A101" s="143">
        <v>12.0</v>
      </c>
      <c r="B101" s="143" t="s">
        <v>242</v>
      </c>
      <c r="C101" s="143" t="s">
        <v>235</v>
      </c>
      <c r="D101" s="143" t="s">
        <v>239</v>
      </c>
      <c r="E101" s="143">
        <v>41.0</v>
      </c>
      <c r="F101" s="143">
        <v>41.0</v>
      </c>
      <c r="G101" s="143">
        <v>0.5</v>
      </c>
      <c r="H101" s="143">
        <v>1.06</v>
      </c>
      <c r="I101" s="143">
        <v>108.73</v>
      </c>
      <c r="J101" s="143">
        <v>107.65</v>
      </c>
      <c r="K101" s="143">
        <v>1.09</v>
      </c>
      <c r="L101" s="143">
        <v>0.78</v>
      </c>
      <c r="M101" s="143">
        <v>108.62</v>
      </c>
      <c r="N101" s="143">
        <v>107.84</v>
      </c>
      <c r="O101" s="4">
        <v>0.79</v>
      </c>
      <c r="P101" s="4">
        <f t="shared" si="245"/>
        <v>-0.9085</v>
      </c>
      <c r="Q101" s="4">
        <f t="shared" si="246"/>
        <v>1.6885</v>
      </c>
      <c r="AW101" s="5"/>
      <c r="DU101" s="4"/>
      <c r="DZ101" s="5"/>
      <c r="EA101" s="5"/>
      <c r="EB101" s="5"/>
      <c r="EC101" s="5"/>
      <c r="ED101" s="5"/>
      <c r="EE101" s="5"/>
    </row>
    <row r="102">
      <c r="A102" s="143">
        <v>13.0</v>
      </c>
      <c r="B102" s="143" t="s">
        <v>243</v>
      </c>
      <c r="C102" s="143" t="s">
        <v>213</v>
      </c>
      <c r="D102" s="143" t="s">
        <v>233</v>
      </c>
      <c r="E102" s="143">
        <v>40.0</v>
      </c>
      <c r="F102" s="143">
        <v>42.0</v>
      </c>
      <c r="G102" s="143">
        <v>0.488</v>
      </c>
      <c r="H102" s="143">
        <v>0.51</v>
      </c>
      <c r="I102" s="143">
        <v>113.9</v>
      </c>
      <c r="J102" s="143">
        <v>113.43</v>
      </c>
      <c r="K102" s="143">
        <v>0.47</v>
      </c>
      <c r="L102" s="143">
        <v>0.7</v>
      </c>
      <c r="M102" s="143">
        <v>114.06</v>
      </c>
      <c r="N102" s="143">
        <v>113.39</v>
      </c>
      <c r="O102" s="4">
        <v>0.67</v>
      </c>
      <c r="P102" s="4">
        <f t="shared" si="245"/>
        <v>4.5315</v>
      </c>
      <c r="Q102" s="4">
        <f t="shared" si="246"/>
        <v>-3.8615</v>
      </c>
      <c r="AW102" s="5"/>
      <c r="DU102" s="4"/>
      <c r="DZ102" s="5"/>
      <c r="EA102" s="5"/>
      <c r="EB102" s="5"/>
      <c r="EC102" s="5"/>
      <c r="ED102" s="5"/>
      <c r="EE102" s="5"/>
    </row>
    <row r="103">
      <c r="A103" s="143">
        <v>14.0</v>
      </c>
      <c r="B103" s="143" t="s">
        <v>244</v>
      </c>
      <c r="C103" s="143" t="s">
        <v>235</v>
      </c>
      <c r="D103" s="143" t="s">
        <v>239</v>
      </c>
      <c r="E103" s="143">
        <v>36.0</v>
      </c>
      <c r="F103" s="143">
        <v>46.0</v>
      </c>
      <c r="G103" s="143">
        <v>0.439</v>
      </c>
      <c r="H103" s="143">
        <v>0.2</v>
      </c>
      <c r="I103" s="143">
        <v>109.57</v>
      </c>
      <c r="J103" s="143">
        <v>109.31</v>
      </c>
      <c r="K103" s="143">
        <v>0.25</v>
      </c>
      <c r="L103" s="143">
        <v>-0.06</v>
      </c>
      <c r="M103" s="143">
        <v>109.53</v>
      </c>
      <c r="N103" s="143">
        <v>109.55</v>
      </c>
      <c r="O103" s="4">
        <v>-0.02</v>
      </c>
      <c r="P103" s="4">
        <f t="shared" si="245"/>
        <v>0.0015</v>
      </c>
      <c r="Q103" s="4">
        <f t="shared" si="246"/>
        <v>-0.0215</v>
      </c>
      <c r="AW103" s="5"/>
      <c r="DU103" s="4"/>
      <c r="DZ103" s="5"/>
      <c r="EA103" s="5"/>
      <c r="EB103" s="5"/>
      <c r="EC103" s="5"/>
      <c r="ED103" s="5"/>
      <c r="EE103" s="5"/>
    </row>
    <row r="104">
      <c r="A104" s="143">
        <v>15.0</v>
      </c>
      <c r="B104" s="143" t="s">
        <v>245</v>
      </c>
      <c r="C104" s="143" t="s">
        <v>235</v>
      </c>
      <c r="D104" s="143" t="s">
        <v>175</v>
      </c>
      <c r="E104" s="143">
        <v>41.0</v>
      </c>
      <c r="F104" s="143">
        <v>41.0</v>
      </c>
      <c r="G104" s="143">
        <v>0.5</v>
      </c>
      <c r="H104" s="143">
        <v>0.43</v>
      </c>
      <c r="I104" s="143">
        <v>108.04</v>
      </c>
      <c r="J104" s="143">
        <v>107.72</v>
      </c>
      <c r="K104" s="143">
        <v>0.32</v>
      </c>
      <c r="L104" s="143">
        <v>0.03</v>
      </c>
      <c r="M104" s="143">
        <v>107.91</v>
      </c>
      <c r="N104" s="143">
        <v>107.98</v>
      </c>
      <c r="O104" s="4">
        <v>-0.08</v>
      </c>
      <c r="P104" s="4">
        <f t="shared" si="245"/>
        <v>-1.6185</v>
      </c>
      <c r="Q104" s="4">
        <f t="shared" si="246"/>
        <v>1.5485</v>
      </c>
      <c r="AW104" s="5"/>
      <c r="DU104" s="4"/>
      <c r="DZ104" s="5"/>
      <c r="EA104" s="5"/>
      <c r="EB104" s="5"/>
      <c r="EC104" s="5"/>
      <c r="ED104" s="5"/>
      <c r="EE104" s="5"/>
    </row>
    <row r="105">
      <c r="A105" s="143">
        <v>16.0</v>
      </c>
      <c r="B105" s="143" t="s">
        <v>246</v>
      </c>
      <c r="C105" s="143" t="s">
        <v>213</v>
      </c>
      <c r="D105" s="143" t="s">
        <v>233</v>
      </c>
      <c r="E105" s="143">
        <v>41.0</v>
      </c>
      <c r="F105" s="143">
        <v>41.0</v>
      </c>
      <c r="G105" s="143">
        <v>0.5</v>
      </c>
      <c r="H105" s="143">
        <v>-0.52</v>
      </c>
      <c r="I105" s="143">
        <v>110.93</v>
      </c>
      <c r="J105" s="143">
        <v>111.46</v>
      </c>
      <c r="K105" s="143">
        <v>-0.53</v>
      </c>
      <c r="L105" s="143">
        <v>-0.23</v>
      </c>
      <c r="M105" s="143">
        <v>111.09</v>
      </c>
      <c r="N105" s="143">
        <v>111.31</v>
      </c>
      <c r="O105" s="4">
        <v>-0.22</v>
      </c>
      <c r="P105" s="4">
        <f t="shared" si="245"/>
        <v>1.5615</v>
      </c>
      <c r="Q105" s="4">
        <f t="shared" si="246"/>
        <v>-1.7815</v>
      </c>
      <c r="AW105" s="5"/>
      <c r="DU105" s="4"/>
      <c r="DZ105" s="5"/>
      <c r="EA105" s="5"/>
      <c r="EB105" s="5"/>
      <c r="EC105" s="5"/>
      <c r="ED105" s="5"/>
      <c r="EE105" s="5"/>
    </row>
    <row r="106">
      <c r="A106" s="143">
        <v>17.0</v>
      </c>
      <c r="B106" s="143" t="s">
        <v>247</v>
      </c>
      <c r="C106" s="143" t="s">
        <v>235</v>
      </c>
      <c r="D106" s="143" t="s">
        <v>175</v>
      </c>
      <c r="E106" s="143">
        <v>42.0</v>
      </c>
      <c r="F106" s="143">
        <v>40.0</v>
      </c>
      <c r="G106" s="143">
        <v>0.512</v>
      </c>
      <c r="H106" s="143">
        <v>-0.18</v>
      </c>
      <c r="I106" s="143">
        <v>109.92</v>
      </c>
      <c r="J106" s="143">
        <v>110.16</v>
      </c>
      <c r="K106" s="143">
        <v>-0.23</v>
      </c>
      <c r="L106" s="143">
        <v>-0.44</v>
      </c>
      <c r="M106" s="143">
        <v>109.96</v>
      </c>
      <c r="N106" s="143">
        <v>110.46</v>
      </c>
      <c r="O106" s="4">
        <v>-0.5</v>
      </c>
      <c r="P106" s="4">
        <f t="shared" si="245"/>
        <v>0.4315</v>
      </c>
      <c r="Q106" s="4">
        <f t="shared" si="246"/>
        <v>-0.9315</v>
      </c>
      <c r="AW106" s="5"/>
      <c r="DU106" s="4"/>
      <c r="DZ106" s="5"/>
      <c r="EA106" s="5"/>
      <c r="EB106" s="5"/>
      <c r="EC106" s="5"/>
      <c r="ED106" s="5"/>
      <c r="EE106" s="5"/>
    </row>
    <row r="107">
      <c r="A107" s="143">
        <v>18.0</v>
      </c>
      <c r="B107" s="143" t="s">
        <v>248</v>
      </c>
      <c r="C107" s="143" t="s">
        <v>235</v>
      </c>
      <c r="D107" s="143" t="s">
        <v>175</v>
      </c>
      <c r="E107" s="143">
        <v>42.0</v>
      </c>
      <c r="F107" s="143">
        <v>40.0</v>
      </c>
      <c r="G107" s="143">
        <v>0.512</v>
      </c>
      <c r="H107" s="143">
        <v>-0.22</v>
      </c>
      <c r="I107" s="143">
        <v>109.33</v>
      </c>
      <c r="J107" s="143">
        <v>109.49</v>
      </c>
      <c r="K107" s="143">
        <v>-0.16</v>
      </c>
      <c r="L107" s="143">
        <v>-0.64</v>
      </c>
      <c r="M107" s="143">
        <v>109.21</v>
      </c>
      <c r="N107" s="143">
        <v>109.81</v>
      </c>
      <c r="O107" s="4">
        <v>-0.6</v>
      </c>
      <c r="P107" s="4">
        <f t="shared" si="245"/>
        <v>-0.3185</v>
      </c>
      <c r="Q107" s="4">
        <f t="shared" si="246"/>
        <v>-0.2815</v>
      </c>
      <c r="AW107" s="5"/>
      <c r="DU107" s="4"/>
      <c r="DZ107" s="5"/>
      <c r="EA107" s="5"/>
      <c r="EB107" s="5"/>
      <c r="EC107" s="5"/>
      <c r="ED107" s="5"/>
      <c r="EE107" s="5"/>
    </row>
    <row r="108">
      <c r="A108" s="143">
        <v>19.0</v>
      </c>
      <c r="B108" s="143" t="s">
        <v>249</v>
      </c>
      <c r="C108" s="143" t="s">
        <v>213</v>
      </c>
      <c r="D108" s="143" t="s">
        <v>233</v>
      </c>
      <c r="E108" s="143">
        <v>31.0</v>
      </c>
      <c r="F108" s="143">
        <v>51.0</v>
      </c>
      <c r="G108" s="143">
        <v>0.378</v>
      </c>
      <c r="H108" s="143">
        <v>-1.11</v>
      </c>
      <c r="I108" s="143">
        <v>111.54</v>
      </c>
      <c r="J108" s="143">
        <v>112.74</v>
      </c>
      <c r="K108" s="143">
        <v>-1.2</v>
      </c>
      <c r="L108" s="143">
        <v>-0.63</v>
      </c>
      <c r="M108" s="143">
        <v>111.75</v>
      </c>
      <c r="N108" s="143">
        <v>112.46</v>
      </c>
      <c r="O108" s="4">
        <v>-0.71</v>
      </c>
      <c r="P108" s="4">
        <f t="shared" si="245"/>
        <v>2.2215</v>
      </c>
      <c r="Q108" s="4">
        <f t="shared" si="246"/>
        <v>-2.9315</v>
      </c>
      <c r="AW108" s="5"/>
      <c r="DU108" s="4"/>
      <c r="DZ108" s="5"/>
      <c r="EA108" s="5"/>
      <c r="EB108" s="5"/>
      <c r="EC108" s="5"/>
      <c r="ED108" s="5"/>
      <c r="EE108" s="5"/>
    </row>
    <row r="109">
      <c r="A109" s="143">
        <v>20.0</v>
      </c>
      <c r="B109" s="143" t="s">
        <v>250</v>
      </c>
      <c r="C109" s="143" t="s">
        <v>235</v>
      </c>
      <c r="D109" s="143" t="s">
        <v>239</v>
      </c>
      <c r="E109" s="143">
        <v>43.0</v>
      </c>
      <c r="F109" s="143">
        <v>39.0</v>
      </c>
      <c r="G109" s="143">
        <v>0.524</v>
      </c>
      <c r="H109" s="143">
        <v>-0.85</v>
      </c>
      <c r="I109" s="143">
        <v>105.55</v>
      </c>
      <c r="J109" s="143">
        <v>106.54</v>
      </c>
      <c r="K109" s="143">
        <v>-0.99</v>
      </c>
      <c r="L109" s="143">
        <v>-1.23</v>
      </c>
      <c r="M109" s="143">
        <v>105.32</v>
      </c>
      <c r="N109" s="143">
        <v>106.69</v>
      </c>
      <c r="O109" s="4">
        <v>-1.37</v>
      </c>
      <c r="P109" s="4">
        <f t="shared" si="245"/>
        <v>-4.2085</v>
      </c>
      <c r="Q109" s="4">
        <f t="shared" si="246"/>
        <v>2.8385</v>
      </c>
      <c r="AW109" s="5"/>
      <c r="DU109" s="4"/>
      <c r="DZ109" s="5"/>
      <c r="EA109" s="5"/>
      <c r="EB109" s="5"/>
      <c r="EC109" s="5"/>
      <c r="ED109" s="5"/>
      <c r="EE109" s="5"/>
    </row>
    <row r="110">
      <c r="A110" s="143">
        <v>21.0</v>
      </c>
      <c r="B110" s="143" t="s">
        <v>251</v>
      </c>
      <c r="C110" s="143" t="s">
        <v>235</v>
      </c>
      <c r="D110" s="143" t="s">
        <v>175</v>
      </c>
      <c r="E110" s="143">
        <v>37.0</v>
      </c>
      <c r="F110" s="143">
        <v>45.0</v>
      </c>
      <c r="G110" s="143">
        <v>0.451</v>
      </c>
      <c r="H110" s="143">
        <v>-1.12</v>
      </c>
      <c r="I110" s="143">
        <v>106.53</v>
      </c>
      <c r="J110" s="143">
        <v>107.9</v>
      </c>
      <c r="K110" s="143">
        <v>-1.37</v>
      </c>
      <c r="L110" s="143">
        <v>-1.29</v>
      </c>
      <c r="M110" s="143">
        <v>106.39</v>
      </c>
      <c r="N110" s="143">
        <v>107.93</v>
      </c>
      <c r="O110" s="4">
        <v>-1.54</v>
      </c>
      <c r="P110" s="4">
        <f t="shared" si="245"/>
        <v>-3.1385</v>
      </c>
      <c r="Q110" s="4">
        <f t="shared" si="246"/>
        <v>1.5985</v>
      </c>
      <c r="AW110" s="5"/>
      <c r="DU110" s="4"/>
      <c r="DZ110" s="5"/>
      <c r="EA110" s="5"/>
      <c r="EB110" s="5"/>
      <c r="EC110" s="5"/>
      <c r="ED110" s="5"/>
      <c r="EE110" s="5"/>
    </row>
    <row r="111">
      <c r="A111" s="143">
        <v>22.0</v>
      </c>
      <c r="B111" s="143" t="s">
        <v>252</v>
      </c>
      <c r="C111" s="143" t="s">
        <v>213</v>
      </c>
      <c r="D111" s="143" t="s">
        <v>229</v>
      </c>
      <c r="E111" s="143">
        <v>34.0</v>
      </c>
      <c r="F111" s="143">
        <v>48.0</v>
      </c>
      <c r="G111" s="143">
        <v>0.415</v>
      </c>
      <c r="H111" s="143">
        <v>-2.1</v>
      </c>
      <c r="I111" s="143">
        <v>105.81</v>
      </c>
      <c r="J111" s="143">
        <v>108.01</v>
      </c>
      <c r="K111" s="143">
        <v>-2.2</v>
      </c>
      <c r="L111" s="143">
        <v>-1.69</v>
      </c>
      <c r="M111" s="143">
        <v>105.79</v>
      </c>
      <c r="N111" s="143">
        <v>107.57</v>
      </c>
      <c r="O111" s="4">
        <v>-1.78</v>
      </c>
      <c r="P111" s="4">
        <f t="shared" si="245"/>
        <v>-3.7385</v>
      </c>
      <c r="Q111" s="4">
        <f t="shared" si="246"/>
        <v>1.9585</v>
      </c>
      <c r="AW111" s="5"/>
      <c r="DU111" s="4"/>
      <c r="DZ111" s="5"/>
      <c r="EA111" s="5"/>
      <c r="EB111" s="5"/>
      <c r="EC111" s="5"/>
      <c r="ED111" s="5"/>
      <c r="EE111" s="5"/>
    </row>
    <row r="112">
      <c r="A112" s="143">
        <v>23.0</v>
      </c>
      <c r="B112" s="143" t="s">
        <v>253</v>
      </c>
      <c r="C112" s="143" t="s">
        <v>213</v>
      </c>
      <c r="D112" s="143" t="s">
        <v>229</v>
      </c>
      <c r="E112" s="143">
        <v>33.0</v>
      </c>
      <c r="F112" s="143">
        <v>49.0</v>
      </c>
      <c r="G112" s="143">
        <v>0.402</v>
      </c>
      <c r="H112" s="143">
        <v>-2.93</v>
      </c>
      <c r="I112" s="143">
        <v>106.28</v>
      </c>
      <c r="J112" s="143">
        <v>109.36</v>
      </c>
      <c r="K112" s="143">
        <v>-3.08</v>
      </c>
      <c r="L112" s="143">
        <v>-2.52</v>
      </c>
      <c r="M112" s="143">
        <v>106.31</v>
      </c>
      <c r="N112" s="143">
        <v>108.96</v>
      </c>
      <c r="O112" s="4">
        <v>-2.65</v>
      </c>
      <c r="P112" s="4">
        <f t="shared" si="245"/>
        <v>-3.2185</v>
      </c>
      <c r="Q112" s="4">
        <f t="shared" si="246"/>
        <v>0.5685</v>
      </c>
      <c r="AW112" s="5"/>
      <c r="DU112" s="4"/>
      <c r="DZ112" s="5"/>
      <c r="EA112" s="5"/>
      <c r="EB112" s="5"/>
      <c r="EC112" s="5"/>
      <c r="ED112" s="5"/>
      <c r="EE112" s="5"/>
    </row>
    <row r="113">
      <c r="A113" s="143">
        <v>24.0</v>
      </c>
      <c r="B113" s="143" t="s">
        <v>254</v>
      </c>
      <c r="C113" s="143" t="s">
        <v>213</v>
      </c>
      <c r="D113" s="143" t="s">
        <v>227</v>
      </c>
      <c r="E113" s="143">
        <v>32.0</v>
      </c>
      <c r="F113" s="143">
        <v>50.0</v>
      </c>
      <c r="G113" s="143">
        <v>0.39</v>
      </c>
      <c r="H113" s="143">
        <v>-3.88</v>
      </c>
      <c r="I113" s="143">
        <v>107.98</v>
      </c>
      <c r="J113" s="143">
        <v>112.18</v>
      </c>
      <c r="K113" s="143">
        <v>-4.21</v>
      </c>
      <c r="L113" s="143">
        <v>-3.29</v>
      </c>
      <c r="M113" s="143">
        <v>108.12</v>
      </c>
      <c r="N113" s="143">
        <v>111.72</v>
      </c>
      <c r="O113" s="4">
        <v>-3.59</v>
      </c>
      <c r="P113" s="4">
        <f t="shared" si="245"/>
        <v>-1.4085</v>
      </c>
      <c r="Q113" s="4">
        <f t="shared" si="246"/>
        <v>-2.1915</v>
      </c>
      <c r="AW113" s="5"/>
      <c r="DU113" s="4"/>
      <c r="DZ113" s="5"/>
      <c r="EA113" s="5"/>
      <c r="EB113" s="5"/>
      <c r="EC113" s="5"/>
      <c r="ED113" s="5"/>
      <c r="EE113" s="5"/>
    </row>
    <row r="114">
      <c r="A114" s="143">
        <v>25.0</v>
      </c>
      <c r="B114" s="143" t="s">
        <v>255</v>
      </c>
      <c r="C114" s="143" t="s">
        <v>235</v>
      </c>
      <c r="D114" s="143" t="s">
        <v>236</v>
      </c>
      <c r="E114" s="143">
        <v>31.0</v>
      </c>
      <c r="F114" s="143">
        <v>51.0</v>
      </c>
      <c r="G114" s="143">
        <v>0.378</v>
      </c>
      <c r="H114" s="143">
        <v>-3.67</v>
      </c>
      <c r="I114" s="143">
        <v>108.57</v>
      </c>
      <c r="J114" s="143">
        <v>112.35</v>
      </c>
      <c r="K114" s="143">
        <v>-3.77</v>
      </c>
      <c r="L114" s="143">
        <v>-3.87</v>
      </c>
      <c r="M114" s="143">
        <v>108.62</v>
      </c>
      <c r="N114" s="143">
        <v>112.6</v>
      </c>
      <c r="O114" s="4">
        <v>-3.98</v>
      </c>
      <c r="P114" s="4">
        <f t="shared" si="245"/>
        <v>-0.9085</v>
      </c>
      <c r="Q114" s="4">
        <f t="shared" si="246"/>
        <v>-3.0715</v>
      </c>
      <c r="AW114" s="5"/>
      <c r="DU114" s="4"/>
      <c r="DZ114" s="5"/>
      <c r="EA114" s="5"/>
      <c r="EB114" s="5"/>
      <c r="EC114" s="5"/>
      <c r="ED114" s="5"/>
      <c r="EE114" s="5"/>
    </row>
    <row r="115">
      <c r="A115" s="143">
        <v>26.0</v>
      </c>
      <c r="B115" s="143" t="s">
        <v>256</v>
      </c>
      <c r="C115" s="143" t="s">
        <v>213</v>
      </c>
      <c r="D115" s="143" t="s">
        <v>227</v>
      </c>
      <c r="E115" s="143">
        <v>24.0</v>
      </c>
      <c r="F115" s="143">
        <v>58.0</v>
      </c>
      <c r="G115" s="143">
        <v>0.293</v>
      </c>
      <c r="H115" s="143">
        <v>-5.63</v>
      </c>
      <c r="I115" s="143">
        <v>107.32</v>
      </c>
      <c r="J115" s="143">
        <v>112.79</v>
      </c>
      <c r="K115" s="143">
        <v>-5.47</v>
      </c>
      <c r="L115" s="143">
        <v>-5.14</v>
      </c>
      <c r="M115" s="143">
        <v>107.43</v>
      </c>
      <c r="N115" s="143">
        <v>112.41</v>
      </c>
      <c r="O115" s="4">
        <v>-4.98</v>
      </c>
      <c r="P115" s="4">
        <f t="shared" si="245"/>
        <v>-2.0985</v>
      </c>
      <c r="Q115" s="4">
        <f t="shared" si="246"/>
        <v>-2.8815</v>
      </c>
      <c r="AW115" s="5"/>
      <c r="DU115" s="4"/>
      <c r="DZ115" s="5"/>
      <c r="EA115" s="5"/>
      <c r="EB115" s="5"/>
      <c r="EC115" s="5"/>
      <c r="ED115" s="5"/>
      <c r="EE115" s="5"/>
    </row>
    <row r="116">
      <c r="A116" s="143">
        <v>27.0</v>
      </c>
      <c r="B116" s="143" t="s">
        <v>257</v>
      </c>
      <c r="C116" s="143" t="s">
        <v>235</v>
      </c>
      <c r="D116" s="143" t="s">
        <v>236</v>
      </c>
      <c r="E116" s="143">
        <v>28.0</v>
      </c>
      <c r="F116" s="143">
        <v>54.0</v>
      </c>
      <c r="G116" s="143">
        <v>0.341</v>
      </c>
      <c r="H116" s="143">
        <v>-5.7</v>
      </c>
      <c r="I116" s="143">
        <v>103.96</v>
      </c>
      <c r="J116" s="143">
        <v>109.81</v>
      </c>
      <c r="K116" s="143">
        <v>-5.85</v>
      </c>
      <c r="L116" s="143">
        <v>-5.83</v>
      </c>
      <c r="M116" s="143">
        <v>103.92</v>
      </c>
      <c r="N116" s="143">
        <v>109.91</v>
      </c>
      <c r="O116" s="4">
        <v>-5.99</v>
      </c>
      <c r="P116" s="4">
        <f t="shared" si="245"/>
        <v>-5.6085</v>
      </c>
      <c r="Q116" s="4">
        <f t="shared" si="246"/>
        <v>-0.3815</v>
      </c>
      <c r="AW116" s="5"/>
      <c r="DU116" s="4"/>
      <c r="DZ116" s="5"/>
      <c r="EA116" s="5"/>
      <c r="EB116" s="5"/>
      <c r="EC116" s="5"/>
      <c r="ED116" s="5"/>
      <c r="EE116" s="5"/>
    </row>
    <row r="117">
      <c r="A117" s="143">
        <v>28.0</v>
      </c>
      <c r="B117" s="143" t="s">
        <v>258</v>
      </c>
      <c r="C117" s="143" t="s">
        <v>213</v>
      </c>
      <c r="D117" s="143" t="s">
        <v>227</v>
      </c>
      <c r="E117" s="143">
        <v>26.0</v>
      </c>
      <c r="F117" s="143">
        <v>56.0</v>
      </c>
      <c r="G117" s="143">
        <v>0.317</v>
      </c>
      <c r="H117" s="143">
        <v>-6.88</v>
      </c>
      <c r="I117" s="143">
        <v>106.69</v>
      </c>
      <c r="J117" s="143">
        <v>113.72</v>
      </c>
      <c r="K117" s="143">
        <v>-7.02</v>
      </c>
      <c r="L117" s="143">
        <v>-6.29</v>
      </c>
      <c r="M117" s="143">
        <v>106.96</v>
      </c>
      <c r="N117" s="143">
        <v>113.38</v>
      </c>
      <c r="O117" s="4">
        <v>-6.42</v>
      </c>
      <c r="P117" s="4">
        <f t="shared" si="245"/>
        <v>-2.5685</v>
      </c>
      <c r="Q117" s="4">
        <f t="shared" si="246"/>
        <v>-3.8515</v>
      </c>
      <c r="AW117" s="5"/>
      <c r="DU117" s="4"/>
      <c r="DZ117" s="5"/>
      <c r="EA117" s="5"/>
      <c r="EB117" s="5"/>
      <c r="EC117" s="5"/>
      <c r="ED117" s="5"/>
      <c r="EE117" s="5"/>
    </row>
    <row r="118">
      <c r="A118" s="143">
        <v>29.0</v>
      </c>
      <c r="B118" s="143" t="s">
        <v>259</v>
      </c>
      <c r="C118" s="143" t="s">
        <v>235</v>
      </c>
      <c r="D118" s="143" t="s">
        <v>236</v>
      </c>
      <c r="E118" s="143">
        <v>20.0</v>
      </c>
      <c r="F118" s="143">
        <v>62.0</v>
      </c>
      <c r="G118" s="143">
        <v>0.244</v>
      </c>
      <c r="H118" s="143">
        <v>-6.73</v>
      </c>
      <c r="I118" s="143">
        <v>104.61</v>
      </c>
      <c r="J118" s="143">
        <v>111.34</v>
      </c>
      <c r="K118" s="143">
        <v>-6.73</v>
      </c>
      <c r="L118" s="143">
        <v>-6.74</v>
      </c>
      <c r="M118" s="143">
        <v>104.63</v>
      </c>
      <c r="N118" s="143">
        <v>111.37</v>
      </c>
      <c r="O118" s="4">
        <v>-6.74</v>
      </c>
      <c r="P118" s="4">
        <f t="shared" si="245"/>
        <v>-4.8985</v>
      </c>
      <c r="Q118" s="4">
        <f t="shared" si="246"/>
        <v>-1.8415</v>
      </c>
      <c r="AW118" s="5"/>
      <c r="DU118" s="4"/>
      <c r="DZ118" s="5"/>
      <c r="EA118" s="5"/>
      <c r="EB118" s="5"/>
      <c r="EC118" s="5"/>
      <c r="ED118" s="5"/>
      <c r="EE118" s="5"/>
    </row>
    <row r="119">
      <c r="A119" s="143">
        <v>30.0</v>
      </c>
      <c r="B119" s="143" t="s">
        <v>260</v>
      </c>
      <c r="C119" s="143" t="s">
        <v>235</v>
      </c>
      <c r="D119" s="143" t="s">
        <v>239</v>
      </c>
      <c r="E119" s="143">
        <v>29.0</v>
      </c>
      <c r="F119" s="143">
        <v>53.0</v>
      </c>
      <c r="G119" s="143">
        <v>0.354</v>
      </c>
      <c r="H119" s="143">
        <v>-6.57</v>
      </c>
      <c r="I119" s="143">
        <v>104.23</v>
      </c>
      <c r="J119" s="143">
        <v>111.11</v>
      </c>
      <c r="K119" s="143">
        <v>-6.88</v>
      </c>
      <c r="L119" s="143">
        <v>-6.61</v>
      </c>
      <c r="M119" s="143">
        <v>104.3</v>
      </c>
      <c r="N119" s="143">
        <v>111.21</v>
      </c>
      <c r="O119" s="4">
        <v>-6.92</v>
      </c>
      <c r="P119" s="4">
        <f t="shared" si="245"/>
        <v>-5.2285</v>
      </c>
      <c r="Q119" s="4">
        <f t="shared" si="246"/>
        <v>-1.6815</v>
      </c>
      <c r="AW119" s="5"/>
      <c r="DU119" s="4"/>
      <c r="DZ119" s="5"/>
      <c r="EA119" s="5"/>
      <c r="EB119" s="5"/>
      <c r="EC119" s="5"/>
      <c r="ED119" s="5"/>
      <c r="EE119" s="5"/>
    </row>
    <row r="120">
      <c r="AW120" s="5"/>
      <c r="DU120" s="4"/>
      <c r="DZ120" s="5"/>
      <c r="EA120" s="5"/>
      <c r="EB120" s="5"/>
      <c r="EC120" s="5"/>
      <c r="ED120" s="5"/>
      <c r="EE120" s="5"/>
    </row>
    <row r="121">
      <c r="AW121" s="5"/>
      <c r="DU121" s="4"/>
      <c r="DZ121" s="5"/>
      <c r="EA121" s="5"/>
      <c r="EB121" s="5"/>
      <c r="EC121" s="5"/>
      <c r="ED121" s="5"/>
      <c r="EE121" s="5"/>
    </row>
    <row r="122">
      <c r="AW122" s="5"/>
      <c r="DU122" s="4"/>
      <c r="DZ122" s="5"/>
      <c r="EA122" s="5"/>
      <c r="EB122" s="5"/>
      <c r="EC122" s="5"/>
      <c r="ED122" s="5"/>
      <c r="EE122" s="5"/>
    </row>
    <row r="123">
      <c r="AW123" s="5"/>
      <c r="DU123" s="4"/>
      <c r="DZ123" s="5"/>
      <c r="EA123" s="5"/>
      <c r="EB123" s="5"/>
      <c r="EC123" s="5"/>
      <c r="ED123" s="5"/>
      <c r="EE123" s="5"/>
    </row>
    <row r="124">
      <c r="AW124" s="5"/>
      <c r="DU124" s="4"/>
      <c r="DZ124" s="5"/>
      <c r="EA124" s="5"/>
      <c r="EB124" s="5"/>
      <c r="EC124" s="5"/>
      <c r="ED124" s="5"/>
      <c r="EE124" s="5"/>
    </row>
    <row r="125">
      <c r="AW125" s="5"/>
      <c r="DU125" s="4"/>
      <c r="DZ125" s="5"/>
      <c r="EA125" s="5"/>
      <c r="EB125" s="5"/>
      <c r="EC125" s="5"/>
      <c r="ED125" s="5"/>
      <c r="EE125" s="5"/>
    </row>
    <row r="126">
      <c r="AW126" s="5"/>
      <c r="DU126" s="4"/>
      <c r="DZ126" s="5"/>
      <c r="EA126" s="5"/>
      <c r="EB126" s="5"/>
      <c r="EC126" s="5"/>
      <c r="ED126" s="5"/>
      <c r="EE126" s="5"/>
    </row>
    <row r="127">
      <c r="J127" s="61" t="s">
        <v>261</v>
      </c>
      <c r="K127" s="61">
        <v>2.3</v>
      </c>
      <c r="AW127" s="5"/>
      <c r="DU127" s="4"/>
      <c r="DZ127" s="5"/>
      <c r="EA127" s="5"/>
      <c r="EB127" s="5"/>
      <c r="EC127" s="5"/>
      <c r="ED127" s="5"/>
      <c r="EE127" s="5"/>
    </row>
    <row r="128">
      <c r="N128" s="70" t="s">
        <v>209</v>
      </c>
      <c r="O128" s="79"/>
      <c r="AW128" s="5"/>
      <c r="DU128" s="4"/>
      <c r="DZ128" s="5"/>
      <c r="EA128" s="5"/>
      <c r="EB128" s="5"/>
      <c r="EC128" s="5"/>
      <c r="ED128" s="5"/>
      <c r="EE128" s="5"/>
    </row>
    <row r="129">
      <c r="B129" s="61" t="s">
        <v>262</v>
      </c>
      <c r="C129" s="61" t="s">
        <v>51</v>
      </c>
      <c r="D129" s="70" t="s">
        <v>263</v>
      </c>
      <c r="E129" s="61" t="s">
        <v>264</v>
      </c>
      <c r="F129" s="61" t="s">
        <v>218</v>
      </c>
      <c r="G129" s="61" t="s">
        <v>265</v>
      </c>
      <c r="H129" s="61" t="s">
        <v>266</v>
      </c>
      <c r="I129" s="61" t="s">
        <v>267</v>
      </c>
      <c r="J129" s="61" t="s">
        <v>268</v>
      </c>
      <c r="K129" s="61" t="s">
        <v>269</v>
      </c>
      <c r="L129" s="61" t="s">
        <v>217</v>
      </c>
      <c r="M129" s="61" t="s">
        <v>218</v>
      </c>
      <c r="N129" s="70" t="s">
        <v>217</v>
      </c>
      <c r="O129" s="70" t="s">
        <v>218</v>
      </c>
      <c r="AW129" s="5"/>
      <c r="DU129" s="4"/>
      <c r="DZ129" s="5"/>
      <c r="EA129" s="5"/>
      <c r="EB129" s="5"/>
      <c r="EC129" s="5"/>
      <c r="ED129" s="5"/>
      <c r="EE129" s="5"/>
    </row>
    <row r="130">
      <c r="B130" s="143" t="str">
        <f>trim(right(left(C142,search(" (",C142)),len(left(C142,search(" (",C142)))-2))</f>
        <v>2.87</v>
      </c>
      <c r="C130" s="143">
        <f>value(trim(right(left(vlookup("Pace",$D$136:$E$150,2,false),7),6)))</f>
        <v>96.2</v>
      </c>
      <c r="D130" s="79">
        <f>B130/(C130/100)</f>
        <v>2.983367983</v>
      </c>
      <c r="E130" s="143" t="str">
        <f>trim(right(left(C143,search(" (",C143)),len(left(C143,search(" (",C143)))-2))</f>
        <v>113.6</v>
      </c>
      <c r="F130" s="143" t="str">
        <f>trim(right(left(E143,search(" (",E143)),len(left(E143,search(" (",E143)))-2))</f>
        <v>110.3</v>
      </c>
      <c r="G130" s="143">
        <f>value(left(right(E141,3),2))</f>
        <v>30</v>
      </c>
      <c r="H130" s="143">
        <f t="shared" ref="H130:I130" si="247">value(if(iserror(H132),left(H131,1),H131))</f>
        <v>3</v>
      </c>
      <c r="I130" s="143">
        <f t="shared" si="247"/>
        <v>21</v>
      </c>
      <c r="J130" s="143">
        <f t="shared" ref="J130:K130" si="248">normsinv(($G$130-(H130-0.5))/$G$130)</f>
        <v>1.382994127</v>
      </c>
      <c r="K130" s="143">
        <f t="shared" si="248"/>
        <v>-0.4770404289</v>
      </c>
      <c r="L130" s="143">
        <f>J130*K127</f>
        <v>3.180886493</v>
      </c>
      <c r="M130" s="143">
        <f>K130*K127</f>
        <v>-1.097192986</v>
      </c>
      <c r="N130" s="79">
        <f t="shared" ref="N130:O130" si="249">($D$130-sum($L$130:$M$130))/2+L130</f>
        <v>3.630723731</v>
      </c>
      <c r="O130" s="79">
        <f t="shared" si="249"/>
        <v>-0.6473557481</v>
      </c>
      <c r="AW130" s="5"/>
      <c r="DU130" s="4"/>
      <c r="DZ130" s="5"/>
      <c r="EA130" s="5"/>
      <c r="EB130" s="5"/>
      <c r="EC130" s="5"/>
      <c r="ED130" s="5"/>
      <c r="EE130" s="5"/>
    </row>
    <row r="131">
      <c r="H131" s="143" t="str">
        <f>right(left(C143,search("(",C143)+2),2)</f>
        <v>3r</v>
      </c>
      <c r="I131" s="143" t="str">
        <f>right(left(E143,search("(",E143)+2),2)</f>
        <v>21</v>
      </c>
      <c r="AW131" s="5"/>
      <c r="DU131" s="4"/>
      <c r="DZ131" s="5"/>
      <c r="EA131" s="5"/>
      <c r="EB131" s="5"/>
      <c r="EC131" s="5"/>
      <c r="ED131" s="5"/>
      <c r="EE131" s="5"/>
    </row>
    <row r="132">
      <c r="H132" s="143" t="str">
        <f t="shared" ref="H132:I132" si="250">value(right(H131,1))</f>
        <v>#VALUE!</v>
      </c>
      <c r="I132" s="143">
        <f t="shared" si="250"/>
        <v>1</v>
      </c>
      <c r="AW132" s="5"/>
      <c r="DU132" s="4"/>
      <c r="DZ132" s="5"/>
      <c r="EA132" s="5"/>
      <c r="EB132" s="5"/>
      <c r="EC132" s="5"/>
      <c r="ED132" s="5"/>
      <c r="EE132" s="5"/>
    </row>
    <row r="133">
      <c r="AW133" s="5"/>
      <c r="DU133" s="4"/>
      <c r="DZ133" s="5"/>
      <c r="EA133" s="5"/>
      <c r="EB133" s="5"/>
      <c r="EC133" s="5"/>
      <c r="ED133" s="5"/>
      <c r="EE133" s="5"/>
    </row>
    <row r="134">
      <c r="B134" s="70" t="s">
        <v>270</v>
      </c>
      <c r="AW134" s="5"/>
      <c r="DU134" s="4"/>
      <c r="DZ134" s="5"/>
      <c r="EA134" s="5"/>
      <c r="EB134" s="5"/>
      <c r="EC134" s="5"/>
      <c r="ED134" s="5"/>
      <c r="EE134" s="5"/>
    </row>
    <row r="135">
      <c r="AW135" s="5"/>
      <c r="DU135" s="4"/>
      <c r="DZ135" s="5"/>
      <c r="EA135" s="5"/>
      <c r="EB135" s="5"/>
      <c r="EC135" s="5"/>
      <c r="ED135" s="5"/>
      <c r="EE135" s="5"/>
    </row>
    <row r="136">
      <c r="B136" s="143" t="s">
        <v>271</v>
      </c>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c r="AW136" s="5"/>
      <c r="DU136" s="4"/>
      <c r="DZ136" s="5"/>
      <c r="EA136" s="5"/>
      <c r="EB136" s="5"/>
      <c r="EC136" s="5"/>
      <c r="ED136" s="5"/>
      <c r="EE136" s="5"/>
    </row>
    <row r="137">
      <c r="B137" s="143" t="s">
        <v>272</v>
      </c>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c r="AW137" s="5"/>
      <c r="DU137" s="4"/>
      <c r="DZ137" s="5"/>
      <c r="EA137" s="5"/>
      <c r="EB137" s="5"/>
      <c r="EC137" s="5"/>
      <c r="ED137" s="5"/>
      <c r="EE137" s="5"/>
    </row>
    <row r="138">
      <c r="B138" s="143" t="s">
        <v>273</v>
      </c>
      <c r="C138" s="143" t="s">
        <v>274</v>
      </c>
      <c r="D138" s="143" t="s">
        <v>275</v>
      </c>
      <c r="E138" s="143" t="s">
        <v>276</v>
      </c>
      <c r="F138" s="143"/>
      <c r="G138" s="143"/>
      <c r="H138" s="143"/>
      <c r="I138" s="143"/>
      <c r="J138" s="143"/>
      <c r="K138" s="143"/>
      <c r="L138" s="143"/>
      <c r="M138" s="143"/>
      <c r="N138" s="143"/>
      <c r="O138" s="143"/>
      <c r="P138" s="143"/>
      <c r="Q138" s="143"/>
      <c r="R138" s="143"/>
      <c r="S138" s="143"/>
      <c r="T138" s="143"/>
      <c r="U138" s="143"/>
      <c r="V138" s="143"/>
      <c r="W138" s="143"/>
      <c r="X138" s="143"/>
      <c r="Y138" s="143"/>
      <c r="Z138" s="143"/>
      <c r="AW138" s="5"/>
      <c r="DU138" s="4"/>
      <c r="DZ138" s="5"/>
      <c r="EA138" s="5"/>
      <c r="EB138" s="5"/>
      <c r="EC138" s="5"/>
      <c r="ED138" s="5"/>
      <c r="EE138" s="5"/>
    </row>
    <row r="139">
      <c r="B139" s="143" t="s">
        <v>277</v>
      </c>
      <c r="C139" s="143" t="s">
        <v>278</v>
      </c>
      <c r="D139" s="143" t="s">
        <v>279</v>
      </c>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c r="AW139" s="5"/>
      <c r="DU139" s="4"/>
      <c r="DZ139" s="5"/>
      <c r="EA139" s="5"/>
      <c r="EB139" s="5"/>
      <c r="EC139" s="5"/>
      <c r="ED139" s="5"/>
      <c r="EE139" s="5"/>
    </row>
    <row r="140">
      <c r="B140" s="143" t="s">
        <v>280</v>
      </c>
      <c r="C140" s="143" t="s">
        <v>281</v>
      </c>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c r="AW140" s="5"/>
      <c r="DU140" s="4"/>
      <c r="DZ140" s="5"/>
      <c r="EA140" s="5"/>
      <c r="EB140" s="5"/>
      <c r="EC140" s="5"/>
      <c r="ED140" s="5"/>
      <c r="EE140" s="5"/>
    </row>
    <row r="141">
      <c r="B141" s="143" t="s">
        <v>282</v>
      </c>
      <c r="C141" s="143" t="s">
        <v>283</v>
      </c>
      <c r="D141" s="143" t="s">
        <v>284</v>
      </c>
      <c r="E141" s="143" t="s">
        <v>285</v>
      </c>
      <c r="F141" s="143"/>
      <c r="G141" s="143"/>
      <c r="H141" s="143"/>
      <c r="I141" s="143"/>
      <c r="J141" s="143"/>
      <c r="K141" s="143"/>
      <c r="L141" s="143"/>
      <c r="M141" s="143"/>
      <c r="N141" s="143"/>
      <c r="O141" s="143"/>
      <c r="P141" s="143"/>
      <c r="Q141" s="143"/>
      <c r="R141" s="143"/>
      <c r="S141" s="143"/>
      <c r="T141" s="143"/>
      <c r="U141" s="143"/>
      <c r="V141" s="143"/>
      <c r="W141" s="143"/>
      <c r="X141" s="143"/>
      <c r="Y141" s="143"/>
      <c r="Z141" s="143"/>
      <c r="AW141" s="5"/>
      <c r="DU141" s="4"/>
      <c r="DZ141" s="5"/>
      <c r="EA141" s="5"/>
      <c r="EB141" s="5"/>
      <c r="EC141" s="5"/>
      <c r="ED141" s="5"/>
      <c r="EE141" s="5"/>
    </row>
    <row r="142">
      <c r="B142" s="143" t="s">
        <v>262</v>
      </c>
      <c r="C142" s="143" t="s">
        <v>286</v>
      </c>
      <c r="D142" s="143" t="s">
        <v>51</v>
      </c>
      <c r="E142" s="143" t="s">
        <v>287</v>
      </c>
      <c r="F142" s="143"/>
      <c r="G142" s="143"/>
      <c r="H142" s="143"/>
      <c r="I142" s="143"/>
      <c r="J142" s="143"/>
      <c r="K142" s="143"/>
      <c r="L142" s="143"/>
      <c r="M142" s="143"/>
      <c r="N142" s="143"/>
      <c r="O142" s="143"/>
      <c r="P142" s="143"/>
      <c r="Q142" s="143"/>
      <c r="R142" s="143"/>
      <c r="S142" s="143"/>
      <c r="T142" s="143"/>
      <c r="U142" s="143"/>
      <c r="V142" s="143"/>
      <c r="W142" s="143"/>
      <c r="X142" s="143"/>
      <c r="Y142" s="143"/>
      <c r="Z142" s="143"/>
      <c r="AW142" s="5"/>
      <c r="DU142" s="4"/>
      <c r="DZ142" s="5"/>
      <c r="EA142" s="5"/>
      <c r="EB142" s="5"/>
      <c r="EC142" s="5"/>
      <c r="ED142" s="5"/>
      <c r="EE142" s="5"/>
    </row>
    <row r="143">
      <c r="B143" s="143" t="s">
        <v>288</v>
      </c>
      <c r="C143" s="143" t="s">
        <v>289</v>
      </c>
      <c r="D143" s="143" t="s">
        <v>290</v>
      </c>
      <c r="E143" s="143" t="s">
        <v>291</v>
      </c>
      <c r="F143" s="143"/>
      <c r="G143" s="143"/>
      <c r="H143" s="143"/>
      <c r="I143" s="143"/>
      <c r="J143" s="143"/>
      <c r="K143" s="143"/>
      <c r="L143" s="143"/>
      <c r="M143" s="143"/>
      <c r="N143" s="143"/>
      <c r="O143" s="143"/>
      <c r="P143" s="143"/>
      <c r="Q143" s="143"/>
      <c r="R143" s="143"/>
      <c r="S143" s="143"/>
      <c r="T143" s="143"/>
      <c r="U143" s="143"/>
      <c r="V143" s="143"/>
      <c r="W143" s="143"/>
      <c r="X143" s="143"/>
      <c r="Y143" s="143"/>
      <c r="Z143" s="143"/>
      <c r="AW143" s="5"/>
      <c r="DU143" s="4"/>
      <c r="DZ143" s="5"/>
      <c r="EA143" s="5"/>
      <c r="EB143" s="5"/>
      <c r="EC143" s="5"/>
      <c r="ED143" s="5"/>
      <c r="EE143" s="5"/>
    </row>
    <row r="144">
      <c r="B144" s="143" t="s">
        <v>292</v>
      </c>
      <c r="C144" s="143" t="s">
        <v>293</v>
      </c>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c r="AW144" s="5"/>
      <c r="DU144" s="4"/>
      <c r="DZ144" s="5"/>
      <c r="EA144" s="5"/>
      <c r="EB144" s="5"/>
      <c r="EC144" s="5"/>
      <c r="ED144" s="5"/>
      <c r="EE144" s="5"/>
    </row>
    <row r="145">
      <c r="B145" s="143" t="s">
        <v>294</v>
      </c>
      <c r="C145" s="143" t="s">
        <v>295</v>
      </c>
      <c r="D145" s="143" t="s">
        <v>296</v>
      </c>
      <c r="E145" s="143" t="s">
        <v>297</v>
      </c>
      <c r="F145" s="143"/>
      <c r="G145" s="143"/>
      <c r="H145" s="143"/>
      <c r="I145" s="143"/>
      <c r="J145" s="143"/>
      <c r="K145" s="143"/>
      <c r="L145" s="143"/>
      <c r="M145" s="143"/>
      <c r="N145" s="143"/>
      <c r="O145" s="143"/>
      <c r="P145" s="143"/>
      <c r="Q145" s="143"/>
      <c r="R145" s="143"/>
      <c r="S145" s="143"/>
      <c r="T145" s="143"/>
      <c r="U145" s="143"/>
      <c r="V145" s="143"/>
      <c r="W145" s="143"/>
      <c r="X145" s="143"/>
      <c r="Y145" s="143"/>
      <c r="Z145" s="143"/>
      <c r="AW145" s="5"/>
      <c r="DU145" s="4"/>
      <c r="DZ145" s="5"/>
      <c r="EA145" s="5"/>
      <c r="EB145" s="5"/>
      <c r="EC145" s="5"/>
      <c r="ED145" s="5"/>
      <c r="EE145" s="5"/>
    </row>
    <row r="146">
      <c r="B146" s="143" t="s">
        <v>298</v>
      </c>
      <c r="C146" s="143" t="s">
        <v>299</v>
      </c>
      <c r="D146" s="143" t="s">
        <v>300</v>
      </c>
      <c r="E146" s="143" t="s">
        <v>301</v>
      </c>
      <c r="F146" s="143"/>
      <c r="G146" s="143"/>
      <c r="H146" s="143"/>
      <c r="I146" s="143"/>
      <c r="J146" s="143"/>
      <c r="K146" s="143"/>
      <c r="L146" s="143"/>
      <c r="M146" s="143"/>
      <c r="N146" s="143"/>
      <c r="O146" s="143"/>
      <c r="P146" s="143"/>
      <c r="Q146" s="143"/>
      <c r="R146" s="143"/>
      <c r="S146" s="143"/>
      <c r="T146" s="143"/>
      <c r="U146" s="143"/>
      <c r="V146" s="143"/>
      <c r="W146" s="143"/>
      <c r="X146" s="143"/>
      <c r="Y146" s="143"/>
      <c r="Z146" s="143"/>
      <c r="AW146" s="5"/>
      <c r="DU146" s="4"/>
      <c r="DZ146" s="5"/>
      <c r="EA146" s="5"/>
      <c r="EB146" s="5"/>
      <c r="EC146" s="5"/>
      <c r="ED146" s="5"/>
      <c r="EE146" s="5"/>
    </row>
    <row r="147">
      <c r="B147" s="143" t="s">
        <v>302</v>
      </c>
      <c r="C147" s="143"/>
      <c r="D147" s="143" t="s">
        <v>303</v>
      </c>
      <c r="E147" s="143" t="s">
        <v>248</v>
      </c>
      <c r="F147" s="143" t="s">
        <v>304</v>
      </c>
      <c r="G147" s="143" t="s">
        <v>305</v>
      </c>
      <c r="H147" s="143" t="s">
        <v>306</v>
      </c>
      <c r="I147" s="143"/>
      <c r="J147" s="143" t="s">
        <v>307</v>
      </c>
      <c r="K147" s="143" t="s">
        <v>234</v>
      </c>
      <c r="L147" s="143" t="s">
        <v>304</v>
      </c>
      <c r="M147" s="143" t="s">
        <v>305</v>
      </c>
      <c r="N147" s="143" t="s">
        <v>306</v>
      </c>
      <c r="O147" s="143"/>
      <c r="P147" s="143" t="s">
        <v>308</v>
      </c>
      <c r="Q147" s="143" t="s">
        <v>237</v>
      </c>
      <c r="R147" s="143" t="s">
        <v>304</v>
      </c>
      <c r="S147" s="143" t="s">
        <v>305</v>
      </c>
      <c r="T147" s="143" t="s">
        <v>306</v>
      </c>
      <c r="U147" s="143"/>
      <c r="V147" s="143" t="s">
        <v>309</v>
      </c>
      <c r="W147" s="143" t="s">
        <v>226</v>
      </c>
      <c r="X147" s="143" t="s">
        <v>304</v>
      </c>
      <c r="Y147" s="143" t="s">
        <v>305</v>
      </c>
      <c r="Z147" s="143" t="s">
        <v>306</v>
      </c>
      <c r="AW147" s="5"/>
      <c r="DU147" s="4"/>
      <c r="DZ147" s="5"/>
      <c r="EA147" s="5"/>
      <c r="EB147" s="5"/>
      <c r="EC147" s="5"/>
      <c r="ED147" s="5"/>
      <c r="EE147" s="5"/>
    </row>
    <row r="148">
      <c r="AW148" s="5"/>
      <c r="DU148" s="4"/>
      <c r="DZ148" s="5"/>
      <c r="EA148" s="5"/>
      <c r="EB148" s="5"/>
      <c r="EC148" s="5"/>
      <c r="ED148" s="5"/>
      <c r="EE148" s="5"/>
    </row>
    <row r="149">
      <c r="AW149" s="5"/>
      <c r="DU149" s="4"/>
      <c r="DZ149" s="5"/>
      <c r="EA149" s="5"/>
      <c r="EB149" s="5"/>
      <c r="EC149" s="5"/>
      <c r="ED149" s="5"/>
      <c r="EE149" s="5"/>
    </row>
    <row r="150">
      <c r="AW150" s="5"/>
      <c r="DU150" s="4"/>
      <c r="DZ150" s="5"/>
      <c r="EA150" s="5"/>
      <c r="EB150" s="5"/>
      <c r="EC150" s="5"/>
      <c r="ED150" s="5"/>
      <c r="EE150" s="5"/>
    </row>
    <row r="151">
      <c r="AW151" s="5"/>
      <c r="DU151" s="4"/>
      <c r="DZ151" s="5"/>
      <c r="EA151" s="5"/>
      <c r="EB151" s="5"/>
      <c r="EC151" s="5"/>
      <c r="ED151" s="5"/>
      <c r="EE151" s="5"/>
    </row>
    <row r="152">
      <c r="AW152" s="5"/>
      <c r="DU152" s="4"/>
      <c r="DZ152" s="5"/>
      <c r="EA152" s="5"/>
      <c r="EB152" s="5"/>
      <c r="EC152" s="5"/>
      <c r="ED152" s="5"/>
      <c r="EE152" s="5"/>
    </row>
    <row r="153">
      <c r="AW153" s="5"/>
      <c r="DU153" s="4"/>
      <c r="DZ153" s="5"/>
      <c r="EA153" s="5"/>
      <c r="EB153" s="5"/>
      <c r="EC153" s="5"/>
      <c r="ED153" s="5"/>
      <c r="EE153" s="5"/>
    </row>
    <row r="154" ht="15.75" customHeight="1">
      <c r="B154" s="143" t="s">
        <v>310</v>
      </c>
      <c r="AW154" s="5"/>
      <c r="DU154" s="4"/>
      <c r="DZ154" s="5"/>
      <c r="EA154" s="5"/>
      <c r="EB154" s="5"/>
      <c r="EC154" s="5"/>
      <c r="ED154" s="5"/>
      <c r="EE154" s="5"/>
    </row>
    <row r="155">
      <c r="AW155" s="5"/>
      <c r="DU155" s="4"/>
      <c r="DZ155" s="5"/>
      <c r="EA155" s="5"/>
      <c r="EB155" s="5"/>
      <c r="EC155" s="5"/>
      <c r="ED155" s="5"/>
      <c r="EE155" s="5"/>
    </row>
    <row r="156">
      <c r="AW156" s="5"/>
      <c r="DU156" s="4"/>
      <c r="DZ156" s="5"/>
      <c r="EA156" s="5"/>
      <c r="EB156" s="5"/>
      <c r="EC156" s="5"/>
      <c r="ED156" s="5"/>
      <c r="EE156" s="5"/>
    </row>
    <row r="157">
      <c r="AW157" s="5"/>
      <c r="DU157" s="4"/>
      <c r="DZ157" s="5"/>
      <c r="EA157" s="5"/>
      <c r="EB157" s="5"/>
      <c r="EC157" s="5"/>
      <c r="ED157" s="5"/>
      <c r="EE157" s="5"/>
    </row>
    <row r="158">
      <c r="AW158" s="5"/>
      <c r="DU158" s="4"/>
      <c r="DZ158" s="5"/>
      <c r="EA158" s="5"/>
      <c r="EB158" s="5"/>
      <c r="EC158" s="5"/>
      <c r="ED158" s="5"/>
      <c r="EE158" s="5"/>
    </row>
    <row r="159">
      <c r="AW159" s="5"/>
      <c r="DU159" s="4"/>
      <c r="DZ159" s="5"/>
      <c r="EA159" s="5"/>
      <c r="EB159" s="5"/>
      <c r="EC159" s="5"/>
      <c r="ED159" s="5"/>
      <c r="EE159" s="5"/>
    </row>
    <row r="160">
      <c r="AW160" s="5"/>
      <c r="DU160" s="4"/>
      <c r="DZ160" s="5"/>
      <c r="EA160" s="5"/>
      <c r="EB160" s="5"/>
      <c r="EC160" s="5"/>
      <c r="ED160" s="5"/>
      <c r="EE160" s="5"/>
    </row>
    <row r="161">
      <c r="AW161" s="5"/>
      <c r="DU161" s="4"/>
      <c r="DZ161" s="5"/>
      <c r="EA161" s="5"/>
      <c r="EB161" s="5"/>
      <c r="EC161" s="5"/>
      <c r="ED161" s="5"/>
      <c r="EE161" s="5"/>
    </row>
    <row r="162">
      <c r="AW162" s="5"/>
      <c r="DU162" s="4"/>
      <c r="DZ162" s="5"/>
      <c r="EA162" s="5"/>
      <c r="EB162" s="5"/>
      <c r="EC162" s="5"/>
      <c r="ED162" s="5"/>
      <c r="EE162" s="5"/>
    </row>
    <row r="163">
      <c r="AW163" s="5"/>
      <c r="DU163" s="4"/>
      <c r="DZ163" s="5"/>
      <c r="EA163" s="5"/>
      <c r="EB163" s="5"/>
      <c r="EC163" s="5"/>
      <c r="ED163" s="5"/>
      <c r="EE163" s="5"/>
    </row>
    <row r="164">
      <c r="AW164" s="5"/>
      <c r="DU164" s="4"/>
      <c r="DZ164" s="5"/>
      <c r="EA164" s="5"/>
      <c r="EB164" s="5"/>
      <c r="EC164" s="5"/>
      <c r="ED164" s="5"/>
      <c r="EE164" s="5"/>
    </row>
    <row r="165">
      <c r="AW165" s="5"/>
      <c r="DU165" s="4"/>
      <c r="DZ165" s="5"/>
      <c r="EA165" s="5"/>
      <c r="EB165" s="5"/>
      <c r="EC165" s="5"/>
      <c r="ED165" s="5"/>
      <c r="EE165" s="5"/>
    </row>
    <row r="166">
      <c r="AW166" s="5"/>
      <c r="DU166" s="4"/>
      <c r="DZ166" s="5"/>
      <c r="EA166" s="5"/>
      <c r="EB166" s="5"/>
      <c r="EC166" s="5"/>
      <c r="ED166" s="5"/>
      <c r="EE166" s="5"/>
    </row>
    <row r="167">
      <c r="AW167" s="5"/>
      <c r="DU167" s="4"/>
      <c r="DZ167" s="5"/>
      <c r="EA167" s="5"/>
      <c r="EB167" s="5"/>
      <c r="EC167" s="5"/>
      <c r="ED167" s="5"/>
      <c r="EE167" s="5"/>
    </row>
    <row r="168">
      <c r="AW168" s="5"/>
      <c r="DU168" s="4"/>
      <c r="DZ168" s="5"/>
      <c r="EA168" s="5"/>
      <c r="EB168" s="5"/>
      <c r="EC168" s="5"/>
      <c r="ED168" s="5"/>
      <c r="EE168" s="5"/>
    </row>
    <row r="169">
      <c r="AW169" s="5"/>
      <c r="DU169" s="4"/>
      <c r="DZ169" s="5"/>
      <c r="EA169" s="5"/>
      <c r="EB169" s="5"/>
      <c r="EC169" s="5"/>
      <c r="ED169" s="5"/>
      <c r="EE169" s="5"/>
    </row>
    <row r="170">
      <c r="AW170" s="5"/>
      <c r="DU170" s="4"/>
      <c r="DZ170" s="5"/>
      <c r="EA170" s="5"/>
      <c r="EB170" s="5"/>
      <c r="EC170" s="5"/>
      <c r="ED170" s="5"/>
      <c r="EE170" s="5"/>
    </row>
    <row r="171">
      <c r="AW171" s="5"/>
      <c r="DU171" s="4"/>
      <c r="DZ171" s="5"/>
      <c r="EA171" s="5"/>
      <c r="EB171" s="5"/>
      <c r="EC171" s="5"/>
      <c r="ED171" s="5"/>
      <c r="EE171" s="5"/>
    </row>
    <row r="172">
      <c r="AW172" s="5"/>
      <c r="DU172" s="4"/>
      <c r="DZ172" s="5"/>
      <c r="EA172" s="5"/>
      <c r="EB172" s="5"/>
      <c r="EC172" s="5"/>
      <c r="ED172" s="5"/>
      <c r="EE172" s="5"/>
    </row>
    <row r="173">
      <c r="AW173" s="5"/>
      <c r="DU173" s="4"/>
      <c r="DZ173" s="5"/>
      <c r="EA173" s="5"/>
      <c r="EB173" s="5"/>
      <c r="EC173" s="5"/>
      <c r="ED173" s="5"/>
      <c r="EE173" s="5"/>
    </row>
    <row r="174">
      <c r="AW174" s="5"/>
      <c r="DU174" s="4"/>
      <c r="DZ174" s="5"/>
      <c r="EA174" s="5"/>
      <c r="EB174" s="5"/>
      <c r="EC174" s="5"/>
      <c r="ED174" s="5"/>
      <c r="EE174" s="5"/>
    </row>
    <row r="175">
      <c r="AW175" s="5"/>
      <c r="DU175" s="4"/>
      <c r="DZ175" s="5"/>
      <c r="EA175" s="5"/>
      <c r="EB175" s="5"/>
      <c r="EC175" s="5"/>
      <c r="ED175" s="5"/>
      <c r="EE175" s="5"/>
    </row>
    <row r="176">
      <c r="AW176" s="5"/>
      <c r="DU176" s="4"/>
      <c r="DZ176" s="5"/>
      <c r="EA176" s="5"/>
      <c r="EB176" s="5"/>
      <c r="EC176" s="5"/>
      <c r="ED176" s="5"/>
      <c r="EE176" s="5"/>
    </row>
    <row r="177">
      <c r="AW177" s="5"/>
      <c r="DU177" s="4"/>
      <c r="DZ177" s="5"/>
      <c r="EA177" s="5"/>
      <c r="EB177" s="5"/>
      <c r="EC177" s="5"/>
      <c r="ED177" s="5"/>
      <c r="EE177" s="5"/>
    </row>
    <row r="178">
      <c r="AW178" s="5"/>
      <c r="DU178" s="4"/>
      <c r="DZ178" s="5"/>
      <c r="EA178" s="5"/>
      <c r="EB178" s="5"/>
      <c r="EC178" s="5"/>
      <c r="ED178" s="5"/>
      <c r="EE178" s="5"/>
    </row>
    <row r="179">
      <c r="AW179" s="5"/>
      <c r="DU179" s="4"/>
      <c r="DZ179" s="5"/>
      <c r="EA179" s="5"/>
      <c r="EB179" s="5"/>
      <c r="EC179" s="5"/>
      <c r="ED179" s="5"/>
      <c r="EE179" s="5"/>
    </row>
    <row r="180">
      <c r="AW180" s="5"/>
      <c r="DU180" s="4"/>
      <c r="DZ180" s="5"/>
      <c r="EA180" s="5"/>
      <c r="EB180" s="5"/>
      <c r="EC180" s="5"/>
      <c r="ED180" s="5"/>
      <c r="EE180" s="5"/>
    </row>
    <row r="181">
      <c r="AW181" s="5"/>
      <c r="DU181" s="4"/>
      <c r="DZ181" s="5"/>
      <c r="EA181" s="5"/>
      <c r="EB181" s="5"/>
      <c r="EC181" s="5"/>
      <c r="ED181" s="5"/>
      <c r="EE181" s="5"/>
    </row>
    <row r="182">
      <c r="AW182" s="5"/>
      <c r="DU182" s="4"/>
      <c r="DZ182" s="5"/>
      <c r="EA182" s="5"/>
      <c r="EB182" s="5"/>
      <c r="EC182" s="5"/>
      <c r="ED182" s="5"/>
      <c r="EE182" s="5"/>
    </row>
    <row r="183">
      <c r="AW183" s="5"/>
      <c r="DU183" s="4"/>
      <c r="DZ183" s="5"/>
      <c r="EA183" s="5"/>
      <c r="EB183" s="5"/>
      <c r="EC183" s="5"/>
      <c r="ED183" s="5"/>
      <c r="EE183" s="5"/>
    </row>
    <row r="184">
      <c r="AW184" s="5"/>
      <c r="DU184" s="4"/>
      <c r="DZ184" s="5"/>
      <c r="EA184" s="5"/>
      <c r="EB184" s="5"/>
      <c r="EC184" s="5"/>
      <c r="ED184" s="5"/>
      <c r="EE184" s="5"/>
    </row>
    <row r="185">
      <c r="AW185" s="5"/>
      <c r="DU185" s="4"/>
      <c r="DZ185" s="5"/>
      <c r="EA185" s="5"/>
      <c r="EB185" s="5"/>
      <c r="EC185" s="5"/>
      <c r="ED185" s="5"/>
      <c r="EE185" s="5"/>
    </row>
    <row r="186">
      <c r="AW186" s="5"/>
      <c r="DU186" s="4"/>
      <c r="DZ186" s="5"/>
      <c r="EA186" s="5"/>
      <c r="EB186" s="5"/>
      <c r="EC186" s="5"/>
      <c r="ED186" s="5"/>
      <c r="EE186" s="5"/>
    </row>
    <row r="187">
      <c r="AW187" s="5"/>
      <c r="DU187" s="4"/>
      <c r="DZ187" s="5"/>
      <c r="EA187" s="5"/>
      <c r="EB187" s="5"/>
      <c r="EC187" s="5"/>
      <c r="ED187" s="5"/>
      <c r="EE187" s="5"/>
    </row>
    <row r="188">
      <c r="AW188" s="5"/>
      <c r="DU188" s="4"/>
      <c r="DZ188" s="5"/>
      <c r="EA188" s="5"/>
      <c r="EB188" s="5"/>
      <c r="EC188" s="5"/>
      <c r="ED188" s="5"/>
      <c r="EE188" s="5"/>
    </row>
    <row r="189">
      <c r="AW189" s="5"/>
      <c r="DU189" s="4"/>
      <c r="DZ189" s="5"/>
      <c r="EA189" s="5"/>
      <c r="EB189" s="5"/>
      <c r="EC189" s="5"/>
      <c r="ED189" s="5"/>
      <c r="EE189" s="5"/>
    </row>
    <row r="190">
      <c r="AW190" s="5"/>
      <c r="DU190" s="4"/>
      <c r="DZ190" s="5"/>
      <c r="EA190" s="5"/>
      <c r="EB190" s="5"/>
      <c r="EC190" s="5"/>
      <c r="ED190" s="5"/>
      <c r="EE190" s="5"/>
    </row>
    <row r="191">
      <c r="AW191" s="5"/>
      <c r="DU191" s="4"/>
      <c r="DZ191" s="5"/>
      <c r="EA191" s="5"/>
      <c r="EB191" s="5"/>
      <c r="EC191" s="5"/>
      <c r="ED191" s="5"/>
      <c r="EE191" s="5"/>
    </row>
    <row r="192">
      <c r="AW192" s="5"/>
      <c r="DU192" s="4"/>
      <c r="DZ192" s="5"/>
      <c r="EA192" s="5"/>
      <c r="EB192" s="5"/>
      <c r="EC192" s="5"/>
      <c r="ED192" s="5"/>
      <c r="EE192" s="5"/>
    </row>
    <row r="193">
      <c r="AW193" s="5"/>
      <c r="DU193" s="4"/>
      <c r="DZ193" s="5"/>
      <c r="EA193" s="5"/>
      <c r="EB193" s="5"/>
      <c r="EC193" s="5"/>
      <c r="ED193" s="5"/>
      <c r="EE193" s="5"/>
    </row>
    <row r="194">
      <c r="AW194" s="5"/>
      <c r="DU194" s="4"/>
      <c r="DZ194" s="5"/>
      <c r="EA194" s="5"/>
      <c r="EB194" s="5"/>
      <c r="EC194" s="5"/>
      <c r="ED194" s="5"/>
      <c r="EE194" s="5"/>
    </row>
    <row r="195">
      <c r="AW195" s="5"/>
      <c r="DU195" s="4"/>
      <c r="DZ195" s="5"/>
      <c r="EA195" s="5"/>
      <c r="EB195" s="5"/>
      <c r="EC195" s="5"/>
      <c r="ED195" s="5"/>
      <c r="EE195" s="5"/>
    </row>
    <row r="196">
      <c r="AW196" s="5"/>
      <c r="DU196" s="4"/>
      <c r="DZ196" s="5"/>
      <c r="EA196" s="5"/>
      <c r="EB196" s="5"/>
      <c r="EC196" s="5"/>
      <c r="ED196" s="5"/>
      <c r="EE196" s="5"/>
    </row>
    <row r="197">
      <c r="AW197" s="5"/>
      <c r="DU197" s="4"/>
      <c r="DZ197" s="5"/>
      <c r="EA197" s="5"/>
      <c r="EB197" s="5"/>
      <c r="EC197" s="5"/>
      <c r="ED197" s="5"/>
      <c r="EE197" s="5"/>
    </row>
    <row r="198">
      <c r="AW198" s="5"/>
      <c r="DU198" s="4"/>
      <c r="DZ198" s="5"/>
      <c r="EA198" s="5"/>
      <c r="EB198" s="5"/>
      <c r="EC198" s="5"/>
      <c r="ED198" s="5"/>
      <c r="EE198" s="5"/>
    </row>
    <row r="199">
      <c r="AW199" s="5"/>
      <c r="DU199" s="4"/>
      <c r="DZ199" s="5"/>
      <c r="EA199" s="5"/>
      <c r="EB199" s="5"/>
      <c r="EC199" s="5"/>
      <c r="ED199" s="5"/>
      <c r="EE199" s="5"/>
    </row>
    <row r="200">
      <c r="AW200" s="5"/>
      <c r="DU200" s="4"/>
      <c r="DZ200" s="5"/>
      <c r="EA200" s="5"/>
      <c r="EB200" s="5"/>
      <c r="EC200" s="5"/>
      <c r="ED200" s="5"/>
      <c r="EE200" s="5"/>
    </row>
    <row r="201">
      <c r="AW201" s="5"/>
      <c r="DU201" s="4"/>
      <c r="DZ201" s="5"/>
      <c r="EA201" s="5"/>
      <c r="EB201" s="5"/>
      <c r="EC201" s="5"/>
      <c r="ED201" s="5"/>
      <c r="EE201" s="5"/>
    </row>
    <row r="202">
      <c r="AW202" s="5"/>
      <c r="DU202" s="4"/>
      <c r="DZ202" s="5"/>
      <c r="EA202" s="5"/>
      <c r="EB202" s="5"/>
      <c r="EC202" s="5"/>
      <c r="ED202" s="5"/>
      <c r="EE202" s="5"/>
    </row>
    <row r="203">
      <c r="AW203" s="5"/>
      <c r="DU203" s="4"/>
      <c r="DZ203" s="5"/>
      <c r="EA203" s="5"/>
      <c r="EB203" s="5"/>
      <c r="EC203" s="5"/>
      <c r="ED203" s="5"/>
      <c r="EE203" s="5"/>
    </row>
    <row r="204">
      <c r="AW204" s="5"/>
      <c r="DU204" s="4"/>
      <c r="DZ204" s="5"/>
      <c r="EA204" s="5"/>
      <c r="EB204" s="5"/>
      <c r="EC204" s="5"/>
      <c r="ED204" s="5"/>
      <c r="EE204" s="5"/>
    </row>
    <row r="205">
      <c r="AW205" s="5"/>
      <c r="DU205" s="4"/>
      <c r="DZ205" s="5"/>
      <c r="EA205" s="5"/>
      <c r="EB205" s="5"/>
      <c r="EC205" s="5"/>
      <c r="ED205" s="5"/>
      <c r="EE205" s="5"/>
    </row>
    <row r="206">
      <c r="AW206" s="5"/>
      <c r="DU206" s="4"/>
      <c r="DZ206" s="5"/>
      <c r="EA206" s="5"/>
      <c r="EB206" s="5"/>
      <c r="EC206" s="5"/>
      <c r="ED206" s="5"/>
      <c r="EE206" s="5"/>
    </row>
    <row r="207">
      <c r="AW207" s="5"/>
      <c r="DU207" s="4"/>
      <c r="DZ207" s="5"/>
      <c r="EA207" s="5"/>
      <c r="EB207" s="5"/>
      <c r="EC207" s="5"/>
      <c r="ED207" s="5"/>
      <c r="EE207" s="5"/>
    </row>
    <row r="208">
      <c r="AW208" s="5"/>
      <c r="DU208" s="4"/>
      <c r="DZ208" s="5"/>
      <c r="EA208" s="5"/>
      <c r="EB208" s="5"/>
      <c r="EC208" s="5"/>
      <c r="ED208" s="5"/>
      <c r="EE208" s="5"/>
    </row>
    <row r="209">
      <c r="AW209" s="5"/>
      <c r="DU209" s="4"/>
      <c r="DZ209" s="5"/>
      <c r="EA209" s="5"/>
      <c r="EB209" s="5"/>
      <c r="EC209" s="5"/>
      <c r="ED209" s="5"/>
      <c r="EE209" s="5"/>
    </row>
    <row r="210">
      <c r="AW210" s="5"/>
      <c r="DU210" s="4"/>
      <c r="DZ210" s="5"/>
      <c r="EA210" s="5"/>
      <c r="EB210" s="5"/>
      <c r="EC210" s="5"/>
      <c r="ED210" s="5"/>
      <c r="EE210" s="5"/>
    </row>
    <row r="211">
      <c r="AW211" s="5"/>
      <c r="DU211" s="4"/>
      <c r="DZ211" s="5"/>
      <c r="EA211" s="5"/>
      <c r="EB211" s="5"/>
      <c r="EC211" s="5"/>
      <c r="ED211" s="5"/>
      <c r="EE211" s="5"/>
    </row>
    <row r="212">
      <c r="AW212" s="5"/>
      <c r="DU212" s="4"/>
      <c r="DZ212" s="5"/>
      <c r="EA212" s="5"/>
      <c r="EB212" s="5"/>
      <c r="EC212" s="5"/>
      <c r="ED212" s="5"/>
      <c r="EE212" s="5"/>
    </row>
    <row r="213">
      <c r="AW213" s="5"/>
      <c r="DU213" s="4"/>
      <c r="DZ213" s="5"/>
      <c r="EA213" s="5"/>
      <c r="EB213" s="5"/>
      <c r="EC213" s="5"/>
      <c r="ED213" s="5"/>
      <c r="EE213" s="5"/>
    </row>
    <row r="214">
      <c r="AW214" s="5"/>
      <c r="DU214" s="4"/>
      <c r="DZ214" s="5"/>
      <c r="EA214" s="5"/>
      <c r="EB214" s="5"/>
      <c r="EC214" s="5"/>
      <c r="ED214" s="5"/>
      <c r="EE214" s="5"/>
    </row>
    <row r="215">
      <c r="AW215" s="5"/>
      <c r="DU215" s="4"/>
      <c r="DZ215" s="5"/>
      <c r="EA215" s="5"/>
      <c r="EB215" s="5"/>
      <c r="EC215" s="5"/>
      <c r="ED215" s="5"/>
      <c r="EE215" s="5"/>
    </row>
    <row r="216">
      <c r="AW216" s="5"/>
      <c r="DU216" s="4"/>
      <c r="DZ216" s="5"/>
      <c r="EA216" s="5"/>
      <c r="EB216" s="5"/>
      <c r="EC216" s="5"/>
      <c r="ED216" s="5"/>
      <c r="EE216" s="5"/>
    </row>
    <row r="217">
      <c r="AW217" s="5"/>
      <c r="DU217" s="4"/>
      <c r="DZ217" s="5"/>
      <c r="EA217" s="5"/>
      <c r="EB217" s="5"/>
      <c r="EC217" s="5"/>
      <c r="ED217" s="5"/>
      <c r="EE217" s="5"/>
    </row>
    <row r="218">
      <c r="AW218" s="5"/>
      <c r="DU218" s="4"/>
      <c r="DZ218" s="5"/>
      <c r="EA218" s="5"/>
      <c r="EB218" s="5"/>
      <c r="EC218" s="5"/>
      <c r="ED218" s="5"/>
      <c r="EE218" s="5"/>
    </row>
    <row r="219">
      <c r="AW219" s="5"/>
      <c r="DU219" s="4"/>
      <c r="DZ219" s="5"/>
      <c r="EA219" s="5"/>
      <c r="EB219" s="5"/>
      <c r="EC219" s="5"/>
      <c r="ED219" s="5"/>
      <c r="EE219" s="5"/>
    </row>
    <row r="220">
      <c r="AW220" s="5"/>
      <c r="DU220" s="4"/>
      <c r="DZ220" s="5"/>
      <c r="EA220" s="5"/>
      <c r="EB220" s="5"/>
      <c r="EC220" s="5"/>
      <c r="ED220" s="5"/>
      <c r="EE220" s="5"/>
    </row>
    <row r="221">
      <c r="AW221" s="5"/>
      <c r="DU221" s="4"/>
      <c r="DZ221" s="5"/>
      <c r="EA221" s="5"/>
      <c r="EB221" s="5"/>
      <c r="EC221" s="5"/>
      <c r="ED221" s="5"/>
      <c r="EE221" s="5"/>
    </row>
    <row r="222">
      <c r="AW222" s="5"/>
      <c r="DU222" s="4"/>
      <c r="DZ222" s="5"/>
      <c r="EA222" s="5"/>
      <c r="EB222" s="5"/>
      <c r="EC222" s="5"/>
      <c r="ED222" s="5"/>
      <c r="EE222" s="5"/>
    </row>
    <row r="223">
      <c r="AW223" s="5"/>
      <c r="DU223" s="4"/>
      <c r="DZ223" s="5"/>
      <c r="EA223" s="5"/>
      <c r="EB223" s="5"/>
      <c r="EC223" s="5"/>
      <c r="ED223" s="5"/>
      <c r="EE223" s="5"/>
    </row>
    <row r="224">
      <c r="AW224" s="5"/>
      <c r="DU224" s="4"/>
      <c r="DZ224" s="5"/>
      <c r="EA224" s="5"/>
      <c r="EB224" s="5"/>
      <c r="EC224" s="5"/>
      <c r="ED224" s="5"/>
      <c r="EE224" s="5"/>
    </row>
    <row r="225">
      <c r="AW225" s="5"/>
      <c r="DU225" s="4"/>
      <c r="DZ225" s="5"/>
      <c r="EA225" s="5"/>
      <c r="EB225" s="5"/>
      <c r="EC225" s="5"/>
      <c r="ED225" s="5"/>
      <c r="EE225" s="5"/>
    </row>
    <row r="226">
      <c r="AW226" s="5"/>
      <c r="DU226" s="4"/>
      <c r="DZ226" s="5"/>
      <c r="EA226" s="5"/>
      <c r="EB226" s="5"/>
      <c r="EC226" s="5"/>
      <c r="ED226" s="5"/>
      <c r="EE226" s="5"/>
    </row>
    <row r="227">
      <c r="AW227" s="5"/>
      <c r="DU227" s="4"/>
      <c r="DZ227" s="5"/>
      <c r="EA227" s="5"/>
      <c r="EB227" s="5"/>
      <c r="EC227" s="5"/>
      <c r="ED227" s="5"/>
      <c r="EE227" s="5"/>
    </row>
    <row r="228">
      <c r="AW228" s="5"/>
      <c r="DU228" s="4"/>
      <c r="DZ228" s="5"/>
      <c r="EA228" s="5"/>
      <c r="EB228" s="5"/>
      <c r="EC228" s="5"/>
      <c r="ED228" s="5"/>
      <c r="EE228" s="5"/>
    </row>
    <row r="229">
      <c r="AW229" s="5"/>
      <c r="DU229" s="4"/>
      <c r="DZ229" s="5"/>
      <c r="EA229" s="5"/>
      <c r="EB229" s="5"/>
      <c r="EC229" s="5"/>
      <c r="ED229" s="5"/>
      <c r="EE229" s="5"/>
    </row>
    <row r="230">
      <c r="AW230" s="5"/>
      <c r="DU230" s="4"/>
      <c r="DZ230" s="5"/>
      <c r="EA230" s="5"/>
      <c r="EB230" s="5"/>
      <c r="EC230" s="5"/>
      <c r="ED230" s="5"/>
      <c r="EE230" s="5"/>
    </row>
    <row r="231">
      <c r="AW231" s="5"/>
      <c r="DU231" s="4"/>
      <c r="DZ231" s="5"/>
      <c r="EA231" s="5"/>
      <c r="EB231" s="5"/>
      <c r="EC231" s="5"/>
      <c r="ED231" s="5"/>
      <c r="EE231" s="5"/>
    </row>
    <row r="232">
      <c r="AW232" s="5"/>
      <c r="DU232" s="4"/>
      <c r="DZ232" s="5"/>
      <c r="EA232" s="5"/>
      <c r="EB232" s="5"/>
      <c r="EC232" s="5"/>
      <c r="ED232" s="5"/>
      <c r="EE232" s="5"/>
    </row>
    <row r="233">
      <c r="AW233" s="5"/>
      <c r="DU233" s="4"/>
      <c r="DZ233" s="5"/>
      <c r="EA233" s="5"/>
      <c r="EB233" s="5"/>
      <c r="EC233" s="5"/>
      <c r="ED233" s="5"/>
      <c r="EE233" s="5"/>
    </row>
    <row r="234">
      <c r="AW234" s="5"/>
      <c r="DU234" s="4"/>
      <c r="DZ234" s="5"/>
      <c r="EA234" s="5"/>
      <c r="EB234" s="5"/>
      <c r="EC234" s="5"/>
      <c r="ED234" s="5"/>
      <c r="EE234" s="5"/>
    </row>
    <row r="235">
      <c r="AW235" s="5"/>
      <c r="DU235" s="4"/>
      <c r="DZ235" s="5"/>
      <c r="EA235" s="5"/>
      <c r="EB235" s="5"/>
      <c r="EC235" s="5"/>
      <c r="ED235" s="5"/>
      <c r="EE235" s="5"/>
    </row>
    <row r="236">
      <c r="AW236" s="5"/>
      <c r="DU236" s="4"/>
      <c r="DZ236" s="5"/>
      <c r="EA236" s="5"/>
      <c r="EB236" s="5"/>
      <c r="EC236" s="5"/>
      <c r="ED236" s="5"/>
      <c r="EE236" s="5"/>
    </row>
    <row r="237">
      <c r="AW237" s="5"/>
      <c r="DU237" s="4"/>
      <c r="DZ237" s="5"/>
      <c r="EA237" s="5"/>
      <c r="EB237" s="5"/>
      <c r="EC237" s="5"/>
      <c r="ED237" s="5"/>
      <c r="EE237" s="5"/>
    </row>
    <row r="238">
      <c r="AW238" s="5"/>
      <c r="DU238" s="4"/>
      <c r="DZ238" s="5"/>
      <c r="EA238" s="5"/>
      <c r="EB238" s="5"/>
      <c r="EC238" s="5"/>
      <c r="ED238" s="5"/>
      <c r="EE238" s="5"/>
    </row>
    <row r="239">
      <c r="AW239" s="5"/>
      <c r="DU239" s="4"/>
      <c r="DZ239" s="5"/>
      <c r="EA239" s="5"/>
      <c r="EB239" s="5"/>
      <c r="EC239" s="5"/>
      <c r="ED239" s="5"/>
      <c r="EE239" s="5"/>
    </row>
    <row r="240">
      <c r="AW240" s="5"/>
      <c r="DU240" s="4"/>
      <c r="DZ240" s="5"/>
      <c r="EA240" s="5"/>
      <c r="EB240" s="5"/>
      <c r="EC240" s="5"/>
      <c r="ED240" s="5"/>
      <c r="EE240" s="5"/>
    </row>
    <row r="241">
      <c r="AW241" s="5"/>
      <c r="DU241" s="4"/>
      <c r="DZ241" s="5"/>
      <c r="EA241" s="5"/>
      <c r="EB241" s="5"/>
      <c r="EC241" s="5"/>
      <c r="ED241" s="5"/>
      <c r="EE241" s="5"/>
    </row>
    <row r="242">
      <c r="AW242" s="5"/>
      <c r="DU242" s="4"/>
      <c r="DZ242" s="5"/>
      <c r="EA242" s="5"/>
      <c r="EB242" s="5"/>
      <c r="EC242" s="5"/>
      <c r="ED242" s="5"/>
      <c r="EE242" s="5"/>
    </row>
    <row r="243">
      <c r="AW243" s="5"/>
      <c r="DU243" s="4"/>
      <c r="DZ243" s="5"/>
      <c r="EA243" s="5"/>
      <c r="EB243" s="5"/>
      <c r="EC243" s="5"/>
      <c r="ED243" s="5"/>
      <c r="EE243" s="5"/>
    </row>
    <row r="244">
      <c r="AW244" s="5"/>
      <c r="DU244" s="4"/>
      <c r="DZ244" s="5"/>
      <c r="EA244" s="5"/>
      <c r="EB244" s="5"/>
      <c r="EC244" s="5"/>
      <c r="ED244" s="5"/>
      <c r="EE244" s="5"/>
    </row>
    <row r="245">
      <c r="AW245" s="5"/>
      <c r="DU245" s="4"/>
      <c r="DZ245" s="5"/>
      <c r="EA245" s="5"/>
      <c r="EB245" s="5"/>
      <c r="EC245" s="5"/>
      <c r="ED245" s="5"/>
      <c r="EE245" s="5"/>
    </row>
    <row r="246">
      <c r="AW246" s="5"/>
      <c r="DU246" s="4"/>
      <c r="DZ246" s="5"/>
      <c r="EA246" s="5"/>
      <c r="EB246" s="5"/>
      <c r="EC246" s="5"/>
      <c r="ED246" s="5"/>
      <c r="EE246" s="5"/>
    </row>
    <row r="247">
      <c r="AW247" s="5"/>
      <c r="DU247" s="4"/>
      <c r="DZ247" s="5"/>
      <c r="EA247" s="5"/>
      <c r="EB247" s="5"/>
      <c r="EC247" s="5"/>
      <c r="ED247" s="5"/>
      <c r="EE247" s="5"/>
    </row>
    <row r="248">
      <c r="AW248" s="5"/>
      <c r="DU248" s="4"/>
      <c r="DZ248" s="5"/>
      <c r="EA248" s="5"/>
      <c r="EB248" s="5"/>
      <c r="EC248" s="5"/>
      <c r="ED248" s="5"/>
      <c r="EE248" s="5"/>
    </row>
    <row r="249">
      <c r="AW249" s="5"/>
      <c r="DU249" s="4"/>
      <c r="DZ249" s="5"/>
      <c r="EA249" s="5"/>
      <c r="EB249" s="5"/>
      <c r="EC249" s="5"/>
      <c r="ED249" s="5"/>
      <c r="EE249" s="5"/>
    </row>
    <row r="250">
      <c r="AW250" s="5"/>
      <c r="DU250" s="4"/>
      <c r="DZ250" s="5"/>
      <c r="EA250" s="5"/>
      <c r="EB250" s="5"/>
      <c r="EC250" s="5"/>
      <c r="ED250" s="5"/>
      <c r="EE250" s="5"/>
    </row>
    <row r="251">
      <c r="AW251" s="5"/>
      <c r="DU251" s="4"/>
      <c r="DZ251" s="5"/>
      <c r="EA251" s="5"/>
      <c r="EB251" s="5"/>
      <c r="EC251" s="5"/>
      <c r="ED251" s="5"/>
      <c r="EE251" s="5"/>
    </row>
    <row r="252">
      <c r="AW252" s="5"/>
      <c r="DU252" s="4"/>
      <c r="DZ252" s="5"/>
      <c r="EA252" s="5"/>
      <c r="EB252" s="5"/>
      <c r="EC252" s="5"/>
      <c r="ED252" s="5"/>
      <c r="EE252" s="5"/>
    </row>
    <row r="253">
      <c r="AW253" s="5"/>
      <c r="DU253" s="4"/>
      <c r="DZ253" s="5"/>
      <c r="EA253" s="5"/>
      <c r="EB253" s="5"/>
      <c r="EC253" s="5"/>
      <c r="ED253" s="5"/>
      <c r="EE253" s="5"/>
    </row>
    <row r="254">
      <c r="AW254" s="5"/>
      <c r="DU254" s="4"/>
      <c r="DZ254" s="5"/>
      <c r="EA254" s="5"/>
      <c r="EB254" s="5"/>
      <c r="EC254" s="5"/>
      <c r="ED254" s="5"/>
      <c r="EE254" s="5"/>
    </row>
    <row r="255">
      <c r="AW255" s="5"/>
      <c r="DU255" s="4"/>
      <c r="DZ255" s="5"/>
      <c r="EA255" s="5"/>
      <c r="EB255" s="5"/>
      <c r="EC255" s="5"/>
      <c r="ED255" s="5"/>
      <c r="EE255" s="5"/>
    </row>
    <row r="256">
      <c r="AW256" s="5"/>
      <c r="DU256" s="4"/>
      <c r="DZ256" s="5"/>
      <c r="EA256" s="5"/>
      <c r="EB256" s="5"/>
      <c r="EC256" s="5"/>
      <c r="ED256" s="5"/>
      <c r="EE256" s="5"/>
    </row>
    <row r="257">
      <c r="AW257" s="5"/>
      <c r="DU257" s="4"/>
      <c r="DZ257" s="5"/>
      <c r="EA257" s="5"/>
      <c r="EB257" s="5"/>
      <c r="EC257" s="5"/>
      <c r="ED257" s="5"/>
      <c r="EE257" s="5"/>
    </row>
    <row r="258">
      <c r="AW258" s="5"/>
      <c r="DU258" s="4"/>
      <c r="DZ258" s="5"/>
      <c r="EA258" s="5"/>
      <c r="EB258" s="5"/>
      <c r="EC258" s="5"/>
      <c r="ED258" s="5"/>
      <c r="EE258" s="5"/>
    </row>
    <row r="259">
      <c r="AW259" s="5"/>
      <c r="DU259" s="4"/>
      <c r="DZ259" s="5"/>
      <c r="EA259" s="5"/>
      <c r="EB259" s="5"/>
      <c r="EC259" s="5"/>
      <c r="ED259" s="5"/>
      <c r="EE259" s="5"/>
    </row>
    <row r="260">
      <c r="AW260" s="5"/>
      <c r="DU260" s="4"/>
      <c r="DZ260" s="5"/>
      <c r="EA260" s="5"/>
      <c r="EB260" s="5"/>
      <c r="EC260" s="5"/>
      <c r="ED260" s="5"/>
      <c r="EE260" s="5"/>
    </row>
    <row r="261">
      <c r="AW261" s="5"/>
      <c r="DU261" s="4"/>
      <c r="DZ261" s="5"/>
      <c r="EA261" s="5"/>
      <c r="EB261" s="5"/>
      <c r="EC261" s="5"/>
      <c r="ED261" s="5"/>
      <c r="EE261" s="5"/>
    </row>
    <row r="262">
      <c r="AW262" s="5"/>
      <c r="DU262" s="4"/>
      <c r="DZ262" s="5"/>
      <c r="EA262" s="5"/>
      <c r="EB262" s="5"/>
      <c r="EC262" s="5"/>
      <c r="ED262" s="5"/>
      <c r="EE262" s="5"/>
    </row>
    <row r="263">
      <c r="AW263" s="5"/>
      <c r="DU263" s="4"/>
      <c r="DZ263" s="5"/>
      <c r="EA263" s="5"/>
      <c r="EB263" s="5"/>
      <c r="EC263" s="5"/>
      <c r="ED263" s="5"/>
      <c r="EE263" s="5"/>
    </row>
    <row r="264">
      <c r="AW264" s="5"/>
      <c r="DU264" s="4"/>
      <c r="DZ264" s="5"/>
      <c r="EA264" s="5"/>
      <c r="EB264" s="5"/>
      <c r="EC264" s="5"/>
      <c r="ED264" s="5"/>
      <c r="EE264" s="5"/>
    </row>
    <row r="265">
      <c r="AW265" s="5"/>
      <c r="DU265" s="4"/>
      <c r="DZ265" s="5"/>
      <c r="EA265" s="5"/>
      <c r="EB265" s="5"/>
      <c r="EC265" s="5"/>
      <c r="ED265" s="5"/>
      <c r="EE265" s="5"/>
    </row>
    <row r="266">
      <c r="AW266" s="5"/>
      <c r="DU266" s="4"/>
      <c r="DZ266" s="5"/>
      <c r="EA266" s="5"/>
      <c r="EB266" s="5"/>
      <c r="EC266" s="5"/>
      <c r="ED266" s="5"/>
      <c r="EE266" s="5"/>
    </row>
    <row r="267">
      <c r="AW267" s="5"/>
      <c r="DU267" s="4"/>
      <c r="DZ267" s="5"/>
      <c r="EA267" s="5"/>
      <c r="EB267" s="5"/>
      <c r="EC267" s="5"/>
      <c r="ED267" s="5"/>
      <c r="EE267" s="5"/>
    </row>
    <row r="268">
      <c r="AW268" s="5"/>
      <c r="DU268" s="4"/>
      <c r="DZ268" s="5"/>
      <c r="EA268" s="5"/>
      <c r="EB268" s="5"/>
      <c r="EC268" s="5"/>
      <c r="ED268" s="5"/>
      <c r="EE268" s="5"/>
    </row>
    <row r="269">
      <c r="AW269" s="5"/>
      <c r="DU269" s="4"/>
      <c r="DZ269" s="5"/>
      <c r="EA269" s="5"/>
      <c r="EB269" s="5"/>
      <c r="EC269" s="5"/>
      <c r="ED269" s="5"/>
      <c r="EE269" s="5"/>
    </row>
    <row r="270">
      <c r="AW270" s="5"/>
      <c r="DU270" s="4"/>
      <c r="DZ270" s="5"/>
      <c r="EA270" s="5"/>
      <c r="EB270" s="5"/>
      <c r="EC270" s="5"/>
      <c r="ED270" s="5"/>
      <c r="EE270" s="5"/>
    </row>
    <row r="271">
      <c r="AW271" s="5"/>
      <c r="DU271" s="4"/>
      <c r="DZ271" s="5"/>
      <c r="EA271" s="5"/>
      <c r="EB271" s="5"/>
      <c r="EC271" s="5"/>
      <c r="ED271" s="5"/>
      <c r="EE271" s="5"/>
    </row>
    <row r="272">
      <c r="AW272" s="5"/>
      <c r="DU272" s="4"/>
      <c r="DZ272" s="5"/>
      <c r="EA272" s="5"/>
      <c r="EB272" s="5"/>
      <c r="EC272" s="5"/>
      <c r="ED272" s="5"/>
      <c r="EE272" s="5"/>
    </row>
    <row r="273">
      <c r="AW273" s="5"/>
      <c r="DU273" s="4"/>
      <c r="DZ273" s="5"/>
      <c r="EA273" s="5"/>
      <c r="EB273" s="5"/>
      <c r="EC273" s="5"/>
      <c r="ED273" s="5"/>
      <c r="EE273" s="5"/>
    </row>
    <row r="274">
      <c r="AW274" s="5"/>
      <c r="DU274" s="4"/>
      <c r="DZ274" s="5"/>
      <c r="EA274" s="5"/>
      <c r="EB274" s="5"/>
      <c r="EC274" s="5"/>
      <c r="ED274" s="5"/>
      <c r="EE274" s="5"/>
    </row>
    <row r="275">
      <c r="AW275" s="5"/>
      <c r="DU275" s="4"/>
      <c r="DZ275" s="5"/>
      <c r="EA275" s="5"/>
      <c r="EB275" s="5"/>
      <c r="EC275" s="5"/>
      <c r="ED275" s="5"/>
      <c r="EE275" s="5"/>
    </row>
    <row r="276">
      <c r="AW276" s="5"/>
      <c r="DU276" s="4"/>
      <c r="DZ276" s="5"/>
      <c r="EA276" s="5"/>
      <c r="EB276" s="5"/>
      <c r="EC276" s="5"/>
      <c r="ED276" s="5"/>
      <c r="EE276" s="5"/>
    </row>
    <row r="277">
      <c r="AW277" s="5"/>
      <c r="DU277" s="4"/>
      <c r="DZ277" s="5"/>
      <c r="EA277" s="5"/>
      <c r="EB277" s="5"/>
      <c r="EC277" s="5"/>
      <c r="ED277" s="5"/>
      <c r="EE277" s="5"/>
    </row>
    <row r="278">
      <c r="AW278" s="5"/>
      <c r="DU278" s="4"/>
      <c r="DZ278" s="5"/>
      <c r="EA278" s="5"/>
      <c r="EB278" s="5"/>
      <c r="EC278" s="5"/>
      <c r="ED278" s="5"/>
      <c r="EE278" s="5"/>
    </row>
    <row r="279">
      <c r="AW279" s="5"/>
      <c r="DU279" s="4"/>
      <c r="DZ279" s="5"/>
      <c r="EA279" s="5"/>
      <c r="EB279" s="5"/>
      <c r="EC279" s="5"/>
      <c r="ED279" s="5"/>
      <c r="EE279" s="5"/>
    </row>
    <row r="280">
      <c r="AW280" s="5"/>
      <c r="DU280" s="4"/>
      <c r="DZ280" s="5"/>
      <c r="EA280" s="5"/>
      <c r="EB280" s="5"/>
      <c r="EC280" s="5"/>
      <c r="ED280" s="5"/>
      <c r="EE280" s="5"/>
    </row>
    <row r="281">
      <c r="AW281" s="5"/>
      <c r="DU281" s="4"/>
      <c r="DZ281" s="5"/>
      <c r="EA281" s="5"/>
      <c r="EB281" s="5"/>
      <c r="EC281" s="5"/>
      <c r="ED281" s="5"/>
      <c r="EE281" s="5"/>
    </row>
    <row r="282">
      <c r="AW282" s="5"/>
      <c r="DU282" s="4"/>
      <c r="DZ282" s="5"/>
      <c r="EA282" s="5"/>
      <c r="EB282" s="5"/>
      <c r="EC282" s="5"/>
      <c r="ED282" s="5"/>
      <c r="EE282" s="5"/>
    </row>
    <row r="283">
      <c r="AW283" s="5"/>
      <c r="DU283" s="4"/>
      <c r="DZ283" s="5"/>
      <c r="EA283" s="5"/>
      <c r="EB283" s="5"/>
      <c r="EC283" s="5"/>
      <c r="ED283" s="5"/>
      <c r="EE283" s="5"/>
    </row>
    <row r="284">
      <c r="AW284" s="5"/>
      <c r="DU284" s="4"/>
      <c r="DZ284" s="5"/>
      <c r="EA284" s="5"/>
      <c r="EB284" s="5"/>
      <c r="EC284" s="5"/>
      <c r="ED284" s="5"/>
      <c r="EE284" s="5"/>
    </row>
    <row r="285">
      <c r="AW285" s="5"/>
      <c r="DU285" s="4"/>
      <c r="DZ285" s="5"/>
      <c r="EA285" s="5"/>
      <c r="EB285" s="5"/>
      <c r="EC285" s="5"/>
      <c r="ED285" s="5"/>
      <c r="EE285" s="5"/>
    </row>
    <row r="286">
      <c r="AW286" s="5"/>
      <c r="DU286" s="4"/>
      <c r="DZ286" s="5"/>
      <c r="EA286" s="5"/>
      <c r="EB286" s="5"/>
      <c r="EC286" s="5"/>
      <c r="ED286" s="5"/>
      <c r="EE286" s="5"/>
    </row>
    <row r="287">
      <c r="AW287" s="5"/>
      <c r="DU287" s="4"/>
      <c r="DZ287" s="5"/>
      <c r="EA287" s="5"/>
      <c r="EB287" s="5"/>
      <c r="EC287" s="5"/>
      <c r="ED287" s="5"/>
      <c r="EE287" s="5"/>
    </row>
    <row r="288">
      <c r="AW288" s="5"/>
      <c r="DU288" s="4"/>
      <c r="DZ288" s="5"/>
      <c r="EA288" s="5"/>
      <c r="EB288" s="5"/>
      <c r="EC288" s="5"/>
      <c r="ED288" s="5"/>
      <c r="EE288" s="5"/>
    </row>
    <row r="289">
      <c r="AW289" s="5"/>
      <c r="DU289" s="4"/>
      <c r="DZ289" s="5"/>
      <c r="EA289" s="5"/>
      <c r="EB289" s="5"/>
      <c r="EC289" s="5"/>
      <c r="ED289" s="5"/>
      <c r="EE289" s="5"/>
    </row>
    <row r="290">
      <c r="AW290" s="5"/>
      <c r="DU290" s="4"/>
      <c r="DZ290" s="5"/>
      <c r="EA290" s="5"/>
      <c r="EB290" s="5"/>
      <c r="EC290" s="5"/>
      <c r="ED290" s="5"/>
      <c r="EE290" s="5"/>
    </row>
    <row r="291">
      <c r="AW291" s="5"/>
      <c r="DU291" s="4"/>
      <c r="DZ291" s="5"/>
      <c r="EA291" s="5"/>
      <c r="EB291" s="5"/>
      <c r="EC291" s="5"/>
      <c r="ED291" s="5"/>
      <c r="EE291" s="5"/>
    </row>
    <row r="292">
      <c r="AW292" s="5"/>
      <c r="DU292" s="4"/>
      <c r="DZ292" s="5"/>
      <c r="EA292" s="5"/>
      <c r="EB292" s="5"/>
      <c r="EC292" s="5"/>
      <c r="ED292" s="5"/>
      <c r="EE292" s="5"/>
    </row>
    <row r="293">
      <c r="AW293" s="5"/>
      <c r="DU293" s="4"/>
      <c r="DZ293" s="5"/>
      <c r="EA293" s="5"/>
      <c r="EB293" s="5"/>
      <c r="EC293" s="5"/>
      <c r="ED293" s="5"/>
      <c r="EE293" s="5"/>
    </row>
    <row r="294">
      <c r="AW294" s="5"/>
      <c r="DU294" s="4"/>
      <c r="DZ294" s="5"/>
      <c r="EA294" s="5"/>
      <c r="EB294" s="5"/>
      <c r="EC294" s="5"/>
      <c r="ED294" s="5"/>
      <c r="EE294" s="5"/>
    </row>
    <row r="295">
      <c r="AW295" s="5"/>
      <c r="DU295" s="4"/>
      <c r="DZ295" s="5"/>
      <c r="EA295" s="5"/>
      <c r="EB295" s="5"/>
      <c r="EC295" s="5"/>
      <c r="ED295" s="5"/>
      <c r="EE295" s="5"/>
    </row>
    <row r="296">
      <c r="AW296" s="5"/>
      <c r="DU296" s="4"/>
      <c r="DZ296" s="5"/>
      <c r="EA296" s="5"/>
      <c r="EB296" s="5"/>
      <c r="EC296" s="5"/>
      <c r="ED296" s="5"/>
      <c r="EE296" s="5"/>
    </row>
    <row r="297">
      <c r="AW297" s="5"/>
      <c r="DU297" s="4"/>
      <c r="DZ297" s="5"/>
      <c r="EA297" s="5"/>
      <c r="EB297" s="5"/>
      <c r="EC297" s="5"/>
      <c r="ED297" s="5"/>
      <c r="EE297" s="5"/>
    </row>
    <row r="298">
      <c r="AW298" s="5"/>
      <c r="DU298" s="4"/>
      <c r="DZ298" s="5"/>
      <c r="EA298" s="5"/>
      <c r="EB298" s="5"/>
      <c r="EC298" s="5"/>
      <c r="ED298" s="5"/>
      <c r="EE298" s="5"/>
    </row>
    <row r="299">
      <c r="AW299" s="5"/>
      <c r="DU299" s="4"/>
      <c r="DZ299" s="5"/>
      <c r="EA299" s="5"/>
      <c r="EB299" s="5"/>
      <c r="EC299" s="5"/>
      <c r="ED299" s="5"/>
      <c r="EE299" s="5"/>
    </row>
    <row r="300">
      <c r="AW300" s="5"/>
      <c r="DU300" s="4"/>
      <c r="DZ300" s="5"/>
      <c r="EA300" s="5"/>
      <c r="EB300" s="5"/>
      <c r="EC300" s="5"/>
      <c r="ED300" s="5"/>
      <c r="EE300" s="5"/>
    </row>
    <row r="301">
      <c r="AW301" s="5"/>
      <c r="DU301" s="4"/>
      <c r="DZ301" s="5"/>
      <c r="EA301" s="5"/>
      <c r="EB301" s="5"/>
      <c r="EC301" s="5"/>
      <c r="ED301" s="5"/>
      <c r="EE301" s="5"/>
    </row>
    <row r="302">
      <c r="AW302" s="5"/>
      <c r="DU302" s="4"/>
      <c r="DZ302" s="5"/>
      <c r="EA302" s="5"/>
      <c r="EB302" s="5"/>
      <c r="EC302" s="5"/>
      <c r="ED302" s="5"/>
      <c r="EE302" s="5"/>
    </row>
    <row r="303">
      <c r="AW303" s="5"/>
      <c r="DU303" s="4"/>
      <c r="DZ303" s="5"/>
      <c r="EA303" s="5"/>
      <c r="EB303" s="5"/>
      <c r="EC303" s="5"/>
      <c r="ED303" s="5"/>
      <c r="EE303" s="5"/>
    </row>
    <row r="304">
      <c r="AW304" s="5"/>
      <c r="DU304" s="4"/>
      <c r="DZ304" s="5"/>
      <c r="EA304" s="5"/>
      <c r="EB304" s="5"/>
      <c r="EC304" s="5"/>
      <c r="ED304" s="5"/>
      <c r="EE304" s="5"/>
    </row>
    <row r="305">
      <c r="AW305" s="5"/>
      <c r="DU305" s="4"/>
      <c r="DZ305" s="5"/>
      <c r="EA305" s="5"/>
      <c r="EB305" s="5"/>
      <c r="EC305" s="5"/>
      <c r="ED305" s="5"/>
      <c r="EE305" s="5"/>
    </row>
    <row r="306">
      <c r="AW306" s="5"/>
      <c r="DU306" s="4"/>
      <c r="DZ306" s="5"/>
      <c r="EA306" s="5"/>
      <c r="EB306" s="5"/>
      <c r="EC306" s="5"/>
      <c r="ED306" s="5"/>
      <c r="EE306" s="5"/>
    </row>
    <row r="307">
      <c r="AW307" s="5"/>
      <c r="DU307" s="4"/>
      <c r="DZ307" s="5"/>
      <c r="EA307" s="5"/>
      <c r="EB307" s="5"/>
      <c r="EC307" s="5"/>
      <c r="ED307" s="5"/>
      <c r="EE307" s="5"/>
    </row>
    <row r="308">
      <c r="AW308" s="5"/>
      <c r="DU308" s="4"/>
      <c r="DZ308" s="5"/>
      <c r="EA308" s="5"/>
      <c r="EB308" s="5"/>
      <c r="EC308" s="5"/>
      <c r="ED308" s="5"/>
      <c r="EE308" s="5"/>
    </row>
    <row r="309">
      <c r="AW309" s="5"/>
      <c r="DU309" s="4"/>
      <c r="DZ309" s="5"/>
      <c r="EA309" s="5"/>
      <c r="EB309" s="5"/>
      <c r="EC309" s="5"/>
      <c r="ED309" s="5"/>
      <c r="EE309" s="5"/>
    </row>
    <row r="310">
      <c r="AW310" s="5"/>
      <c r="DU310" s="4"/>
      <c r="DZ310" s="5"/>
      <c r="EA310" s="5"/>
      <c r="EB310" s="5"/>
      <c r="EC310" s="5"/>
      <c r="ED310" s="5"/>
      <c r="EE310" s="5"/>
    </row>
    <row r="311">
      <c r="AW311" s="5"/>
      <c r="DU311" s="4"/>
      <c r="DZ311" s="5"/>
      <c r="EA311" s="5"/>
      <c r="EB311" s="5"/>
      <c r="EC311" s="5"/>
      <c r="ED311" s="5"/>
      <c r="EE311" s="5"/>
    </row>
    <row r="312">
      <c r="AW312" s="5"/>
      <c r="DU312" s="4"/>
      <c r="DZ312" s="5"/>
      <c r="EA312" s="5"/>
      <c r="EB312" s="5"/>
      <c r="EC312" s="5"/>
      <c r="ED312" s="5"/>
      <c r="EE312" s="5"/>
    </row>
    <row r="313">
      <c r="AW313" s="5"/>
      <c r="DU313" s="4"/>
      <c r="DZ313" s="5"/>
      <c r="EA313" s="5"/>
      <c r="EB313" s="5"/>
      <c r="EC313" s="5"/>
      <c r="ED313" s="5"/>
      <c r="EE313" s="5"/>
    </row>
    <row r="314">
      <c r="AW314" s="5"/>
      <c r="DU314" s="4"/>
      <c r="DZ314" s="5"/>
      <c r="EA314" s="5"/>
      <c r="EB314" s="5"/>
      <c r="EC314" s="5"/>
      <c r="ED314" s="5"/>
      <c r="EE314" s="5"/>
    </row>
    <row r="315">
      <c r="AW315" s="5"/>
      <c r="DU315" s="4"/>
      <c r="DZ315" s="5"/>
      <c r="EA315" s="5"/>
      <c r="EB315" s="5"/>
      <c r="EC315" s="5"/>
      <c r="ED315" s="5"/>
      <c r="EE315" s="5"/>
    </row>
    <row r="316">
      <c r="AW316" s="5"/>
      <c r="DU316" s="4"/>
      <c r="DZ316" s="5"/>
      <c r="EA316" s="5"/>
      <c r="EB316" s="5"/>
      <c r="EC316" s="5"/>
      <c r="ED316" s="5"/>
      <c r="EE316" s="5"/>
    </row>
    <row r="317">
      <c r="AW317" s="5"/>
      <c r="DU317" s="4"/>
      <c r="DZ317" s="5"/>
      <c r="EA317" s="5"/>
      <c r="EB317" s="5"/>
      <c r="EC317" s="5"/>
      <c r="ED317" s="5"/>
      <c r="EE317" s="5"/>
    </row>
    <row r="318">
      <c r="AW318" s="5"/>
      <c r="DU318" s="4"/>
      <c r="DZ318" s="5"/>
      <c r="EA318" s="5"/>
      <c r="EB318" s="5"/>
      <c r="EC318" s="5"/>
      <c r="ED318" s="5"/>
      <c r="EE318" s="5"/>
    </row>
    <row r="319">
      <c r="AW319" s="5"/>
      <c r="DU319" s="4"/>
      <c r="DZ319" s="5"/>
      <c r="EA319" s="5"/>
      <c r="EB319" s="5"/>
      <c r="EC319" s="5"/>
      <c r="ED319" s="5"/>
      <c r="EE319" s="5"/>
    </row>
    <row r="320">
      <c r="AW320" s="5"/>
      <c r="DU320" s="4"/>
      <c r="DZ320" s="5"/>
      <c r="EA320" s="5"/>
      <c r="EB320" s="5"/>
      <c r="EC320" s="5"/>
      <c r="ED320" s="5"/>
      <c r="EE320" s="5"/>
    </row>
    <row r="321">
      <c r="AW321" s="5"/>
      <c r="DU321" s="4"/>
      <c r="DZ321" s="5"/>
      <c r="EA321" s="5"/>
      <c r="EB321" s="5"/>
      <c r="EC321" s="5"/>
      <c r="ED321" s="5"/>
      <c r="EE321" s="5"/>
    </row>
    <row r="322">
      <c r="AW322" s="5"/>
      <c r="DU322" s="4"/>
      <c r="DZ322" s="5"/>
      <c r="EA322" s="5"/>
      <c r="EB322" s="5"/>
      <c r="EC322" s="5"/>
      <c r="ED322" s="5"/>
      <c r="EE322" s="5"/>
    </row>
    <row r="323">
      <c r="AW323" s="5"/>
      <c r="DU323" s="4"/>
      <c r="DZ323" s="5"/>
      <c r="EA323" s="5"/>
      <c r="EB323" s="5"/>
      <c r="EC323" s="5"/>
      <c r="ED323" s="5"/>
      <c r="EE323" s="5"/>
    </row>
    <row r="324">
      <c r="AW324" s="5"/>
      <c r="DU324" s="4"/>
      <c r="DZ324" s="5"/>
      <c r="EA324" s="5"/>
      <c r="EB324" s="5"/>
      <c r="EC324" s="5"/>
      <c r="ED324" s="5"/>
      <c r="EE324" s="5"/>
    </row>
    <row r="325">
      <c r="AW325" s="5"/>
      <c r="DU325" s="4"/>
      <c r="DZ325" s="5"/>
      <c r="EA325" s="5"/>
      <c r="EB325" s="5"/>
      <c r="EC325" s="5"/>
      <c r="ED325" s="5"/>
      <c r="EE325" s="5"/>
    </row>
    <row r="326">
      <c r="AW326" s="5"/>
      <c r="DU326" s="4"/>
      <c r="DZ326" s="5"/>
      <c r="EA326" s="5"/>
      <c r="EB326" s="5"/>
      <c r="EC326" s="5"/>
      <c r="ED326" s="5"/>
      <c r="EE326" s="5"/>
    </row>
    <row r="327">
      <c r="AW327" s="5"/>
      <c r="DU327" s="4"/>
      <c r="DZ327" s="5"/>
      <c r="EA327" s="5"/>
      <c r="EB327" s="5"/>
      <c r="EC327" s="5"/>
      <c r="ED327" s="5"/>
      <c r="EE327" s="5"/>
    </row>
    <row r="328">
      <c r="AW328" s="5"/>
      <c r="DU328" s="4"/>
      <c r="DZ328" s="5"/>
      <c r="EA328" s="5"/>
      <c r="EB328" s="5"/>
      <c r="EC328" s="5"/>
      <c r="ED328" s="5"/>
      <c r="EE328" s="5"/>
    </row>
    <row r="329">
      <c r="AW329" s="5"/>
      <c r="DU329" s="4"/>
      <c r="DZ329" s="5"/>
      <c r="EA329" s="5"/>
      <c r="EB329" s="5"/>
      <c r="EC329" s="5"/>
      <c r="ED329" s="5"/>
      <c r="EE329" s="5"/>
    </row>
    <row r="330">
      <c r="AW330" s="5"/>
      <c r="DU330" s="4"/>
      <c r="DZ330" s="5"/>
      <c r="EA330" s="5"/>
      <c r="EB330" s="5"/>
      <c r="EC330" s="5"/>
      <c r="ED330" s="5"/>
      <c r="EE330" s="5"/>
    </row>
    <row r="331">
      <c r="AW331" s="5"/>
      <c r="DU331" s="4"/>
      <c r="DZ331" s="5"/>
      <c r="EA331" s="5"/>
      <c r="EB331" s="5"/>
      <c r="EC331" s="5"/>
      <c r="ED331" s="5"/>
      <c r="EE331" s="5"/>
    </row>
    <row r="332">
      <c r="AW332" s="5"/>
      <c r="DU332" s="4"/>
      <c r="DZ332" s="5"/>
      <c r="EA332" s="5"/>
      <c r="EB332" s="5"/>
      <c r="EC332" s="5"/>
      <c r="ED332" s="5"/>
      <c r="EE332" s="5"/>
    </row>
    <row r="333">
      <c r="AW333" s="5"/>
      <c r="DU333" s="4"/>
      <c r="DZ333" s="5"/>
      <c r="EA333" s="5"/>
      <c r="EB333" s="5"/>
      <c r="EC333" s="5"/>
      <c r="ED333" s="5"/>
      <c r="EE333" s="5"/>
    </row>
    <row r="334">
      <c r="AW334" s="5"/>
      <c r="DU334" s="4"/>
      <c r="DZ334" s="5"/>
      <c r="EA334" s="5"/>
      <c r="EB334" s="5"/>
      <c r="EC334" s="5"/>
      <c r="ED334" s="5"/>
      <c r="EE334" s="5"/>
    </row>
    <row r="335">
      <c r="AW335" s="5"/>
      <c r="DU335" s="4"/>
      <c r="DZ335" s="5"/>
      <c r="EA335" s="5"/>
      <c r="EB335" s="5"/>
      <c r="EC335" s="5"/>
      <c r="ED335" s="5"/>
      <c r="EE335" s="5"/>
    </row>
    <row r="336">
      <c r="AW336" s="5"/>
      <c r="DU336" s="4"/>
      <c r="DZ336" s="5"/>
      <c r="EA336" s="5"/>
      <c r="EB336" s="5"/>
      <c r="EC336" s="5"/>
      <c r="ED336" s="5"/>
      <c r="EE336" s="5"/>
    </row>
    <row r="337">
      <c r="AW337" s="5"/>
      <c r="DU337" s="4"/>
      <c r="DZ337" s="5"/>
      <c r="EA337" s="5"/>
      <c r="EB337" s="5"/>
      <c r="EC337" s="5"/>
      <c r="ED337" s="5"/>
      <c r="EE337" s="5"/>
    </row>
    <row r="338">
      <c r="AW338" s="5"/>
      <c r="DU338" s="4"/>
      <c r="DZ338" s="5"/>
      <c r="EA338" s="5"/>
      <c r="EB338" s="5"/>
      <c r="EC338" s="5"/>
      <c r="ED338" s="5"/>
      <c r="EE338" s="5"/>
    </row>
    <row r="339">
      <c r="AW339" s="5"/>
      <c r="DU339" s="4"/>
      <c r="DZ339" s="5"/>
      <c r="EA339" s="5"/>
      <c r="EB339" s="5"/>
      <c r="EC339" s="5"/>
      <c r="ED339" s="5"/>
      <c r="EE339" s="5"/>
    </row>
    <row r="340">
      <c r="AW340" s="5"/>
      <c r="DU340" s="4"/>
      <c r="DZ340" s="5"/>
      <c r="EA340" s="5"/>
      <c r="EB340" s="5"/>
      <c r="EC340" s="5"/>
      <c r="ED340" s="5"/>
      <c r="EE340" s="5"/>
    </row>
    <row r="341">
      <c r="AW341" s="5"/>
      <c r="DU341" s="4"/>
      <c r="DZ341" s="5"/>
      <c r="EA341" s="5"/>
      <c r="EB341" s="5"/>
      <c r="EC341" s="5"/>
      <c r="ED341" s="5"/>
      <c r="EE341" s="5"/>
    </row>
    <row r="342">
      <c r="AW342" s="5"/>
      <c r="DU342" s="4"/>
      <c r="DZ342" s="5"/>
      <c r="EA342" s="5"/>
      <c r="EB342" s="5"/>
      <c r="EC342" s="5"/>
      <c r="ED342" s="5"/>
      <c r="EE342" s="5"/>
    </row>
    <row r="343">
      <c r="AW343" s="5"/>
      <c r="DU343" s="4"/>
      <c r="DZ343" s="5"/>
      <c r="EA343" s="5"/>
      <c r="EB343" s="5"/>
      <c r="EC343" s="5"/>
      <c r="ED343" s="5"/>
      <c r="EE343" s="5"/>
    </row>
    <row r="344">
      <c r="AW344" s="5"/>
      <c r="DU344" s="4"/>
      <c r="DZ344" s="5"/>
      <c r="EA344" s="5"/>
      <c r="EB344" s="5"/>
      <c r="EC344" s="5"/>
      <c r="ED344" s="5"/>
      <c r="EE344" s="5"/>
    </row>
    <row r="345">
      <c r="AW345" s="5"/>
      <c r="DU345" s="4"/>
      <c r="DZ345" s="5"/>
      <c r="EA345" s="5"/>
      <c r="EB345" s="5"/>
      <c r="EC345" s="5"/>
      <c r="ED345" s="5"/>
      <c r="EE345" s="5"/>
    </row>
    <row r="346">
      <c r="AW346" s="5"/>
      <c r="DU346" s="4"/>
      <c r="DZ346" s="5"/>
      <c r="EA346" s="5"/>
      <c r="EB346" s="5"/>
      <c r="EC346" s="5"/>
      <c r="ED346" s="5"/>
      <c r="EE346" s="5"/>
    </row>
    <row r="347">
      <c r="AW347" s="5"/>
      <c r="DU347" s="4"/>
      <c r="DZ347" s="5"/>
      <c r="EA347" s="5"/>
      <c r="EB347" s="5"/>
      <c r="EC347" s="5"/>
      <c r="ED347" s="5"/>
      <c r="EE347" s="5"/>
    </row>
    <row r="348">
      <c r="AW348" s="5"/>
      <c r="DU348" s="4"/>
      <c r="DZ348" s="5"/>
      <c r="EA348" s="5"/>
      <c r="EB348" s="5"/>
      <c r="EC348" s="5"/>
      <c r="ED348" s="5"/>
      <c r="EE348" s="5"/>
    </row>
    <row r="349">
      <c r="AW349" s="5"/>
      <c r="DU349" s="4"/>
      <c r="DZ349" s="5"/>
      <c r="EA349" s="5"/>
      <c r="EB349" s="5"/>
      <c r="EC349" s="5"/>
      <c r="ED349" s="5"/>
      <c r="EE349" s="5"/>
    </row>
    <row r="350">
      <c r="AW350" s="5"/>
      <c r="DU350" s="4"/>
      <c r="DZ350" s="5"/>
      <c r="EA350" s="5"/>
      <c r="EB350" s="5"/>
      <c r="EC350" s="5"/>
      <c r="ED350" s="5"/>
      <c r="EE350" s="5"/>
    </row>
    <row r="351">
      <c r="AW351" s="5"/>
      <c r="DU351" s="4"/>
      <c r="DZ351" s="5"/>
      <c r="EA351" s="5"/>
      <c r="EB351" s="5"/>
      <c r="EC351" s="5"/>
      <c r="ED351" s="5"/>
      <c r="EE351" s="5"/>
    </row>
    <row r="352">
      <c r="AW352" s="5"/>
      <c r="DU352" s="4"/>
      <c r="DZ352" s="5"/>
      <c r="EA352" s="5"/>
      <c r="EB352" s="5"/>
      <c r="EC352" s="5"/>
      <c r="ED352" s="5"/>
      <c r="EE352" s="5"/>
    </row>
    <row r="353">
      <c r="AW353" s="5"/>
      <c r="DU353" s="4"/>
      <c r="DZ353" s="5"/>
      <c r="EA353" s="5"/>
      <c r="EB353" s="5"/>
      <c r="EC353" s="5"/>
      <c r="ED353" s="5"/>
      <c r="EE353" s="5"/>
    </row>
    <row r="354">
      <c r="AW354" s="5"/>
      <c r="DU354" s="4"/>
      <c r="DZ354" s="5"/>
      <c r="EA354" s="5"/>
      <c r="EB354" s="5"/>
      <c r="EC354" s="5"/>
      <c r="ED354" s="5"/>
      <c r="EE354" s="5"/>
    </row>
    <row r="355">
      <c r="AW355" s="5"/>
      <c r="DU355" s="4"/>
      <c r="DZ355" s="5"/>
      <c r="EA355" s="5"/>
      <c r="EB355" s="5"/>
      <c r="EC355" s="5"/>
      <c r="ED355" s="5"/>
      <c r="EE355" s="5"/>
    </row>
    <row r="356">
      <c r="AW356" s="5"/>
      <c r="DU356" s="4"/>
      <c r="DZ356" s="5"/>
      <c r="EA356" s="5"/>
      <c r="EB356" s="5"/>
      <c r="EC356" s="5"/>
      <c r="ED356" s="5"/>
      <c r="EE356" s="5"/>
    </row>
    <row r="357">
      <c r="AW357" s="5"/>
      <c r="DU357" s="4"/>
      <c r="DZ357" s="5"/>
      <c r="EA357" s="5"/>
      <c r="EB357" s="5"/>
      <c r="EC357" s="5"/>
      <c r="ED357" s="5"/>
      <c r="EE357" s="5"/>
    </row>
    <row r="358">
      <c r="AW358" s="5"/>
      <c r="DU358" s="4"/>
      <c r="DZ358" s="5"/>
      <c r="EA358" s="5"/>
      <c r="EB358" s="5"/>
      <c r="EC358" s="5"/>
      <c r="ED358" s="5"/>
      <c r="EE358" s="5"/>
    </row>
    <row r="359">
      <c r="AW359" s="5"/>
      <c r="DU359" s="4"/>
      <c r="DZ359" s="5"/>
      <c r="EA359" s="5"/>
      <c r="EB359" s="5"/>
      <c r="EC359" s="5"/>
      <c r="ED359" s="5"/>
      <c r="EE359" s="5"/>
    </row>
    <row r="360">
      <c r="AW360" s="5"/>
      <c r="DU360" s="4"/>
      <c r="DZ360" s="5"/>
      <c r="EA360" s="5"/>
      <c r="EB360" s="5"/>
      <c r="EC360" s="5"/>
      <c r="ED360" s="5"/>
      <c r="EE360" s="5"/>
    </row>
    <row r="361">
      <c r="AW361" s="5"/>
      <c r="DU361" s="4"/>
      <c r="DZ361" s="5"/>
      <c r="EA361" s="5"/>
      <c r="EB361" s="5"/>
      <c r="EC361" s="5"/>
      <c r="ED361" s="5"/>
      <c r="EE361" s="5"/>
    </row>
    <row r="362">
      <c r="AW362" s="5"/>
      <c r="DU362" s="4"/>
      <c r="DZ362" s="5"/>
      <c r="EA362" s="5"/>
      <c r="EB362" s="5"/>
      <c r="EC362" s="5"/>
      <c r="ED362" s="5"/>
      <c r="EE362" s="5"/>
    </row>
    <row r="363">
      <c r="AW363" s="5"/>
      <c r="DU363" s="4"/>
      <c r="DZ363" s="5"/>
      <c r="EA363" s="5"/>
      <c r="EB363" s="5"/>
      <c r="EC363" s="5"/>
      <c r="ED363" s="5"/>
      <c r="EE363" s="5"/>
    </row>
    <row r="364">
      <c r="AW364" s="5"/>
      <c r="DU364" s="4"/>
      <c r="DZ364" s="5"/>
      <c r="EA364" s="5"/>
      <c r="EB364" s="5"/>
      <c r="EC364" s="5"/>
      <c r="ED364" s="5"/>
      <c r="EE364" s="5"/>
    </row>
    <row r="365">
      <c r="AW365" s="5"/>
      <c r="DU365" s="4"/>
      <c r="DZ365" s="5"/>
      <c r="EA365" s="5"/>
      <c r="EB365" s="5"/>
      <c r="EC365" s="5"/>
      <c r="ED365" s="5"/>
      <c r="EE365" s="5"/>
    </row>
    <row r="366">
      <c r="AW366" s="5"/>
      <c r="DU366" s="4"/>
      <c r="DZ366" s="5"/>
      <c r="EA366" s="5"/>
      <c r="EB366" s="5"/>
      <c r="EC366" s="5"/>
      <c r="ED366" s="5"/>
      <c r="EE366" s="5"/>
    </row>
    <row r="367">
      <c r="AW367" s="5"/>
      <c r="DU367" s="4"/>
      <c r="DZ367" s="5"/>
      <c r="EA367" s="5"/>
      <c r="EB367" s="5"/>
      <c r="EC367" s="5"/>
      <c r="ED367" s="5"/>
      <c r="EE367" s="5"/>
    </row>
    <row r="368">
      <c r="AW368" s="5"/>
      <c r="DU368" s="4"/>
      <c r="DZ368" s="5"/>
      <c r="EA368" s="5"/>
      <c r="EB368" s="5"/>
      <c r="EC368" s="5"/>
      <c r="ED368" s="5"/>
      <c r="EE368" s="5"/>
    </row>
    <row r="369">
      <c r="AW369" s="5"/>
      <c r="DU369" s="4"/>
      <c r="DZ369" s="5"/>
      <c r="EA369" s="5"/>
      <c r="EB369" s="5"/>
      <c r="EC369" s="5"/>
      <c r="ED369" s="5"/>
      <c r="EE369" s="5"/>
    </row>
    <row r="370">
      <c r="AW370" s="5"/>
      <c r="DU370" s="4"/>
      <c r="DZ370" s="5"/>
      <c r="EA370" s="5"/>
      <c r="EB370" s="5"/>
      <c r="EC370" s="5"/>
      <c r="ED370" s="5"/>
      <c r="EE370" s="5"/>
    </row>
    <row r="371">
      <c r="AW371" s="5"/>
      <c r="DU371" s="4"/>
      <c r="DZ371" s="5"/>
      <c r="EA371" s="5"/>
      <c r="EB371" s="5"/>
      <c r="EC371" s="5"/>
      <c r="ED371" s="5"/>
      <c r="EE371" s="5"/>
    </row>
    <row r="372">
      <c r="AW372" s="5"/>
      <c r="DU372" s="4"/>
      <c r="DZ372" s="5"/>
      <c r="EA372" s="5"/>
      <c r="EB372" s="5"/>
      <c r="EC372" s="5"/>
      <c r="ED372" s="5"/>
      <c r="EE372" s="5"/>
    </row>
    <row r="373">
      <c r="AW373" s="5"/>
      <c r="DU373" s="4"/>
      <c r="DZ373" s="5"/>
      <c r="EA373" s="5"/>
      <c r="EB373" s="5"/>
      <c r="EC373" s="5"/>
      <c r="ED373" s="5"/>
      <c r="EE373" s="5"/>
    </row>
    <row r="374">
      <c r="AW374" s="5"/>
      <c r="DU374" s="4"/>
      <c r="DZ374" s="5"/>
      <c r="EA374" s="5"/>
      <c r="EB374" s="5"/>
      <c r="EC374" s="5"/>
      <c r="ED374" s="5"/>
      <c r="EE374" s="5"/>
    </row>
    <row r="375">
      <c r="AW375" s="5"/>
      <c r="DU375" s="4"/>
      <c r="DZ375" s="5"/>
      <c r="EA375" s="5"/>
      <c r="EB375" s="5"/>
      <c r="EC375" s="5"/>
      <c r="ED375" s="5"/>
      <c r="EE375" s="5"/>
    </row>
    <row r="376">
      <c r="AW376" s="5"/>
      <c r="DU376" s="4"/>
      <c r="DZ376" s="5"/>
      <c r="EA376" s="5"/>
      <c r="EB376" s="5"/>
      <c r="EC376" s="5"/>
      <c r="ED376" s="5"/>
      <c r="EE376" s="5"/>
    </row>
    <row r="377">
      <c r="AW377" s="5"/>
      <c r="DU377" s="4"/>
      <c r="DZ377" s="5"/>
      <c r="EA377" s="5"/>
      <c r="EB377" s="5"/>
      <c r="EC377" s="5"/>
      <c r="ED377" s="5"/>
      <c r="EE377" s="5"/>
    </row>
    <row r="378">
      <c r="AW378" s="5"/>
      <c r="DU378" s="4"/>
      <c r="DZ378" s="5"/>
      <c r="EA378" s="5"/>
      <c r="EB378" s="5"/>
      <c r="EC378" s="5"/>
      <c r="ED378" s="5"/>
      <c r="EE378" s="5"/>
    </row>
    <row r="379">
      <c r="AW379" s="5"/>
      <c r="DU379" s="4"/>
      <c r="DZ379" s="5"/>
      <c r="EA379" s="5"/>
      <c r="EB379" s="5"/>
      <c r="EC379" s="5"/>
      <c r="ED379" s="5"/>
      <c r="EE379" s="5"/>
    </row>
    <row r="380">
      <c r="AW380" s="5"/>
      <c r="DU380" s="4"/>
      <c r="DZ380" s="5"/>
      <c r="EA380" s="5"/>
      <c r="EB380" s="5"/>
      <c r="EC380" s="5"/>
      <c r="ED380" s="5"/>
      <c r="EE380" s="5"/>
    </row>
    <row r="381">
      <c r="AW381" s="5"/>
      <c r="DU381" s="4"/>
      <c r="DZ381" s="5"/>
      <c r="EA381" s="5"/>
      <c r="EB381" s="5"/>
      <c r="EC381" s="5"/>
      <c r="ED381" s="5"/>
      <c r="EE381" s="5"/>
    </row>
    <row r="382">
      <c r="AW382" s="5"/>
      <c r="DU382" s="4"/>
      <c r="DZ382" s="5"/>
      <c r="EA382" s="5"/>
      <c r="EB382" s="5"/>
      <c r="EC382" s="5"/>
      <c r="ED382" s="5"/>
      <c r="EE382" s="5"/>
    </row>
    <row r="383">
      <c r="AW383" s="5"/>
      <c r="DU383" s="4"/>
      <c r="DZ383" s="5"/>
      <c r="EA383" s="5"/>
      <c r="EB383" s="5"/>
      <c r="EC383" s="5"/>
      <c r="ED383" s="5"/>
      <c r="EE383" s="5"/>
    </row>
    <row r="384">
      <c r="AW384" s="5"/>
      <c r="DU384" s="4"/>
      <c r="DZ384" s="5"/>
      <c r="EA384" s="5"/>
      <c r="EB384" s="5"/>
      <c r="EC384" s="5"/>
      <c r="ED384" s="5"/>
      <c r="EE384" s="5"/>
    </row>
    <row r="385">
      <c r="AW385" s="5"/>
      <c r="DU385" s="4"/>
      <c r="DZ385" s="5"/>
      <c r="EA385" s="5"/>
      <c r="EB385" s="5"/>
      <c r="EC385" s="5"/>
      <c r="ED385" s="5"/>
      <c r="EE385" s="5"/>
    </row>
    <row r="386">
      <c r="AW386" s="5"/>
      <c r="DU386" s="4"/>
      <c r="DZ386" s="5"/>
      <c r="EA386" s="5"/>
      <c r="EB386" s="5"/>
      <c r="EC386" s="5"/>
      <c r="ED386" s="5"/>
      <c r="EE386" s="5"/>
    </row>
    <row r="387">
      <c r="AW387" s="5"/>
      <c r="DU387" s="4"/>
      <c r="DZ387" s="5"/>
      <c r="EA387" s="5"/>
      <c r="EB387" s="5"/>
      <c r="EC387" s="5"/>
      <c r="ED387" s="5"/>
      <c r="EE387" s="5"/>
    </row>
    <row r="388">
      <c r="AW388" s="5"/>
      <c r="DU388" s="4"/>
      <c r="DZ388" s="5"/>
      <c r="EA388" s="5"/>
      <c r="EB388" s="5"/>
      <c r="EC388" s="5"/>
      <c r="ED388" s="5"/>
      <c r="EE388" s="5"/>
    </row>
    <row r="389">
      <c r="AW389" s="5"/>
      <c r="DU389" s="4"/>
      <c r="DZ389" s="5"/>
      <c r="EA389" s="5"/>
      <c r="EB389" s="5"/>
      <c r="EC389" s="5"/>
      <c r="ED389" s="5"/>
      <c r="EE389" s="5"/>
    </row>
    <row r="390">
      <c r="AW390" s="5"/>
      <c r="DU390" s="4"/>
      <c r="DZ390" s="5"/>
      <c r="EA390" s="5"/>
      <c r="EB390" s="5"/>
      <c r="EC390" s="5"/>
      <c r="ED390" s="5"/>
      <c r="EE390" s="5"/>
    </row>
    <row r="391">
      <c r="AW391" s="5"/>
      <c r="DU391" s="4"/>
      <c r="DZ391" s="5"/>
      <c r="EA391" s="5"/>
      <c r="EB391" s="5"/>
      <c r="EC391" s="5"/>
      <c r="ED391" s="5"/>
      <c r="EE391" s="5"/>
    </row>
    <row r="392">
      <c r="AW392" s="5"/>
      <c r="DU392" s="4"/>
      <c r="DZ392" s="5"/>
      <c r="EA392" s="5"/>
      <c r="EB392" s="5"/>
      <c r="EC392" s="5"/>
      <c r="ED392" s="5"/>
      <c r="EE392" s="5"/>
    </row>
    <row r="393">
      <c r="AW393" s="5"/>
      <c r="DU393" s="4"/>
      <c r="DZ393" s="5"/>
      <c r="EA393" s="5"/>
      <c r="EB393" s="5"/>
      <c r="EC393" s="5"/>
      <c r="ED393" s="5"/>
      <c r="EE393" s="5"/>
    </row>
    <row r="394">
      <c r="AW394" s="5"/>
      <c r="DU394" s="4"/>
      <c r="DZ394" s="5"/>
      <c r="EA394" s="5"/>
      <c r="EB394" s="5"/>
      <c r="EC394" s="5"/>
      <c r="ED394" s="5"/>
      <c r="EE394" s="5"/>
    </row>
    <row r="395">
      <c r="AW395" s="5"/>
      <c r="DU395" s="4"/>
      <c r="DZ395" s="5"/>
      <c r="EA395" s="5"/>
      <c r="EB395" s="5"/>
      <c r="EC395" s="5"/>
      <c r="ED395" s="5"/>
      <c r="EE395" s="5"/>
    </row>
    <row r="396">
      <c r="AW396" s="5"/>
      <c r="DU396" s="4"/>
      <c r="DZ396" s="5"/>
      <c r="EA396" s="5"/>
      <c r="EB396" s="5"/>
      <c r="EC396" s="5"/>
      <c r="ED396" s="5"/>
      <c r="EE396" s="5"/>
    </row>
    <row r="397">
      <c r="AW397" s="5"/>
      <c r="DU397" s="4"/>
      <c r="DZ397" s="5"/>
      <c r="EA397" s="5"/>
      <c r="EB397" s="5"/>
      <c r="EC397" s="5"/>
      <c r="ED397" s="5"/>
      <c r="EE397" s="5"/>
    </row>
    <row r="398">
      <c r="AW398" s="5"/>
      <c r="DU398" s="4"/>
      <c r="DZ398" s="5"/>
      <c r="EA398" s="5"/>
      <c r="EB398" s="5"/>
      <c r="EC398" s="5"/>
      <c r="ED398" s="5"/>
      <c r="EE398" s="5"/>
    </row>
    <row r="399">
      <c r="AW399" s="5"/>
      <c r="DU399" s="4"/>
      <c r="DZ399" s="5"/>
      <c r="EA399" s="5"/>
      <c r="EB399" s="5"/>
      <c r="EC399" s="5"/>
      <c r="ED399" s="5"/>
      <c r="EE399" s="5"/>
    </row>
    <row r="400">
      <c r="AW400" s="5"/>
      <c r="DU400" s="4"/>
      <c r="DZ400" s="5"/>
      <c r="EA400" s="5"/>
      <c r="EB400" s="5"/>
      <c r="EC400" s="5"/>
      <c r="ED400" s="5"/>
      <c r="EE400" s="5"/>
    </row>
    <row r="401">
      <c r="AW401" s="5"/>
      <c r="DU401" s="4"/>
      <c r="DZ401" s="5"/>
      <c r="EA401" s="5"/>
      <c r="EB401" s="5"/>
      <c r="EC401" s="5"/>
      <c r="ED401" s="5"/>
      <c r="EE401" s="5"/>
    </row>
    <row r="402">
      <c r="AW402" s="5"/>
      <c r="DU402" s="4"/>
      <c r="DZ402" s="5"/>
      <c r="EA402" s="5"/>
      <c r="EB402" s="5"/>
      <c r="EC402" s="5"/>
      <c r="ED402" s="5"/>
      <c r="EE402" s="5"/>
    </row>
    <row r="403">
      <c r="AW403" s="5"/>
      <c r="DU403" s="4"/>
      <c r="DZ403" s="5"/>
      <c r="EA403" s="5"/>
      <c r="EB403" s="5"/>
      <c r="EC403" s="5"/>
      <c r="ED403" s="5"/>
      <c r="EE403" s="5"/>
    </row>
    <row r="404">
      <c r="AW404" s="5"/>
      <c r="DU404" s="4"/>
      <c r="DZ404" s="5"/>
      <c r="EA404" s="5"/>
      <c r="EB404" s="5"/>
      <c r="EC404" s="5"/>
      <c r="ED404" s="5"/>
      <c r="EE404" s="5"/>
    </row>
    <row r="405">
      <c r="AW405" s="5"/>
      <c r="DU405" s="4"/>
      <c r="DZ405" s="5"/>
      <c r="EA405" s="5"/>
      <c r="EB405" s="5"/>
      <c r="EC405" s="5"/>
      <c r="ED405" s="5"/>
      <c r="EE405" s="5"/>
    </row>
    <row r="406">
      <c r="AW406" s="5"/>
      <c r="DU406" s="4"/>
      <c r="DZ406" s="5"/>
      <c r="EA406" s="5"/>
      <c r="EB406" s="5"/>
      <c r="EC406" s="5"/>
      <c r="ED406" s="5"/>
      <c r="EE406" s="5"/>
    </row>
    <row r="407">
      <c r="AW407" s="5"/>
      <c r="DU407" s="4"/>
      <c r="DZ407" s="5"/>
      <c r="EA407" s="5"/>
      <c r="EB407" s="5"/>
      <c r="EC407" s="5"/>
      <c r="ED407" s="5"/>
      <c r="EE407" s="5"/>
    </row>
    <row r="408">
      <c r="AW408" s="5"/>
      <c r="DU408" s="4"/>
      <c r="DZ408" s="5"/>
      <c r="EA408" s="5"/>
      <c r="EB408" s="5"/>
      <c r="EC408" s="5"/>
      <c r="ED408" s="5"/>
      <c r="EE408" s="5"/>
    </row>
    <row r="409">
      <c r="AW409" s="5"/>
      <c r="DU409" s="4"/>
      <c r="DZ409" s="5"/>
      <c r="EA409" s="5"/>
      <c r="EB409" s="5"/>
      <c r="EC409" s="5"/>
      <c r="ED409" s="5"/>
      <c r="EE409" s="5"/>
    </row>
    <row r="410">
      <c r="AW410" s="5"/>
      <c r="DU410" s="4"/>
      <c r="DZ410" s="5"/>
      <c r="EA410" s="5"/>
      <c r="EB410" s="5"/>
      <c r="EC410" s="5"/>
      <c r="ED410" s="5"/>
      <c r="EE410" s="5"/>
    </row>
    <row r="411">
      <c r="AW411" s="5"/>
      <c r="DU411" s="4"/>
      <c r="DZ411" s="5"/>
      <c r="EA411" s="5"/>
      <c r="EB411" s="5"/>
      <c r="EC411" s="5"/>
      <c r="ED411" s="5"/>
      <c r="EE411" s="5"/>
    </row>
    <row r="412">
      <c r="AW412" s="5"/>
      <c r="DU412" s="4"/>
      <c r="DZ412" s="5"/>
      <c r="EA412" s="5"/>
      <c r="EB412" s="5"/>
      <c r="EC412" s="5"/>
      <c r="ED412" s="5"/>
      <c r="EE412" s="5"/>
    </row>
    <row r="413">
      <c r="AW413" s="5"/>
      <c r="DU413" s="4"/>
      <c r="DZ413" s="5"/>
      <c r="EA413" s="5"/>
      <c r="EB413" s="5"/>
      <c r="EC413" s="5"/>
      <c r="ED413" s="5"/>
      <c r="EE413" s="5"/>
    </row>
    <row r="414">
      <c r="AW414" s="5"/>
      <c r="DU414" s="4"/>
      <c r="DZ414" s="5"/>
      <c r="EA414" s="5"/>
      <c r="EB414" s="5"/>
      <c r="EC414" s="5"/>
      <c r="ED414" s="5"/>
      <c r="EE414" s="5"/>
    </row>
    <row r="415">
      <c r="AW415" s="5"/>
      <c r="DU415" s="4"/>
      <c r="DZ415" s="5"/>
      <c r="EA415" s="5"/>
      <c r="EB415" s="5"/>
      <c r="EC415" s="5"/>
      <c r="ED415" s="5"/>
      <c r="EE415" s="5"/>
    </row>
    <row r="416">
      <c r="AW416" s="5"/>
      <c r="DU416" s="4"/>
      <c r="DZ416" s="5"/>
      <c r="EA416" s="5"/>
      <c r="EB416" s="5"/>
      <c r="EC416" s="5"/>
      <c r="ED416" s="5"/>
      <c r="EE416" s="5"/>
    </row>
    <row r="417">
      <c r="AW417" s="5"/>
      <c r="DU417" s="4"/>
      <c r="DZ417" s="5"/>
      <c r="EA417" s="5"/>
      <c r="EB417" s="5"/>
      <c r="EC417" s="5"/>
      <c r="ED417" s="5"/>
      <c r="EE417" s="5"/>
    </row>
    <row r="418">
      <c r="AW418" s="5"/>
      <c r="DU418" s="4"/>
      <c r="DZ418" s="5"/>
      <c r="EA418" s="5"/>
      <c r="EB418" s="5"/>
      <c r="EC418" s="5"/>
      <c r="ED418" s="5"/>
      <c r="EE418" s="5"/>
    </row>
    <row r="419">
      <c r="AW419" s="5"/>
      <c r="DU419" s="4"/>
      <c r="DZ419" s="5"/>
      <c r="EA419" s="5"/>
      <c r="EB419" s="5"/>
      <c r="EC419" s="5"/>
      <c r="ED419" s="5"/>
      <c r="EE419" s="5"/>
    </row>
    <row r="420">
      <c r="AW420" s="5"/>
      <c r="DU420" s="4"/>
      <c r="DZ420" s="5"/>
      <c r="EA420" s="5"/>
      <c r="EB420" s="5"/>
      <c r="EC420" s="5"/>
      <c r="ED420" s="5"/>
      <c r="EE420" s="5"/>
    </row>
    <row r="421">
      <c r="AW421" s="5"/>
      <c r="DU421" s="4"/>
      <c r="DZ421" s="5"/>
      <c r="EA421" s="5"/>
      <c r="EB421" s="5"/>
      <c r="EC421" s="5"/>
      <c r="ED421" s="5"/>
      <c r="EE421" s="5"/>
    </row>
    <row r="422">
      <c r="AW422" s="5"/>
      <c r="DU422" s="4"/>
      <c r="DZ422" s="5"/>
      <c r="EA422" s="5"/>
      <c r="EB422" s="5"/>
      <c r="EC422" s="5"/>
      <c r="ED422" s="5"/>
      <c r="EE422" s="5"/>
    </row>
    <row r="423">
      <c r="AW423" s="5"/>
      <c r="DU423" s="4"/>
      <c r="DZ423" s="5"/>
      <c r="EA423" s="5"/>
      <c r="EB423" s="5"/>
      <c r="EC423" s="5"/>
      <c r="ED423" s="5"/>
      <c r="EE423" s="5"/>
    </row>
    <row r="424">
      <c r="AW424" s="5"/>
      <c r="DU424" s="4"/>
      <c r="DZ424" s="5"/>
      <c r="EA424" s="5"/>
      <c r="EB424" s="5"/>
      <c r="EC424" s="5"/>
      <c r="ED424" s="5"/>
      <c r="EE424" s="5"/>
    </row>
    <row r="425">
      <c r="AW425" s="5"/>
      <c r="DU425" s="4"/>
      <c r="DZ425" s="5"/>
      <c r="EA425" s="5"/>
      <c r="EB425" s="5"/>
      <c r="EC425" s="5"/>
      <c r="ED425" s="5"/>
      <c r="EE425" s="5"/>
    </row>
    <row r="426">
      <c r="AW426" s="5"/>
      <c r="DU426" s="4"/>
      <c r="DZ426" s="5"/>
      <c r="EA426" s="5"/>
      <c r="EB426" s="5"/>
      <c r="EC426" s="5"/>
      <c r="ED426" s="5"/>
      <c r="EE426" s="5"/>
    </row>
    <row r="427">
      <c r="AW427" s="5"/>
      <c r="DU427" s="4"/>
      <c r="DZ427" s="5"/>
      <c r="EA427" s="5"/>
      <c r="EB427" s="5"/>
      <c r="EC427" s="5"/>
      <c r="ED427" s="5"/>
      <c r="EE427" s="5"/>
    </row>
    <row r="428">
      <c r="AW428" s="5"/>
      <c r="DU428" s="4"/>
      <c r="DZ428" s="5"/>
      <c r="EA428" s="5"/>
      <c r="EB428" s="5"/>
      <c r="EC428" s="5"/>
      <c r="ED428" s="5"/>
      <c r="EE428" s="5"/>
    </row>
    <row r="429">
      <c r="AW429" s="5"/>
      <c r="DU429" s="4"/>
      <c r="DZ429" s="5"/>
      <c r="EA429" s="5"/>
      <c r="EB429" s="5"/>
      <c r="EC429" s="5"/>
      <c r="ED429" s="5"/>
      <c r="EE429" s="5"/>
    </row>
    <row r="430">
      <c r="AW430" s="5"/>
      <c r="DU430" s="4"/>
      <c r="DZ430" s="5"/>
      <c r="EA430" s="5"/>
      <c r="EB430" s="5"/>
      <c r="EC430" s="5"/>
      <c r="ED430" s="5"/>
      <c r="EE430" s="5"/>
    </row>
    <row r="431">
      <c r="AW431" s="5"/>
      <c r="DU431" s="4"/>
      <c r="DZ431" s="5"/>
      <c r="EA431" s="5"/>
      <c r="EB431" s="5"/>
      <c r="EC431" s="5"/>
      <c r="ED431" s="5"/>
      <c r="EE431" s="5"/>
    </row>
    <row r="432">
      <c r="AW432" s="5"/>
      <c r="DU432" s="4"/>
      <c r="DZ432" s="5"/>
      <c r="EA432" s="5"/>
      <c r="EB432" s="5"/>
      <c r="EC432" s="5"/>
      <c r="ED432" s="5"/>
      <c r="EE432" s="5"/>
    </row>
    <row r="433">
      <c r="AW433" s="5"/>
      <c r="DU433" s="4"/>
      <c r="DZ433" s="5"/>
      <c r="EA433" s="5"/>
      <c r="EB433" s="5"/>
      <c r="EC433" s="5"/>
      <c r="ED433" s="5"/>
      <c r="EE433" s="5"/>
    </row>
    <row r="434">
      <c r="AW434" s="5"/>
      <c r="DU434" s="4"/>
      <c r="DZ434" s="5"/>
      <c r="EA434" s="5"/>
      <c r="EB434" s="5"/>
      <c r="EC434" s="5"/>
      <c r="ED434" s="5"/>
      <c r="EE434" s="5"/>
    </row>
    <row r="435">
      <c r="AW435" s="5"/>
      <c r="DU435" s="4"/>
      <c r="DZ435" s="5"/>
      <c r="EA435" s="5"/>
      <c r="EB435" s="5"/>
      <c r="EC435" s="5"/>
      <c r="ED435" s="5"/>
      <c r="EE435" s="5"/>
    </row>
    <row r="436">
      <c r="AW436" s="5"/>
      <c r="DU436" s="4"/>
      <c r="DZ436" s="5"/>
      <c r="EA436" s="5"/>
      <c r="EB436" s="5"/>
      <c r="EC436" s="5"/>
      <c r="ED436" s="5"/>
      <c r="EE436" s="5"/>
    </row>
    <row r="437">
      <c r="AW437" s="5"/>
      <c r="DU437" s="4"/>
      <c r="DZ437" s="5"/>
      <c r="EA437" s="5"/>
      <c r="EB437" s="5"/>
      <c r="EC437" s="5"/>
      <c r="ED437" s="5"/>
      <c r="EE437" s="5"/>
    </row>
    <row r="438">
      <c r="AW438" s="5"/>
      <c r="DU438" s="4"/>
      <c r="DZ438" s="5"/>
      <c r="EA438" s="5"/>
      <c r="EB438" s="5"/>
      <c r="EC438" s="5"/>
      <c r="ED438" s="5"/>
      <c r="EE438" s="5"/>
    </row>
    <row r="439">
      <c r="AW439" s="5"/>
      <c r="DU439" s="4"/>
      <c r="DZ439" s="5"/>
      <c r="EA439" s="5"/>
      <c r="EB439" s="5"/>
      <c r="EC439" s="5"/>
      <c r="ED439" s="5"/>
      <c r="EE439" s="5"/>
    </row>
    <row r="440">
      <c r="AW440" s="5"/>
      <c r="DU440" s="4"/>
      <c r="DZ440" s="5"/>
      <c r="EA440" s="5"/>
      <c r="EB440" s="5"/>
      <c r="EC440" s="5"/>
      <c r="ED440" s="5"/>
      <c r="EE440" s="5"/>
    </row>
    <row r="441">
      <c r="AW441" s="5"/>
      <c r="DU441" s="4"/>
      <c r="DZ441" s="5"/>
      <c r="EA441" s="5"/>
      <c r="EB441" s="5"/>
      <c r="EC441" s="5"/>
      <c r="ED441" s="5"/>
      <c r="EE441" s="5"/>
    </row>
    <row r="442">
      <c r="AW442" s="5"/>
      <c r="DU442" s="4"/>
      <c r="DZ442" s="5"/>
      <c r="EA442" s="5"/>
      <c r="EB442" s="5"/>
      <c r="EC442" s="5"/>
      <c r="ED442" s="5"/>
      <c r="EE442" s="5"/>
    </row>
    <row r="443">
      <c r="AW443" s="5"/>
      <c r="DU443" s="4"/>
      <c r="DZ443" s="5"/>
      <c r="EA443" s="5"/>
      <c r="EB443" s="5"/>
      <c r="EC443" s="5"/>
      <c r="ED443" s="5"/>
      <c r="EE443" s="5"/>
    </row>
    <row r="444">
      <c r="AW444" s="5"/>
      <c r="DU444" s="4"/>
      <c r="DZ444" s="5"/>
      <c r="EA444" s="5"/>
      <c r="EB444" s="5"/>
      <c r="EC444" s="5"/>
      <c r="ED444" s="5"/>
      <c r="EE444" s="5"/>
    </row>
    <row r="445">
      <c r="AW445" s="5"/>
      <c r="DU445" s="4"/>
      <c r="DZ445" s="5"/>
      <c r="EA445" s="5"/>
      <c r="EB445" s="5"/>
      <c r="EC445" s="5"/>
      <c r="ED445" s="5"/>
      <c r="EE445" s="5"/>
    </row>
    <row r="446">
      <c r="AW446" s="5"/>
      <c r="DU446" s="4"/>
      <c r="DZ446" s="5"/>
      <c r="EA446" s="5"/>
      <c r="EB446" s="5"/>
      <c r="EC446" s="5"/>
      <c r="ED446" s="5"/>
      <c r="EE446" s="5"/>
    </row>
    <row r="447">
      <c r="AW447" s="5"/>
      <c r="DU447" s="4"/>
      <c r="DZ447" s="5"/>
      <c r="EA447" s="5"/>
      <c r="EB447" s="5"/>
      <c r="EC447" s="5"/>
      <c r="ED447" s="5"/>
      <c r="EE447" s="5"/>
    </row>
    <row r="448">
      <c r="AW448" s="5"/>
      <c r="DU448" s="4"/>
      <c r="DZ448" s="5"/>
      <c r="EA448" s="5"/>
      <c r="EB448" s="5"/>
      <c r="EC448" s="5"/>
      <c r="ED448" s="5"/>
      <c r="EE448" s="5"/>
    </row>
    <row r="449">
      <c r="AW449" s="5"/>
      <c r="DU449" s="4"/>
      <c r="DZ449" s="5"/>
      <c r="EA449" s="5"/>
      <c r="EB449" s="5"/>
      <c r="EC449" s="5"/>
      <c r="ED449" s="5"/>
      <c r="EE449" s="5"/>
    </row>
    <row r="450">
      <c r="AW450" s="5"/>
      <c r="DU450" s="4"/>
      <c r="DZ450" s="5"/>
      <c r="EA450" s="5"/>
      <c r="EB450" s="5"/>
      <c r="EC450" s="5"/>
      <c r="ED450" s="5"/>
      <c r="EE450" s="5"/>
    </row>
    <row r="451">
      <c r="AW451" s="5"/>
      <c r="DU451" s="4"/>
      <c r="DZ451" s="5"/>
      <c r="EA451" s="5"/>
      <c r="EB451" s="5"/>
      <c r="EC451" s="5"/>
      <c r="ED451" s="5"/>
      <c r="EE451" s="5"/>
    </row>
    <row r="452">
      <c r="AW452" s="5"/>
      <c r="DU452" s="4"/>
      <c r="DZ452" s="5"/>
      <c r="EA452" s="5"/>
      <c r="EB452" s="5"/>
      <c r="EC452" s="5"/>
      <c r="ED452" s="5"/>
      <c r="EE452" s="5"/>
    </row>
    <row r="453">
      <c r="AW453" s="5"/>
      <c r="DU453" s="4"/>
      <c r="DZ453" s="5"/>
      <c r="EA453" s="5"/>
      <c r="EB453" s="5"/>
      <c r="EC453" s="5"/>
      <c r="ED453" s="5"/>
      <c r="EE453" s="5"/>
    </row>
    <row r="454">
      <c r="AW454" s="5"/>
      <c r="DU454" s="4"/>
      <c r="DZ454" s="5"/>
      <c r="EA454" s="5"/>
      <c r="EB454" s="5"/>
      <c r="EC454" s="5"/>
      <c r="ED454" s="5"/>
      <c r="EE454" s="5"/>
    </row>
    <row r="455">
      <c r="AW455" s="5"/>
      <c r="DU455" s="4"/>
      <c r="DZ455" s="5"/>
      <c r="EA455" s="5"/>
      <c r="EB455" s="5"/>
      <c r="EC455" s="5"/>
      <c r="ED455" s="5"/>
      <c r="EE455" s="5"/>
    </row>
    <row r="456">
      <c r="AW456" s="5"/>
      <c r="DU456" s="4"/>
      <c r="DZ456" s="5"/>
      <c r="EA456" s="5"/>
      <c r="EB456" s="5"/>
      <c r="EC456" s="5"/>
      <c r="ED456" s="5"/>
      <c r="EE456" s="5"/>
    </row>
    <row r="457">
      <c r="AW457" s="5"/>
      <c r="DU457" s="4"/>
      <c r="DZ457" s="5"/>
      <c r="EA457" s="5"/>
      <c r="EB457" s="5"/>
      <c r="EC457" s="5"/>
      <c r="ED457" s="5"/>
      <c r="EE457" s="5"/>
    </row>
    <row r="458">
      <c r="AW458" s="5"/>
      <c r="DU458" s="4"/>
      <c r="DZ458" s="5"/>
      <c r="EA458" s="5"/>
      <c r="EB458" s="5"/>
      <c r="EC458" s="5"/>
      <c r="ED458" s="5"/>
      <c r="EE458" s="5"/>
    </row>
    <row r="459">
      <c r="AW459" s="5"/>
      <c r="DU459" s="4"/>
      <c r="DZ459" s="5"/>
      <c r="EA459" s="5"/>
      <c r="EB459" s="5"/>
      <c r="EC459" s="5"/>
      <c r="ED459" s="5"/>
      <c r="EE459" s="5"/>
    </row>
    <row r="460">
      <c r="AW460" s="5"/>
      <c r="DU460" s="4"/>
      <c r="DZ460" s="5"/>
      <c r="EA460" s="5"/>
      <c r="EB460" s="5"/>
      <c r="EC460" s="5"/>
      <c r="ED460" s="5"/>
      <c r="EE460" s="5"/>
    </row>
    <row r="461">
      <c r="AW461" s="5"/>
      <c r="DU461" s="4"/>
      <c r="DZ461" s="5"/>
      <c r="EA461" s="5"/>
      <c r="EB461" s="5"/>
      <c r="EC461" s="5"/>
      <c r="ED461" s="5"/>
      <c r="EE461" s="5"/>
    </row>
    <row r="462">
      <c r="AW462" s="5"/>
      <c r="DU462" s="4"/>
      <c r="DZ462" s="5"/>
      <c r="EA462" s="5"/>
      <c r="EB462" s="5"/>
      <c r="EC462" s="5"/>
      <c r="ED462" s="5"/>
      <c r="EE462" s="5"/>
    </row>
    <row r="463">
      <c r="AW463" s="5"/>
      <c r="DU463" s="4"/>
      <c r="DZ463" s="5"/>
      <c r="EA463" s="5"/>
      <c r="EB463" s="5"/>
      <c r="EC463" s="5"/>
      <c r="ED463" s="5"/>
      <c r="EE463" s="5"/>
    </row>
    <row r="464">
      <c r="AW464" s="5"/>
      <c r="DU464" s="4"/>
      <c r="DZ464" s="5"/>
      <c r="EA464" s="5"/>
      <c r="EB464" s="5"/>
      <c r="EC464" s="5"/>
      <c r="ED464" s="5"/>
      <c r="EE464" s="5"/>
    </row>
    <row r="465">
      <c r="AW465" s="5"/>
      <c r="DU465" s="4"/>
      <c r="DZ465" s="5"/>
      <c r="EA465" s="5"/>
      <c r="EB465" s="5"/>
      <c r="EC465" s="5"/>
      <c r="ED465" s="5"/>
      <c r="EE465" s="5"/>
    </row>
    <row r="466">
      <c r="AW466" s="5"/>
      <c r="DU466" s="4"/>
      <c r="DZ466" s="5"/>
      <c r="EA466" s="5"/>
      <c r="EB466" s="5"/>
      <c r="EC466" s="5"/>
      <c r="ED466" s="5"/>
      <c r="EE466" s="5"/>
    </row>
    <row r="467">
      <c r="AW467" s="5"/>
      <c r="DU467" s="4"/>
      <c r="DZ467" s="5"/>
      <c r="EA467" s="5"/>
      <c r="EB467" s="5"/>
      <c r="EC467" s="5"/>
      <c r="ED467" s="5"/>
      <c r="EE467" s="5"/>
    </row>
    <row r="468">
      <c r="AW468" s="5"/>
      <c r="DU468" s="4"/>
      <c r="DZ468" s="5"/>
      <c r="EA468" s="5"/>
      <c r="EB468" s="5"/>
      <c r="EC468" s="5"/>
      <c r="ED468" s="5"/>
      <c r="EE468" s="5"/>
    </row>
    <row r="469">
      <c r="AW469" s="5"/>
      <c r="DU469" s="4"/>
      <c r="DZ469" s="5"/>
      <c r="EA469" s="5"/>
      <c r="EB469" s="5"/>
      <c r="EC469" s="5"/>
      <c r="ED469" s="5"/>
      <c r="EE469" s="5"/>
    </row>
    <row r="470">
      <c r="AW470" s="5"/>
      <c r="DU470" s="4"/>
      <c r="DZ470" s="5"/>
      <c r="EA470" s="5"/>
      <c r="EB470" s="5"/>
      <c r="EC470" s="5"/>
      <c r="ED470" s="5"/>
      <c r="EE470" s="5"/>
    </row>
    <row r="471">
      <c r="AW471" s="5"/>
      <c r="DU471" s="4"/>
      <c r="DZ471" s="5"/>
      <c r="EA471" s="5"/>
      <c r="EB471" s="5"/>
      <c r="EC471" s="5"/>
      <c r="ED471" s="5"/>
      <c r="EE471" s="5"/>
    </row>
    <row r="472">
      <c r="AW472" s="5"/>
      <c r="DU472" s="4"/>
      <c r="DZ472" s="5"/>
      <c r="EA472" s="5"/>
      <c r="EB472" s="5"/>
      <c r="EC472" s="5"/>
      <c r="ED472" s="5"/>
      <c r="EE472" s="5"/>
    </row>
    <row r="473">
      <c r="AW473" s="5"/>
      <c r="DU473" s="4"/>
      <c r="DZ473" s="5"/>
      <c r="EA473" s="5"/>
      <c r="EB473" s="5"/>
      <c r="EC473" s="5"/>
      <c r="ED473" s="5"/>
      <c r="EE473" s="5"/>
    </row>
    <row r="474">
      <c r="AW474" s="5"/>
      <c r="DU474" s="4"/>
      <c r="DZ474" s="5"/>
      <c r="EA474" s="5"/>
      <c r="EB474" s="5"/>
      <c r="EC474" s="5"/>
      <c r="ED474" s="5"/>
      <c r="EE474" s="5"/>
    </row>
    <row r="475">
      <c r="AW475" s="5"/>
      <c r="DU475" s="4"/>
      <c r="DZ475" s="5"/>
      <c r="EA475" s="5"/>
      <c r="EB475" s="5"/>
      <c r="EC475" s="5"/>
      <c r="ED475" s="5"/>
      <c r="EE475" s="5"/>
    </row>
    <row r="476">
      <c r="AW476" s="5"/>
      <c r="DU476" s="4"/>
      <c r="DZ476" s="5"/>
      <c r="EA476" s="5"/>
      <c r="EB476" s="5"/>
      <c r="EC476" s="5"/>
      <c r="ED476" s="5"/>
      <c r="EE476" s="5"/>
    </row>
    <row r="477">
      <c r="AW477" s="5"/>
      <c r="DU477" s="4"/>
      <c r="DZ477" s="5"/>
      <c r="EA477" s="5"/>
      <c r="EB477" s="5"/>
      <c r="EC477" s="5"/>
      <c r="ED477" s="5"/>
      <c r="EE477" s="5"/>
    </row>
    <row r="478">
      <c r="AW478" s="5"/>
      <c r="DU478" s="4"/>
      <c r="DZ478" s="5"/>
      <c r="EA478" s="5"/>
      <c r="EB478" s="5"/>
      <c r="EC478" s="5"/>
      <c r="ED478" s="5"/>
      <c r="EE478" s="5"/>
    </row>
    <row r="479">
      <c r="AW479" s="5"/>
      <c r="DU479" s="4"/>
      <c r="DZ479" s="5"/>
      <c r="EA479" s="5"/>
      <c r="EB479" s="5"/>
      <c r="EC479" s="5"/>
      <c r="ED479" s="5"/>
      <c r="EE479" s="5"/>
    </row>
    <row r="480">
      <c r="AW480" s="5"/>
      <c r="DU480" s="4"/>
      <c r="DZ480" s="5"/>
      <c r="EA480" s="5"/>
      <c r="EB480" s="5"/>
      <c r="EC480" s="5"/>
      <c r="ED480" s="5"/>
      <c r="EE480" s="5"/>
    </row>
    <row r="481">
      <c r="AW481" s="5"/>
      <c r="DU481" s="4"/>
      <c r="DZ481" s="5"/>
      <c r="EA481" s="5"/>
      <c r="EB481" s="5"/>
      <c r="EC481" s="5"/>
      <c r="ED481" s="5"/>
      <c r="EE481" s="5"/>
    </row>
    <row r="482">
      <c r="AW482" s="5"/>
      <c r="DU482" s="4"/>
      <c r="DZ482" s="5"/>
      <c r="EA482" s="5"/>
      <c r="EB482" s="5"/>
      <c r="EC482" s="5"/>
      <c r="ED482" s="5"/>
      <c r="EE482" s="5"/>
    </row>
    <row r="483">
      <c r="AW483" s="5"/>
      <c r="DU483" s="4"/>
      <c r="DZ483" s="5"/>
      <c r="EA483" s="5"/>
      <c r="EB483" s="5"/>
      <c r="EC483" s="5"/>
      <c r="ED483" s="5"/>
      <c r="EE483" s="5"/>
    </row>
    <row r="484">
      <c r="AW484" s="5"/>
      <c r="DU484" s="4"/>
      <c r="DZ484" s="5"/>
      <c r="EA484" s="5"/>
      <c r="EB484" s="5"/>
      <c r="EC484" s="5"/>
      <c r="ED484" s="5"/>
      <c r="EE484" s="5"/>
    </row>
    <row r="485">
      <c r="AW485" s="5"/>
      <c r="DU485" s="4"/>
      <c r="DZ485" s="5"/>
      <c r="EA485" s="5"/>
      <c r="EB485" s="5"/>
      <c r="EC485" s="5"/>
      <c r="ED485" s="5"/>
      <c r="EE485" s="5"/>
    </row>
    <row r="486">
      <c r="AW486" s="5"/>
      <c r="DU486" s="4"/>
      <c r="DZ486" s="5"/>
      <c r="EA486" s="5"/>
      <c r="EB486" s="5"/>
      <c r="EC486" s="5"/>
      <c r="ED486" s="5"/>
      <c r="EE486" s="5"/>
    </row>
    <row r="487">
      <c r="AW487" s="5"/>
      <c r="DU487" s="4"/>
      <c r="DZ487" s="5"/>
      <c r="EA487" s="5"/>
      <c r="EB487" s="5"/>
      <c r="EC487" s="5"/>
      <c r="ED487" s="5"/>
      <c r="EE487" s="5"/>
    </row>
    <row r="488">
      <c r="AW488" s="5"/>
      <c r="DU488" s="4"/>
      <c r="DZ488" s="5"/>
      <c r="EA488" s="5"/>
      <c r="EB488" s="5"/>
      <c r="EC488" s="5"/>
      <c r="ED488" s="5"/>
      <c r="EE488" s="5"/>
    </row>
    <row r="489">
      <c r="AW489" s="5"/>
      <c r="DU489" s="4"/>
      <c r="DZ489" s="5"/>
      <c r="EA489" s="5"/>
      <c r="EB489" s="5"/>
      <c r="EC489" s="5"/>
      <c r="ED489" s="5"/>
      <c r="EE489" s="5"/>
    </row>
    <row r="490">
      <c r="AW490" s="5"/>
      <c r="DU490" s="4"/>
      <c r="DZ490" s="5"/>
      <c r="EA490" s="5"/>
      <c r="EB490" s="5"/>
      <c r="EC490" s="5"/>
      <c r="ED490" s="5"/>
      <c r="EE490" s="5"/>
    </row>
    <row r="491">
      <c r="AW491" s="5"/>
      <c r="DU491" s="4"/>
      <c r="DZ491" s="5"/>
      <c r="EA491" s="5"/>
      <c r="EB491" s="5"/>
      <c r="EC491" s="5"/>
      <c r="ED491" s="5"/>
      <c r="EE491" s="5"/>
    </row>
    <row r="492">
      <c r="AW492" s="5"/>
      <c r="DU492" s="4"/>
      <c r="DZ492" s="5"/>
      <c r="EA492" s="5"/>
      <c r="EB492" s="5"/>
      <c r="EC492" s="5"/>
      <c r="ED492" s="5"/>
      <c r="EE492" s="5"/>
    </row>
    <row r="493">
      <c r="AW493" s="5"/>
      <c r="DU493" s="4"/>
      <c r="DZ493" s="5"/>
      <c r="EA493" s="5"/>
      <c r="EB493" s="5"/>
      <c r="EC493" s="5"/>
      <c r="ED493" s="5"/>
      <c r="EE493" s="5"/>
    </row>
    <row r="494">
      <c r="AW494" s="5"/>
      <c r="DU494" s="4"/>
      <c r="DZ494" s="5"/>
      <c r="EA494" s="5"/>
      <c r="EB494" s="5"/>
      <c r="EC494" s="5"/>
      <c r="ED494" s="5"/>
      <c r="EE494" s="5"/>
    </row>
    <row r="495">
      <c r="AW495" s="5"/>
      <c r="DU495" s="4"/>
      <c r="DZ495" s="5"/>
      <c r="EA495" s="5"/>
      <c r="EB495" s="5"/>
      <c r="EC495" s="5"/>
      <c r="ED495" s="5"/>
      <c r="EE495" s="5"/>
    </row>
    <row r="496">
      <c r="AW496" s="5"/>
      <c r="DU496" s="4"/>
      <c r="DZ496" s="5"/>
      <c r="EA496" s="5"/>
      <c r="EB496" s="5"/>
      <c r="EC496" s="5"/>
      <c r="ED496" s="5"/>
      <c r="EE496" s="5"/>
    </row>
    <row r="497">
      <c r="AW497" s="5"/>
      <c r="DU497" s="4"/>
      <c r="DZ497" s="5"/>
      <c r="EA497" s="5"/>
      <c r="EB497" s="5"/>
      <c r="EC497" s="5"/>
      <c r="ED497" s="5"/>
      <c r="EE497" s="5"/>
    </row>
    <row r="498">
      <c r="AW498" s="5"/>
      <c r="DU498" s="4"/>
      <c r="DZ498" s="5"/>
      <c r="EA498" s="5"/>
      <c r="EB498" s="5"/>
      <c r="EC498" s="5"/>
      <c r="ED498" s="5"/>
      <c r="EE498" s="5"/>
    </row>
    <row r="499">
      <c r="AW499" s="5"/>
      <c r="DU499" s="4"/>
      <c r="DZ499" s="5"/>
      <c r="EA499" s="5"/>
      <c r="EB499" s="5"/>
      <c r="EC499" s="5"/>
      <c r="ED499" s="5"/>
      <c r="EE499" s="5"/>
    </row>
    <row r="500">
      <c r="AW500" s="5"/>
      <c r="DU500" s="4"/>
      <c r="DZ500" s="5"/>
      <c r="EA500" s="5"/>
      <c r="EB500" s="5"/>
      <c r="EC500" s="5"/>
      <c r="ED500" s="5"/>
      <c r="EE500" s="5"/>
    </row>
    <row r="501">
      <c r="AW501" s="5"/>
      <c r="DU501" s="4"/>
      <c r="DZ501" s="5"/>
      <c r="EA501" s="5"/>
      <c r="EB501" s="5"/>
      <c r="EC501" s="5"/>
      <c r="ED501" s="5"/>
      <c r="EE501" s="5"/>
    </row>
    <row r="502">
      <c r="AW502" s="5"/>
      <c r="DU502" s="4"/>
      <c r="DZ502" s="5"/>
      <c r="EA502" s="5"/>
      <c r="EB502" s="5"/>
      <c r="EC502" s="5"/>
      <c r="ED502" s="5"/>
      <c r="EE502" s="5"/>
    </row>
    <row r="503">
      <c r="AW503" s="5"/>
      <c r="DU503" s="4"/>
      <c r="DZ503" s="5"/>
      <c r="EA503" s="5"/>
      <c r="EB503" s="5"/>
      <c r="EC503" s="5"/>
      <c r="ED503" s="5"/>
      <c r="EE503" s="5"/>
    </row>
    <row r="504">
      <c r="AW504" s="5"/>
      <c r="DU504" s="4"/>
      <c r="DZ504" s="5"/>
      <c r="EA504" s="5"/>
      <c r="EB504" s="5"/>
      <c r="EC504" s="5"/>
      <c r="ED504" s="5"/>
      <c r="EE504" s="5"/>
    </row>
    <row r="505">
      <c r="AW505" s="5"/>
      <c r="DU505" s="4"/>
      <c r="DZ505" s="5"/>
      <c r="EA505" s="5"/>
      <c r="EB505" s="5"/>
      <c r="EC505" s="5"/>
      <c r="ED505" s="5"/>
      <c r="EE505" s="5"/>
    </row>
    <row r="506">
      <c r="AW506" s="5"/>
      <c r="DU506" s="4"/>
      <c r="DZ506" s="5"/>
      <c r="EA506" s="5"/>
      <c r="EB506" s="5"/>
      <c r="EC506" s="5"/>
      <c r="ED506" s="5"/>
      <c r="EE506" s="5"/>
    </row>
    <row r="507">
      <c r="AW507" s="5"/>
      <c r="DU507" s="4"/>
      <c r="DZ507" s="5"/>
      <c r="EA507" s="5"/>
      <c r="EB507" s="5"/>
      <c r="EC507" s="5"/>
      <c r="ED507" s="5"/>
      <c r="EE507" s="5"/>
    </row>
    <row r="508">
      <c r="AW508" s="5"/>
      <c r="DU508" s="4"/>
      <c r="DZ508" s="5"/>
      <c r="EA508" s="5"/>
      <c r="EB508" s="5"/>
      <c r="EC508" s="5"/>
      <c r="ED508" s="5"/>
      <c r="EE508" s="5"/>
    </row>
    <row r="509">
      <c r="AW509" s="5"/>
      <c r="DU509" s="4"/>
      <c r="DZ509" s="5"/>
      <c r="EA509" s="5"/>
      <c r="EB509" s="5"/>
      <c r="EC509" s="5"/>
      <c r="ED509" s="5"/>
      <c r="EE509" s="5"/>
    </row>
    <row r="510">
      <c r="AW510" s="5"/>
      <c r="DU510" s="4"/>
      <c r="DZ510" s="5"/>
      <c r="EA510" s="5"/>
      <c r="EB510" s="5"/>
      <c r="EC510" s="5"/>
      <c r="ED510" s="5"/>
      <c r="EE510" s="5"/>
    </row>
    <row r="511">
      <c r="AW511" s="5"/>
      <c r="DU511" s="4"/>
      <c r="DZ511" s="5"/>
      <c r="EA511" s="5"/>
      <c r="EB511" s="5"/>
      <c r="EC511" s="5"/>
      <c r="ED511" s="5"/>
      <c r="EE511" s="5"/>
    </row>
    <row r="512">
      <c r="AW512" s="5"/>
      <c r="DU512" s="4"/>
      <c r="DZ512" s="5"/>
      <c r="EA512" s="5"/>
      <c r="EB512" s="5"/>
      <c r="EC512" s="5"/>
      <c r="ED512" s="5"/>
      <c r="EE512" s="5"/>
    </row>
    <row r="513">
      <c r="AW513" s="5"/>
      <c r="DU513" s="4"/>
      <c r="DZ513" s="5"/>
      <c r="EA513" s="5"/>
      <c r="EB513" s="5"/>
      <c r="EC513" s="5"/>
      <c r="ED513" s="5"/>
      <c r="EE513" s="5"/>
    </row>
    <row r="514">
      <c r="AW514" s="5"/>
      <c r="DU514" s="4"/>
      <c r="DZ514" s="5"/>
      <c r="EA514" s="5"/>
      <c r="EB514" s="5"/>
      <c r="EC514" s="5"/>
      <c r="ED514" s="5"/>
      <c r="EE514" s="5"/>
    </row>
    <row r="515">
      <c r="AW515" s="5"/>
      <c r="DU515" s="4"/>
      <c r="DZ515" s="5"/>
      <c r="EA515" s="5"/>
      <c r="EB515" s="5"/>
      <c r="EC515" s="5"/>
      <c r="ED515" s="5"/>
      <c r="EE515" s="5"/>
    </row>
    <row r="516">
      <c r="AW516" s="5"/>
      <c r="DU516" s="4"/>
      <c r="DZ516" s="5"/>
      <c r="EA516" s="5"/>
      <c r="EB516" s="5"/>
      <c r="EC516" s="5"/>
      <c r="ED516" s="5"/>
      <c r="EE516" s="5"/>
    </row>
    <row r="517">
      <c r="AW517" s="5"/>
      <c r="DU517" s="4"/>
      <c r="DZ517" s="5"/>
      <c r="EA517" s="5"/>
      <c r="EB517" s="5"/>
      <c r="EC517" s="5"/>
      <c r="ED517" s="5"/>
      <c r="EE517" s="5"/>
    </row>
    <row r="518">
      <c r="AW518" s="5"/>
      <c r="DU518" s="4"/>
      <c r="DZ518" s="5"/>
      <c r="EA518" s="5"/>
      <c r="EB518" s="5"/>
      <c r="EC518" s="5"/>
      <c r="ED518" s="5"/>
      <c r="EE518" s="5"/>
    </row>
    <row r="519">
      <c r="AW519" s="5"/>
      <c r="DU519" s="4"/>
      <c r="DZ519" s="5"/>
      <c r="EA519" s="5"/>
      <c r="EB519" s="5"/>
      <c r="EC519" s="5"/>
      <c r="ED519" s="5"/>
      <c r="EE519" s="5"/>
    </row>
    <row r="520">
      <c r="AW520" s="5"/>
      <c r="DU520" s="4"/>
      <c r="DZ520" s="5"/>
      <c r="EA520" s="5"/>
      <c r="EB520" s="5"/>
      <c r="EC520" s="5"/>
      <c r="ED520" s="5"/>
      <c r="EE520" s="5"/>
    </row>
    <row r="521">
      <c r="AW521" s="5"/>
      <c r="DU521" s="4"/>
      <c r="DZ521" s="5"/>
      <c r="EA521" s="5"/>
      <c r="EB521" s="5"/>
      <c r="EC521" s="5"/>
      <c r="ED521" s="5"/>
      <c r="EE521" s="5"/>
    </row>
    <row r="522">
      <c r="AW522" s="5"/>
      <c r="DU522" s="4"/>
      <c r="DZ522" s="5"/>
      <c r="EA522" s="5"/>
      <c r="EB522" s="5"/>
      <c r="EC522" s="5"/>
      <c r="ED522" s="5"/>
      <c r="EE522" s="5"/>
    </row>
    <row r="523">
      <c r="AW523" s="5"/>
      <c r="DU523" s="4"/>
      <c r="DZ523" s="5"/>
      <c r="EA523" s="5"/>
      <c r="EB523" s="5"/>
      <c r="EC523" s="5"/>
      <c r="ED523" s="5"/>
      <c r="EE523" s="5"/>
    </row>
    <row r="524">
      <c r="AW524" s="5"/>
      <c r="DU524" s="4"/>
      <c r="DZ524" s="5"/>
      <c r="EA524" s="5"/>
      <c r="EB524" s="5"/>
      <c r="EC524" s="5"/>
      <c r="ED524" s="5"/>
      <c r="EE524" s="5"/>
    </row>
    <row r="525">
      <c r="AW525" s="5"/>
      <c r="DU525" s="4"/>
      <c r="DZ525" s="5"/>
      <c r="EA525" s="5"/>
      <c r="EB525" s="5"/>
      <c r="EC525" s="5"/>
      <c r="ED525" s="5"/>
      <c r="EE525" s="5"/>
    </row>
    <row r="526">
      <c r="AW526" s="5"/>
      <c r="DU526" s="4"/>
      <c r="DZ526" s="5"/>
      <c r="EA526" s="5"/>
      <c r="EB526" s="5"/>
      <c r="EC526" s="5"/>
      <c r="ED526" s="5"/>
      <c r="EE526" s="5"/>
    </row>
    <row r="527">
      <c r="AW527" s="5"/>
      <c r="DU527" s="4"/>
      <c r="DZ527" s="5"/>
      <c r="EA527" s="5"/>
      <c r="EB527" s="5"/>
      <c r="EC527" s="5"/>
      <c r="ED527" s="5"/>
      <c r="EE527" s="5"/>
    </row>
    <row r="528">
      <c r="AW528" s="5"/>
      <c r="DU528" s="4"/>
      <c r="DZ528" s="5"/>
      <c r="EA528" s="5"/>
      <c r="EB528" s="5"/>
      <c r="EC528" s="5"/>
      <c r="ED528" s="5"/>
      <c r="EE528" s="5"/>
    </row>
    <row r="529">
      <c r="AW529" s="5"/>
      <c r="DU529" s="4"/>
      <c r="DZ529" s="5"/>
      <c r="EA529" s="5"/>
      <c r="EB529" s="5"/>
      <c r="EC529" s="5"/>
      <c r="ED529" s="5"/>
      <c r="EE529" s="5"/>
    </row>
    <row r="530">
      <c r="AW530" s="5"/>
      <c r="DU530" s="4"/>
      <c r="DZ530" s="5"/>
      <c r="EA530" s="5"/>
      <c r="EB530" s="5"/>
      <c r="EC530" s="5"/>
      <c r="ED530" s="5"/>
      <c r="EE530" s="5"/>
    </row>
    <row r="531">
      <c r="AW531" s="5"/>
      <c r="DU531" s="4"/>
      <c r="DZ531" s="5"/>
      <c r="EA531" s="5"/>
      <c r="EB531" s="5"/>
      <c r="EC531" s="5"/>
      <c r="ED531" s="5"/>
      <c r="EE531" s="5"/>
    </row>
    <row r="532">
      <c r="AW532" s="5"/>
      <c r="DU532" s="4"/>
      <c r="DZ532" s="5"/>
      <c r="EA532" s="5"/>
      <c r="EB532" s="5"/>
      <c r="EC532" s="5"/>
      <c r="ED532" s="5"/>
      <c r="EE532" s="5"/>
    </row>
    <row r="533">
      <c r="AW533" s="5"/>
      <c r="DU533" s="4"/>
      <c r="DZ533" s="5"/>
      <c r="EA533" s="5"/>
      <c r="EB533" s="5"/>
      <c r="EC533" s="5"/>
      <c r="ED533" s="5"/>
      <c r="EE533" s="5"/>
    </row>
    <row r="534">
      <c r="AW534" s="5"/>
      <c r="DU534" s="4"/>
      <c r="DZ534" s="5"/>
      <c r="EA534" s="5"/>
      <c r="EB534" s="5"/>
      <c r="EC534" s="5"/>
      <c r="ED534" s="5"/>
      <c r="EE534" s="5"/>
    </row>
    <row r="535">
      <c r="AW535" s="5"/>
      <c r="DU535" s="4"/>
      <c r="DZ535" s="5"/>
      <c r="EA535" s="5"/>
      <c r="EB535" s="5"/>
      <c r="EC535" s="5"/>
      <c r="ED535" s="5"/>
      <c r="EE535" s="5"/>
    </row>
    <row r="536">
      <c r="AW536" s="5"/>
      <c r="DU536" s="4"/>
      <c r="DZ536" s="5"/>
      <c r="EA536" s="5"/>
      <c r="EB536" s="5"/>
      <c r="EC536" s="5"/>
      <c r="ED536" s="5"/>
      <c r="EE536" s="5"/>
    </row>
    <row r="537">
      <c r="AW537" s="5"/>
      <c r="DU537" s="4"/>
      <c r="DZ537" s="5"/>
      <c r="EA537" s="5"/>
      <c r="EB537" s="5"/>
      <c r="EC537" s="5"/>
      <c r="ED537" s="5"/>
      <c r="EE537" s="5"/>
    </row>
    <row r="538">
      <c r="AW538" s="5"/>
      <c r="DU538" s="4"/>
      <c r="DZ538" s="5"/>
      <c r="EA538" s="5"/>
      <c r="EB538" s="5"/>
      <c r="EC538" s="5"/>
      <c r="ED538" s="5"/>
      <c r="EE538" s="5"/>
    </row>
    <row r="539">
      <c r="AW539" s="5"/>
      <c r="DU539" s="4"/>
      <c r="DZ539" s="5"/>
      <c r="EA539" s="5"/>
      <c r="EB539" s="5"/>
      <c r="EC539" s="5"/>
      <c r="ED539" s="5"/>
      <c r="EE539" s="5"/>
    </row>
    <row r="540">
      <c r="AW540" s="5"/>
      <c r="DU540" s="4"/>
      <c r="DZ540" s="5"/>
      <c r="EA540" s="5"/>
      <c r="EB540" s="5"/>
      <c r="EC540" s="5"/>
      <c r="ED540" s="5"/>
      <c r="EE540" s="5"/>
    </row>
    <row r="541">
      <c r="AW541" s="5"/>
      <c r="DU541" s="4"/>
      <c r="DZ541" s="5"/>
      <c r="EA541" s="5"/>
      <c r="EB541" s="5"/>
      <c r="EC541" s="5"/>
      <c r="ED541" s="5"/>
      <c r="EE541" s="5"/>
    </row>
    <row r="542">
      <c r="AW542" s="5"/>
      <c r="DU542" s="4"/>
      <c r="DZ542" s="5"/>
      <c r="EA542" s="5"/>
      <c r="EB542" s="5"/>
      <c r="EC542" s="5"/>
      <c r="ED542" s="5"/>
      <c r="EE542" s="5"/>
    </row>
    <row r="543">
      <c r="AW543" s="5"/>
      <c r="DU543" s="4"/>
      <c r="DZ543" s="5"/>
      <c r="EA543" s="5"/>
      <c r="EB543" s="5"/>
      <c r="EC543" s="5"/>
      <c r="ED543" s="5"/>
      <c r="EE543" s="5"/>
    </row>
    <row r="544">
      <c r="AW544" s="5"/>
      <c r="DU544" s="4"/>
      <c r="DZ544" s="5"/>
      <c r="EA544" s="5"/>
      <c r="EB544" s="5"/>
      <c r="EC544" s="5"/>
      <c r="ED544" s="5"/>
      <c r="EE544" s="5"/>
    </row>
    <row r="545">
      <c r="AW545" s="5"/>
      <c r="DU545" s="4"/>
      <c r="DZ545" s="5"/>
      <c r="EA545" s="5"/>
      <c r="EB545" s="5"/>
      <c r="EC545" s="5"/>
      <c r="ED545" s="5"/>
      <c r="EE545" s="5"/>
    </row>
    <row r="546">
      <c r="AW546" s="5"/>
      <c r="DU546" s="4"/>
      <c r="DZ546" s="5"/>
      <c r="EA546" s="5"/>
      <c r="EB546" s="5"/>
      <c r="EC546" s="5"/>
      <c r="ED546" s="5"/>
      <c r="EE546" s="5"/>
    </row>
    <row r="547">
      <c r="AW547" s="5"/>
      <c r="DU547" s="4"/>
      <c r="DZ547" s="5"/>
      <c r="EA547" s="5"/>
      <c r="EB547" s="5"/>
      <c r="EC547" s="5"/>
      <c r="ED547" s="5"/>
      <c r="EE547" s="5"/>
    </row>
    <row r="548">
      <c r="AW548" s="5"/>
      <c r="DU548" s="4"/>
      <c r="DZ548" s="5"/>
      <c r="EA548" s="5"/>
      <c r="EB548" s="5"/>
      <c r="EC548" s="5"/>
      <c r="ED548" s="5"/>
      <c r="EE548" s="5"/>
    </row>
    <row r="549">
      <c r="AW549" s="5"/>
      <c r="DU549" s="4"/>
      <c r="DZ549" s="5"/>
      <c r="EA549" s="5"/>
      <c r="EB549" s="5"/>
      <c r="EC549" s="5"/>
      <c r="ED549" s="5"/>
      <c r="EE549" s="5"/>
    </row>
    <row r="550">
      <c r="AW550" s="5"/>
      <c r="DU550" s="4"/>
      <c r="DZ550" s="5"/>
      <c r="EA550" s="5"/>
      <c r="EB550" s="5"/>
      <c r="EC550" s="5"/>
      <c r="ED550" s="5"/>
      <c r="EE550" s="5"/>
    </row>
    <row r="551">
      <c r="AW551" s="5"/>
      <c r="DU551" s="4"/>
      <c r="DZ551" s="5"/>
      <c r="EA551" s="5"/>
      <c r="EB551" s="5"/>
      <c r="EC551" s="5"/>
      <c r="ED551" s="5"/>
      <c r="EE551" s="5"/>
    </row>
    <row r="552">
      <c r="AW552" s="5"/>
      <c r="DU552" s="4"/>
      <c r="DZ552" s="5"/>
      <c r="EA552" s="5"/>
      <c r="EB552" s="5"/>
      <c r="EC552" s="5"/>
      <c r="ED552" s="5"/>
      <c r="EE552" s="5"/>
    </row>
    <row r="553">
      <c r="AW553" s="5"/>
      <c r="DU553" s="4"/>
      <c r="DZ553" s="5"/>
      <c r="EA553" s="5"/>
      <c r="EB553" s="5"/>
      <c r="EC553" s="5"/>
      <c r="ED553" s="5"/>
      <c r="EE553" s="5"/>
    </row>
    <row r="554">
      <c r="AW554" s="5"/>
      <c r="DU554" s="4"/>
      <c r="DZ554" s="5"/>
      <c r="EA554" s="5"/>
      <c r="EB554" s="5"/>
      <c r="EC554" s="5"/>
      <c r="ED554" s="5"/>
      <c r="EE554" s="5"/>
    </row>
    <row r="555">
      <c r="AW555" s="5"/>
      <c r="DU555" s="4"/>
      <c r="DZ555" s="5"/>
      <c r="EA555" s="5"/>
      <c r="EB555" s="5"/>
      <c r="EC555" s="5"/>
      <c r="ED555" s="5"/>
      <c r="EE555" s="5"/>
    </row>
    <row r="556">
      <c r="AW556" s="5"/>
      <c r="DU556" s="4"/>
      <c r="DZ556" s="5"/>
      <c r="EA556" s="5"/>
      <c r="EB556" s="5"/>
      <c r="EC556" s="5"/>
      <c r="ED556" s="5"/>
      <c r="EE556" s="5"/>
    </row>
    <row r="557">
      <c r="AW557" s="5"/>
      <c r="DU557" s="4"/>
      <c r="DZ557" s="5"/>
      <c r="EA557" s="5"/>
      <c r="EB557" s="5"/>
      <c r="EC557" s="5"/>
      <c r="ED557" s="5"/>
      <c r="EE557" s="5"/>
    </row>
    <row r="558">
      <c r="AW558" s="5"/>
      <c r="DU558" s="4"/>
      <c r="DZ558" s="5"/>
      <c r="EA558" s="5"/>
      <c r="EB558" s="5"/>
      <c r="EC558" s="5"/>
      <c r="ED558" s="5"/>
      <c r="EE558" s="5"/>
    </row>
    <row r="559">
      <c r="AW559" s="5"/>
      <c r="DU559" s="4"/>
      <c r="DZ559" s="5"/>
      <c r="EA559" s="5"/>
      <c r="EB559" s="5"/>
      <c r="EC559" s="5"/>
      <c r="ED559" s="5"/>
      <c r="EE559" s="5"/>
    </row>
    <row r="560">
      <c r="AW560" s="5"/>
      <c r="DU560" s="4"/>
      <c r="DZ560" s="5"/>
      <c r="EA560" s="5"/>
      <c r="EB560" s="5"/>
      <c r="EC560" s="5"/>
      <c r="ED560" s="5"/>
      <c r="EE560" s="5"/>
    </row>
    <row r="561">
      <c r="AW561" s="5"/>
      <c r="DU561" s="4"/>
      <c r="DZ561" s="5"/>
      <c r="EA561" s="5"/>
      <c r="EB561" s="5"/>
      <c r="EC561" s="5"/>
      <c r="ED561" s="5"/>
      <c r="EE561" s="5"/>
    </row>
    <row r="562">
      <c r="AW562" s="5"/>
      <c r="DU562" s="4"/>
      <c r="DZ562" s="5"/>
      <c r="EA562" s="5"/>
      <c r="EB562" s="5"/>
      <c r="EC562" s="5"/>
      <c r="ED562" s="5"/>
      <c r="EE562" s="5"/>
    </row>
    <row r="563">
      <c r="AW563" s="5"/>
      <c r="DU563" s="4"/>
      <c r="DZ563" s="5"/>
      <c r="EA563" s="5"/>
      <c r="EB563" s="5"/>
      <c r="EC563" s="5"/>
      <c r="ED563" s="5"/>
      <c r="EE563" s="5"/>
    </row>
    <row r="564">
      <c r="AW564" s="5"/>
      <c r="DU564" s="4"/>
      <c r="DZ564" s="5"/>
      <c r="EA564" s="5"/>
      <c r="EB564" s="5"/>
      <c r="EC564" s="5"/>
      <c r="ED564" s="5"/>
      <c r="EE564" s="5"/>
    </row>
    <row r="565">
      <c r="AW565" s="5"/>
      <c r="DU565" s="4"/>
      <c r="DZ565" s="5"/>
      <c r="EA565" s="5"/>
      <c r="EB565" s="5"/>
      <c r="EC565" s="5"/>
      <c r="ED565" s="5"/>
      <c r="EE565" s="5"/>
    </row>
    <row r="566">
      <c r="AW566" s="5"/>
      <c r="DU566" s="4"/>
      <c r="DZ566" s="5"/>
      <c r="EA566" s="5"/>
      <c r="EB566" s="5"/>
      <c r="EC566" s="5"/>
      <c r="ED566" s="5"/>
      <c r="EE566" s="5"/>
    </row>
    <row r="567">
      <c r="AW567" s="5"/>
      <c r="DU567" s="4"/>
      <c r="DZ567" s="5"/>
      <c r="EA567" s="5"/>
      <c r="EB567" s="5"/>
      <c r="EC567" s="5"/>
      <c r="ED567" s="5"/>
      <c r="EE567" s="5"/>
    </row>
    <row r="568">
      <c r="AW568" s="5"/>
      <c r="DU568" s="4"/>
      <c r="DZ568" s="5"/>
      <c r="EA568" s="5"/>
      <c r="EB568" s="5"/>
      <c r="EC568" s="5"/>
      <c r="ED568" s="5"/>
      <c r="EE568" s="5"/>
    </row>
    <row r="569">
      <c r="AW569" s="5"/>
      <c r="DU569" s="4"/>
      <c r="DZ569" s="5"/>
      <c r="EA569" s="5"/>
      <c r="EB569" s="5"/>
      <c r="EC569" s="5"/>
      <c r="ED569" s="5"/>
      <c r="EE569" s="5"/>
    </row>
    <row r="570">
      <c r="AW570" s="5"/>
      <c r="DU570" s="4"/>
      <c r="DZ570" s="5"/>
      <c r="EA570" s="5"/>
      <c r="EB570" s="5"/>
      <c r="EC570" s="5"/>
      <c r="ED570" s="5"/>
      <c r="EE570" s="5"/>
    </row>
    <row r="571">
      <c r="AW571" s="5"/>
      <c r="DU571" s="4"/>
      <c r="DZ571" s="5"/>
      <c r="EA571" s="5"/>
      <c r="EB571" s="5"/>
      <c r="EC571" s="5"/>
      <c r="ED571" s="5"/>
      <c r="EE571" s="5"/>
    </row>
    <row r="572">
      <c r="AW572" s="5"/>
      <c r="DU572" s="4"/>
      <c r="DZ572" s="5"/>
      <c r="EA572" s="5"/>
      <c r="EB572" s="5"/>
      <c r="EC572" s="5"/>
      <c r="ED572" s="5"/>
      <c r="EE572" s="5"/>
    </row>
    <row r="573">
      <c r="AW573" s="5"/>
      <c r="DU573" s="4"/>
      <c r="DZ573" s="5"/>
      <c r="EA573" s="5"/>
      <c r="EB573" s="5"/>
      <c r="EC573" s="5"/>
      <c r="ED573" s="5"/>
      <c r="EE573" s="5"/>
    </row>
    <row r="574">
      <c r="AW574" s="5"/>
      <c r="DU574" s="4"/>
      <c r="DZ574" s="5"/>
      <c r="EA574" s="5"/>
      <c r="EB574" s="5"/>
      <c r="EC574" s="5"/>
      <c r="ED574" s="5"/>
      <c r="EE574" s="5"/>
    </row>
    <row r="575">
      <c r="AW575" s="5"/>
      <c r="DU575" s="4"/>
      <c r="DZ575" s="5"/>
      <c r="EA575" s="5"/>
      <c r="EB575" s="5"/>
      <c r="EC575" s="5"/>
      <c r="ED575" s="5"/>
      <c r="EE575" s="5"/>
    </row>
    <row r="576">
      <c r="AW576" s="5"/>
      <c r="DU576" s="4"/>
      <c r="DZ576" s="5"/>
      <c r="EA576" s="5"/>
      <c r="EB576" s="5"/>
      <c r="EC576" s="5"/>
      <c r="ED576" s="5"/>
      <c r="EE576" s="5"/>
    </row>
    <row r="577">
      <c r="AW577" s="5"/>
      <c r="DU577" s="4"/>
      <c r="DZ577" s="5"/>
      <c r="EA577" s="5"/>
      <c r="EB577" s="5"/>
      <c r="EC577" s="5"/>
      <c r="ED577" s="5"/>
      <c r="EE577" s="5"/>
    </row>
    <row r="578">
      <c r="AW578" s="5"/>
      <c r="DU578" s="4"/>
      <c r="DZ578" s="5"/>
      <c r="EA578" s="5"/>
      <c r="EB578" s="5"/>
      <c r="EC578" s="5"/>
      <c r="ED578" s="5"/>
      <c r="EE578" s="5"/>
    </row>
    <row r="579">
      <c r="AW579" s="5"/>
      <c r="DU579" s="4"/>
      <c r="DZ579" s="5"/>
      <c r="EA579" s="5"/>
      <c r="EB579" s="5"/>
      <c r="EC579" s="5"/>
      <c r="ED579" s="5"/>
      <c r="EE579" s="5"/>
    </row>
    <row r="580">
      <c r="AW580" s="5"/>
      <c r="DU580" s="4"/>
      <c r="DZ580" s="5"/>
      <c r="EA580" s="5"/>
      <c r="EB580" s="5"/>
      <c r="EC580" s="5"/>
      <c r="ED580" s="5"/>
      <c r="EE580" s="5"/>
    </row>
    <row r="581">
      <c r="AW581" s="5"/>
      <c r="DU581" s="4"/>
      <c r="DZ581" s="5"/>
      <c r="EA581" s="5"/>
      <c r="EB581" s="5"/>
      <c r="EC581" s="5"/>
      <c r="ED581" s="5"/>
      <c r="EE581" s="5"/>
    </row>
    <row r="582">
      <c r="AW582" s="5"/>
      <c r="DU582" s="4"/>
      <c r="DZ582" s="5"/>
      <c r="EA582" s="5"/>
      <c r="EB582" s="5"/>
      <c r="EC582" s="5"/>
      <c r="ED582" s="5"/>
      <c r="EE582" s="5"/>
    </row>
    <row r="583">
      <c r="AW583" s="5"/>
      <c r="DU583" s="4"/>
      <c r="DZ583" s="5"/>
      <c r="EA583" s="5"/>
      <c r="EB583" s="5"/>
      <c r="EC583" s="5"/>
      <c r="ED583" s="5"/>
      <c r="EE583" s="5"/>
    </row>
    <row r="584">
      <c r="AW584" s="5"/>
      <c r="DU584" s="4"/>
      <c r="DZ584" s="5"/>
      <c r="EA584" s="5"/>
      <c r="EB584" s="5"/>
      <c r="EC584" s="5"/>
      <c r="ED584" s="5"/>
      <c r="EE584" s="5"/>
    </row>
    <row r="585">
      <c r="AW585" s="5"/>
      <c r="DU585" s="4"/>
      <c r="DZ585" s="5"/>
      <c r="EA585" s="5"/>
      <c r="EB585" s="5"/>
      <c r="EC585" s="5"/>
      <c r="ED585" s="5"/>
      <c r="EE585" s="5"/>
    </row>
    <row r="586">
      <c r="AW586" s="5"/>
      <c r="DU586" s="4"/>
      <c r="DZ586" s="5"/>
      <c r="EA586" s="5"/>
      <c r="EB586" s="5"/>
      <c r="EC586" s="5"/>
      <c r="ED586" s="5"/>
      <c r="EE586" s="5"/>
    </row>
    <row r="587">
      <c r="AW587" s="5"/>
      <c r="DU587" s="4"/>
      <c r="DZ587" s="5"/>
      <c r="EA587" s="5"/>
      <c r="EB587" s="5"/>
      <c r="EC587" s="5"/>
      <c r="ED587" s="5"/>
      <c r="EE587" s="5"/>
    </row>
    <row r="588">
      <c r="AW588" s="5"/>
      <c r="DU588" s="4"/>
      <c r="DZ588" s="5"/>
      <c r="EA588" s="5"/>
      <c r="EB588" s="5"/>
      <c r="EC588" s="5"/>
      <c r="ED588" s="5"/>
      <c r="EE588" s="5"/>
    </row>
    <row r="589">
      <c r="AW589" s="5"/>
      <c r="DU589" s="4"/>
      <c r="DZ589" s="5"/>
      <c r="EA589" s="5"/>
      <c r="EB589" s="5"/>
      <c r="EC589" s="5"/>
      <c r="ED589" s="5"/>
      <c r="EE589" s="5"/>
    </row>
    <row r="590">
      <c r="AW590" s="5"/>
      <c r="DU590" s="4"/>
      <c r="DZ590" s="5"/>
      <c r="EA590" s="5"/>
      <c r="EB590" s="5"/>
      <c r="EC590" s="5"/>
      <c r="ED590" s="5"/>
      <c r="EE590" s="5"/>
    </row>
    <row r="591">
      <c r="AW591" s="5"/>
      <c r="DU591" s="4"/>
      <c r="DZ591" s="5"/>
      <c r="EA591" s="5"/>
      <c r="EB591" s="5"/>
      <c r="EC591" s="5"/>
      <c r="ED591" s="5"/>
      <c r="EE591" s="5"/>
    </row>
    <row r="592">
      <c r="AW592" s="5"/>
      <c r="DU592" s="4"/>
      <c r="DZ592" s="5"/>
      <c r="EA592" s="5"/>
      <c r="EB592" s="5"/>
      <c r="EC592" s="5"/>
      <c r="ED592" s="5"/>
      <c r="EE592" s="5"/>
    </row>
    <row r="593">
      <c r="AW593" s="5"/>
      <c r="DU593" s="4"/>
      <c r="DZ593" s="5"/>
      <c r="EA593" s="5"/>
      <c r="EB593" s="5"/>
      <c r="EC593" s="5"/>
      <c r="ED593" s="5"/>
      <c r="EE593" s="5"/>
    </row>
    <row r="594">
      <c r="AW594" s="5"/>
      <c r="DU594" s="4"/>
      <c r="DZ594" s="5"/>
      <c r="EA594" s="5"/>
      <c r="EB594" s="5"/>
      <c r="EC594" s="5"/>
      <c r="ED594" s="5"/>
      <c r="EE594" s="5"/>
    </row>
    <row r="595">
      <c r="AW595" s="5"/>
      <c r="DU595" s="4"/>
      <c r="DZ595" s="5"/>
      <c r="EA595" s="5"/>
      <c r="EB595" s="5"/>
      <c r="EC595" s="5"/>
      <c r="ED595" s="5"/>
      <c r="EE595" s="5"/>
    </row>
    <row r="596">
      <c r="AW596" s="5"/>
      <c r="DU596" s="4"/>
      <c r="DZ596" s="5"/>
      <c r="EA596" s="5"/>
      <c r="EB596" s="5"/>
      <c r="EC596" s="5"/>
      <c r="ED596" s="5"/>
      <c r="EE596" s="5"/>
    </row>
    <row r="597">
      <c r="AW597" s="5"/>
      <c r="DU597" s="4"/>
      <c r="DZ597" s="5"/>
      <c r="EA597" s="5"/>
      <c r="EB597" s="5"/>
      <c r="EC597" s="5"/>
      <c r="ED597" s="5"/>
      <c r="EE597" s="5"/>
    </row>
    <row r="598">
      <c r="AW598" s="5"/>
      <c r="DU598" s="4"/>
      <c r="DZ598" s="5"/>
      <c r="EA598" s="5"/>
      <c r="EB598" s="5"/>
      <c r="EC598" s="5"/>
      <c r="ED598" s="5"/>
      <c r="EE598" s="5"/>
    </row>
    <row r="599">
      <c r="AW599" s="5"/>
      <c r="DU599" s="4"/>
      <c r="DZ599" s="5"/>
      <c r="EA599" s="5"/>
      <c r="EB599" s="5"/>
      <c r="EC599" s="5"/>
      <c r="ED599" s="5"/>
      <c r="EE599" s="5"/>
    </row>
    <row r="600">
      <c r="AW600" s="5"/>
      <c r="DU600" s="4"/>
      <c r="DZ600" s="5"/>
      <c r="EA600" s="5"/>
      <c r="EB600" s="5"/>
      <c r="EC600" s="5"/>
      <c r="ED600" s="5"/>
      <c r="EE600" s="5"/>
    </row>
    <row r="601">
      <c r="AW601" s="5"/>
      <c r="DU601" s="4"/>
      <c r="DZ601" s="5"/>
      <c r="EA601" s="5"/>
      <c r="EB601" s="5"/>
      <c r="EC601" s="5"/>
      <c r="ED601" s="5"/>
      <c r="EE601" s="5"/>
    </row>
    <row r="602">
      <c r="AW602" s="5"/>
      <c r="DU602" s="4"/>
      <c r="DZ602" s="5"/>
      <c r="EA602" s="5"/>
      <c r="EB602" s="5"/>
      <c r="EC602" s="5"/>
      <c r="ED602" s="5"/>
      <c r="EE602" s="5"/>
    </row>
    <row r="603">
      <c r="AW603" s="5"/>
      <c r="DU603" s="4"/>
      <c r="DZ603" s="5"/>
      <c r="EA603" s="5"/>
      <c r="EB603" s="5"/>
      <c r="EC603" s="5"/>
      <c r="ED603" s="5"/>
      <c r="EE603" s="5"/>
    </row>
    <row r="604">
      <c r="AW604" s="5"/>
      <c r="DU604" s="4"/>
      <c r="DZ604" s="5"/>
      <c r="EA604" s="5"/>
      <c r="EB604" s="5"/>
      <c r="EC604" s="5"/>
      <c r="ED604" s="5"/>
      <c r="EE604" s="5"/>
    </row>
    <row r="605">
      <c r="AW605" s="5"/>
      <c r="DU605" s="4"/>
      <c r="DZ605" s="5"/>
      <c r="EA605" s="5"/>
      <c r="EB605" s="5"/>
      <c r="EC605" s="5"/>
      <c r="ED605" s="5"/>
      <c r="EE605" s="5"/>
    </row>
    <row r="606">
      <c r="AW606" s="5"/>
      <c r="DU606" s="4"/>
      <c r="DZ606" s="5"/>
      <c r="EA606" s="5"/>
      <c r="EB606" s="5"/>
      <c r="EC606" s="5"/>
      <c r="ED606" s="5"/>
      <c r="EE606" s="5"/>
    </row>
    <row r="607">
      <c r="AW607" s="5"/>
      <c r="DU607" s="4"/>
      <c r="DZ607" s="5"/>
      <c r="EA607" s="5"/>
      <c r="EB607" s="5"/>
      <c r="EC607" s="5"/>
      <c r="ED607" s="5"/>
      <c r="EE607" s="5"/>
    </row>
    <row r="608">
      <c r="AW608" s="5"/>
      <c r="DU608" s="4"/>
      <c r="DZ608" s="5"/>
      <c r="EA608" s="5"/>
      <c r="EB608" s="5"/>
      <c r="EC608" s="5"/>
      <c r="ED608" s="5"/>
      <c r="EE608" s="5"/>
    </row>
    <row r="609">
      <c r="AW609" s="5"/>
      <c r="DU609" s="4"/>
      <c r="DZ609" s="5"/>
      <c r="EA609" s="5"/>
      <c r="EB609" s="5"/>
      <c r="EC609" s="5"/>
      <c r="ED609" s="5"/>
      <c r="EE609" s="5"/>
    </row>
    <row r="610">
      <c r="AW610" s="5"/>
      <c r="DU610" s="4"/>
      <c r="DZ610" s="5"/>
      <c r="EA610" s="5"/>
      <c r="EB610" s="5"/>
      <c r="EC610" s="5"/>
      <c r="ED610" s="5"/>
      <c r="EE610" s="5"/>
    </row>
    <row r="611">
      <c r="AW611" s="5"/>
      <c r="DU611" s="4"/>
      <c r="DZ611" s="5"/>
      <c r="EA611" s="5"/>
      <c r="EB611" s="5"/>
      <c r="EC611" s="5"/>
      <c r="ED611" s="5"/>
      <c r="EE611" s="5"/>
    </row>
    <row r="612">
      <c r="AW612" s="5"/>
      <c r="DU612" s="4"/>
      <c r="DZ612" s="5"/>
      <c r="EA612" s="5"/>
      <c r="EB612" s="5"/>
      <c r="EC612" s="5"/>
      <c r="ED612" s="5"/>
      <c r="EE612" s="5"/>
    </row>
    <row r="613">
      <c r="AW613" s="5"/>
      <c r="DU613" s="4"/>
      <c r="DZ613" s="5"/>
      <c r="EA613" s="5"/>
      <c r="EB613" s="5"/>
      <c r="EC613" s="5"/>
      <c r="ED613" s="5"/>
      <c r="EE613" s="5"/>
    </row>
    <row r="614">
      <c r="AW614" s="5"/>
      <c r="DU614" s="4"/>
      <c r="DZ614" s="5"/>
      <c r="EA614" s="5"/>
      <c r="EB614" s="5"/>
      <c r="EC614" s="5"/>
      <c r="ED614" s="5"/>
      <c r="EE614" s="5"/>
    </row>
    <row r="615">
      <c r="AW615" s="5"/>
      <c r="DU615" s="4"/>
      <c r="DZ615" s="5"/>
      <c r="EA615" s="5"/>
      <c r="EB615" s="5"/>
      <c r="EC615" s="5"/>
      <c r="ED615" s="5"/>
      <c r="EE615" s="5"/>
    </row>
    <row r="616">
      <c r="AW616" s="5"/>
      <c r="DU616" s="4"/>
      <c r="DZ616" s="5"/>
      <c r="EA616" s="5"/>
      <c r="EB616" s="5"/>
      <c r="EC616" s="5"/>
      <c r="ED616" s="5"/>
      <c r="EE616" s="5"/>
    </row>
    <row r="617">
      <c r="AW617" s="5"/>
      <c r="DU617" s="4"/>
      <c r="DZ617" s="5"/>
      <c r="EA617" s="5"/>
      <c r="EB617" s="5"/>
      <c r="EC617" s="5"/>
      <c r="ED617" s="5"/>
      <c r="EE617" s="5"/>
    </row>
    <row r="618">
      <c r="AW618" s="5"/>
      <c r="DU618" s="4"/>
      <c r="DZ618" s="5"/>
      <c r="EA618" s="5"/>
      <c r="EB618" s="5"/>
      <c r="EC618" s="5"/>
      <c r="ED618" s="5"/>
      <c r="EE618" s="5"/>
    </row>
    <row r="619">
      <c r="AW619" s="5"/>
      <c r="DU619" s="4"/>
      <c r="DZ619" s="5"/>
      <c r="EA619" s="5"/>
      <c r="EB619" s="5"/>
      <c r="EC619" s="5"/>
      <c r="ED619" s="5"/>
      <c r="EE619" s="5"/>
    </row>
    <row r="620">
      <c r="AW620" s="5"/>
      <c r="DU620" s="4"/>
      <c r="DZ620" s="5"/>
      <c r="EA620" s="5"/>
      <c r="EB620" s="5"/>
      <c r="EC620" s="5"/>
      <c r="ED620" s="5"/>
      <c r="EE620" s="5"/>
    </row>
    <row r="621">
      <c r="AW621" s="5"/>
      <c r="DU621" s="4"/>
      <c r="DZ621" s="5"/>
      <c r="EA621" s="5"/>
      <c r="EB621" s="5"/>
      <c r="EC621" s="5"/>
      <c r="ED621" s="5"/>
      <c r="EE621" s="5"/>
    </row>
    <row r="622">
      <c r="AW622" s="5"/>
      <c r="DU622" s="4"/>
      <c r="DZ622" s="5"/>
      <c r="EA622" s="5"/>
      <c r="EB622" s="5"/>
      <c r="EC622" s="5"/>
      <c r="ED622" s="5"/>
      <c r="EE622" s="5"/>
    </row>
    <row r="623">
      <c r="AW623" s="5"/>
      <c r="DU623" s="4"/>
      <c r="DZ623" s="5"/>
      <c r="EA623" s="5"/>
      <c r="EB623" s="5"/>
      <c r="EC623" s="5"/>
      <c r="ED623" s="5"/>
      <c r="EE623" s="5"/>
    </row>
    <row r="624">
      <c r="AW624" s="5"/>
      <c r="DU624" s="4"/>
      <c r="DZ624" s="5"/>
      <c r="EA624" s="5"/>
      <c r="EB624" s="5"/>
      <c r="EC624" s="5"/>
      <c r="ED624" s="5"/>
      <c r="EE624" s="5"/>
    </row>
    <row r="625">
      <c r="AW625" s="5"/>
      <c r="DU625" s="4"/>
      <c r="DZ625" s="5"/>
      <c r="EA625" s="5"/>
      <c r="EB625" s="5"/>
      <c r="EC625" s="5"/>
      <c r="ED625" s="5"/>
      <c r="EE625" s="5"/>
    </row>
    <row r="626">
      <c r="AW626" s="5"/>
      <c r="DU626" s="4"/>
      <c r="DZ626" s="5"/>
      <c r="EA626" s="5"/>
      <c r="EB626" s="5"/>
      <c r="EC626" s="5"/>
      <c r="ED626" s="5"/>
      <c r="EE626" s="5"/>
    </row>
    <row r="627">
      <c r="AW627" s="5"/>
      <c r="DU627" s="4"/>
      <c r="DZ627" s="5"/>
      <c r="EA627" s="5"/>
      <c r="EB627" s="5"/>
      <c r="EC627" s="5"/>
      <c r="ED627" s="5"/>
      <c r="EE627" s="5"/>
    </row>
    <row r="628">
      <c r="AW628" s="5"/>
      <c r="DU628" s="4"/>
      <c r="DZ628" s="5"/>
      <c r="EA628" s="5"/>
      <c r="EB628" s="5"/>
      <c r="EC628" s="5"/>
      <c r="ED628" s="5"/>
      <c r="EE628" s="5"/>
    </row>
    <row r="629">
      <c r="AW629" s="5"/>
      <c r="DU629" s="4"/>
      <c r="DZ629" s="5"/>
      <c r="EA629" s="5"/>
      <c r="EB629" s="5"/>
      <c r="EC629" s="5"/>
      <c r="ED629" s="5"/>
      <c r="EE629" s="5"/>
    </row>
    <row r="630">
      <c r="AW630" s="5"/>
      <c r="DU630" s="4"/>
      <c r="DZ630" s="5"/>
      <c r="EA630" s="5"/>
      <c r="EB630" s="5"/>
      <c r="EC630" s="5"/>
      <c r="ED630" s="5"/>
      <c r="EE630" s="5"/>
    </row>
    <row r="631">
      <c r="AW631" s="5"/>
      <c r="DU631" s="4"/>
      <c r="DZ631" s="5"/>
      <c r="EA631" s="5"/>
      <c r="EB631" s="5"/>
      <c r="EC631" s="5"/>
      <c r="ED631" s="5"/>
      <c r="EE631" s="5"/>
    </row>
    <row r="632">
      <c r="AW632" s="5"/>
      <c r="DU632" s="4"/>
      <c r="DZ632" s="5"/>
      <c r="EA632" s="5"/>
      <c r="EB632" s="5"/>
      <c r="EC632" s="5"/>
      <c r="ED632" s="5"/>
      <c r="EE632" s="5"/>
    </row>
    <row r="633">
      <c r="AW633" s="5"/>
      <c r="DU633" s="4"/>
      <c r="DZ633" s="5"/>
      <c r="EA633" s="5"/>
      <c r="EB633" s="5"/>
      <c r="EC633" s="5"/>
      <c r="ED633" s="5"/>
      <c r="EE633" s="5"/>
    </row>
    <row r="634">
      <c r="AW634" s="5"/>
      <c r="DU634" s="4"/>
      <c r="DZ634" s="5"/>
      <c r="EA634" s="5"/>
      <c r="EB634" s="5"/>
      <c r="EC634" s="5"/>
      <c r="ED634" s="5"/>
      <c r="EE634" s="5"/>
    </row>
    <row r="635">
      <c r="AW635" s="5"/>
      <c r="DU635" s="4"/>
      <c r="DZ635" s="5"/>
      <c r="EA635" s="5"/>
      <c r="EB635" s="5"/>
      <c r="EC635" s="5"/>
      <c r="ED635" s="5"/>
      <c r="EE635" s="5"/>
    </row>
    <row r="636">
      <c r="AW636" s="5"/>
      <c r="DU636" s="4"/>
      <c r="DZ636" s="5"/>
      <c r="EA636" s="5"/>
      <c r="EB636" s="5"/>
      <c r="EC636" s="5"/>
      <c r="ED636" s="5"/>
      <c r="EE636" s="5"/>
    </row>
    <row r="637">
      <c r="AW637" s="5"/>
      <c r="DU637" s="4"/>
      <c r="DZ637" s="5"/>
      <c r="EA637" s="5"/>
      <c r="EB637" s="5"/>
      <c r="EC637" s="5"/>
      <c r="ED637" s="5"/>
      <c r="EE637" s="5"/>
    </row>
    <row r="638">
      <c r="AW638" s="5"/>
      <c r="DU638" s="4"/>
      <c r="DZ638" s="5"/>
      <c r="EA638" s="5"/>
      <c r="EB638" s="5"/>
      <c r="EC638" s="5"/>
      <c r="ED638" s="5"/>
      <c r="EE638" s="5"/>
    </row>
    <row r="639">
      <c r="AW639" s="5"/>
      <c r="DU639" s="4"/>
      <c r="DZ639" s="5"/>
      <c r="EA639" s="5"/>
      <c r="EB639" s="5"/>
      <c r="EC639" s="5"/>
      <c r="ED639" s="5"/>
      <c r="EE639" s="5"/>
    </row>
    <row r="640">
      <c r="AW640" s="5"/>
      <c r="DU640" s="4"/>
      <c r="DZ640" s="5"/>
      <c r="EA640" s="5"/>
      <c r="EB640" s="5"/>
      <c r="EC640" s="5"/>
      <c r="ED640" s="5"/>
      <c r="EE640" s="5"/>
    </row>
    <row r="641">
      <c r="AW641" s="5"/>
      <c r="DU641" s="4"/>
      <c r="DZ641" s="5"/>
      <c r="EA641" s="5"/>
      <c r="EB641" s="5"/>
      <c r="EC641" s="5"/>
      <c r="ED641" s="5"/>
      <c r="EE641" s="5"/>
    </row>
    <row r="642">
      <c r="AW642" s="5"/>
      <c r="DU642" s="4"/>
      <c r="DZ642" s="5"/>
      <c r="EA642" s="5"/>
      <c r="EB642" s="5"/>
      <c r="EC642" s="5"/>
      <c r="ED642" s="5"/>
      <c r="EE642" s="5"/>
    </row>
    <row r="643">
      <c r="AW643" s="5"/>
      <c r="DU643" s="4"/>
      <c r="DZ643" s="5"/>
      <c r="EA643" s="5"/>
      <c r="EB643" s="5"/>
      <c r="EC643" s="5"/>
      <c r="ED643" s="5"/>
      <c r="EE643" s="5"/>
    </row>
    <row r="644">
      <c r="AW644" s="5"/>
      <c r="DU644" s="4"/>
      <c r="DZ644" s="5"/>
      <c r="EA644" s="5"/>
      <c r="EB644" s="5"/>
      <c r="EC644" s="5"/>
      <c r="ED644" s="5"/>
      <c r="EE644" s="5"/>
    </row>
    <row r="645">
      <c r="AW645" s="5"/>
      <c r="DU645" s="4"/>
      <c r="DZ645" s="5"/>
      <c r="EA645" s="5"/>
      <c r="EB645" s="5"/>
      <c r="EC645" s="5"/>
      <c r="ED645" s="5"/>
      <c r="EE645" s="5"/>
    </row>
    <row r="646">
      <c r="AW646" s="5"/>
      <c r="DU646" s="4"/>
      <c r="DZ646" s="5"/>
      <c r="EA646" s="5"/>
      <c r="EB646" s="5"/>
      <c r="EC646" s="5"/>
      <c r="ED646" s="5"/>
      <c r="EE646" s="5"/>
    </row>
    <row r="647">
      <c r="AW647" s="5"/>
      <c r="DU647" s="4"/>
      <c r="DZ647" s="5"/>
      <c r="EA647" s="5"/>
      <c r="EB647" s="5"/>
      <c r="EC647" s="5"/>
      <c r="ED647" s="5"/>
      <c r="EE647" s="5"/>
    </row>
    <row r="648">
      <c r="AW648" s="5"/>
      <c r="DU648" s="4"/>
      <c r="DZ648" s="5"/>
      <c r="EA648" s="5"/>
      <c r="EB648" s="5"/>
      <c r="EC648" s="5"/>
      <c r="ED648" s="5"/>
      <c r="EE648" s="5"/>
    </row>
    <row r="649">
      <c r="AW649" s="5"/>
      <c r="DU649" s="4"/>
      <c r="DZ649" s="5"/>
      <c r="EA649" s="5"/>
      <c r="EB649" s="5"/>
      <c r="EC649" s="5"/>
      <c r="ED649" s="5"/>
      <c r="EE649" s="5"/>
    </row>
    <row r="650">
      <c r="AW650" s="5"/>
      <c r="DU650" s="4"/>
      <c r="DZ650" s="5"/>
      <c r="EA650" s="5"/>
      <c r="EB650" s="5"/>
      <c r="EC650" s="5"/>
      <c r="ED650" s="5"/>
      <c r="EE650" s="5"/>
    </row>
    <row r="651">
      <c r="AW651" s="5"/>
      <c r="DU651" s="4"/>
      <c r="DZ651" s="5"/>
      <c r="EA651" s="5"/>
      <c r="EB651" s="5"/>
      <c r="EC651" s="5"/>
      <c r="ED651" s="5"/>
      <c r="EE651" s="5"/>
    </row>
    <row r="652">
      <c r="AW652" s="5"/>
      <c r="DU652" s="4"/>
      <c r="DZ652" s="5"/>
      <c r="EA652" s="5"/>
      <c r="EB652" s="5"/>
      <c r="EC652" s="5"/>
      <c r="ED652" s="5"/>
      <c r="EE652" s="5"/>
    </row>
    <row r="653">
      <c r="AW653" s="5"/>
      <c r="DU653" s="4"/>
      <c r="DZ653" s="5"/>
      <c r="EA653" s="5"/>
      <c r="EB653" s="5"/>
      <c r="EC653" s="5"/>
      <c r="ED653" s="5"/>
      <c r="EE653" s="5"/>
    </row>
    <row r="654">
      <c r="AW654" s="5"/>
      <c r="DU654" s="4"/>
      <c r="DZ654" s="5"/>
      <c r="EA654" s="5"/>
      <c r="EB654" s="5"/>
      <c r="EC654" s="5"/>
      <c r="ED654" s="5"/>
      <c r="EE654" s="5"/>
    </row>
    <row r="655">
      <c r="AW655" s="5"/>
      <c r="DU655" s="4"/>
      <c r="DZ655" s="5"/>
      <c r="EA655" s="5"/>
      <c r="EB655" s="5"/>
      <c r="EC655" s="5"/>
      <c r="ED655" s="5"/>
      <c r="EE655" s="5"/>
    </row>
    <row r="656">
      <c r="AW656" s="5"/>
      <c r="DU656" s="4"/>
      <c r="DZ656" s="5"/>
      <c r="EA656" s="5"/>
      <c r="EB656" s="5"/>
      <c r="EC656" s="5"/>
      <c r="ED656" s="5"/>
      <c r="EE656" s="5"/>
    </row>
    <row r="657">
      <c r="AW657" s="5"/>
      <c r="DU657" s="4"/>
      <c r="DZ657" s="5"/>
      <c r="EA657" s="5"/>
      <c r="EB657" s="5"/>
      <c r="EC657" s="5"/>
      <c r="ED657" s="5"/>
      <c r="EE657" s="5"/>
    </row>
    <row r="658">
      <c r="AW658" s="5"/>
      <c r="DU658" s="4"/>
      <c r="DZ658" s="5"/>
      <c r="EA658" s="5"/>
      <c r="EB658" s="5"/>
      <c r="EC658" s="5"/>
      <c r="ED658" s="5"/>
      <c r="EE658" s="5"/>
    </row>
    <row r="659">
      <c r="AW659" s="5"/>
      <c r="DU659" s="4"/>
      <c r="DZ659" s="5"/>
      <c r="EA659" s="5"/>
      <c r="EB659" s="5"/>
      <c r="EC659" s="5"/>
      <c r="ED659" s="5"/>
      <c r="EE659" s="5"/>
    </row>
    <row r="660">
      <c r="AW660" s="5"/>
      <c r="DU660" s="4"/>
      <c r="DZ660" s="5"/>
      <c r="EA660" s="5"/>
      <c r="EB660" s="5"/>
      <c r="EC660" s="5"/>
      <c r="ED660" s="5"/>
      <c r="EE660" s="5"/>
    </row>
    <row r="661">
      <c r="AW661" s="5"/>
      <c r="DU661" s="4"/>
      <c r="DZ661" s="5"/>
      <c r="EA661" s="5"/>
      <c r="EB661" s="5"/>
      <c r="EC661" s="5"/>
      <c r="ED661" s="5"/>
      <c r="EE661" s="5"/>
    </row>
    <row r="662">
      <c r="AW662" s="5"/>
      <c r="DU662" s="4"/>
      <c r="DZ662" s="5"/>
      <c r="EA662" s="5"/>
      <c r="EB662" s="5"/>
      <c r="EC662" s="5"/>
      <c r="ED662" s="5"/>
      <c r="EE662" s="5"/>
    </row>
    <row r="663">
      <c r="AW663" s="5"/>
      <c r="DU663" s="4"/>
      <c r="DZ663" s="5"/>
      <c r="EA663" s="5"/>
      <c r="EB663" s="5"/>
      <c r="EC663" s="5"/>
      <c r="ED663" s="5"/>
      <c r="EE663" s="5"/>
    </row>
    <row r="664">
      <c r="AW664" s="5"/>
      <c r="DU664" s="4"/>
      <c r="DZ664" s="5"/>
      <c r="EA664" s="5"/>
      <c r="EB664" s="5"/>
      <c r="EC664" s="5"/>
      <c r="ED664" s="5"/>
      <c r="EE664" s="5"/>
    </row>
    <row r="665">
      <c r="AW665" s="5"/>
      <c r="DU665" s="4"/>
      <c r="DZ665" s="5"/>
      <c r="EA665" s="5"/>
      <c r="EB665" s="5"/>
      <c r="EC665" s="5"/>
      <c r="ED665" s="5"/>
      <c r="EE665" s="5"/>
    </row>
    <row r="666">
      <c r="AW666" s="5"/>
      <c r="DU666" s="4"/>
      <c r="DZ666" s="5"/>
      <c r="EA666" s="5"/>
      <c r="EB666" s="5"/>
      <c r="EC666" s="5"/>
      <c r="ED666" s="5"/>
      <c r="EE666" s="5"/>
    </row>
    <row r="667">
      <c r="AW667" s="5"/>
      <c r="DU667" s="4"/>
      <c r="DZ667" s="5"/>
      <c r="EA667" s="5"/>
      <c r="EB667" s="5"/>
      <c r="EC667" s="5"/>
      <c r="ED667" s="5"/>
      <c r="EE667" s="5"/>
    </row>
    <row r="668">
      <c r="AW668" s="5"/>
      <c r="DU668" s="4"/>
      <c r="DZ668" s="5"/>
      <c r="EA668" s="5"/>
      <c r="EB668" s="5"/>
      <c r="EC668" s="5"/>
      <c r="ED668" s="5"/>
      <c r="EE668" s="5"/>
    </row>
    <row r="669">
      <c r="AW669" s="5"/>
      <c r="DU669" s="4"/>
      <c r="DZ669" s="5"/>
      <c r="EA669" s="5"/>
      <c r="EB669" s="5"/>
      <c r="EC669" s="5"/>
      <c r="ED669" s="5"/>
      <c r="EE669" s="5"/>
    </row>
    <row r="670">
      <c r="AW670" s="5"/>
      <c r="DU670" s="4"/>
      <c r="DZ670" s="5"/>
      <c r="EA670" s="5"/>
      <c r="EB670" s="5"/>
      <c r="EC670" s="5"/>
      <c r="ED670" s="5"/>
      <c r="EE670" s="5"/>
    </row>
    <row r="671">
      <c r="AW671" s="5"/>
      <c r="DU671" s="4"/>
      <c r="DZ671" s="5"/>
      <c r="EA671" s="5"/>
      <c r="EB671" s="5"/>
      <c r="EC671" s="5"/>
      <c r="ED671" s="5"/>
      <c r="EE671" s="5"/>
    </row>
    <row r="672">
      <c r="AW672" s="5"/>
      <c r="DU672" s="4"/>
      <c r="DZ672" s="5"/>
      <c r="EA672" s="5"/>
      <c r="EB672" s="5"/>
      <c r="EC672" s="5"/>
      <c r="ED672" s="5"/>
      <c r="EE672" s="5"/>
    </row>
    <row r="673">
      <c r="AW673" s="5"/>
      <c r="DU673" s="4"/>
      <c r="DZ673" s="5"/>
      <c r="EA673" s="5"/>
      <c r="EB673" s="5"/>
      <c r="EC673" s="5"/>
      <c r="ED673" s="5"/>
      <c r="EE673" s="5"/>
    </row>
    <row r="674">
      <c r="AW674" s="5"/>
      <c r="DU674" s="4"/>
      <c r="DZ674" s="5"/>
      <c r="EA674" s="5"/>
      <c r="EB674" s="5"/>
      <c r="EC674" s="5"/>
      <c r="ED674" s="5"/>
      <c r="EE674" s="5"/>
    </row>
    <row r="675">
      <c r="AW675" s="5"/>
      <c r="DU675" s="4"/>
      <c r="DZ675" s="5"/>
      <c r="EA675" s="5"/>
      <c r="EB675" s="5"/>
      <c r="EC675" s="5"/>
      <c r="ED675" s="5"/>
      <c r="EE675" s="5"/>
    </row>
    <row r="676">
      <c r="AW676" s="5"/>
      <c r="DU676" s="4"/>
      <c r="DZ676" s="5"/>
      <c r="EA676" s="5"/>
      <c r="EB676" s="5"/>
      <c r="EC676" s="5"/>
      <c r="ED676" s="5"/>
      <c r="EE676" s="5"/>
    </row>
    <row r="677">
      <c r="AW677" s="5"/>
      <c r="DU677" s="4"/>
      <c r="DZ677" s="5"/>
      <c r="EA677" s="5"/>
      <c r="EB677" s="5"/>
      <c r="EC677" s="5"/>
      <c r="ED677" s="5"/>
      <c r="EE677" s="5"/>
    </row>
    <row r="678">
      <c r="AW678" s="5"/>
      <c r="DU678" s="4"/>
      <c r="DZ678" s="5"/>
      <c r="EA678" s="5"/>
      <c r="EB678" s="5"/>
      <c r="EC678" s="5"/>
      <c r="ED678" s="5"/>
      <c r="EE678" s="5"/>
    </row>
    <row r="679">
      <c r="AW679" s="5"/>
      <c r="DU679" s="4"/>
      <c r="DZ679" s="5"/>
      <c r="EA679" s="5"/>
      <c r="EB679" s="5"/>
      <c r="EC679" s="5"/>
      <c r="ED679" s="5"/>
      <c r="EE679" s="5"/>
    </row>
    <row r="680">
      <c r="AW680" s="5"/>
      <c r="DU680" s="4"/>
      <c r="DZ680" s="5"/>
      <c r="EA680" s="5"/>
      <c r="EB680" s="5"/>
      <c r="EC680" s="5"/>
      <c r="ED680" s="5"/>
      <c r="EE680" s="5"/>
    </row>
    <row r="681">
      <c r="AW681" s="5"/>
      <c r="DU681" s="4"/>
      <c r="DZ681" s="5"/>
      <c r="EA681" s="5"/>
      <c r="EB681" s="5"/>
      <c r="EC681" s="5"/>
      <c r="ED681" s="5"/>
      <c r="EE681" s="5"/>
    </row>
    <row r="682">
      <c r="AW682" s="5"/>
      <c r="DU682" s="4"/>
      <c r="DZ682" s="5"/>
      <c r="EA682" s="5"/>
      <c r="EB682" s="5"/>
      <c r="EC682" s="5"/>
      <c r="ED682" s="5"/>
      <c r="EE682" s="5"/>
    </row>
    <row r="683">
      <c r="AW683" s="5"/>
      <c r="DU683" s="4"/>
      <c r="DZ683" s="5"/>
      <c r="EA683" s="5"/>
      <c r="EB683" s="5"/>
      <c r="EC683" s="5"/>
      <c r="ED683" s="5"/>
      <c r="EE683" s="5"/>
    </row>
    <row r="684">
      <c r="AW684" s="5"/>
      <c r="DU684" s="4"/>
      <c r="DZ684" s="5"/>
      <c r="EA684" s="5"/>
      <c r="EB684" s="5"/>
      <c r="EC684" s="5"/>
      <c r="ED684" s="5"/>
      <c r="EE684" s="5"/>
    </row>
    <row r="685">
      <c r="AW685" s="5"/>
      <c r="DU685" s="4"/>
      <c r="DZ685" s="5"/>
      <c r="EA685" s="5"/>
      <c r="EB685" s="5"/>
      <c r="EC685" s="5"/>
      <c r="ED685" s="5"/>
      <c r="EE685" s="5"/>
    </row>
    <row r="686">
      <c r="AW686" s="5"/>
      <c r="DU686" s="4"/>
      <c r="DZ686" s="5"/>
      <c r="EA686" s="5"/>
      <c r="EB686" s="5"/>
      <c r="EC686" s="5"/>
      <c r="ED686" s="5"/>
      <c r="EE686" s="5"/>
    </row>
    <row r="687">
      <c r="AW687" s="5"/>
      <c r="DU687" s="4"/>
      <c r="DZ687" s="5"/>
      <c r="EA687" s="5"/>
      <c r="EB687" s="5"/>
      <c r="EC687" s="5"/>
      <c r="ED687" s="5"/>
      <c r="EE687" s="5"/>
    </row>
    <row r="688">
      <c r="AW688" s="5"/>
      <c r="DU688" s="4"/>
      <c r="DZ688" s="5"/>
      <c r="EA688" s="5"/>
      <c r="EB688" s="5"/>
      <c r="EC688" s="5"/>
      <c r="ED688" s="5"/>
      <c r="EE688" s="5"/>
    </row>
    <row r="689">
      <c r="AW689" s="5"/>
      <c r="DU689" s="4"/>
      <c r="DZ689" s="5"/>
      <c r="EA689" s="5"/>
      <c r="EB689" s="5"/>
      <c r="EC689" s="5"/>
      <c r="ED689" s="5"/>
      <c r="EE689" s="5"/>
    </row>
    <row r="690">
      <c r="AW690" s="5"/>
      <c r="DU690" s="4"/>
      <c r="DZ690" s="5"/>
      <c r="EA690" s="5"/>
      <c r="EB690" s="5"/>
      <c r="EC690" s="5"/>
      <c r="ED690" s="5"/>
      <c r="EE690" s="5"/>
    </row>
    <row r="691">
      <c r="AW691" s="5"/>
      <c r="DU691" s="4"/>
      <c r="DZ691" s="5"/>
      <c r="EA691" s="5"/>
      <c r="EB691" s="5"/>
      <c r="EC691" s="5"/>
      <c r="ED691" s="5"/>
      <c r="EE691" s="5"/>
    </row>
    <row r="692">
      <c r="AW692" s="5"/>
      <c r="DU692" s="4"/>
      <c r="DZ692" s="5"/>
      <c r="EA692" s="5"/>
      <c r="EB692" s="5"/>
      <c r="EC692" s="5"/>
      <c r="ED692" s="5"/>
      <c r="EE692" s="5"/>
    </row>
    <row r="693">
      <c r="AW693" s="5"/>
      <c r="DU693" s="4"/>
      <c r="DZ693" s="5"/>
      <c r="EA693" s="5"/>
      <c r="EB693" s="5"/>
      <c r="EC693" s="5"/>
      <c r="ED693" s="5"/>
      <c r="EE693" s="5"/>
    </row>
    <row r="694">
      <c r="AW694" s="5"/>
      <c r="DU694" s="4"/>
      <c r="DZ694" s="5"/>
      <c r="EA694" s="5"/>
      <c r="EB694" s="5"/>
      <c r="EC694" s="5"/>
      <c r="ED694" s="5"/>
      <c r="EE694" s="5"/>
    </row>
    <row r="695">
      <c r="AW695" s="5"/>
      <c r="DU695" s="4"/>
      <c r="DZ695" s="5"/>
      <c r="EA695" s="5"/>
      <c r="EB695" s="5"/>
      <c r="EC695" s="5"/>
      <c r="ED695" s="5"/>
      <c r="EE695" s="5"/>
    </row>
    <row r="696">
      <c r="AW696" s="5"/>
      <c r="DU696" s="4"/>
      <c r="DZ696" s="5"/>
      <c r="EA696" s="5"/>
      <c r="EB696" s="5"/>
      <c r="EC696" s="5"/>
      <c r="ED696" s="5"/>
      <c r="EE696" s="5"/>
    </row>
    <row r="697">
      <c r="AW697" s="5"/>
      <c r="DU697" s="4"/>
      <c r="DZ697" s="5"/>
      <c r="EA697" s="5"/>
      <c r="EB697" s="5"/>
      <c r="EC697" s="5"/>
      <c r="ED697" s="5"/>
      <c r="EE697" s="5"/>
    </row>
    <row r="698">
      <c r="AW698" s="5"/>
      <c r="DU698" s="4"/>
      <c r="DZ698" s="5"/>
      <c r="EA698" s="5"/>
      <c r="EB698" s="5"/>
      <c r="EC698" s="5"/>
      <c r="ED698" s="5"/>
      <c r="EE698" s="5"/>
    </row>
    <row r="699">
      <c r="AW699" s="5"/>
      <c r="DU699" s="4"/>
      <c r="DZ699" s="5"/>
      <c r="EA699" s="5"/>
      <c r="EB699" s="5"/>
      <c r="EC699" s="5"/>
      <c r="ED699" s="5"/>
      <c r="EE699" s="5"/>
    </row>
    <row r="700">
      <c r="AW700" s="5"/>
      <c r="DU700" s="4"/>
      <c r="DZ700" s="5"/>
      <c r="EA700" s="5"/>
      <c r="EB700" s="5"/>
      <c r="EC700" s="5"/>
      <c r="ED700" s="5"/>
      <c r="EE700" s="5"/>
    </row>
    <row r="701">
      <c r="AW701" s="5"/>
      <c r="DU701" s="4"/>
      <c r="DZ701" s="5"/>
      <c r="EA701" s="5"/>
      <c r="EB701" s="5"/>
      <c r="EC701" s="5"/>
      <c r="ED701" s="5"/>
      <c r="EE701" s="5"/>
    </row>
    <row r="702">
      <c r="AW702" s="5"/>
      <c r="DU702" s="4"/>
      <c r="DZ702" s="5"/>
      <c r="EA702" s="5"/>
      <c r="EB702" s="5"/>
      <c r="EC702" s="5"/>
      <c r="ED702" s="5"/>
      <c r="EE702" s="5"/>
    </row>
    <row r="703">
      <c r="AW703" s="5"/>
      <c r="DU703" s="4"/>
      <c r="DZ703" s="5"/>
      <c r="EA703" s="5"/>
      <c r="EB703" s="5"/>
      <c r="EC703" s="5"/>
      <c r="ED703" s="5"/>
      <c r="EE703" s="5"/>
    </row>
    <row r="704">
      <c r="AW704" s="5"/>
      <c r="DU704" s="4"/>
      <c r="DZ704" s="5"/>
      <c r="EA704" s="5"/>
      <c r="EB704" s="5"/>
      <c r="EC704" s="5"/>
      <c r="ED704" s="5"/>
      <c r="EE704" s="5"/>
    </row>
    <row r="705">
      <c r="AW705" s="5"/>
      <c r="DU705" s="4"/>
      <c r="DZ705" s="5"/>
      <c r="EA705" s="5"/>
      <c r="EB705" s="5"/>
      <c r="EC705" s="5"/>
      <c r="ED705" s="5"/>
      <c r="EE705" s="5"/>
    </row>
    <row r="706">
      <c r="AW706" s="5"/>
      <c r="DU706" s="4"/>
      <c r="DZ706" s="5"/>
      <c r="EA706" s="5"/>
      <c r="EB706" s="5"/>
      <c r="EC706" s="5"/>
      <c r="ED706" s="5"/>
      <c r="EE706" s="5"/>
    </row>
    <row r="707">
      <c r="AW707" s="5"/>
      <c r="DU707" s="4"/>
      <c r="DZ707" s="5"/>
      <c r="EA707" s="5"/>
      <c r="EB707" s="5"/>
      <c r="EC707" s="5"/>
      <c r="ED707" s="5"/>
      <c r="EE707" s="5"/>
    </row>
    <row r="708">
      <c r="AW708" s="5"/>
      <c r="DU708" s="4"/>
      <c r="DZ708" s="5"/>
      <c r="EA708" s="5"/>
      <c r="EB708" s="5"/>
      <c r="EC708" s="5"/>
      <c r="ED708" s="5"/>
      <c r="EE708" s="5"/>
    </row>
    <row r="709">
      <c r="AW709" s="5"/>
      <c r="DU709" s="4"/>
      <c r="DZ709" s="5"/>
      <c r="EA709" s="5"/>
      <c r="EB709" s="5"/>
      <c r="EC709" s="5"/>
      <c r="ED709" s="5"/>
      <c r="EE709" s="5"/>
    </row>
    <row r="710">
      <c r="AW710" s="5"/>
      <c r="DU710" s="4"/>
      <c r="DZ710" s="5"/>
      <c r="EA710" s="5"/>
      <c r="EB710" s="5"/>
      <c r="EC710" s="5"/>
      <c r="ED710" s="5"/>
      <c r="EE710" s="5"/>
    </row>
    <row r="711">
      <c r="AW711" s="5"/>
      <c r="DU711" s="4"/>
      <c r="DZ711" s="5"/>
      <c r="EA711" s="5"/>
      <c r="EB711" s="5"/>
      <c r="EC711" s="5"/>
      <c r="ED711" s="5"/>
      <c r="EE711" s="5"/>
    </row>
    <row r="712">
      <c r="AW712" s="5"/>
      <c r="DU712" s="4"/>
      <c r="DZ712" s="5"/>
      <c r="EA712" s="5"/>
      <c r="EB712" s="5"/>
      <c r="EC712" s="5"/>
      <c r="ED712" s="5"/>
      <c r="EE712" s="5"/>
    </row>
    <row r="713">
      <c r="AW713" s="5"/>
      <c r="DU713" s="4"/>
      <c r="DZ713" s="5"/>
      <c r="EA713" s="5"/>
      <c r="EB713" s="5"/>
      <c r="EC713" s="5"/>
      <c r="ED713" s="5"/>
      <c r="EE713" s="5"/>
    </row>
    <row r="714">
      <c r="AW714" s="5"/>
      <c r="DU714" s="4"/>
      <c r="DZ714" s="5"/>
      <c r="EA714" s="5"/>
      <c r="EB714" s="5"/>
      <c r="EC714" s="5"/>
      <c r="ED714" s="5"/>
      <c r="EE714" s="5"/>
    </row>
    <row r="715">
      <c r="AW715" s="5"/>
      <c r="DU715" s="4"/>
      <c r="DZ715" s="5"/>
      <c r="EA715" s="5"/>
      <c r="EB715" s="5"/>
      <c r="EC715" s="5"/>
      <c r="ED715" s="5"/>
      <c r="EE715" s="5"/>
    </row>
    <row r="716">
      <c r="AW716" s="5"/>
      <c r="DU716" s="4"/>
      <c r="DZ716" s="5"/>
      <c r="EA716" s="5"/>
      <c r="EB716" s="5"/>
      <c r="EC716" s="5"/>
      <c r="ED716" s="5"/>
      <c r="EE716" s="5"/>
    </row>
    <row r="717">
      <c r="AW717" s="5"/>
      <c r="DU717" s="4"/>
      <c r="DZ717" s="5"/>
      <c r="EA717" s="5"/>
      <c r="EB717" s="5"/>
      <c r="EC717" s="5"/>
      <c r="ED717" s="5"/>
      <c r="EE717" s="5"/>
    </row>
    <row r="718">
      <c r="AW718" s="5"/>
      <c r="DU718" s="4"/>
      <c r="DZ718" s="5"/>
      <c r="EA718" s="5"/>
      <c r="EB718" s="5"/>
      <c r="EC718" s="5"/>
      <c r="ED718" s="5"/>
      <c r="EE718" s="5"/>
    </row>
    <row r="719">
      <c r="AW719" s="5"/>
      <c r="DU719" s="4"/>
      <c r="DZ719" s="5"/>
      <c r="EA719" s="5"/>
      <c r="EB719" s="5"/>
      <c r="EC719" s="5"/>
      <c r="ED719" s="5"/>
      <c r="EE719" s="5"/>
    </row>
    <row r="720">
      <c r="AW720" s="5"/>
      <c r="DU720" s="4"/>
      <c r="DZ720" s="5"/>
      <c r="EA720" s="5"/>
      <c r="EB720" s="5"/>
      <c r="EC720" s="5"/>
      <c r="ED720" s="5"/>
      <c r="EE720" s="5"/>
    </row>
    <row r="721">
      <c r="AW721" s="5"/>
      <c r="DU721" s="4"/>
      <c r="DZ721" s="5"/>
      <c r="EA721" s="5"/>
      <c r="EB721" s="5"/>
      <c r="EC721" s="5"/>
      <c r="ED721" s="5"/>
      <c r="EE721" s="5"/>
    </row>
    <row r="722">
      <c r="AW722" s="5"/>
      <c r="DU722" s="4"/>
      <c r="DZ722" s="5"/>
      <c r="EA722" s="5"/>
      <c r="EB722" s="5"/>
      <c r="EC722" s="5"/>
      <c r="ED722" s="5"/>
      <c r="EE722" s="5"/>
    </row>
    <row r="723">
      <c r="AW723" s="5"/>
      <c r="DU723" s="4"/>
      <c r="DZ723" s="5"/>
      <c r="EA723" s="5"/>
      <c r="EB723" s="5"/>
      <c r="EC723" s="5"/>
      <c r="ED723" s="5"/>
      <c r="EE723" s="5"/>
    </row>
    <row r="724">
      <c r="AW724" s="5"/>
      <c r="DU724" s="4"/>
      <c r="DZ724" s="5"/>
      <c r="EA724" s="5"/>
      <c r="EB724" s="5"/>
      <c r="EC724" s="5"/>
      <c r="ED724" s="5"/>
      <c r="EE724" s="5"/>
    </row>
    <row r="725">
      <c r="AW725" s="5"/>
      <c r="DU725" s="4"/>
      <c r="DZ725" s="5"/>
      <c r="EA725" s="5"/>
      <c r="EB725" s="5"/>
      <c r="EC725" s="5"/>
      <c r="ED725" s="5"/>
      <c r="EE725" s="5"/>
    </row>
    <row r="726">
      <c r="AW726" s="5"/>
      <c r="DU726" s="4"/>
      <c r="DZ726" s="5"/>
      <c r="EA726" s="5"/>
      <c r="EB726" s="5"/>
      <c r="EC726" s="5"/>
      <c r="ED726" s="5"/>
      <c r="EE726" s="5"/>
    </row>
    <row r="727">
      <c r="AW727" s="5"/>
      <c r="DU727" s="4"/>
      <c r="DZ727" s="5"/>
      <c r="EA727" s="5"/>
      <c r="EB727" s="5"/>
      <c r="EC727" s="5"/>
      <c r="ED727" s="5"/>
      <c r="EE727" s="5"/>
    </row>
    <row r="728">
      <c r="AW728" s="5"/>
      <c r="DU728" s="4"/>
      <c r="DZ728" s="5"/>
      <c r="EA728" s="5"/>
      <c r="EB728" s="5"/>
      <c r="EC728" s="5"/>
      <c r="ED728" s="5"/>
      <c r="EE728" s="5"/>
    </row>
    <row r="729">
      <c r="AW729" s="5"/>
      <c r="DU729" s="4"/>
      <c r="DZ729" s="5"/>
      <c r="EA729" s="5"/>
      <c r="EB729" s="5"/>
      <c r="EC729" s="5"/>
      <c r="ED729" s="5"/>
      <c r="EE729" s="5"/>
    </row>
    <row r="730">
      <c r="AW730" s="5"/>
      <c r="DU730" s="4"/>
      <c r="DZ730" s="5"/>
      <c r="EA730" s="5"/>
      <c r="EB730" s="5"/>
      <c r="EC730" s="5"/>
      <c r="ED730" s="5"/>
      <c r="EE730" s="5"/>
    </row>
    <row r="731">
      <c r="AW731" s="5"/>
      <c r="DU731" s="4"/>
      <c r="DZ731" s="5"/>
      <c r="EA731" s="5"/>
      <c r="EB731" s="5"/>
      <c r="EC731" s="5"/>
      <c r="ED731" s="5"/>
      <c r="EE731" s="5"/>
    </row>
    <row r="732">
      <c r="AW732" s="5"/>
      <c r="DU732" s="4"/>
      <c r="DZ732" s="5"/>
      <c r="EA732" s="5"/>
      <c r="EB732" s="5"/>
      <c r="EC732" s="5"/>
      <c r="ED732" s="5"/>
      <c r="EE732" s="5"/>
    </row>
    <row r="733">
      <c r="AW733" s="5"/>
      <c r="DU733" s="4"/>
      <c r="DZ733" s="5"/>
      <c r="EA733" s="5"/>
      <c r="EB733" s="5"/>
      <c r="EC733" s="5"/>
      <c r="ED733" s="5"/>
      <c r="EE733" s="5"/>
    </row>
    <row r="734">
      <c r="AW734" s="5"/>
      <c r="DU734" s="4"/>
      <c r="DZ734" s="5"/>
      <c r="EA734" s="5"/>
      <c r="EB734" s="5"/>
      <c r="EC734" s="5"/>
      <c r="ED734" s="5"/>
      <c r="EE734" s="5"/>
    </row>
    <row r="735">
      <c r="AW735" s="5"/>
      <c r="DU735" s="4"/>
      <c r="DZ735" s="5"/>
      <c r="EA735" s="5"/>
      <c r="EB735" s="5"/>
      <c r="EC735" s="5"/>
      <c r="ED735" s="5"/>
      <c r="EE735" s="5"/>
    </row>
    <row r="736">
      <c r="AW736" s="5"/>
      <c r="DU736" s="4"/>
      <c r="DZ736" s="5"/>
      <c r="EA736" s="5"/>
      <c r="EB736" s="5"/>
      <c r="EC736" s="5"/>
      <c r="ED736" s="5"/>
      <c r="EE736" s="5"/>
    </row>
    <row r="737">
      <c r="AW737" s="5"/>
      <c r="DU737" s="4"/>
      <c r="DZ737" s="5"/>
      <c r="EA737" s="5"/>
      <c r="EB737" s="5"/>
      <c r="EC737" s="5"/>
      <c r="ED737" s="5"/>
      <c r="EE737" s="5"/>
    </row>
    <row r="738">
      <c r="AW738" s="5"/>
      <c r="DU738" s="4"/>
      <c r="DZ738" s="5"/>
      <c r="EA738" s="5"/>
      <c r="EB738" s="5"/>
      <c r="EC738" s="5"/>
      <c r="ED738" s="5"/>
      <c r="EE738" s="5"/>
    </row>
    <row r="739">
      <c r="AW739" s="5"/>
      <c r="DU739" s="4"/>
      <c r="DZ739" s="5"/>
      <c r="EA739" s="5"/>
      <c r="EB739" s="5"/>
      <c r="EC739" s="5"/>
      <c r="ED739" s="5"/>
      <c r="EE739" s="5"/>
    </row>
    <row r="740">
      <c r="AW740" s="5"/>
      <c r="DU740" s="4"/>
      <c r="DZ740" s="5"/>
      <c r="EA740" s="5"/>
      <c r="EB740" s="5"/>
      <c r="EC740" s="5"/>
      <c r="ED740" s="5"/>
      <c r="EE740" s="5"/>
    </row>
    <row r="741">
      <c r="AW741" s="5"/>
      <c r="DU741" s="4"/>
      <c r="DZ741" s="5"/>
      <c r="EA741" s="5"/>
      <c r="EB741" s="5"/>
      <c r="EC741" s="5"/>
      <c r="ED741" s="5"/>
      <c r="EE741" s="5"/>
    </row>
    <row r="742">
      <c r="AW742" s="5"/>
      <c r="DU742" s="4"/>
      <c r="DZ742" s="5"/>
      <c r="EA742" s="5"/>
      <c r="EB742" s="5"/>
      <c r="EC742" s="5"/>
      <c r="ED742" s="5"/>
      <c r="EE742" s="5"/>
    </row>
    <row r="743">
      <c r="AW743" s="5"/>
      <c r="DU743" s="4"/>
      <c r="DZ743" s="5"/>
      <c r="EA743" s="5"/>
      <c r="EB743" s="5"/>
      <c r="EC743" s="5"/>
      <c r="ED743" s="5"/>
      <c r="EE743" s="5"/>
    </row>
    <row r="744">
      <c r="AW744" s="5"/>
      <c r="DU744" s="4"/>
      <c r="DZ744" s="5"/>
      <c r="EA744" s="5"/>
      <c r="EB744" s="5"/>
      <c r="EC744" s="5"/>
      <c r="ED744" s="5"/>
      <c r="EE744" s="5"/>
    </row>
    <row r="745">
      <c r="AW745" s="5"/>
      <c r="DU745" s="4"/>
      <c r="DZ745" s="5"/>
      <c r="EA745" s="5"/>
      <c r="EB745" s="5"/>
      <c r="EC745" s="5"/>
      <c r="ED745" s="5"/>
      <c r="EE745" s="5"/>
    </row>
    <row r="746">
      <c r="AW746" s="5"/>
      <c r="DU746" s="4"/>
      <c r="DZ746" s="5"/>
      <c r="EA746" s="5"/>
      <c r="EB746" s="5"/>
      <c r="EC746" s="5"/>
      <c r="ED746" s="5"/>
      <c r="EE746" s="5"/>
    </row>
    <row r="747">
      <c r="AW747" s="5"/>
      <c r="DU747" s="4"/>
      <c r="DZ747" s="5"/>
      <c r="EA747" s="5"/>
      <c r="EB747" s="5"/>
      <c r="EC747" s="5"/>
      <c r="ED747" s="5"/>
      <c r="EE747" s="5"/>
    </row>
    <row r="748">
      <c r="AW748" s="5"/>
      <c r="DU748" s="4"/>
      <c r="DZ748" s="5"/>
      <c r="EA748" s="5"/>
      <c r="EB748" s="5"/>
      <c r="EC748" s="5"/>
      <c r="ED748" s="5"/>
      <c r="EE748" s="5"/>
    </row>
    <row r="749">
      <c r="AW749" s="5"/>
      <c r="DU749" s="4"/>
      <c r="DZ749" s="5"/>
      <c r="EA749" s="5"/>
      <c r="EB749" s="5"/>
      <c r="EC749" s="5"/>
      <c r="ED749" s="5"/>
      <c r="EE749" s="5"/>
    </row>
    <row r="750">
      <c r="AW750" s="5"/>
      <c r="DU750" s="4"/>
      <c r="DZ750" s="5"/>
      <c r="EA750" s="5"/>
      <c r="EB750" s="5"/>
      <c r="EC750" s="5"/>
      <c r="ED750" s="5"/>
      <c r="EE750" s="5"/>
    </row>
    <row r="751">
      <c r="AW751" s="5"/>
      <c r="DU751" s="4"/>
      <c r="DZ751" s="5"/>
      <c r="EA751" s="5"/>
      <c r="EB751" s="5"/>
      <c r="EC751" s="5"/>
      <c r="ED751" s="5"/>
      <c r="EE751" s="5"/>
    </row>
    <row r="752">
      <c r="AW752" s="5"/>
      <c r="DU752" s="4"/>
      <c r="DZ752" s="5"/>
      <c r="EA752" s="5"/>
      <c r="EB752" s="5"/>
      <c r="EC752" s="5"/>
      <c r="ED752" s="5"/>
      <c r="EE752" s="5"/>
    </row>
    <row r="753">
      <c r="AW753" s="5"/>
      <c r="DU753" s="4"/>
      <c r="DZ753" s="5"/>
      <c r="EA753" s="5"/>
      <c r="EB753" s="5"/>
      <c r="EC753" s="5"/>
      <c r="ED753" s="5"/>
      <c r="EE753" s="5"/>
    </row>
    <row r="754">
      <c r="AW754" s="5"/>
      <c r="DU754" s="4"/>
      <c r="DZ754" s="5"/>
      <c r="EA754" s="5"/>
      <c r="EB754" s="5"/>
      <c r="EC754" s="5"/>
      <c r="ED754" s="5"/>
      <c r="EE754" s="5"/>
    </row>
    <row r="755">
      <c r="AW755" s="5"/>
      <c r="DU755" s="4"/>
      <c r="DZ755" s="5"/>
      <c r="EA755" s="5"/>
      <c r="EB755" s="5"/>
      <c r="EC755" s="5"/>
      <c r="ED755" s="5"/>
      <c r="EE755" s="5"/>
    </row>
    <row r="756">
      <c r="AW756" s="5"/>
      <c r="DU756" s="4"/>
      <c r="DZ756" s="5"/>
      <c r="EA756" s="5"/>
      <c r="EB756" s="5"/>
      <c r="EC756" s="5"/>
      <c r="ED756" s="5"/>
      <c r="EE756" s="5"/>
    </row>
    <row r="757">
      <c r="AW757" s="5"/>
      <c r="DU757" s="4"/>
      <c r="DZ757" s="5"/>
      <c r="EA757" s="5"/>
      <c r="EB757" s="5"/>
      <c r="EC757" s="5"/>
      <c r="ED757" s="5"/>
      <c r="EE757" s="5"/>
    </row>
    <row r="758">
      <c r="AW758" s="5"/>
      <c r="DU758" s="4"/>
      <c r="DZ758" s="5"/>
      <c r="EA758" s="5"/>
      <c r="EB758" s="5"/>
      <c r="EC758" s="5"/>
      <c r="ED758" s="5"/>
      <c r="EE758" s="5"/>
    </row>
    <row r="759">
      <c r="AW759" s="5"/>
      <c r="DU759" s="4"/>
      <c r="DZ759" s="5"/>
      <c r="EA759" s="5"/>
      <c r="EB759" s="5"/>
      <c r="EC759" s="5"/>
      <c r="ED759" s="5"/>
      <c r="EE759" s="5"/>
    </row>
    <row r="760">
      <c r="AW760" s="5"/>
      <c r="DU760" s="4"/>
      <c r="DZ760" s="5"/>
      <c r="EA760" s="5"/>
      <c r="EB760" s="5"/>
      <c r="EC760" s="5"/>
      <c r="ED760" s="5"/>
      <c r="EE760" s="5"/>
    </row>
    <row r="761">
      <c r="AW761" s="5"/>
      <c r="DU761" s="4"/>
      <c r="DZ761" s="5"/>
      <c r="EA761" s="5"/>
      <c r="EB761" s="5"/>
      <c r="EC761" s="5"/>
      <c r="ED761" s="5"/>
      <c r="EE761" s="5"/>
    </row>
    <row r="762">
      <c r="AW762" s="5"/>
      <c r="DU762" s="4"/>
      <c r="DZ762" s="5"/>
      <c r="EA762" s="5"/>
      <c r="EB762" s="5"/>
      <c r="EC762" s="5"/>
      <c r="ED762" s="5"/>
      <c r="EE762" s="5"/>
    </row>
    <row r="763">
      <c r="AW763" s="5"/>
      <c r="DU763" s="4"/>
      <c r="DZ763" s="5"/>
      <c r="EA763" s="5"/>
      <c r="EB763" s="5"/>
      <c r="EC763" s="5"/>
      <c r="ED763" s="5"/>
      <c r="EE763" s="5"/>
    </row>
    <row r="764">
      <c r="AW764" s="5"/>
      <c r="DU764" s="4"/>
      <c r="DZ764" s="5"/>
      <c r="EA764" s="5"/>
      <c r="EB764" s="5"/>
      <c r="EC764" s="5"/>
      <c r="ED764" s="5"/>
      <c r="EE764" s="5"/>
    </row>
    <row r="765">
      <c r="AW765" s="5"/>
      <c r="DU765" s="4"/>
      <c r="DZ765" s="5"/>
      <c r="EA765" s="5"/>
      <c r="EB765" s="5"/>
      <c r="EC765" s="5"/>
      <c r="ED765" s="5"/>
      <c r="EE765" s="5"/>
    </row>
    <row r="766">
      <c r="AW766" s="5"/>
      <c r="DU766" s="4"/>
      <c r="DZ766" s="5"/>
      <c r="EA766" s="5"/>
      <c r="EB766" s="5"/>
      <c r="EC766" s="5"/>
      <c r="ED766" s="5"/>
      <c r="EE766" s="5"/>
    </row>
    <row r="767">
      <c r="AW767" s="5"/>
      <c r="DU767" s="4"/>
      <c r="DZ767" s="5"/>
      <c r="EA767" s="5"/>
      <c r="EB767" s="5"/>
      <c r="EC767" s="5"/>
      <c r="ED767" s="5"/>
      <c r="EE767" s="5"/>
    </row>
    <row r="768">
      <c r="AW768" s="5"/>
      <c r="DU768" s="4"/>
      <c r="DZ768" s="5"/>
      <c r="EA768" s="5"/>
      <c r="EB768" s="5"/>
      <c r="EC768" s="5"/>
      <c r="ED768" s="5"/>
      <c r="EE768" s="5"/>
    </row>
    <row r="769">
      <c r="AW769" s="5"/>
      <c r="DU769" s="4"/>
      <c r="DZ769" s="5"/>
      <c r="EA769" s="5"/>
      <c r="EB769" s="5"/>
      <c r="EC769" s="5"/>
      <c r="ED769" s="5"/>
      <c r="EE769" s="5"/>
    </row>
    <row r="770">
      <c r="AW770" s="5"/>
      <c r="DU770" s="4"/>
      <c r="DZ770" s="5"/>
      <c r="EA770" s="5"/>
      <c r="EB770" s="5"/>
      <c r="EC770" s="5"/>
      <c r="ED770" s="5"/>
      <c r="EE770" s="5"/>
    </row>
    <row r="771">
      <c r="AW771" s="5"/>
      <c r="DU771" s="4"/>
      <c r="DZ771" s="5"/>
      <c r="EA771" s="5"/>
      <c r="EB771" s="5"/>
      <c r="EC771" s="5"/>
      <c r="ED771" s="5"/>
      <c r="EE771" s="5"/>
    </row>
    <row r="772">
      <c r="AW772" s="5"/>
      <c r="DU772" s="4"/>
      <c r="DZ772" s="5"/>
      <c r="EA772" s="5"/>
      <c r="EB772" s="5"/>
      <c r="EC772" s="5"/>
      <c r="ED772" s="5"/>
      <c r="EE772" s="5"/>
    </row>
    <row r="773">
      <c r="AW773" s="5"/>
      <c r="DU773" s="4"/>
      <c r="DZ773" s="5"/>
      <c r="EA773" s="5"/>
      <c r="EB773" s="5"/>
      <c r="EC773" s="5"/>
      <c r="ED773" s="5"/>
      <c r="EE773" s="5"/>
    </row>
    <row r="774">
      <c r="AW774" s="5"/>
      <c r="DU774" s="4"/>
      <c r="DZ774" s="5"/>
      <c r="EA774" s="5"/>
      <c r="EB774" s="5"/>
      <c r="EC774" s="5"/>
      <c r="ED774" s="5"/>
      <c r="EE774" s="5"/>
    </row>
    <row r="775">
      <c r="AW775" s="5"/>
      <c r="DU775" s="4"/>
      <c r="DZ775" s="5"/>
      <c r="EA775" s="5"/>
      <c r="EB775" s="5"/>
      <c r="EC775" s="5"/>
      <c r="ED775" s="5"/>
      <c r="EE775" s="5"/>
    </row>
    <row r="776">
      <c r="AW776" s="5"/>
      <c r="DU776" s="4"/>
      <c r="DZ776" s="5"/>
      <c r="EA776" s="5"/>
      <c r="EB776" s="5"/>
      <c r="EC776" s="5"/>
      <c r="ED776" s="5"/>
      <c r="EE776" s="5"/>
    </row>
    <row r="777">
      <c r="AW777" s="5"/>
      <c r="DU777" s="4"/>
      <c r="DZ777" s="5"/>
      <c r="EA777" s="5"/>
      <c r="EB777" s="5"/>
      <c r="EC777" s="5"/>
      <c r="ED777" s="5"/>
      <c r="EE777" s="5"/>
    </row>
    <row r="778">
      <c r="AW778" s="5"/>
      <c r="DU778" s="4"/>
      <c r="DZ778" s="5"/>
      <c r="EA778" s="5"/>
      <c r="EB778" s="5"/>
      <c r="EC778" s="5"/>
      <c r="ED778" s="5"/>
      <c r="EE778" s="5"/>
    </row>
    <row r="779">
      <c r="AW779" s="5"/>
      <c r="DU779" s="4"/>
      <c r="DZ779" s="5"/>
      <c r="EA779" s="5"/>
      <c r="EB779" s="5"/>
      <c r="EC779" s="5"/>
      <c r="ED779" s="5"/>
      <c r="EE779" s="5"/>
    </row>
    <row r="780">
      <c r="AW780" s="5"/>
      <c r="DU780" s="4"/>
      <c r="DZ780" s="5"/>
      <c r="EA780" s="5"/>
      <c r="EB780" s="5"/>
      <c r="EC780" s="5"/>
      <c r="ED780" s="5"/>
      <c r="EE780" s="5"/>
    </row>
    <row r="781">
      <c r="AW781" s="5"/>
      <c r="DU781" s="4"/>
      <c r="DZ781" s="5"/>
      <c r="EA781" s="5"/>
      <c r="EB781" s="5"/>
      <c r="EC781" s="5"/>
      <c r="ED781" s="5"/>
      <c r="EE781" s="5"/>
    </row>
    <row r="782">
      <c r="AW782" s="5"/>
      <c r="DU782" s="4"/>
      <c r="DZ782" s="5"/>
      <c r="EA782" s="5"/>
      <c r="EB782" s="5"/>
      <c r="EC782" s="5"/>
      <c r="ED782" s="5"/>
      <c r="EE782" s="5"/>
    </row>
    <row r="783">
      <c r="AW783" s="5"/>
      <c r="DU783" s="4"/>
      <c r="DZ783" s="5"/>
      <c r="EA783" s="5"/>
      <c r="EB783" s="5"/>
      <c r="EC783" s="5"/>
      <c r="ED783" s="5"/>
      <c r="EE783" s="5"/>
    </row>
    <row r="784">
      <c r="AW784" s="5"/>
      <c r="DU784" s="4"/>
      <c r="DZ784" s="5"/>
      <c r="EA784" s="5"/>
      <c r="EB784" s="5"/>
      <c r="EC784" s="5"/>
      <c r="ED784" s="5"/>
      <c r="EE784" s="5"/>
    </row>
    <row r="785">
      <c r="AW785" s="5"/>
      <c r="DU785" s="4"/>
      <c r="DZ785" s="5"/>
      <c r="EA785" s="5"/>
      <c r="EB785" s="5"/>
      <c r="EC785" s="5"/>
      <c r="ED785" s="5"/>
      <c r="EE785" s="5"/>
    </row>
    <row r="786">
      <c r="AW786" s="5"/>
      <c r="DU786" s="4"/>
      <c r="DZ786" s="5"/>
      <c r="EA786" s="5"/>
      <c r="EB786" s="5"/>
      <c r="EC786" s="5"/>
      <c r="ED786" s="5"/>
      <c r="EE786" s="5"/>
    </row>
    <row r="787">
      <c r="AW787" s="5"/>
      <c r="DU787" s="4"/>
      <c r="DZ787" s="5"/>
      <c r="EA787" s="5"/>
      <c r="EB787" s="5"/>
      <c r="EC787" s="5"/>
      <c r="ED787" s="5"/>
      <c r="EE787" s="5"/>
    </row>
    <row r="788">
      <c r="AW788" s="5"/>
      <c r="DU788" s="4"/>
      <c r="DZ788" s="5"/>
      <c r="EA788" s="5"/>
      <c r="EB788" s="5"/>
      <c r="EC788" s="5"/>
      <c r="ED788" s="5"/>
      <c r="EE788" s="5"/>
    </row>
    <row r="789">
      <c r="AW789" s="5"/>
      <c r="DU789" s="4"/>
      <c r="DZ789" s="5"/>
      <c r="EA789" s="5"/>
      <c r="EB789" s="5"/>
      <c r="EC789" s="5"/>
      <c r="ED789" s="5"/>
      <c r="EE789" s="5"/>
    </row>
    <row r="790">
      <c r="AW790" s="5"/>
      <c r="DU790" s="4"/>
      <c r="DZ790" s="5"/>
      <c r="EA790" s="5"/>
      <c r="EB790" s="5"/>
      <c r="EC790" s="5"/>
      <c r="ED790" s="5"/>
      <c r="EE790" s="5"/>
    </row>
    <row r="791">
      <c r="AW791" s="5"/>
      <c r="DU791" s="4"/>
      <c r="DZ791" s="5"/>
      <c r="EA791" s="5"/>
      <c r="EB791" s="5"/>
      <c r="EC791" s="5"/>
      <c r="ED791" s="5"/>
      <c r="EE791" s="5"/>
    </row>
    <row r="792">
      <c r="AW792" s="5"/>
      <c r="DU792" s="4"/>
      <c r="DZ792" s="5"/>
      <c r="EA792" s="5"/>
      <c r="EB792" s="5"/>
      <c r="EC792" s="5"/>
      <c r="ED792" s="5"/>
      <c r="EE792" s="5"/>
    </row>
    <row r="793">
      <c r="AW793" s="5"/>
      <c r="DU793" s="4"/>
      <c r="DZ793" s="5"/>
      <c r="EA793" s="5"/>
      <c r="EB793" s="5"/>
      <c r="EC793" s="5"/>
      <c r="ED793" s="5"/>
      <c r="EE793" s="5"/>
    </row>
    <row r="794">
      <c r="AW794" s="5"/>
      <c r="DU794" s="4"/>
      <c r="DZ794" s="5"/>
      <c r="EA794" s="5"/>
      <c r="EB794" s="5"/>
      <c r="EC794" s="5"/>
      <c r="ED794" s="5"/>
      <c r="EE794" s="5"/>
    </row>
    <row r="795">
      <c r="AW795" s="5"/>
      <c r="DU795" s="4"/>
      <c r="DZ795" s="5"/>
      <c r="EA795" s="5"/>
      <c r="EB795" s="5"/>
      <c r="EC795" s="5"/>
      <c r="ED795" s="5"/>
      <c r="EE795" s="5"/>
    </row>
    <row r="796">
      <c r="AW796" s="5"/>
      <c r="DU796" s="4"/>
      <c r="DZ796" s="5"/>
      <c r="EA796" s="5"/>
      <c r="EB796" s="5"/>
      <c r="EC796" s="5"/>
      <c r="ED796" s="5"/>
      <c r="EE796" s="5"/>
    </row>
    <row r="797">
      <c r="AW797" s="5"/>
      <c r="DU797" s="4"/>
      <c r="DZ797" s="5"/>
      <c r="EA797" s="5"/>
      <c r="EB797" s="5"/>
      <c r="EC797" s="5"/>
      <c r="ED797" s="5"/>
      <c r="EE797" s="5"/>
    </row>
    <row r="798">
      <c r="AW798" s="5"/>
      <c r="DU798" s="4"/>
      <c r="DZ798" s="5"/>
      <c r="EA798" s="5"/>
      <c r="EB798" s="5"/>
      <c r="EC798" s="5"/>
      <c r="ED798" s="5"/>
      <c r="EE798" s="5"/>
    </row>
    <row r="799">
      <c r="AW799" s="5"/>
      <c r="DU799" s="4"/>
      <c r="DZ799" s="5"/>
      <c r="EA799" s="5"/>
      <c r="EB799" s="5"/>
      <c r="EC799" s="5"/>
      <c r="ED799" s="5"/>
      <c r="EE799" s="5"/>
    </row>
    <row r="800">
      <c r="AW800" s="5"/>
      <c r="DU800" s="4"/>
      <c r="DZ800" s="5"/>
      <c r="EA800" s="5"/>
      <c r="EB800" s="5"/>
      <c r="EC800" s="5"/>
      <c r="ED800" s="5"/>
      <c r="EE800" s="5"/>
    </row>
    <row r="801">
      <c r="AW801" s="5"/>
      <c r="DU801" s="4"/>
      <c r="DZ801" s="5"/>
      <c r="EA801" s="5"/>
      <c r="EB801" s="5"/>
      <c r="EC801" s="5"/>
      <c r="ED801" s="5"/>
      <c r="EE801" s="5"/>
    </row>
    <row r="802">
      <c r="AW802" s="5"/>
      <c r="DU802" s="4"/>
      <c r="DZ802" s="5"/>
      <c r="EA802" s="5"/>
      <c r="EB802" s="5"/>
      <c r="EC802" s="5"/>
      <c r="ED802" s="5"/>
      <c r="EE802" s="5"/>
    </row>
    <row r="803">
      <c r="AW803" s="5"/>
      <c r="DU803" s="4"/>
      <c r="DZ803" s="5"/>
      <c r="EA803" s="5"/>
      <c r="EB803" s="5"/>
      <c r="EC803" s="5"/>
      <c r="ED803" s="5"/>
      <c r="EE803" s="5"/>
    </row>
    <row r="804">
      <c r="AW804" s="5"/>
      <c r="DU804" s="4"/>
      <c r="DZ804" s="5"/>
      <c r="EA804" s="5"/>
      <c r="EB804" s="5"/>
      <c r="EC804" s="5"/>
      <c r="ED804" s="5"/>
      <c r="EE804" s="5"/>
    </row>
    <row r="805">
      <c r="AW805" s="5"/>
      <c r="DU805" s="4"/>
      <c r="DZ805" s="5"/>
      <c r="EA805" s="5"/>
      <c r="EB805" s="5"/>
      <c r="EC805" s="5"/>
      <c r="ED805" s="5"/>
      <c r="EE805" s="5"/>
    </row>
    <row r="806">
      <c r="AW806" s="5"/>
      <c r="DU806" s="4"/>
      <c r="DZ806" s="5"/>
      <c r="EA806" s="5"/>
      <c r="EB806" s="5"/>
      <c r="EC806" s="5"/>
      <c r="ED806" s="5"/>
      <c r="EE806" s="5"/>
    </row>
    <row r="807">
      <c r="AW807" s="5"/>
      <c r="DU807" s="4"/>
      <c r="DZ807" s="5"/>
      <c r="EA807" s="5"/>
      <c r="EB807" s="5"/>
      <c r="EC807" s="5"/>
      <c r="ED807" s="5"/>
      <c r="EE807" s="5"/>
    </row>
    <row r="808">
      <c r="AW808" s="5"/>
      <c r="DU808" s="4"/>
      <c r="DZ808" s="5"/>
      <c r="EA808" s="5"/>
      <c r="EB808" s="5"/>
      <c r="EC808" s="5"/>
      <c r="ED808" s="5"/>
      <c r="EE808" s="5"/>
    </row>
    <row r="809">
      <c r="AW809" s="5"/>
      <c r="DU809" s="4"/>
      <c r="DZ809" s="5"/>
      <c r="EA809" s="5"/>
      <c r="EB809" s="5"/>
      <c r="EC809" s="5"/>
      <c r="ED809" s="5"/>
      <c r="EE809" s="5"/>
    </row>
    <row r="810">
      <c r="AW810" s="5"/>
      <c r="DU810" s="4"/>
      <c r="DZ810" s="5"/>
      <c r="EA810" s="5"/>
      <c r="EB810" s="5"/>
      <c r="EC810" s="5"/>
      <c r="ED810" s="5"/>
      <c r="EE810" s="5"/>
    </row>
    <row r="811">
      <c r="AW811" s="5"/>
      <c r="DU811" s="4"/>
      <c r="DZ811" s="5"/>
      <c r="EA811" s="5"/>
      <c r="EB811" s="5"/>
      <c r="EC811" s="5"/>
      <c r="ED811" s="5"/>
      <c r="EE811" s="5"/>
    </row>
    <row r="812">
      <c r="AW812" s="5"/>
      <c r="DU812" s="4"/>
      <c r="DZ812" s="5"/>
      <c r="EA812" s="5"/>
      <c r="EB812" s="5"/>
      <c r="EC812" s="5"/>
      <c r="ED812" s="5"/>
      <c r="EE812" s="5"/>
    </row>
    <row r="813">
      <c r="AW813" s="5"/>
      <c r="DU813" s="4"/>
      <c r="DZ813" s="5"/>
      <c r="EA813" s="5"/>
      <c r="EB813" s="5"/>
      <c r="EC813" s="5"/>
      <c r="ED813" s="5"/>
      <c r="EE813" s="5"/>
    </row>
    <row r="814">
      <c r="AW814" s="5"/>
      <c r="DU814" s="4"/>
      <c r="DZ814" s="5"/>
      <c r="EA814" s="5"/>
      <c r="EB814" s="5"/>
      <c r="EC814" s="5"/>
      <c r="ED814" s="5"/>
      <c r="EE814" s="5"/>
    </row>
    <row r="815">
      <c r="AW815" s="5"/>
      <c r="DU815" s="4"/>
      <c r="DZ815" s="5"/>
      <c r="EA815" s="5"/>
      <c r="EB815" s="5"/>
      <c r="EC815" s="5"/>
      <c r="ED815" s="5"/>
      <c r="EE815" s="5"/>
    </row>
    <row r="816">
      <c r="AW816" s="5"/>
      <c r="DU816" s="4"/>
      <c r="DZ816" s="5"/>
      <c r="EA816" s="5"/>
      <c r="EB816" s="5"/>
      <c r="EC816" s="5"/>
      <c r="ED816" s="5"/>
      <c r="EE816" s="5"/>
    </row>
    <row r="817">
      <c r="AW817" s="5"/>
      <c r="DU817" s="4"/>
      <c r="DZ817" s="5"/>
      <c r="EA817" s="5"/>
      <c r="EB817" s="5"/>
      <c r="EC817" s="5"/>
      <c r="ED817" s="5"/>
      <c r="EE817" s="5"/>
    </row>
    <row r="818">
      <c r="AW818" s="5"/>
      <c r="DU818" s="4"/>
      <c r="DZ818" s="5"/>
      <c r="EA818" s="5"/>
      <c r="EB818" s="5"/>
      <c r="EC818" s="5"/>
      <c r="ED818" s="5"/>
      <c r="EE818" s="5"/>
    </row>
    <row r="819">
      <c r="AW819" s="5"/>
      <c r="DU819" s="4"/>
      <c r="DZ819" s="5"/>
      <c r="EA819" s="5"/>
      <c r="EB819" s="5"/>
      <c r="EC819" s="5"/>
      <c r="ED819" s="5"/>
      <c r="EE819" s="5"/>
    </row>
    <row r="820">
      <c r="AW820" s="5"/>
      <c r="DU820" s="4"/>
      <c r="DZ820" s="5"/>
      <c r="EA820" s="5"/>
      <c r="EB820" s="5"/>
      <c r="EC820" s="5"/>
      <c r="ED820" s="5"/>
      <c r="EE820" s="5"/>
    </row>
    <row r="821">
      <c r="AW821" s="5"/>
      <c r="DU821" s="4"/>
      <c r="DZ821" s="5"/>
      <c r="EA821" s="5"/>
      <c r="EB821" s="5"/>
      <c r="EC821" s="5"/>
      <c r="ED821" s="5"/>
      <c r="EE821" s="5"/>
    </row>
    <row r="822">
      <c r="AW822" s="5"/>
      <c r="DU822" s="4"/>
      <c r="DZ822" s="5"/>
      <c r="EA822" s="5"/>
      <c r="EB822" s="5"/>
      <c r="EC822" s="5"/>
      <c r="ED822" s="5"/>
      <c r="EE822" s="5"/>
    </row>
    <row r="823">
      <c r="AW823" s="5"/>
      <c r="DU823" s="4"/>
      <c r="DZ823" s="5"/>
      <c r="EA823" s="5"/>
      <c r="EB823" s="5"/>
      <c r="EC823" s="5"/>
      <c r="ED823" s="5"/>
      <c r="EE823" s="5"/>
    </row>
    <row r="824">
      <c r="AW824" s="5"/>
      <c r="DU824" s="4"/>
      <c r="DZ824" s="5"/>
      <c r="EA824" s="5"/>
      <c r="EB824" s="5"/>
      <c r="EC824" s="5"/>
      <c r="ED824" s="5"/>
      <c r="EE824" s="5"/>
    </row>
    <row r="825">
      <c r="AW825" s="5"/>
      <c r="DU825" s="4"/>
      <c r="DZ825" s="5"/>
      <c r="EA825" s="5"/>
      <c r="EB825" s="5"/>
      <c r="EC825" s="5"/>
      <c r="ED825" s="5"/>
      <c r="EE825" s="5"/>
    </row>
    <row r="826">
      <c r="AW826" s="5"/>
      <c r="DU826" s="4"/>
      <c r="DZ826" s="5"/>
      <c r="EA826" s="5"/>
      <c r="EB826" s="5"/>
      <c r="EC826" s="5"/>
      <c r="ED826" s="5"/>
      <c r="EE826" s="5"/>
    </row>
    <row r="827">
      <c r="AW827" s="5"/>
      <c r="DU827" s="4"/>
      <c r="DZ827" s="5"/>
      <c r="EA827" s="5"/>
      <c r="EB827" s="5"/>
      <c r="EC827" s="5"/>
      <c r="ED827" s="5"/>
      <c r="EE827" s="5"/>
    </row>
    <row r="828">
      <c r="AW828" s="5"/>
      <c r="DU828" s="4"/>
      <c r="DZ828" s="5"/>
      <c r="EA828" s="5"/>
      <c r="EB828" s="5"/>
      <c r="EC828" s="5"/>
      <c r="ED828" s="5"/>
      <c r="EE828" s="5"/>
    </row>
    <row r="829">
      <c r="AW829" s="5"/>
      <c r="DU829" s="4"/>
      <c r="DZ829" s="5"/>
      <c r="EA829" s="5"/>
      <c r="EB829" s="5"/>
      <c r="EC829" s="5"/>
      <c r="ED829" s="5"/>
      <c r="EE829" s="5"/>
    </row>
    <row r="830">
      <c r="AW830" s="5"/>
      <c r="DU830" s="4"/>
      <c r="DZ830" s="5"/>
      <c r="EA830" s="5"/>
      <c r="EB830" s="5"/>
      <c r="EC830" s="5"/>
      <c r="ED830" s="5"/>
      <c r="EE830" s="5"/>
    </row>
    <row r="831">
      <c r="AW831" s="5"/>
      <c r="DU831" s="4"/>
      <c r="DZ831" s="5"/>
      <c r="EA831" s="5"/>
      <c r="EB831" s="5"/>
      <c r="EC831" s="5"/>
      <c r="ED831" s="5"/>
      <c r="EE831" s="5"/>
    </row>
    <row r="832">
      <c r="AW832" s="5"/>
      <c r="DU832" s="4"/>
      <c r="DZ832" s="5"/>
      <c r="EA832" s="5"/>
      <c r="EB832" s="5"/>
      <c r="EC832" s="5"/>
      <c r="ED832" s="5"/>
      <c r="EE832" s="5"/>
    </row>
    <row r="833">
      <c r="AW833" s="5"/>
      <c r="DU833" s="4"/>
      <c r="DZ833" s="5"/>
      <c r="EA833" s="5"/>
      <c r="EB833" s="5"/>
      <c r="EC833" s="5"/>
      <c r="ED833" s="5"/>
      <c r="EE833" s="5"/>
    </row>
    <row r="834">
      <c r="AW834" s="5"/>
      <c r="DU834" s="4"/>
      <c r="DZ834" s="5"/>
      <c r="EA834" s="5"/>
      <c r="EB834" s="5"/>
      <c r="EC834" s="5"/>
      <c r="ED834" s="5"/>
      <c r="EE834" s="5"/>
    </row>
    <row r="835">
      <c r="AW835" s="5"/>
      <c r="DU835" s="4"/>
      <c r="DZ835" s="5"/>
      <c r="EA835" s="5"/>
      <c r="EB835" s="5"/>
      <c r="EC835" s="5"/>
      <c r="ED835" s="5"/>
      <c r="EE835" s="5"/>
    </row>
    <row r="836">
      <c r="AW836" s="5"/>
      <c r="DU836" s="4"/>
      <c r="DZ836" s="5"/>
      <c r="EA836" s="5"/>
      <c r="EB836" s="5"/>
      <c r="EC836" s="5"/>
      <c r="ED836" s="5"/>
      <c r="EE836" s="5"/>
    </row>
    <row r="837">
      <c r="AW837" s="5"/>
      <c r="DU837" s="4"/>
      <c r="DZ837" s="5"/>
      <c r="EA837" s="5"/>
      <c r="EB837" s="5"/>
      <c r="EC837" s="5"/>
      <c r="ED837" s="5"/>
      <c r="EE837" s="5"/>
    </row>
    <row r="838">
      <c r="AW838" s="5"/>
      <c r="DU838" s="4"/>
      <c r="DZ838" s="5"/>
      <c r="EA838" s="5"/>
      <c r="EB838" s="5"/>
      <c r="EC838" s="5"/>
      <c r="ED838" s="5"/>
      <c r="EE838" s="5"/>
    </row>
    <row r="839">
      <c r="AW839" s="5"/>
      <c r="DU839" s="4"/>
      <c r="DZ839" s="5"/>
      <c r="EA839" s="5"/>
      <c r="EB839" s="5"/>
      <c r="EC839" s="5"/>
      <c r="ED839" s="5"/>
      <c r="EE839" s="5"/>
    </row>
    <row r="840">
      <c r="AW840" s="5"/>
      <c r="DU840" s="4"/>
      <c r="DZ840" s="5"/>
      <c r="EA840" s="5"/>
      <c r="EB840" s="5"/>
      <c r="EC840" s="5"/>
      <c r="ED840" s="5"/>
      <c r="EE840" s="5"/>
    </row>
    <row r="841">
      <c r="AW841" s="5"/>
      <c r="DU841" s="4"/>
      <c r="DZ841" s="5"/>
      <c r="EA841" s="5"/>
      <c r="EB841" s="5"/>
      <c r="EC841" s="5"/>
      <c r="ED841" s="5"/>
      <c r="EE841" s="5"/>
    </row>
    <row r="842">
      <c r="AW842" s="5"/>
      <c r="DU842" s="4"/>
      <c r="DZ842" s="5"/>
      <c r="EA842" s="5"/>
      <c r="EB842" s="5"/>
      <c r="EC842" s="5"/>
      <c r="ED842" s="5"/>
      <c r="EE842" s="5"/>
    </row>
    <row r="843">
      <c r="AW843" s="5"/>
      <c r="DU843" s="4"/>
      <c r="DZ843" s="5"/>
      <c r="EA843" s="5"/>
      <c r="EB843" s="5"/>
      <c r="EC843" s="5"/>
      <c r="ED843" s="5"/>
      <c r="EE843" s="5"/>
    </row>
    <row r="844">
      <c r="AW844" s="5"/>
      <c r="DU844" s="4"/>
      <c r="DZ844" s="5"/>
      <c r="EA844" s="5"/>
      <c r="EB844" s="5"/>
      <c r="EC844" s="5"/>
      <c r="ED844" s="5"/>
      <c r="EE844" s="5"/>
    </row>
    <row r="845">
      <c r="AW845" s="5"/>
      <c r="DU845" s="4"/>
      <c r="DZ845" s="5"/>
      <c r="EA845" s="5"/>
      <c r="EB845" s="5"/>
      <c r="EC845" s="5"/>
      <c r="ED845" s="5"/>
      <c r="EE845" s="5"/>
    </row>
    <row r="846">
      <c r="AW846" s="5"/>
      <c r="DU846" s="4"/>
      <c r="DZ846" s="5"/>
      <c r="EA846" s="5"/>
      <c r="EB846" s="5"/>
      <c r="EC846" s="5"/>
      <c r="ED846" s="5"/>
      <c r="EE846" s="5"/>
    </row>
    <row r="847">
      <c r="AW847" s="5"/>
      <c r="DU847" s="4"/>
      <c r="DZ847" s="5"/>
      <c r="EA847" s="5"/>
      <c r="EB847" s="5"/>
      <c r="EC847" s="5"/>
      <c r="ED847" s="5"/>
      <c r="EE847" s="5"/>
    </row>
    <row r="848">
      <c r="AW848" s="5"/>
      <c r="DU848" s="4"/>
      <c r="DZ848" s="5"/>
      <c r="EA848" s="5"/>
      <c r="EB848" s="5"/>
      <c r="EC848" s="5"/>
      <c r="ED848" s="5"/>
      <c r="EE848" s="5"/>
    </row>
    <row r="849">
      <c r="AW849" s="5"/>
      <c r="DU849" s="4"/>
      <c r="DZ849" s="5"/>
      <c r="EA849" s="5"/>
      <c r="EB849" s="5"/>
      <c r="EC849" s="5"/>
      <c r="ED849" s="5"/>
      <c r="EE849" s="5"/>
    </row>
    <row r="850">
      <c r="AW850" s="5"/>
      <c r="DU850" s="4"/>
      <c r="DZ850" s="5"/>
      <c r="EA850" s="5"/>
      <c r="EB850" s="5"/>
      <c r="EC850" s="5"/>
      <c r="ED850" s="5"/>
      <c r="EE850" s="5"/>
    </row>
    <row r="851">
      <c r="AW851" s="5"/>
      <c r="DU851" s="4"/>
      <c r="DZ851" s="5"/>
      <c r="EA851" s="5"/>
      <c r="EB851" s="5"/>
      <c r="EC851" s="5"/>
      <c r="ED851" s="5"/>
      <c r="EE851" s="5"/>
    </row>
    <row r="852">
      <c r="AW852" s="5"/>
      <c r="DU852" s="4"/>
      <c r="DZ852" s="5"/>
      <c r="EA852" s="5"/>
      <c r="EB852" s="5"/>
      <c r="EC852" s="5"/>
      <c r="ED852" s="5"/>
      <c r="EE852" s="5"/>
    </row>
    <row r="853">
      <c r="AW853" s="5"/>
      <c r="DU853" s="4"/>
      <c r="DZ853" s="5"/>
      <c r="EA853" s="5"/>
      <c r="EB853" s="5"/>
      <c r="EC853" s="5"/>
      <c r="ED853" s="5"/>
      <c r="EE853" s="5"/>
    </row>
    <row r="854">
      <c r="AW854" s="5"/>
      <c r="DU854" s="4"/>
      <c r="DZ854" s="5"/>
      <c r="EA854" s="5"/>
      <c r="EB854" s="5"/>
      <c r="EC854" s="5"/>
      <c r="ED854" s="5"/>
      <c r="EE854" s="5"/>
    </row>
    <row r="855">
      <c r="AW855" s="5"/>
      <c r="DU855" s="4"/>
      <c r="DZ855" s="5"/>
      <c r="EA855" s="5"/>
      <c r="EB855" s="5"/>
      <c r="EC855" s="5"/>
      <c r="ED855" s="5"/>
      <c r="EE855" s="5"/>
    </row>
    <row r="856">
      <c r="AW856" s="5"/>
      <c r="DU856" s="4"/>
      <c r="DZ856" s="5"/>
      <c r="EA856" s="5"/>
      <c r="EB856" s="5"/>
      <c r="EC856" s="5"/>
      <c r="ED856" s="5"/>
      <c r="EE856" s="5"/>
    </row>
    <row r="857">
      <c r="AW857" s="5"/>
      <c r="DU857" s="4"/>
      <c r="DZ857" s="5"/>
      <c r="EA857" s="5"/>
      <c r="EB857" s="5"/>
      <c r="EC857" s="5"/>
      <c r="ED857" s="5"/>
      <c r="EE857" s="5"/>
    </row>
    <row r="858">
      <c r="AW858" s="5"/>
      <c r="DU858" s="4"/>
      <c r="DZ858" s="5"/>
      <c r="EA858" s="5"/>
      <c r="EB858" s="5"/>
      <c r="EC858" s="5"/>
      <c r="ED858" s="5"/>
      <c r="EE858" s="5"/>
    </row>
    <row r="859">
      <c r="AW859" s="5"/>
      <c r="DU859" s="4"/>
      <c r="DZ859" s="5"/>
      <c r="EA859" s="5"/>
      <c r="EB859" s="5"/>
      <c r="EC859" s="5"/>
      <c r="ED859" s="5"/>
      <c r="EE859" s="5"/>
    </row>
    <row r="860">
      <c r="AW860" s="5"/>
      <c r="DU860" s="4"/>
      <c r="DZ860" s="5"/>
      <c r="EA860" s="5"/>
      <c r="EB860" s="5"/>
      <c r="EC860" s="5"/>
      <c r="ED860" s="5"/>
      <c r="EE860" s="5"/>
    </row>
    <row r="861">
      <c r="AW861" s="5"/>
      <c r="DU861" s="4"/>
      <c r="DZ861" s="5"/>
      <c r="EA861" s="5"/>
      <c r="EB861" s="5"/>
      <c r="EC861" s="5"/>
      <c r="ED861" s="5"/>
      <c r="EE861" s="5"/>
    </row>
    <row r="862">
      <c r="AW862" s="5"/>
      <c r="DU862" s="4"/>
      <c r="DZ862" s="5"/>
      <c r="EA862" s="5"/>
      <c r="EB862" s="5"/>
      <c r="EC862" s="5"/>
      <c r="ED862" s="5"/>
      <c r="EE862" s="5"/>
    </row>
    <row r="863">
      <c r="AW863" s="5"/>
      <c r="DU863" s="4"/>
      <c r="DZ863" s="5"/>
      <c r="EA863" s="5"/>
      <c r="EB863" s="5"/>
      <c r="EC863" s="5"/>
      <c r="ED863" s="5"/>
      <c r="EE863" s="5"/>
    </row>
    <row r="864">
      <c r="AW864" s="5"/>
      <c r="DU864" s="4"/>
      <c r="DZ864" s="5"/>
      <c r="EA864" s="5"/>
      <c r="EB864" s="5"/>
      <c r="EC864" s="5"/>
      <c r="ED864" s="5"/>
      <c r="EE864" s="5"/>
    </row>
    <row r="865">
      <c r="AW865" s="5"/>
      <c r="DU865" s="4"/>
      <c r="DZ865" s="5"/>
      <c r="EA865" s="5"/>
      <c r="EB865" s="5"/>
      <c r="EC865" s="5"/>
      <c r="ED865" s="5"/>
      <c r="EE865" s="5"/>
    </row>
    <row r="866">
      <c r="AW866" s="5"/>
      <c r="DU866" s="4"/>
      <c r="DZ866" s="5"/>
      <c r="EA866" s="5"/>
      <c r="EB866" s="5"/>
      <c r="EC866" s="5"/>
      <c r="ED866" s="5"/>
      <c r="EE866" s="5"/>
    </row>
    <row r="867">
      <c r="AW867" s="5"/>
      <c r="DU867" s="4"/>
      <c r="DZ867" s="5"/>
      <c r="EA867" s="5"/>
      <c r="EB867" s="5"/>
      <c r="EC867" s="5"/>
      <c r="ED867" s="5"/>
      <c r="EE867" s="5"/>
    </row>
    <row r="868">
      <c r="AW868" s="5"/>
      <c r="DU868" s="4"/>
      <c r="DZ868" s="5"/>
      <c r="EA868" s="5"/>
      <c r="EB868" s="5"/>
      <c r="EC868" s="5"/>
      <c r="ED868" s="5"/>
      <c r="EE868" s="5"/>
    </row>
    <row r="869">
      <c r="AW869" s="5"/>
      <c r="DU869" s="4"/>
      <c r="DZ869" s="5"/>
      <c r="EA869" s="5"/>
      <c r="EB869" s="5"/>
      <c r="EC869" s="5"/>
      <c r="ED869" s="5"/>
      <c r="EE869" s="5"/>
    </row>
    <row r="870">
      <c r="AW870" s="5"/>
      <c r="DU870" s="4"/>
      <c r="DZ870" s="5"/>
      <c r="EA870" s="5"/>
      <c r="EB870" s="5"/>
      <c r="EC870" s="5"/>
      <c r="ED870" s="5"/>
      <c r="EE870" s="5"/>
    </row>
    <row r="871">
      <c r="AW871" s="5"/>
      <c r="DU871" s="4"/>
      <c r="DZ871" s="5"/>
      <c r="EA871" s="5"/>
      <c r="EB871" s="5"/>
      <c r="EC871" s="5"/>
      <c r="ED871" s="5"/>
      <c r="EE871" s="5"/>
    </row>
    <row r="872">
      <c r="AW872" s="5"/>
      <c r="DU872" s="4"/>
      <c r="DZ872" s="5"/>
      <c r="EA872" s="5"/>
      <c r="EB872" s="5"/>
      <c r="EC872" s="5"/>
      <c r="ED872" s="5"/>
      <c r="EE872" s="5"/>
    </row>
    <row r="873">
      <c r="AW873" s="5"/>
      <c r="DU873" s="4"/>
      <c r="DZ873" s="5"/>
      <c r="EA873" s="5"/>
      <c r="EB873" s="5"/>
      <c r="EC873" s="5"/>
      <c r="ED873" s="5"/>
      <c r="EE873" s="5"/>
    </row>
    <row r="874">
      <c r="AW874" s="5"/>
      <c r="DU874" s="4"/>
      <c r="DZ874" s="5"/>
      <c r="EA874" s="5"/>
      <c r="EB874" s="5"/>
      <c r="EC874" s="5"/>
      <c r="ED874" s="5"/>
      <c r="EE874" s="5"/>
    </row>
    <row r="875">
      <c r="AW875" s="5"/>
      <c r="DU875" s="4"/>
      <c r="DZ875" s="5"/>
      <c r="EA875" s="5"/>
      <c r="EB875" s="5"/>
      <c r="EC875" s="5"/>
      <c r="ED875" s="5"/>
      <c r="EE875" s="5"/>
    </row>
    <row r="876">
      <c r="AW876" s="5"/>
      <c r="DU876" s="4"/>
      <c r="DZ876" s="5"/>
      <c r="EA876" s="5"/>
      <c r="EB876" s="5"/>
      <c r="EC876" s="5"/>
      <c r="ED876" s="5"/>
      <c r="EE876" s="5"/>
    </row>
    <row r="877">
      <c r="AW877" s="5"/>
      <c r="DU877" s="4"/>
      <c r="DZ877" s="5"/>
      <c r="EA877" s="5"/>
      <c r="EB877" s="5"/>
      <c r="EC877" s="5"/>
      <c r="ED877" s="5"/>
      <c r="EE877" s="5"/>
    </row>
    <row r="878">
      <c r="AW878" s="5"/>
      <c r="DU878" s="4"/>
      <c r="DZ878" s="5"/>
      <c r="EA878" s="5"/>
      <c r="EB878" s="5"/>
      <c r="EC878" s="5"/>
      <c r="ED878" s="5"/>
      <c r="EE878" s="5"/>
    </row>
    <row r="879">
      <c r="AW879" s="5"/>
      <c r="DU879" s="4"/>
      <c r="DZ879" s="5"/>
      <c r="EA879" s="5"/>
      <c r="EB879" s="5"/>
      <c r="EC879" s="5"/>
      <c r="ED879" s="5"/>
      <c r="EE879" s="5"/>
    </row>
    <row r="880">
      <c r="AW880" s="5"/>
      <c r="DU880" s="4"/>
      <c r="DZ880" s="5"/>
      <c r="EA880" s="5"/>
      <c r="EB880" s="5"/>
      <c r="EC880" s="5"/>
      <c r="ED880" s="5"/>
      <c r="EE880" s="5"/>
    </row>
    <row r="881">
      <c r="AW881" s="5"/>
      <c r="DU881" s="4"/>
      <c r="DZ881" s="5"/>
      <c r="EA881" s="5"/>
      <c r="EB881" s="5"/>
      <c r="EC881" s="5"/>
      <c r="ED881" s="5"/>
      <c r="EE881" s="5"/>
    </row>
    <row r="882">
      <c r="AW882" s="5"/>
      <c r="DU882" s="4"/>
      <c r="DZ882" s="5"/>
      <c r="EA882" s="5"/>
      <c r="EB882" s="5"/>
      <c r="EC882" s="5"/>
      <c r="ED882" s="5"/>
      <c r="EE882" s="5"/>
    </row>
    <row r="883">
      <c r="AW883" s="5"/>
      <c r="DU883" s="4"/>
      <c r="DZ883" s="5"/>
      <c r="EA883" s="5"/>
      <c r="EB883" s="5"/>
      <c r="EC883" s="5"/>
      <c r="ED883" s="5"/>
      <c r="EE883" s="5"/>
    </row>
    <row r="884">
      <c r="AW884" s="5"/>
      <c r="DU884" s="4"/>
      <c r="DZ884" s="5"/>
      <c r="EA884" s="5"/>
      <c r="EB884" s="5"/>
      <c r="EC884" s="5"/>
      <c r="ED884" s="5"/>
      <c r="EE884" s="5"/>
    </row>
    <row r="885">
      <c r="AW885" s="5"/>
      <c r="DU885" s="4"/>
      <c r="DZ885" s="5"/>
      <c r="EA885" s="5"/>
      <c r="EB885" s="5"/>
      <c r="EC885" s="5"/>
      <c r="ED885" s="5"/>
      <c r="EE885" s="5"/>
    </row>
    <row r="886">
      <c r="AW886" s="5"/>
      <c r="DU886" s="4"/>
      <c r="DZ886" s="5"/>
      <c r="EA886" s="5"/>
      <c r="EB886" s="5"/>
      <c r="EC886" s="5"/>
      <c r="ED886" s="5"/>
      <c r="EE886" s="5"/>
    </row>
    <row r="887">
      <c r="AW887" s="5"/>
      <c r="DU887" s="4"/>
      <c r="DZ887" s="5"/>
      <c r="EA887" s="5"/>
      <c r="EB887" s="5"/>
      <c r="EC887" s="5"/>
      <c r="ED887" s="5"/>
      <c r="EE887" s="5"/>
    </row>
    <row r="888">
      <c r="AW888" s="5"/>
      <c r="DU888" s="4"/>
      <c r="DZ888" s="5"/>
      <c r="EA888" s="5"/>
      <c r="EB888" s="5"/>
      <c r="EC888" s="5"/>
      <c r="ED888" s="5"/>
      <c r="EE888" s="5"/>
    </row>
    <row r="889">
      <c r="AW889" s="5"/>
      <c r="DU889" s="4"/>
      <c r="DZ889" s="5"/>
      <c r="EA889" s="5"/>
      <c r="EB889" s="5"/>
      <c r="EC889" s="5"/>
      <c r="ED889" s="5"/>
      <c r="EE889" s="5"/>
    </row>
    <row r="890">
      <c r="AW890" s="5"/>
      <c r="DU890" s="4"/>
      <c r="DZ890" s="5"/>
      <c r="EA890" s="5"/>
      <c r="EB890" s="5"/>
      <c r="EC890" s="5"/>
      <c r="ED890" s="5"/>
      <c r="EE890" s="5"/>
    </row>
    <row r="891">
      <c r="AW891" s="5"/>
      <c r="DU891" s="4"/>
      <c r="DZ891" s="5"/>
      <c r="EA891" s="5"/>
      <c r="EB891" s="5"/>
      <c r="EC891" s="5"/>
      <c r="ED891" s="5"/>
      <c r="EE891" s="5"/>
    </row>
    <row r="892">
      <c r="AW892" s="5"/>
      <c r="DU892" s="4"/>
      <c r="DZ892" s="5"/>
      <c r="EA892" s="5"/>
      <c r="EB892" s="5"/>
      <c r="EC892" s="5"/>
      <c r="ED892" s="5"/>
      <c r="EE892" s="5"/>
    </row>
    <row r="893">
      <c r="AW893" s="5"/>
      <c r="DU893" s="4"/>
      <c r="DZ893" s="5"/>
      <c r="EA893" s="5"/>
      <c r="EB893" s="5"/>
      <c r="EC893" s="5"/>
      <c r="ED893" s="5"/>
      <c r="EE893" s="5"/>
    </row>
    <row r="894">
      <c r="AW894" s="5"/>
      <c r="DU894" s="4"/>
      <c r="DZ894" s="5"/>
      <c r="EA894" s="5"/>
      <c r="EB894" s="5"/>
      <c r="EC894" s="5"/>
      <c r="ED894" s="5"/>
      <c r="EE894" s="5"/>
    </row>
    <row r="895">
      <c r="AW895" s="5"/>
      <c r="DU895" s="4"/>
      <c r="DZ895" s="5"/>
      <c r="EA895" s="5"/>
      <c r="EB895" s="5"/>
      <c r="EC895" s="5"/>
      <c r="ED895" s="5"/>
      <c r="EE895" s="5"/>
    </row>
    <row r="896">
      <c r="AW896" s="5"/>
      <c r="DU896" s="4"/>
      <c r="DZ896" s="5"/>
      <c r="EA896" s="5"/>
      <c r="EB896" s="5"/>
      <c r="EC896" s="5"/>
      <c r="ED896" s="5"/>
      <c r="EE896" s="5"/>
    </row>
    <row r="897">
      <c r="AW897" s="5"/>
      <c r="DU897" s="4"/>
      <c r="DZ897" s="5"/>
      <c r="EA897" s="5"/>
      <c r="EB897" s="5"/>
      <c r="EC897" s="5"/>
      <c r="ED897" s="5"/>
      <c r="EE897" s="5"/>
    </row>
    <row r="898">
      <c r="AW898" s="5"/>
      <c r="DU898" s="4"/>
      <c r="DZ898" s="5"/>
      <c r="EA898" s="5"/>
      <c r="EB898" s="5"/>
      <c r="EC898" s="5"/>
      <c r="ED898" s="5"/>
      <c r="EE898" s="5"/>
    </row>
    <row r="899">
      <c r="AW899" s="5"/>
      <c r="DU899" s="4"/>
      <c r="DZ899" s="5"/>
      <c r="EA899" s="5"/>
      <c r="EB899" s="5"/>
      <c r="EC899" s="5"/>
      <c r="ED899" s="5"/>
      <c r="EE899" s="5"/>
    </row>
    <row r="900">
      <c r="AW900" s="5"/>
      <c r="DU900" s="4"/>
      <c r="DZ900" s="5"/>
      <c r="EA900" s="5"/>
      <c r="EB900" s="5"/>
      <c r="EC900" s="5"/>
      <c r="ED900" s="5"/>
      <c r="EE900" s="5"/>
    </row>
    <row r="901">
      <c r="AW901" s="5"/>
      <c r="DU901" s="4"/>
      <c r="DZ901" s="5"/>
      <c r="EA901" s="5"/>
      <c r="EB901" s="5"/>
      <c r="EC901" s="5"/>
      <c r="ED901" s="5"/>
      <c r="EE901" s="5"/>
    </row>
    <row r="902">
      <c r="AW902" s="5"/>
      <c r="DU902" s="4"/>
      <c r="DZ902" s="5"/>
      <c r="EA902" s="5"/>
      <c r="EB902" s="5"/>
      <c r="EC902" s="5"/>
      <c r="ED902" s="5"/>
      <c r="EE902" s="5"/>
    </row>
    <row r="903">
      <c r="AW903" s="5"/>
      <c r="DU903" s="4"/>
      <c r="DZ903" s="5"/>
      <c r="EA903" s="5"/>
      <c r="EB903" s="5"/>
      <c r="EC903" s="5"/>
      <c r="ED903" s="5"/>
      <c r="EE903" s="5"/>
    </row>
    <row r="904">
      <c r="AW904" s="5"/>
      <c r="DU904" s="4"/>
      <c r="DZ904" s="5"/>
      <c r="EA904" s="5"/>
      <c r="EB904" s="5"/>
      <c r="EC904" s="5"/>
      <c r="ED904" s="5"/>
      <c r="EE904" s="5"/>
    </row>
    <row r="905">
      <c r="AW905" s="5"/>
      <c r="DU905" s="4"/>
      <c r="DZ905" s="5"/>
      <c r="EA905" s="5"/>
      <c r="EB905" s="5"/>
      <c r="EC905" s="5"/>
      <c r="ED905" s="5"/>
      <c r="EE905" s="5"/>
    </row>
    <row r="906">
      <c r="AW906" s="5"/>
      <c r="DU906" s="4"/>
      <c r="DZ906" s="5"/>
      <c r="EA906" s="5"/>
      <c r="EB906" s="5"/>
      <c r="EC906" s="5"/>
      <c r="ED906" s="5"/>
      <c r="EE906" s="5"/>
    </row>
    <row r="907">
      <c r="AW907" s="5"/>
      <c r="DU907" s="4"/>
      <c r="DZ907" s="5"/>
      <c r="EA907" s="5"/>
      <c r="EB907" s="5"/>
      <c r="EC907" s="5"/>
      <c r="ED907" s="5"/>
      <c r="EE907" s="5"/>
    </row>
    <row r="908">
      <c r="AW908" s="5"/>
      <c r="DU908" s="4"/>
      <c r="DZ908" s="5"/>
      <c r="EA908" s="5"/>
      <c r="EB908" s="5"/>
      <c r="EC908" s="5"/>
      <c r="ED908" s="5"/>
      <c r="EE908" s="5"/>
    </row>
    <row r="909">
      <c r="AW909" s="5"/>
      <c r="DU909" s="4"/>
      <c r="DZ909" s="5"/>
      <c r="EA909" s="5"/>
      <c r="EB909" s="5"/>
      <c r="EC909" s="5"/>
      <c r="ED909" s="5"/>
      <c r="EE909" s="5"/>
    </row>
    <row r="910">
      <c r="AW910" s="5"/>
      <c r="DU910" s="4"/>
      <c r="DZ910" s="5"/>
      <c r="EA910" s="5"/>
      <c r="EB910" s="5"/>
      <c r="EC910" s="5"/>
      <c r="ED910" s="5"/>
      <c r="EE910" s="5"/>
    </row>
    <row r="911">
      <c r="AW911" s="5"/>
      <c r="DU911" s="4"/>
      <c r="DZ911" s="5"/>
      <c r="EA911" s="5"/>
      <c r="EB911" s="5"/>
      <c r="EC911" s="5"/>
      <c r="ED911" s="5"/>
      <c r="EE911" s="5"/>
    </row>
    <row r="912">
      <c r="AW912" s="5"/>
      <c r="DU912" s="4"/>
      <c r="DZ912" s="5"/>
      <c r="EA912" s="5"/>
      <c r="EB912" s="5"/>
      <c r="EC912" s="5"/>
      <c r="ED912" s="5"/>
      <c r="EE912" s="5"/>
    </row>
    <row r="913">
      <c r="AW913" s="5"/>
      <c r="DU913" s="4"/>
      <c r="DZ913" s="5"/>
      <c r="EA913" s="5"/>
      <c r="EB913" s="5"/>
      <c r="EC913" s="5"/>
      <c r="ED913" s="5"/>
      <c r="EE913" s="5"/>
    </row>
    <row r="914">
      <c r="AW914" s="5"/>
      <c r="DU914" s="4"/>
      <c r="DZ914" s="5"/>
      <c r="EA914" s="5"/>
      <c r="EB914" s="5"/>
      <c r="EC914" s="5"/>
      <c r="ED914" s="5"/>
      <c r="EE914" s="5"/>
    </row>
    <row r="915">
      <c r="AW915" s="5"/>
      <c r="DU915" s="4"/>
      <c r="DZ915" s="5"/>
      <c r="EA915" s="5"/>
      <c r="EB915" s="5"/>
      <c r="EC915" s="5"/>
      <c r="ED915" s="5"/>
      <c r="EE915" s="5"/>
    </row>
    <row r="916">
      <c r="AW916" s="5"/>
      <c r="DU916" s="4"/>
      <c r="DZ916" s="5"/>
      <c r="EA916" s="5"/>
      <c r="EB916" s="5"/>
      <c r="EC916" s="5"/>
      <c r="ED916" s="5"/>
      <c r="EE916" s="5"/>
    </row>
    <row r="917">
      <c r="AW917" s="5"/>
      <c r="DU917" s="4"/>
      <c r="DZ917" s="5"/>
      <c r="EA917" s="5"/>
      <c r="EB917" s="5"/>
      <c r="EC917" s="5"/>
      <c r="ED917" s="5"/>
      <c r="EE917" s="5"/>
    </row>
    <row r="918">
      <c r="AW918" s="5"/>
      <c r="DU918" s="4"/>
      <c r="DZ918" s="5"/>
      <c r="EA918" s="5"/>
      <c r="EB918" s="5"/>
      <c r="EC918" s="5"/>
      <c r="ED918" s="5"/>
      <c r="EE918" s="5"/>
    </row>
    <row r="919">
      <c r="AW919" s="5"/>
      <c r="DU919" s="4"/>
      <c r="DZ919" s="5"/>
      <c r="EA919" s="5"/>
      <c r="EB919" s="5"/>
      <c r="EC919" s="5"/>
      <c r="ED919" s="5"/>
      <c r="EE919" s="5"/>
    </row>
    <row r="920">
      <c r="AW920" s="5"/>
      <c r="DU920" s="4"/>
      <c r="DZ920" s="5"/>
      <c r="EA920" s="5"/>
      <c r="EB920" s="5"/>
      <c r="EC920" s="5"/>
      <c r="ED920" s="5"/>
      <c r="EE920" s="5"/>
    </row>
    <row r="921">
      <c r="AW921" s="5"/>
      <c r="DU921" s="4"/>
      <c r="DZ921" s="5"/>
      <c r="EA921" s="5"/>
      <c r="EB921" s="5"/>
      <c r="EC921" s="5"/>
      <c r="ED921" s="5"/>
      <c r="EE921" s="5"/>
    </row>
    <row r="922">
      <c r="AW922" s="5"/>
      <c r="DU922" s="4"/>
      <c r="DZ922" s="5"/>
      <c r="EA922" s="5"/>
      <c r="EB922" s="5"/>
      <c r="EC922" s="5"/>
      <c r="ED922" s="5"/>
      <c r="EE922" s="5"/>
    </row>
    <row r="923">
      <c r="AW923" s="5"/>
      <c r="DU923" s="4"/>
      <c r="DZ923" s="5"/>
      <c r="EA923" s="5"/>
      <c r="EB923" s="5"/>
      <c r="EC923" s="5"/>
      <c r="ED923" s="5"/>
      <c r="EE923" s="5"/>
    </row>
    <row r="924">
      <c r="AW924" s="5"/>
      <c r="DU924" s="4"/>
      <c r="DZ924" s="5"/>
      <c r="EA924" s="5"/>
      <c r="EB924" s="5"/>
      <c r="EC924" s="5"/>
      <c r="ED924" s="5"/>
      <c r="EE924" s="5"/>
    </row>
    <row r="925">
      <c r="AW925" s="5"/>
      <c r="DU925" s="4"/>
      <c r="DZ925" s="5"/>
      <c r="EA925" s="5"/>
      <c r="EB925" s="5"/>
      <c r="EC925" s="5"/>
      <c r="ED925" s="5"/>
      <c r="EE925" s="5"/>
    </row>
    <row r="926">
      <c r="AW926" s="5"/>
      <c r="DU926" s="4"/>
      <c r="DZ926" s="5"/>
      <c r="EA926" s="5"/>
      <c r="EB926" s="5"/>
      <c r="EC926" s="5"/>
      <c r="ED926" s="5"/>
      <c r="EE926" s="5"/>
    </row>
    <row r="927">
      <c r="AW927" s="5"/>
      <c r="DU927" s="4"/>
      <c r="DZ927" s="5"/>
      <c r="EA927" s="5"/>
      <c r="EB927" s="5"/>
      <c r="EC927" s="5"/>
      <c r="ED927" s="5"/>
      <c r="EE927" s="5"/>
    </row>
    <row r="928">
      <c r="AW928" s="5"/>
      <c r="DU928" s="4"/>
      <c r="DZ928" s="5"/>
      <c r="EA928" s="5"/>
      <c r="EB928" s="5"/>
      <c r="EC928" s="5"/>
      <c r="ED928" s="5"/>
      <c r="EE928" s="5"/>
    </row>
    <row r="929">
      <c r="AW929" s="5"/>
      <c r="DU929" s="4"/>
      <c r="DZ929" s="5"/>
      <c r="EA929" s="5"/>
      <c r="EB929" s="5"/>
      <c r="EC929" s="5"/>
      <c r="ED929" s="5"/>
      <c r="EE929" s="5"/>
    </row>
    <row r="930">
      <c r="AW930" s="5"/>
      <c r="DU930" s="4"/>
      <c r="DZ930" s="5"/>
      <c r="EA930" s="5"/>
      <c r="EB930" s="5"/>
      <c r="EC930" s="5"/>
      <c r="ED930" s="5"/>
      <c r="EE930" s="5"/>
    </row>
    <row r="931">
      <c r="AW931" s="5"/>
      <c r="DU931" s="4"/>
      <c r="DZ931" s="5"/>
      <c r="EA931" s="5"/>
      <c r="EB931" s="5"/>
      <c r="EC931" s="5"/>
      <c r="ED931" s="5"/>
      <c r="EE931" s="5"/>
    </row>
    <row r="932">
      <c r="AW932" s="5"/>
      <c r="DU932" s="4"/>
      <c r="DZ932" s="5"/>
      <c r="EA932" s="5"/>
      <c r="EB932" s="5"/>
      <c r="EC932" s="5"/>
      <c r="ED932" s="5"/>
      <c r="EE932" s="5"/>
    </row>
    <row r="933">
      <c r="AW933" s="5"/>
      <c r="DU933" s="4"/>
      <c r="DZ933" s="5"/>
      <c r="EA933" s="5"/>
      <c r="EB933" s="5"/>
      <c r="EC933" s="5"/>
      <c r="ED933" s="5"/>
      <c r="EE933" s="5"/>
    </row>
    <row r="934">
      <c r="AW934" s="5"/>
      <c r="DU934" s="4"/>
      <c r="DZ934" s="5"/>
      <c r="EA934" s="5"/>
      <c r="EB934" s="5"/>
      <c r="EC934" s="5"/>
      <c r="ED934" s="5"/>
      <c r="EE934" s="5"/>
    </row>
    <row r="935">
      <c r="AW935" s="5"/>
      <c r="DU935" s="4"/>
      <c r="DZ935" s="5"/>
      <c r="EA935" s="5"/>
      <c r="EB935" s="5"/>
      <c r="EC935" s="5"/>
      <c r="ED935" s="5"/>
      <c r="EE935" s="5"/>
    </row>
    <row r="936">
      <c r="AW936" s="5"/>
      <c r="DU936" s="4"/>
      <c r="DZ936" s="5"/>
      <c r="EA936" s="5"/>
      <c r="EB936" s="5"/>
      <c r="EC936" s="5"/>
      <c r="ED936" s="5"/>
      <c r="EE936" s="5"/>
    </row>
    <row r="937">
      <c r="AW937" s="5"/>
      <c r="DU937" s="4"/>
      <c r="DZ937" s="5"/>
      <c r="EA937" s="5"/>
      <c r="EB937" s="5"/>
      <c r="EC937" s="5"/>
      <c r="ED937" s="5"/>
      <c r="EE937" s="5"/>
    </row>
    <row r="938">
      <c r="AW938" s="5"/>
      <c r="DU938" s="4"/>
      <c r="DZ938" s="5"/>
      <c r="EA938" s="5"/>
      <c r="EB938" s="5"/>
      <c r="EC938" s="5"/>
      <c r="ED938" s="5"/>
      <c r="EE938" s="5"/>
    </row>
    <row r="939">
      <c r="AW939" s="5"/>
      <c r="DU939" s="4"/>
      <c r="DZ939" s="5"/>
      <c r="EA939" s="5"/>
      <c r="EB939" s="5"/>
      <c r="EC939" s="5"/>
      <c r="ED939" s="5"/>
      <c r="EE939" s="5"/>
    </row>
    <row r="940">
      <c r="AW940" s="5"/>
      <c r="DU940" s="4"/>
      <c r="DZ940" s="5"/>
      <c r="EA940" s="5"/>
      <c r="EB940" s="5"/>
      <c r="EC940" s="5"/>
      <c r="ED940" s="5"/>
      <c r="EE940" s="5"/>
    </row>
    <row r="941">
      <c r="AW941" s="5"/>
      <c r="DU941" s="4"/>
      <c r="DZ941" s="5"/>
      <c r="EA941" s="5"/>
      <c r="EB941" s="5"/>
      <c r="EC941" s="5"/>
      <c r="ED941" s="5"/>
      <c r="EE941" s="5"/>
    </row>
    <row r="942">
      <c r="AW942" s="5"/>
      <c r="DU942" s="4"/>
      <c r="DZ942" s="5"/>
      <c r="EA942" s="5"/>
      <c r="EB942" s="5"/>
      <c r="EC942" s="5"/>
      <c r="ED942" s="5"/>
      <c r="EE942" s="5"/>
    </row>
    <row r="943">
      <c r="AW943" s="5"/>
      <c r="DU943" s="4"/>
      <c r="DZ943" s="5"/>
      <c r="EA943" s="5"/>
      <c r="EB943" s="5"/>
      <c r="EC943" s="5"/>
      <c r="ED943" s="5"/>
      <c r="EE943" s="5"/>
    </row>
    <row r="944">
      <c r="AW944" s="5"/>
      <c r="DU944" s="4"/>
      <c r="DZ944" s="5"/>
      <c r="EA944" s="5"/>
      <c r="EB944" s="5"/>
      <c r="EC944" s="5"/>
      <c r="ED944" s="5"/>
      <c r="EE944" s="5"/>
    </row>
    <row r="945">
      <c r="AW945" s="5"/>
      <c r="DU945" s="4"/>
      <c r="DZ945" s="5"/>
      <c r="EA945" s="5"/>
      <c r="EB945" s="5"/>
      <c r="EC945" s="5"/>
      <c r="ED945" s="5"/>
      <c r="EE945" s="5"/>
    </row>
    <row r="946">
      <c r="AW946" s="5"/>
      <c r="DU946" s="4"/>
      <c r="DZ946" s="5"/>
      <c r="EA946" s="5"/>
      <c r="EB946" s="5"/>
      <c r="EC946" s="5"/>
      <c r="ED946" s="5"/>
      <c r="EE946" s="5"/>
    </row>
    <row r="947">
      <c r="AW947" s="5"/>
      <c r="DU947" s="4"/>
      <c r="DZ947" s="5"/>
      <c r="EA947" s="5"/>
      <c r="EB947" s="5"/>
      <c r="EC947" s="5"/>
      <c r="ED947" s="5"/>
      <c r="EE947" s="5"/>
    </row>
    <row r="948">
      <c r="AW948" s="5"/>
      <c r="DU948" s="4"/>
      <c r="DZ948" s="5"/>
      <c r="EA948" s="5"/>
      <c r="EB948" s="5"/>
      <c r="EC948" s="5"/>
      <c r="ED948" s="5"/>
      <c r="EE948" s="5"/>
    </row>
    <row r="949">
      <c r="AW949" s="5"/>
      <c r="DU949" s="4"/>
      <c r="DZ949" s="5"/>
      <c r="EA949" s="5"/>
      <c r="EB949" s="5"/>
      <c r="EC949" s="5"/>
      <c r="ED949" s="5"/>
      <c r="EE949" s="5"/>
    </row>
    <row r="950">
      <c r="AW950" s="5"/>
      <c r="DU950" s="4"/>
      <c r="DZ950" s="5"/>
      <c r="EA950" s="5"/>
      <c r="EB950" s="5"/>
      <c r="EC950" s="5"/>
      <c r="ED950" s="5"/>
      <c r="EE950" s="5"/>
    </row>
    <row r="951">
      <c r="AW951" s="5"/>
      <c r="DU951" s="4"/>
      <c r="DZ951" s="5"/>
      <c r="EA951" s="5"/>
      <c r="EB951" s="5"/>
      <c r="EC951" s="5"/>
      <c r="ED951" s="5"/>
      <c r="EE951" s="5"/>
    </row>
    <row r="952">
      <c r="AW952" s="5"/>
      <c r="DU952" s="4"/>
      <c r="DZ952" s="5"/>
      <c r="EA952" s="5"/>
      <c r="EB952" s="5"/>
      <c r="EC952" s="5"/>
      <c r="ED952" s="5"/>
      <c r="EE952" s="5"/>
    </row>
    <row r="953">
      <c r="AW953" s="5"/>
      <c r="DU953" s="4"/>
      <c r="DZ953" s="5"/>
      <c r="EA953" s="5"/>
      <c r="EB953" s="5"/>
      <c r="EC953" s="5"/>
      <c r="ED953" s="5"/>
      <c r="EE953" s="5"/>
    </row>
    <row r="954">
      <c r="AW954" s="5"/>
      <c r="DU954" s="4"/>
      <c r="DZ954" s="5"/>
      <c r="EA954" s="5"/>
      <c r="EB954" s="5"/>
      <c r="EC954" s="5"/>
      <c r="ED954" s="5"/>
      <c r="EE954" s="5"/>
    </row>
    <row r="955">
      <c r="AW955" s="5"/>
      <c r="DU955" s="4"/>
      <c r="DZ955" s="5"/>
      <c r="EA955" s="5"/>
      <c r="EB955" s="5"/>
      <c r="EC955" s="5"/>
      <c r="ED955" s="5"/>
      <c r="EE955" s="5"/>
    </row>
    <row r="956">
      <c r="AW956" s="5"/>
      <c r="DU956" s="4"/>
      <c r="DZ956" s="5"/>
      <c r="EA956" s="5"/>
      <c r="EB956" s="5"/>
      <c r="EC956" s="5"/>
      <c r="ED956" s="5"/>
      <c r="EE956" s="5"/>
    </row>
    <row r="957">
      <c r="AW957" s="5"/>
      <c r="DU957" s="4"/>
      <c r="DZ957" s="5"/>
      <c r="EA957" s="5"/>
      <c r="EB957" s="5"/>
      <c r="EC957" s="5"/>
      <c r="ED957" s="5"/>
      <c r="EE957" s="5"/>
    </row>
    <row r="958">
      <c r="AW958" s="5"/>
      <c r="DU958" s="4"/>
      <c r="DZ958" s="5"/>
      <c r="EA958" s="5"/>
      <c r="EB958" s="5"/>
      <c r="EC958" s="5"/>
      <c r="ED958" s="5"/>
      <c r="EE958" s="5"/>
    </row>
    <row r="959">
      <c r="AW959" s="5"/>
      <c r="DU959" s="4"/>
      <c r="DZ959" s="5"/>
      <c r="EA959" s="5"/>
      <c r="EB959" s="5"/>
      <c r="EC959" s="5"/>
      <c r="ED959" s="5"/>
      <c r="EE959" s="5"/>
    </row>
    <row r="960">
      <c r="AW960" s="5"/>
      <c r="DU960" s="4"/>
      <c r="DZ960" s="5"/>
      <c r="EA960" s="5"/>
      <c r="EB960" s="5"/>
      <c r="EC960" s="5"/>
      <c r="ED960" s="5"/>
      <c r="EE960" s="5"/>
    </row>
    <row r="961">
      <c r="AW961" s="5"/>
      <c r="DU961" s="4"/>
      <c r="DZ961" s="5"/>
      <c r="EA961" s="5"/>
      <c r="EB961" s="5"/>
      <c r="EC961" s="5"/>
      <c r="ED961" s="5"/>
      <c r="EE961" s="5"/>
    </row>
    <row r="962">
      <c r="AW962" s="5"/>
      <c r="DU962" s="4"/>
      <c r="DZ962" s="5"/>
      <c r="EA962" s="5"/>
      <c r="EB962" s="5"/>
      <c r="EC962" s="5"/>
      <c r="ED962" s="5"/>
      <c r="EE962" s="5"/>
    </row>
    <row r="963">
      <c r="AW963" s="5"/>
      <c r="DU963" s="4"/>
      <c r="DZ963" s="5"/>
      <c r="EA963" s="5"/>
      <c r="EB963" s="5"/>
      <c r="EC963" s="5"/>
      <c r="ED963" s="5"/>
      <c r="EE963" s="5"/>
    </row>
    <row r="964">
      <c r="AW964" s="5"/>
      <c r="DU964" s="4"/>
      <c r="DZ964" s="5"/>
      <c r="EA964" s="5"/>
      <c r="EB964" s="5"/>
      <c r="EC964" s="5"/>
      <c r="ED964" s="5"/>
      <c r="EE964" s="5"/>
    </row>
    <row r="965">
      <c r="AW965" s="5"/>
      <c r="DU965" s="4"/>
      <c r="DZ965" s="5"/>
      <c r="EA965" s="5"/>
      <c r="EB965" s="5"/>
      <c r="EC965" s="5"/>
      <c r="ED965" s="5"/>
      <c r="EE965" s="5"/>
    </row>
    <row r="966">
      <c r="AW966" s="5"/>
      <c r="DU966" s="4"/>
      <c r="DZ966" s="5"/>
      <c r="EA966" s="5"/>
      <c r="EB966" s="5"/>
      <c r="EC966" s="5"/>
      <c r="ED966" s="5"/>
      <c r="EE966" s="5"/>
    </row>
    <row r="967">
      <c r="AW967" s="5"/>
      <c r="DU967" s="4"/>
      <c r="DZ967" s="5"/>
      <c r="EA967" s="5"/>
      <c r="EB967" s="5"/>
      <c r="EC967" s="5"/>
      <c r="ED967" s="5"/>
      <c r="EE967" s="5"/>
    </row>
    <row r="968">
      <c r="AW968" s="5"/>
      <c r="DU968" s="4"/>
      <c r="DZ968" s="5"/>
      <c r="EA968" s="5"/>
      <c r="EB968" s="5"/>
      <c r="EC968" s="5"/>
      <c r="ED968" s="5"/>
      <c r="EE968" s="5"/>
    </row>
    <row r="969">
      <c r="AW969" s="5"/>
      <c r="DU969" s="4"/>
      <c r="DZ969" s="5"/>
      <c r="EA969" s="5"/>
      <c r="EB969" s="5"/>
      <c r="EC969" s="5"/>
      <c r="ED969" s="5"/>
      <c r="EE969" s="5"/>
    </row>
    <row r="970">
      <c r="AW970" s="5"/>
      <c r="DU970" s="4"/>
      <c r="DZ970" s="5"/>
      <c r="EA970" s="5"/>
      <c r="EB970" s="5"/>
      <c r="EC970" s="5"/>
      <c r="ED970" s="5"/>
      <c r="EE970" s="5"/>
    </row>
    <row r="971">
      <c r="AW971" s="5"/>
      <c r="DU971" s="4"/>
      <c r="DZ971" s="5"/>
      <c r="EA971" s="5"/>
      <c r="EB971" s="5"/>
      <c r="EC971" s="5"/>
      <c r="ED971" s="5"/>
      <c r="EE971" s="5"/>
    </row>
    <row r="972">
      <c r="AW972" s="5"/>
      <c r="DU972" s="4"/>
      <c r="DZ972" s="5"/>
      <c r="EA972" s="5"/>
      <c r="EB972" s="5"/>
      <c r="EC972" s="5"/>
      <c r="ED972" s="5"/>
      <c r="EE972" s="5"/>
    </row>
    <row r="973">
      <c r="AW973" s="5"/>
      <c r="DU973" s="4"/>
      <c r="DZ973" s="5"/>
      <c r="EA973" s="5"/>
      <c r="EB973" s="5"/>
      <c r="EC973" s="5"/>
      <c r="ED973" s="5"/>
      <c r="EE973" s="5"/>
    </row>
    <row r="974">
      <c r="AW974" s="5"/>
      <c r="DU974" s="4"/>
      <c r="DZ974" s="5"/>
      <c r="EA974" s="5"/>
      <c r="EB974" s="5"/>
      <c r="EC974" s="5"/>
      <c r="ED974" s="5"/>
      <c r="EE974" s="5"/>
    </row>
    <row r="975">
      <c r="AW975" s="5"/>
      <c r="DU975" s="4"/>
      <c r="DZ975" s="5"/>
      <c r="EA975" s="5"/>
      <c r="EB975" s="5"/>
      <c r="EC975" s="5"/>
      <c r="ED975" s="5"/>
      <c r="EE975" s="5"/>
    </row>
    <row r="976">
      <c r="AW976" s="5"/>
      <c r="DU976" s="4"/>
      <c r="DZ976" s="5"/>
      <c r="EA976" s="5"/>
      <c r="EB976" s="5"/>
      <c r="EC976" s="5"/>
      <c r="ED976" s="5"/>
      <c r="EE976" s="5"/>
    </row>
    <row r="977">
      <c r="AW977" s="5"/>
      <c r="DU977" s="4"/>
      <c r="DZ977" s="5"/>
      <c r="EA977" s="5"/>
      <c r="EB977" s="5"/>
      <c r="EC977" s="5"/>
      <c r="ED977" s="5"/>
      <c r="EE977" s="5"/>
    </row>
    <row r="978">
      <c r="AW978" s="5"/>
      <c r="DU978" s="4"/>
      <c r="DZ978" s="5"/>
      <c r="EA978" s="5"/>
      <c r="EB978" s="5"/>
      <c r="EC978" s="5"/>
      <c r="ED978" s="5"/>
      <c r="EE978" s="5"/>
    </row>
    <row r="979">
      <c r="AW979" s="5"/>
      <c r="DU979" s="4"/>
      <c r="DZ979" s="5"/>
      <c r="EA979" s="5"/>
      <c r="EB979" s="5"/>
      <c r="EC979" s="5"/>
      <c r="ED979" s="5"/>
      <c r="EE979" s="5"/>
    </row>
    <row r="980">
      <c r="AW980" s="5"/>
      <c r="DU980" s="4"/>
      <c r="DZ980" s="5"/>
      <c r="EA980" s="5"/>
      <c r="EB980" s="5"/>
      <c r="EC980" s="5"/>
      <c r="ED980" s="5"/>
      <c r="EE980" s="5"/>
    </row>
    <row r="981">
      <c r="AW981" s="5"/>
      <c r="DU981" s="4"/>
      <c r="DZ981" s="5"/>
      <c r="EA981" s="5"/>
      <c r="EB981" s="5"/>
      <c r="EC981" s="5"/>
      <c r="ED981" s="5"/>
      <c r="EE981" s="5"/>
    </row>
    <row r="982">
      <c r="AW982" s="5"/>
      <c r="DU982" s="4"/>
      <c r="DZ982" s="5"/>
      <c r="EA982" s="5"/>
      <c r="EB982" s="5"/>
      <c r="EC982" s="5"/>
      <c r="ED982" s="5"/>
      <c r="EE982" s="5"/>
    </row>
    <row r="983">
      <c r="AW983" s="5"/>
      <c r="DU983" s="4"/>
      <c r="DZ983" s="5"/>
      <c r="EA983" s="5"/>
      <c r="EB983" s="5"/>
      <c r="EC983" s="5"/>
      <c r="ED983" s="5"/>
      <c r="EE983" s="5"/>
    </row>
    <row r="984">
      <c r="AW984" s="5"/>
      <c r="DU984" s="4"/>
      <c r="DZ984" s="5"/>
      <c r="EA984" s="5"/>
      <c r="EB984" s="5"/>
      <c r="EC984" s="5"/>
      <c r="ED984" s="5"/>
      <c r="EE984" s="5"/>
    </row>
    <row r="985">
      <c r="AW985" s="5"/>
      <c r="DU985" s="4"/>
      <c r="DZ985" s="5"/>
      <c r="EA985" s="5"/>
      <c r="EB985" s="5"/>
      <c r="EC985" s="5"/>
      <c r="ED985" s="5"/>
      <c r="EE985" s="5"/>
    </row>
    <row r="986">
      <c r="AW986" s="5"/>
      <c r="DU986" s="4"/>
      <c r="DZ986" s="5"/>
      <c r="EA986" s="5"/>
      <c r="EB986" s="5"/>
      <c r="EC986" s="5"/>
      <c r="ED986" s="5"/>
      <c r="EE986" s="5"/>
    </row>
    <row r="987">
      <c r="AW987" s="5"/>
      <c r="DU987" s="4"/>
      <c r="DZ987" s="5"/>
      <c r="EA987" s="5"/>
      <c r="EB987" s="5"/>
      <c r="EC987" s="5"/>
      <c r="ED987" s="5"/>
      <c r="EE987" s="5"/>
    </row>
    <row r="988">
      <c r="AW988" s="5"/>
      <c r="DU988" s="4"/>
      <c r="DZ988" s="5"/>
      <c r="EA988" s="5"/>
      <c r="EB988" s="5"/>
      <c r="EC988" s="5"/>
      <c r="ED988" s="5"/>
      <c r="EE988" s="5"/>
    </row>
    <row r="989">
      <c r="AW989" s="5"/>
      <c r="DU989" s="4"/>
      <c r="DZ989" s="5"/>
      <c r="EA989" s="5"/>
      <c r="EB989" s="5"/>
      <c r="EC989" s="5"/>
      <c r="ED989" s="5"/>
      <c r="EE989" s="5"/>
    </row>
    <row r="990">
      <c r="AW990" s="5"/>
      <c r="DU990" s="4"/>
      <c r="DZ990" s="5"/>
      <c r="EA990" s="5"/>
      <c r="EB990" s="5"/>
      <c r="EC990" s="5"/>
      <c r="ED990" s="5"/>
      <c r="EE990" s="5"/>
    </row>
    <row r="991">
      <c r="AW991" s="5"/>
      <c r="DU991" s="4"/>
      <c r="DZ991" s="5"/>
      <c r="EA991" s="5"/>
      <c r="EB991" s="5"/>
      <c r="EC991" s="5"/>
      <c r="ED991" s="5"/>
      <c r="EE991" s="5"/>
    </row>
    <row r="992">
      <c r="AW992" s="5"/>
      <c r="DU992" s="4"/>
      <c r="DZ992" s="5"/>
      <c r="EA992" s="5"/>
      <c r="EB992" s="5"/>
      <c r="EC992" s="5"/>
      <c r="ED992" s="5"/>
      <c r="EE992" s="5"/>
    </row>
    <row r="993">
      <c r="AW993" s="5"/>
      <c r="DU993" s="4"/>
      <c r="DZ993" s="5"/>
      <c r="EA993" s="5"/>
      <c r="EB993" s="5"/>
      <c r="EC993" s="5"/>
      <c r="ED993" s="5"/>
      <c r="EE993" s="5"/>
    </row>
    <row r="994">
      <c r="AW994" s="5"/>
      <c r="DU994" s="4"/>
      <c r="DZ994" s="5"/>
      <c r="EA994" s="5"/>
      <c r="EB994" s="5"/>
      <c r="EC994" s="5"/>
      <c r="ED994" s="5"/>
      <c r="EE994" s="5"/>
    </row>
    <row r="995">
      <c r="AW995" s="5"/>
      <c r="DU995" s="4"/>
      <c r="DZ995" s="5"/>
      <c r="EA995" s="5"/>
      <c r="EB995" s="5"/>
      <c r="EC995" s="5"/>
      <c r="ED995" s="5"/>
      <c r="EE995" s="5"/>
    </row>
    <row r="996">
      <c r="AW996" s="5"/>
      <c r="DU996" s="4"/>
      <c r="DZ996" s="5"/>
      <c r="EA996" s="5"/>
      <c r="EB996" s="5"/>
      <c r="EC996" s="5"/>
      <c r="ED996" s="5"/>
      <c r="EE996" s="5"/>
    </row>
    <row r="997">
      <c r="AW997" s="5"/>
      <c r="DU997" s="4"/>
      <c r="DZ997" s="5"/>
      <c r="EA997" s="5"/>
      <c r="EB997" s="5"/>
      <c r="EC997" s="5"/>
      <c r="ED997" s="5"/>
      <c r="EE997" s="5"/>
    </row>
    <row r="998">
      <c r="AW998" s="5"/>
      <c r="DU998" s="4"/>
      <c r="DZ998" s="5"/>
      <c r="EA998" s="5"/>
      <c r="EB998" s="5"/>
      <c r="EC998" s="5"/>
      <c r="ED998" s="5"/>
      <c r="EE998" s="5"/>
    </row>
    <row r="999">
      <c r="AW999" s="5"/>
      <c r="DU999" s="4"/>
      <c r="DZ999" s="5"/>
      <c r="EA999" s="5"/>
      <c r="EB999" s="5"/>
      <c r="EC999" s="5"/>
      <c r="ED999" s="5"/>
      <c r="EE999" s="5"/>
    </row>
    <row r="1000">
      <c r="AW1000" s="5"/>
      <c r="DU1000" s="4"/>
      <c r="DZ1000" s="5"/>
      <c r="EA1000" s="5"/>
      <c r="EB1000" s="5"/>
      <c r="EC1000" s="5"/>
      <c r="ED1000" s="5"/>
      <c r="EE1000" s="5"/>
    </row>
    <row r="1001">
      <c r="AW1001" s="5"/>
      <c r="DU1001" s="4"/>
      <c r="DZ1001" s="5"/>
      <c r="EA1001" s="5"/>
      <c r="EB1001" s="5"/>
      <c r="EC1001" s="5"/>
      <c r="ED1001" s="5"/>
      <c r="EE1001" s="5"/>
    </row>
    <row r="1002">
      <c r="AW1002" s="5"/>
      <c r="DU1002" s="4"/>
      <c r="DZ1002" s="5"/>
      <c r="EA1002" s="5"/>
      <c r="EB1002" s="5"/>
      <c r="EC1002" s="5"/>
      <c r="ED1002" s="5"/>
      <c r="EE1002" s="5"/>
    </row>
    <row r="1003">
      <c r="AW1003" s="5"/>
      <c r="DU1003" s="4"/>
      <c r="DZ1003" s="5"/>
      <c r="EA1003" s="5"/>
      <c r="EB1003" s="5"/>
      <c r="EC1003" s="5"/>
      <c r="ED1003" s="5"/>
      <c r="EE1003" s="5"/>
    </row>
    <row r="1004">
      <c r="AW1004" s="5"/>
      <c r="DU1004" s="4"/>
      <c r="DZ1004" s="5"/>
      <c r="EA1004" s="5"/>
      <c r="EB1004" s="5"/>
      <c r="EC1004" s="5"/>
      <c r="ED1004" s="5"/>
      <c r="EE1004" s="5"/>
    </row>
    <row r="1005">
      <c r="AW1005" s="5"/>
      <c r="DU1005" s="4"/>
      <c r="DZ1005" s="5"/>
      <c r="EA1005" s="5"/>
      <c r="EB1005" s="5"/>
      <c r="EC1005" s="5"/>
      <c r="ED1005" s="5"/>
      <c r="EE1005" s="5"/>
    </row>
    <row r="1006">
      <c r="AW1006" s="5"/>
      <c r="DU1006" s="4"/>
      <c r="DZ1006" s="5"/>
      <c r="EA1006" s="5"/>
      <c r="EB1006" s="5"/>
      <c r="EC1006" s="5"/>
      <c r="ED1006" s="5"/>
      <c r="EE1006" s="5"/>
    </row>
    <row r="1007">
      <c r="AW1007" s="5"/>
      <c r="DU1007" s="4"/>
      <c r="DZ1007" s="5"/>
      <c r="EA1007" s="5"/>
      <c r="EB1007" s="5"/>
      <c r="EC1007" s="5"/>
      <c r="ED1007" s="5"/>
      <c r="EE1007" s="5"/>
    </row>
  </sheetData>
  <mergeCells count="26">
    <mergeCell ref="AM67:AM68"/>
    <mergeCell ref="AN68:AN69"/>
    <mergeCell ref="AL69:AL70"/>
    <mergeCell ref="AO69:AO70"/>
    <mergeCell ref="AN71:AN72"/>
    <mergeCell ref="AQ71:AQ72"/>
    <mergeCell ref="CO2:CQ2"/>
    <mergeCell ref="CO6:CQ6"/>
    <mergeCell ref="AJ67:AJ68"/>
    <mergeCell ref="AP67:AP68"/>
    <mergeCell ref="AV67:AV68"/>
    <mergeCell ref="AK68:AK69"/>
    <mergeCell ref="AQ68:AQ69"/>
    <mergeCell ref="AW68:AW69"/>
    <mergeCell ref="AS67:AS68"/>
    <mergeCell ref="AS76:AS77"/>
    <mergeCell ref="AV76:AV77"/>
    <mergeCell ref="AZ76:AZ77"/>
    <mergeCell ref="BC76:BC77"/>
    <mergeCell ref="AT68:AT69"/>
    <mergeCell ref="AR69:AR70"/>
    <mergeCell ref="AU69:AU70"/>
    <mergeCell ref="AX69:AX70"/>
    <mergeCell ref="AT71:AT72"/>
    <mergeCell ref="AW71:AW72"/>
    <mergeCell ref="BA71:BA72"/>
  </mergeCells>
  <conditionalFormatting sqref="BM14:BM40 BY14:BY34">
    <cfRule type="colorScale" priority="1">
      <colorScale>
        <cfvo type="min"/>
        <cfvo type="percentile" val="50"/>
        <cfvo type="max"/>
        <color rgb="FF57BB8A"/>
        <color rgb="FFFFD666"/>
        <color rgb="FFE67C73"/>
      </colorScale>
    </cfRule>
  </conditionalFormatting>
  <conditionalFormatting sqref="DU14:DU40">
    <cfRule type="expression" dxfId="0" priority="2">
      <formula>DS14&lt;50</formula>
    </cfRule>
  </conditionalFormatting>
  <conditionalFormatting sqref="DV14:DV40">
    <cfRule type="expression" dxfId="0" priority="3">
      <formula>DS14&lt;50</formula>
    </cfRule>
  </conditionalFormatting>
  <conditionalFormatting sqref="DW14:DW40">
    <cfRule type="expression" dxfId="0" priority="4">
      <formula>DS14&lt;50</formula>
    </cfRule>
  </conditionalFormatting>
  <conditionalFormatting sqref="DU14:DW40">
    <cfRule type="colorScale" priority="5">
      <colorScale>
        <cfvo type="formula" val="-5"/>
        <cfvo type="formula" val="0"/>
        <cfvo type="formula" val="10"/>
        <color rgb="FFF8962E"/>
        <color rgb="FFEFEFEF"/>
        <color rgb="FF4E9DFF"/>
      </colorScale>
    </cfRule>
  </conditionalFormatting>
  <conditionalFormatting sqref="DY14:DY40">
    <cfRule type="colorScale" priority="6">
      <colorScale>
        <cfvo type="formula" val="-0.5"/>
        <cfvo type="formula" val="0"/>
        <cfvo type="max"/>
        <color rgb="FF999999"/>
        <color rgb="FFFFFFFF"/>
        <color rgb="FF57BB8A"/>
      </colorScale>
    </cfRule>
  </conditionalFormatting>
  <conditionalFormatting sqref="O90:Q119">
    <cfRule type="colorScale" priority="7">
      <colorScale>
        <cfvo type="min"/>
        <cfvo type="percentile" val="50"/>
        <cfvo type="max"/>
        <color rgb="FFE67C73"/>
        <color rgb="FFFFFFFF"/>
        <color rgb="FF57BB8A"/>
      </colorScale>
    </cfRule>
  </conditionalFormatting>
  <conditionalFormatting sqref="DX14:DX40">
    <cfRule type="colorScale" priority="8">
      <colorScale>
        <cfvo type="formula" val="-4"/>
        <cfvo type="formula" val="0"/>
        <cfvo type="formula" val="8"/>
        <color rgb="FFCC0000"/>
        <color rgb="FFFFFFFF"/>
        <color rgb="FF57BB8A"/>
      </colorScale>
    </cfRule>
  </conditionalFormatting>
  <conditionalFormatting sqref="DQ14:DQ40 DR14:DR34">
    <cfRule type="colorScale" priority="9">
      <colorScale>
        <cfvo type="formula" val="1"/>
        <cfvo type="formula" val="5"/>
        <color rgb="FFFFFFFF"/>
        <color rgb="FF57BB8A"/>
      </colorScale>
    </cfRule>
  </conditionalFormatting>
  <conditionalFormatting sqref="EC14:EE34">
    <cfRule type="colorScale" priority="10">
      <colorScale>
        <cfvo type="min"/>
        <cfvo type="formula" val="0"/>
        <cfvo type="max"/>
        <color rgb="FFF8962E"/>
        <color rgb="FFEFEFEF"/>
        <color rgb="FF4E9DFF"/>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3"/>
    <col customWidth="1" min="2" max="2" width="20.86"/>
    <col customWidth="1" min="3" max="3" width="5.29"/>
    <col customWidth="1" min="4" max="15" width="6.43"/>
    <col customWidth="1" min="16" max="16" width="6.29"/>
    <col customWidth="1" min="17" max="17" width="4.71"/>
    <col customWidth="1" min="18" max="18" width="5.71"/>
    <col customWidth="1" min="19" max="19" width="5.14"/>
    <col customWidth="1" min="20" max="20" width="5.0"/>
    <col customWidth="1" min="21" max="22" width="4.86"/>
    <col customWidth="1" min="23" max="23" width="4.71"/>
    <col customWidth="1" min="24" max="24" width="4.86"/>
    <col customWidth="1" min="25" max="25" width="5.0"/>
    <col customWidth="1" min="26" max="26" width="4.71"/>
    <col customWidth="1" min="27" max="27" width="4.86"/>
    <col customWidth="1" min="28" max="28" width="5.29"/>
    <col customWidth="1" min="29" max="29" width="5.43"/>
    <col customWidth="1" min="30" max="30" width="7.29"/>
    <col customWidth="1" min="31" max="31" width="8.0"/>
    <col customWidth="1" min="32" max="33" width="12.29"/>
    <col customWidth="1" min="34" max="45" width="6.57"/>
    <col customWidth="1" min="46" max="46" width="9.57"/>
    <col customWidth="1" min="47" max="47" width="8.14"/>
    <col customWidth="1" min="48" max="48" width="7.43"/>
    <col customWidth="1" min="49" max="50" width="8.43"/>
    <col customWidth="1" min="51" max="51" width="14.29"/>
    <col customWidth="1" min="52" max="52" width="8.14"/>
    <col customWidth="1" min="53" max="53" width="9.14"/>
    <col customWidth="1" min="54" max="64" width="8.86"/>
    <col customWidth="1" min="65" max="65" width="10.71"/>
    <col customWidth="1" min="66" max="76" width="10.29"/>
    <col customWidth="1" min="77" max="77" width="12.71"/>
    <col customWidth="1" min="78" max="78" width="18.14"/>
    <col customWidth="1" min="79" max="90" width="7.71"/>
    <col customWidth="1" min="91" max="91" width="8.71"/>
    <col customWidth="1" min="92" max="92" width="12.71"/>
    <col customWidth="1" min="93" max="93" width="12.14"/>
    <col customWidth="1" min="94" max="94" width="8.43"/>
    <col customWidth="1" min="95" max="95" width="10.57"/>
    <col customWidth="1" min="96" max="96" width="9.86"/>
    <col customWidth="1" min="97" max="97" width="6.43"/>
    <col customWidth="1" min="98" max="98" width="7.71"/>
    <col customWidth="1" min="99" max="99" width="12.14"/>
    <col customWidth="1" min="100" max="111" width="8.14"/>
    <col customWidth="1" min="112" max="112" width="10.71"/>
    <col customWidth="1" min="113" max="113" width="12.71"/>
    <col customWidth="1" min="114" max="114" width="12.14"/>
    <col customWidth="1" min="115" max="115" width="8.43"/>
    <col customWidth="1" min="116" max="116" width="10.57"/>
    <col customWidth="1" min="117" max="117" width="11.29"/>
    <col customWidth="1" min="118" max="118" width="6.43"/>
    <col customWidth="1" min="119" max="119" width="7.71"/>
    <col customWidth="1" min="120" max="120" width="21.71"/>
    <col customWidth="1" min="121" max="121" width="6.43"/>
    <col customWidth="1" min="122" max="129" width="7.86"/>
    <col customWidth="1" min="130" max="130" width="7.71"/>
    <col customWidth="1" min="131" max="131" width="6.43"/>
    <col customWidth="1" min="132" max="132" width="8.57"/>
    <col customWidth="1" min="133" max="133" width="7.57"/>
    <col customWidth="1" min="134" max="134" width="9.0"/>
    <col customWidth="1" min="135" max="135" width="8.86"/>
  </cols>
  <sheetData>
    <row r="1">
      <c r="BH1" s="1"/>
      <c r="BI1" s="1"/>
      <c r="BJ1" s="1"/>
      <c r="BK1" s="1"/>
      <c r="BL1" s="1"/>
      <c r="BM1" s="2"/>
      <c r="BN1" s="3"/>
      <c r="BO1" s="3"/>
      <c r="BP1" s="3"/>
      <c r="BQ1" s="3"/>
      <c r="BR1" s="3"/>
      <c r="BS1" s="3"/>
      <c r="BT1" s="3"/>
      <c r="BU1" s="3"/>
      <c r="BV1" s="3"/>
      <c r="BW1" s="3"/>
      <c r="BX1" s="3"/>
      <c r="BY1" s="3"/>
      <c r="BZ1" s="3" t="s">
        <v>0</v>
      </c>
      <c r="CA1" s="1"/>
      <c r="CB1" s="1"/>
      <c r="CC1" s="1"/>
      <c r="CD1" s="1"/>
      <c r="CE1" s="1"/>
      <c r="CF1" s="1"/>
      <c r="CG1" s="1"/>
      <c r="CH1" s="1"/>
      <c r="CI1" s="1"/>
      <c r="CJ1" s="1"/>
      <c r="CK1" s="1"/>
      <c r="CL1" s="1"/>
      <c r="DU1" s="4"/>
    </row>
    <row r="2">
      <c r="A2" s="6"/>
      <c r="B2" s="7" t="s">
        <v>1</v>
      </c>
      <c r="C2" s="6"/>
      <c r="D2" s="6"/>
      <c r="E2" s="6"/>
      <c r="F2" s="6"/>
      <c r="G2" s="8" t="s">
        <v>2</v>
      </c>
      <c r="H2" s="6"/>
      <c r="I2" s="6"/>
      <c r="J2" s="6"/>
      <c r="K2" s="6"/>
      <c r="L2" s="6"/>
      <c r="M2" s="6"/>
      <c r="N2" s="6"/>
      <c r="O2" s="6"/>
      <c r="P2" s="6"/>
      <c r="Q2" s="6"/>
      <c r="R2" s="6"/>
      <c r="S2" s="6"/>
      <c r="T2" s="6"/>
      <c r="U2" s="6"/>
      <c r="V2" s="6"/>
      <c r="W2" s="6"/>
      <c r="X2" s="6"/>
      <c r="Y2" s="6"/>
      <c r="Z2" s="6"/>
      <c r="AA2" s="6"/>
      <c r="AB2" s="6"/>
      <c r="AC2" s="6"/>
      <c r="AD2" s="6"/>
      <c r="AE2" s="6"/>
      <c r="AF2" s="6"/>
      <c r="AG2" s="6"/>
      <c r="BJ2" s="9" t="s">
        <v>3</v>
      </c>
      <c r="BK2" s="10" t="s">
        <v>4</v>
      </c>
      <c r="BL2" s="10" t="s">
        <v>5</v>
      </c>
      <c r="BM2" s="10" t="s">
        <v>6</v>
      </c>
      <c r="BN2" s="10" t="s">
        <v>7</v>
      </c>
      <c r="BO2" s="10" t="s">
        <v>8</v>
      </c>
      <c r="BP2" s="10" t="s">
        <v>9</v>
      </c>
      <c r="BQ2" s="10" t="s">
        <v>10</v>
      </c>
      <c r="BV2" s="11"/>
      <c r="BW2" s="11"/>
      <c r="BX2" s="11"/>
      <c r="BY2" s="11"/>
      <c r="BZ2" s="12" t="s">
        <v>11</v>
      </c>
      <c r="CA2" s="12" t="s">
        <v>12</v>
      </c>
      <c r="CB2" s="13" t="s">
        <v>13</v>
      </c>
      <c r="CC2" s="13" t="s">
        <v>14</v>
      </c>
      <c r="CD2" s="12" t="s">
        <v>15</v>
      </c>
      <c r="CE2" s="12" t="s">
        <v>16</v>
      </c>
      <c r="CF2" s="12" t="s">
        <v>17</v>
      </c>
      <c r="CG2" s="12" t="s">
        <v>18</v>
      </c>
      <c r="CH2" s="12" t="s">
        <v>19</v>
      </c>
      <c r="CI2" s="12" t="s">
        <v>20</v>
      </c>
      <c r="CJ2" s="12" t="s">
        <v>21</v>
      </c>
      <c r="CK2" s="12" t="s">
        <v>22</v>
      </c>
      <c r="CL2" s="12" t="s">
        <v>23</v>
      </c>
      <c r="CM2" s="6"/>
      <c r="CN2" s="14"/>
      <c r="CO2" s="15" t="s">
        <v>24</v>
      </c>
      <c r="CP2" s="16"/>
      <c r="CQ2" s="17"/>
      <c r="CR2" s="18"/>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20"/>
      <c r="DV2" s="19"/>
      <c r="DW2" s="19"/>
      <c r="DX2" s="19"/>
      <c r="DY2" s="19"/>
      <c r="DZ2" s="19"/>
      <c r="EA2" s="19"/>
      <c r="EB2" s="19"/>
      <c r="EC2" s="19"/>
      <c r="ED2" s="19"/>
      <c r="EE2" s="19"/>
    </row>
    <row r="3">
      <c r="A3" s="6"/>
      <c r="B3" s="22" t="s">
        <v>311</v>
      </c>
      <c r="C3" s="22">
        <v>2017.0</v>
      </c>
      <c r="D3" s="6"/>
      <c r="F3" s="6"/>
      <c r="G3" s="6"/>
      <c r="H3" s="6"/>
      <c r="I3" s="6"/>
      <c r="J3" s="6"/>
      <c r="K3" s="6"/>
      <c r="L3" s="6"/>
      <c r="M3" s="6"/>
      <c r="N3" s="6"/>
      <c r="O3" s="6"/>
      <c r="P3" s="6"/>
      <c r="Q3" s="6"/>
      <c r="R3" s="6"/>
      <c r="S3" s="6"/>
      <c r="T3" s="6"/>
      <c r="U3" s="6"/>
      <c r="V3" s="6"/>
      <c r="W3" s="23"/>
      <c r="X3" s="6"/>
      <c r="Y3" s="6"/>
      <c r="Z3" s="6"/>
      <c r="AA3" s="6"/>
      <c r="AB3" s="6"/>
      <c r="AC3" s="6"/>
      <c r="AD3" s="6"/>
      <c r="AE3" s="6"/>
      <c r="AF3" s="6"/>
      <c r="AG3" s="6"/>
      <c r="BJ3" s="9" t="s">
        <v>26</v>
      </c>
      <c r="BK3" s="24">
        <v>2.1296</v>
      </c>
      <c r="BL3" s="24">
        <v>8.6676</v>
      </c>
      <c r="BM3" s="24">
        <v>-2.4861</v>
      </c>
      <c r="BN3" s="24">
        <v>0.992</v>
      </c>
      <c r="BO3" s="24">
        <v>-3.5361</v>
      </c>
      <c r="BP3" s="24">
        <v>1.6669</v>
      </c>
      <c r="BQ3" s="25">
        <v>50.0</v>
      </c>
      <c r="BV3" s="26"/>
      <c r="BW3" s="26"/>
      <c r="BX3" s="26"/>
      <c r="BY3" s="26"/>
      <c r="BZ3" s="27" t="s">
        <v>27</v>
      </c>
      <c r="CA3" s="28">
        <v>0.86</v>
      </c>
      <c r="CB3" s="28">
        <v>-0.56</v>
      </c>
      <c r="CC3" s="29">
        <f t="shared" ref="CC3:CC4" si="1">0.44*CB3</f>
        <v>-0.2464</v>
      </c>
      <c r="CD3" s="28">
        <v>0.389</v>
      </c>
      <c r="CE3" s="28">
        <v>0.58</v>
      </c>
      <c r="CF3" s="28">
        <v>-0.964</v>
      </c>
      <c r="CG3" s="28">
        <v>0.613</v>
      </c>
      <c r="CH3" s="28">
        <v>0.116</v>
      </c>
      <c r="CI3" s="28">
        <v>0.0</v>
      </c>
      <c r="CJ3" s="28">
        <v>1.369</v>
      </c>
      <c r="CK3" s="28">
        <v>1.327</v>
      </c>
      <c r="CL3" s="28">
        <v>-0.367</v>
      </c>
      <c r="CM3" s="6"/>
      <c r="CN3" s="30"/>
      <c r="CO3" s="27" t="s">
        <v>27</v>
      </c>
      <c r="CP3" s="27" t="s">
        <v>28</v>
      </c>
      <c r="CQ3" s="27" t="s">
        <v>29</v>
      </c>
      <c r="CR3" s="13" t="s">
        <v>30</v>
      </c>
      <c r="CT3" s="31"/>
      <c r="CU3" s="31"/>
      <c r="CV3" s="31"/>
      <c r="CW3" s="31"/>
      <c r="CX3" s="31"/>
      <c r="CY3" s="31"/>
      <c r="CZ3" s="31"/>
      <c r="DA3" s="31"/>
      <c r="DB3" s="31"/>
      <c r="DC3" s="31"/>
      <c r="DD3" s="31"/>
      <c r="DE3" s="31"/>
      <c r="DF3" s="31"/>
      <c r="DG3" s="31"/>
      <c r="DH3" s="31"/>
      <c r="DI3" s="31"/>
      <c r="DJ3" s="31"/>
      <c r="DK3" s="31"/>
      <c r="DL3" s="31"/>
      <c r="DM3" s="31"/>
      <c r="DN3" s="31"/>
      <c r="DO3" s="31"/>
      <c r="DP3" s="31"/>
      <c r="DQ3" s="31"/>
      <c r="DR3" s="31"/>
      <c r="DS3" s="31"/>
      <c r="DT3" s="31"/>
      <c r="DU3" s="32"/>
      <c r="DV3" s="31"/>
      <c r="DW3" s="31"/>
      <c r="DX3" s="31"/>
      <c r="DY3" s="31"/>
      <c r="DZ3" s="31"/>
      <c r="EA3" s="31"/>
      <c r="EB3" s="31"/>
      <c r="EC3" s="31"/>
      <c r="ED3" s="31"/>
      <c r="EE3" s="31"/>
    </row>
    <row r="4">
      <c r="A4" s="6"/>
      <c r="B4" s="33" t="s">
        <v>31</v>
      </c>
      <c r="C4" s="34">
        <f>if(M90="",D130, vlookup($A$11,$B$90:$S$121,14,false))</f>
        <v>11.41</v>
      </c>
      <c r="D4" s="6"/>
      <c r="E4" s="35" t="s">
        <v>32</v>
      </c>
      <c r="F4" s="36">
        <f>C4*C7/100/2</f>
        <v>5.69359</v>
      </c>
      <c r="G4" s="6"/>
      <c r="H4" s="6"/>
      <c r="I4" s="6"/>
      <c r="J4" s="6"/>
      <c r="K4" s="6"/>
      <c r="L4" s="6"/>
      <c r="M4" s="6"/>
      <c r="N4" s="6"/>
      <c r="O4" s="6"/>
      <c r="P4" s="6"/>
      <c r="Q4" s="35" t="s">
        <v>33</v>
      </c>
      <c r="R4" s="6">
        <f>sum(AB14:AB42)</f>
        <v>9503</v>
      </c>
      <c r="S4" s="6"/>
      <c r="T4" s="6"/>
      <c r="U4" s="6"/>
      <c r="V4" s="6"/>
      <c r="W4" s="35" t="s">
        <v>34</v>
      </c>
      <c r="X4" s="6">
        <f>sum(V14:V44)</f>
        <v>3643</v>
      </c>
      <c r="Y4" s="6"/>
      <c r="Z4" s="6"/>
      <c r="AA4" s="35" t="s">
        <v>35</v>
      </c>
      <c r="AB4" s="37">
        <f>sum(AG14:AG40)</f>
        <v>2624.82</v>
      </c>
      <c r="AC4" s="6"/>
      <c r="AD4" s="6"/>
      <c r="AE4" s="6"/>
      <c r="AF4" s="6"/>
      <c r="AG4" s="6"/>
      <c r="AH4" s="6"/>
      <c r="AI4" s="6"/>
      <c r="AJ4" s="6"/>
      <c r="AK4" s="31"/>
      <c r="AL4" s="31"/>
      <c r="AM4" s="6"/>
      <c r="AN4" s="6"/>
      <c r="BJ4" s="9" t="s">
        <v>36</v>
      </c>
      <c r="BK4" s="24">
        <v>1.5896</v>
      </c>
      <c r="BL4" s="24">
        <v>10.8919</v>
      </c>
      <c r="BM4" s="38"/>
      <c r="BN4" s="24">
        <v>1.4677</v>
      </c>
      <c r="BO4" s="24">
        <v>-4.3995</v>
      </c>
      <c r="BP4" s="38"/>
      <c r="BQ4" s="39"/>
      <c r="BV4" s="26"/>
      <c r="BW4" s="26"/>
      <c r="BX4" s="26"/>
      <c r="BY4" s="26"/>
      <c r="BZ4" s="27" t="s">
        <v>29</v>
      </c>
      <c r="CA4" s="29">
        <f>CA3</f>
        <v>0.86</v>
      </c>
      <c r="CB4" s="28">
        <v>-0.78</v>
      </c>
      <c r="CC4" s="29">
        <f t="shared" si="1"/>
        <v>-0.3432</v>
      </c>
      <c r="CD4" s="29">
        <f>CD3</f>
        <v>0.389</v>
      </c>
      <c r="CE4" s="28">
        <v>1.034</v>
      </c>
      <c r="CF4" s="29">
        <f>CF3</f>
        <v>-0.964</v>
      </c>
      <c r="CG4" s="40">
        <v>0.181</v>
      </c>
      <c r="CH4" s="29">
        <f>CG4</f>
        <v>0.181</v>
      </c>
      <c r="CI4" s="28">
        <v>0.0</v>
      </c>
      <c r="CJ4" s="28">
        <v>1.008</v>
      </c>
      <c r="CK4" s="28">
        <v>0.703</v>
      </c>
      <c r="CL4" s="29">
        <f>CL3</f>
        <v>-0.367</v>
      </c>
      <c r="CM4" s="6"/>
      <c r="CN4" s="41" t="s">
        <v>24</v>
      </c>
      <c r="CO4" s="42">
        <f>-0.409*2</f>
        <v>-0.818</v>
      </c>
      <c r="CP4" s="43">
        <v>0.0</v>
      </c>
      <c r="CQ4" s="43">
        <v>0.0</v>
      </c>
      <c r="CR4" s="44">
        <v>1.387</v>
      </c>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2"/>
      <c r="DV4" s="31"/>
      <c r="DW4" s="31"/>
      <c r="DX4" s="31"/>
      <c r="DY4" s="31"/>
      <c r="DZ4" s="31"/>
      <c r="EA4" s="31"/>
      <c r="EB4" s="31"/>
      <c r="EC4" s="31"/>
      <c r="ED4" s="31"/>
      <c r="EE4" s="31"/>
    </row>
    <row r="5">
      <c r="A5" s="45"/>
      <c r="B5" s="33" t="s">
        <v>37</v>
      </c>
      <c r="C5" s="34">
        <f>if(M90="",N130, vlookup($A$11,$B$90:$S$121,15,false))</f>
        <v>6.4915</v>
      </c>
      <c r="D5" s="6"/>
      <c r="E5" s="35" t="s">
        <v>38</v>
      </c>
      <c r="F5" s="36">
        <f>0.35/2*F4</f>
        <v>0.99637825</v>
      </c>
      <c r="G5" s="6"/>
      <c r="H5" s="6"/>
      <c r="I5" s="6"/>
      <c r="J5" s="6"/>
      <c r="K5" s="6"/>
      <c r="L5" s="6"/>
      <c r="M5" s="6"/>
      <c r="N5" s="6"/>
      <c r="O5" s="6"/>
      <c r="P5" s="6"/>
      <c r="Q5" s="35" t="s">
        <v>39</v>
      </c>
      <c r="R5" s="6">
        <f>sum(H14:H42)</f>
        <v>7140</v>
      </c>
      <c r="S5" s="6"/>
      <c r="T5" s="6"/>
      <c r="U5" s="6"/>
      <c r="V5" s="6"/>
      <c r="W5" s="35" t="s">
        <v>40</v>
      </c>
      <c r="X5" s="6">
        <f>sum(X14:X43)</f>
        <v>785</v>
      </c>
      <c r="Y5" s="6"/>
      <c r="Z5" s="6"/>
      <c r="AA5" s="6"/>
      <c r="AB5" s="6"/>
      <c r="AC5" s="6"/>
      <c r="AD5" s="6"/>
      <c r="AE5" s="6"/>
      <c r="AF5" s="6"/>
      <c r="AG5" s="6"/>
      <c r="AH5" s="6"/>
      <c r="AI5" s="6"/>
      <c r="AJ5" s="6"/>
      <c r="AK5" s="46"/>
      <c r="AL5" s="46"/>
      <c r="AM5" s="46"/>
      <c r="AN5" s="46"/>
      <c r="BJ5" s="46"/>
      <c r="BK5" s="46"/>
      <c r="BL5" s="46"/>
      <c r="BM5" s="47"/>
      <c r="BN5" s="47"/>
      <c r="BO5" s="47"/>
      <c r="BP5" s="47"/>
      <c r="BQ5" s="47"/>
      <c r="BV5" s="48"/>
      <c r="BW5" s="48"/>
      <c r="BX5" s="48"/>
      <c r="BY5" s="48"/>
      <c r="BZ5" s="48" t="s">
        <v>41</v>
      </c>
      <c r="CA5" s="49"/>
      <c r="CB5" s="49"/>
      <c r="CC5" s="49"/>
      <c r="CD5" s="49"/>
      <c r="CE5" s="49"/>
      <c r="CF5" s="49"/>
      <c r="CG5" s="49"/>
      <c r="CH5" s="49"/>
      <c r="CI5" s="49"/>
      <c r="CJ5" s="49"/>
      <c r="CK5" s="49"/>
      <c r="CL5" s="49"/>
      <c r="CM5" s="46"/>
      <c r="CN5" s="46"/>
      <c r="CO5" s="46"/>
      <c r="CP5" s="46"/>
      <c r="CQ5" s="46"/>
      <c r="CR5" s="50"/>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51"/>
      <c r="DV5" s="46"/>
      <c r="DW5" s="46"/>
      <c r="DX5" s="46"/>
      <c r="DY5" s="46"/>
      <c r="DZ5" s="46"/>
      <c r="EA5" s="46"/>
      <c r="EB5" s="46"/>
      <c r="EC5" s="46"/>
      <c r="ED5" s="46"/>
      <c r="EE5" s="46"/>
    </row>
    <row r="6">
      <c r="A6" s="45"/>
      <c r="B6" s="33" t="s">
        <v>42</v>
      </c>
      <c r="C6" s="53">
        <f>C4-C5</f>
        <v>4.9185</v>
      </c>
      <c r="D6" s="6"/>
      <c r="E6" s="54" t="s">
        <v>43</v>
      </c>
      <c r="F6" s="55">
        <f>C4+F5</f>
        <v>12.40637825</v>
      </c>
      <c r="G6" s="6"/>
      <c r="H6" s="6"/>
      <c r="I6" s="6"/>
      <c r="J6" s="6"/>
      <c r="K6" s="6"/>
      <c r="L6" s="6"/>
      <c r="M6" s="6"/>
      <c r="N6" s="6"/>
      <c r="O6" s="6"/>
      <c r="P6" s="6"/>
      <c r="Q6" s="35" t="s">
        <v>44</v>
      </c>
      <c r="R6" s="6">
        <f>sum(R14:R42)</f>
        <v>1850</v>
      </c>
      <c r="S6" s="6">
        <f>CC3/CB3</f>
        <v>0.44</v>
      </c>
      <c r="T6" s="6"/>
      <c r="U6" s="6"/>
      <c r="V6" s="6"/>
      <c r="W6" s="35" t="s">
        <v>45</v>
      </c>
      <c r="X6" s="6">
        <f>sum(AA14:AA45)</f>
        <v>1585</v>
      </c>
      <c r="Y6" s="6"/>
      <c r="Z6" s="6"/>
      <c r="AA6" s="6"/>
      <c r="AB6" s="6"/>
      <c r="AC6" s="6"/>
      <c r="AD6" s="6"/>
      <c r="AE6" s="6"/>
      <c r="AF6" s="6"/>
      <c r="AG6" s="6"/>
      <c r="AH6" s="6"/>
      <c r="AI6" s="6"/>
      <c r="AJ6" s="6"/>
      <c r="AK6" s="31"/>
      <c r="AL6" s="31"/>
      <c r="AM6" s="31"/>
      <c r="AN6" s="31"/>
      <c r="BJ6" s="9" t="s">
        <v>46</v>
      </c>
      <c r="BK6" s="10" t="s">
        <v>4</v>
      </c>
      <c r="BL6" s="10" t="s">
        <v>47</v>
      </c>
      <c r="BM6" s="10" t="s">
        <v>48</v>
      </c>
      <c r="BN6" s="10" t="s">
        <v>49</v>
      </c>
      <c r="BP6" s="10" t="s">
        <v>50</v>
      </c>
      <c r="BQ6" s="10" t="s">
        <v>10</v>
      </c>
      <c r="BV6" s="11"/>
      <c r="BW6" s="11"/>
      <c r="BX6" s="11"/>
      <c r="BY6" s="11"/>
      <c r="BZ6" s="12" t="s">
        <v>11</v>
      </c>
      <c r="CA6" s="56" t="s">
        <v>12</v>
      </c>
      <c r="CB6" s="57" t="s">
        <v>13</v>
      </c>
      <c r="CC6" s="57" t="s">
        <v>14</v>
      </c>
      <c r="CD6" s="56" t="s">
        <v>15</v>
      </c>
      <c r="CE6" s="56" t="s">
        <v>16</v>
      </c>
      <c r="CF6" s="56" t="s">
        <v>17</v>
      </c>
      <c r="CG6" s="56" t="s">
        <v>18</v>
      </c>
      <c r="CH6" s="56" t="s">
        <v>19</v>
      </c>
      <c r="CI6" s="56" t="s">
        <v>20</v>
      </c>
      <c r="CJ6" s="56" t="s">
        <v>21</v>
      </c>
      <c r="CK6" s="56" t="s">
        <v>22</v>
      </c>
      <c r="CL6" s="56" t="s">
        <v>23</v>
      </c>
      <c r="CM6" s="31"/>
      <c r="CN6" s="14"/>
      <c r="CO6" s="15" t="s">
        <v>24</v>
      </c>
      <c r="CP6" s="16"/>
      <c r="CQ6" s="17"/>
      <c r="CR6" s="58"/>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2"/>
      <c r="DV6" s="31"/>
      <c r="DW6" s="31"/>
      <c r="DX6" s="31"/>
      <c r="DY6" s="31"/>
      <c r="DZ6" s="31"/>
      <c r="EA6" s="31"/>
      <c r="EB6" s="31"/>
      <c r="EC6" s="31"/>
      <c r="ED6" s="31"/>
      <c r="EE6" s="31"/>
    </row>
    <row r="7">
      <c r="A7" s="45"/>
      <c r="B7" s="33" t="s">
        <v>51</v>
      </c>
      <c r="C7" s="59">
        <f>value(trim(right(left(vlookup("Pace",$D$136:$E$150,2,false),7),6)))</f>
        <v>99.8</v>
      </c>
      <c r="D7" s="6"/>
      <c r="E7" s="54" t="s">
        <v>52</v>
      </c>
      <c r="F7" s="55">
        <f>C5+F5/2</f>
        <v>6.989689125</v>
      </c>
      <c r="G7" s="6"/>
      <c r="H7" s="6"/>
      <c r="I7" s="6"/>
      <c r="J7" s="6"/>
      <c r="K7" s="6"/>
      <c r="L7" s="6"/>
      <c r="M7" s="6"/>
      <c r="N7" s="6"/>
      <c r="O7" s="6"/>
      <c r="P7" s="6"/>
      <c r="Q7" s="35" t="s">
        <v>53</v>
      </c>
      <c r="R7" s="36">
        <f>R4/(R5+R6*S6)</f>
        <v>1.194744782</v>
      </c>
      <c r="S7" s="6"/>
      <c r="T7" s="6"/>
      <c r="U7" s="6"/>
      <c r="V7" s="6"/>
      <c r="W7" s="35" t="s">
        <v>54</v>
      </c>
      <c r="X7" s="6">
        <f>sum(W14:W44)</f>
        <v>2491</v>
      </c>
      <c r="Y7" s="6"/>
      <c r="Z7" s="6"/>
      <c r="AA7" s="6"/>
      <c r="AB7" s="6"/>
      <c r="AC7" s="6"/>
      <c r="AD7" s="6"/>
      <c r="AE7" s="6"/>
      <c r="AF7" s="6"/>
      <c r="AG7" s="6"/>
      <c r="AH7" s="6"/>
      <c r="AI7" s="6"/>
      <c r="AJ7" s="6"/>
      <c r="AK7" s="31"/>
      <c r="AL7" s="31"/>
      <c r="AM7" s="31"/>
      <c r="AN7" s="31"/>
      <c r="BJ7" s="31"/>
      <c r="BK7" s="24">
        <v>6.0</v>
      </c>
      <c r="BL7" s="24">
        <v>-6.6416</v>
      </c>
      <c r="BM7" s="24">
        <v>-8.5441</v>
      </c>
      <c r="BN7" s="24">
        <v>-0.33</v>
      </c>
      <c r="BO7" s="60"/>
      <c r="BP7" s="24">
        <v>4.0</v>
      </c>
      <c r="BQ7" s="25">
        <v>50.0</v>
      </c>
      <c r="BV7" s="26"/>
      <c r="BW7" s="26"/>
      <c r="BX7" s="26"/>
      <c r="BY7" s="26"/>
      <c r="BZ7" s="27" t="s">
        <v>27</v>
      </c>
      <c r="CA7" s="28">
        <v>0.605</v>
      </c>
      <c r="CB7" s="28">
        <v>-0.33</v>
      </c>
      <c r="CC7" s="29">
        <f t="shared" ref="CC7:CC8" si="2">0.44*CB7</f>
        <v>-0.1452</v>
      </c>
      <c r="CD7" s="28">
        <v>0.477</v>
      </c>
      <c r="CE7" s="28">
        <v>0.476</v>
      </c>
      <c r="CF7" s="28">
        <v>-0.579</v>
      </c>
      <c r="CG7" s="28">
        <v>0.606</v>
      </c>
      <c r="CH7" s="28">
        <v>-0.112</v>
      </c>
      <c r="CI7" s="28">
        <v>0.0</v>
      </c>
      <c r="CJ7" s="28">
        <v>0.177</v>
      </c>
      <c r="CK7" s="28">
        <v>0.725</v>
      </c>
      <c r="CL7" s="28">
        <v>-0.439</v>
      </c>
      <c r="CM7" s="31"/>
      <c r="CN7" s="30"/>
      <c r="CO7" s="27" t="s">
        <v>27</v>
      </c>
      <c r="CP7" s="27" t="s">
        <v>28</v>
      </c>
      <c r="CQ7" s="27" t="s">
        <v>29</v>
      </c>
      <c r="CR7" s="13" t="s">
        <v>30</v>
      </c>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2"/>
      <c r="DV7" s="31"/>
      <c r="DW7" s="31"/>
      <c r="DX7" s="31"/>
      <c r="DY7" s="31"/>
      <c r="DZ7" s="46"/>
      <c r="EA7" s="46"/>
      <c r="EB7" s="46"/>
      <c r="EC7" s="46"/>
      <c r="ED7" s="46"/>
      <c r="EE7" s="46"/>
    </row>
    <row r="8">
      <c r="A8" s="45"/>
      <c r="B8" s="61" t="s">
        <v>55</v>
      </c>
      <c r="D8" s="6"/>
      <c r="E8" s="6"/>
      <c r="F8" s="6"/>
      <c r="G8" s="6"/>
      <c r="H8" s="6"/>
      <c r="I8" s="6"/>
      <c r="J8" s="6"/>
      <c r="K8" s="6"/>
      <c r="L8" s="6"/>
      <c r="M8" s="6"/>
      <c r="N8" s="6"/>
      <c r="O8" s="6"/>
      <c r="P8" s="6"/>
      <c r="Q8" s="35" t="s">
        <v>56</v>
      </c>
      <c r="R8" s="62">
        <v>1.0</v>
      </c>
      <c r="S8" s="6"/>
      <c r="T8" s="6"/>
      <c r="U8" s="6"/>
      <c r="V8" s="6"/>
      <c r="W8" s="35" t="s">
        <v>57</v>
      </c>
      <c r="X8" s="6">
        <f>sum(Y14:Y47)</f>
        <v>555</v>
      </c>
      <c r="Y8" s="6"/>
      <c r="Z8" s="6"/>
      <c r="AA8" s="6"/>
      <c r="AB8" s="6"/>
      <c r="AC8" s="6"/>
      <c r="AD8" s="6"/>
      <c r="AE8" s="6"/>
      <c r="AF8" s="6"/>
      <c r="AG8" s="6"/>
      <c r="AH8" s="6"/>
      <c r="AI8" s="6"/>
      <c r="AJ8" s="6"/>
      <c r="AK8" s="46"/>
      <c r="AL8" s="46"/>
      <c r="AM8" s="46"/>
      <c r="AN8" s="46"/>
      <c r="BE8" s="46"/>
      <c r="BF8" s="46"/>
      <c r="BG8" s="46"/>
      <c r="BH8" s="47"/>
      <c r="BI8" s="47"/>
      <c r="BJ8" s="47"/>
      <c r="BK8" s="47"/>
      <c r="BL8" s="47"/>
      <c r="BM8" s="63"/>
      <c r="BN8" s="26"/>
      <c r="BO8" s="26"/>
      <c r="BP8" s="26"/>
      <c r="BQ8" s="26"/>
      <c r="BR8" s="26"/>
      <c r="BS8" s="26"/>
      <c r="BT8" s="26"/>
      <c r="BU8" s="26"/>
      <c r="BV8" s="26"/>
      <c r="BW8" s="26"/>
      <c r="BX8" s="26"/>
      <c r="BY8" s="26"/>
      <c r="BZ8" s="27" t="s">
        <v>29</v>
      </c>
      <c r="CA8" s="29">
        <f>CA7</f>
        <v>0.605</v>
      </c>
      <c r="CB8" s="28">
        <v>-0.472</v>
      </c>
      <c r="CC8" s="29">
        <f t="shared" si="2"/>
        <v>-0.20768</v>
      </c>
      <c r="CD8" s="29">
        <f t="shared" ref="CD8:CE8" si="3">CD7</f>
        <v>0.477</v>
      </c>
      <c r="CE8" s="29">
        <f t="shared" si="3"/>
        <v>0.476</v>
      </c>
      <c r="CF8" s="28">
        <v>-0.882</v>
      </c>
      <c r="CG8" s="40">
        <v>0.422</v>
      </c>
      <c r="CH8" s="40">
        <v>0.103</v>
      </c>
      <c r="CI8" s="28">
        <v>0.0</v>
      </c>
      <c r="CJ8" s="28">
        <v>0.294</v>
      </c>
      <c r="CK8" s="28">
        <v>0.097</v>
      </c>
      <c r="CL8" s="64">
        <f>CL7</f>
        <v>-0.439</v>
      </c>
      <c r="CM8" s="46"/>
      <c r="CN8" s="41" t="s">
        <v>24</v>
      </c>
      <c r="CO8" s="43">
        <f>-0.849*2</f>
        <v>-1.698</v>
      </c>
      <c r="CP8" s="43">
        <v>0.0</v>
      </c>
      <c r="CQ8" s="43">
        <f>0</f>
        <v>0</v>
      </c>
      <c r="CR8" s="44">
        <v>0.43</v>
      </c>
      <c r="CT8" s="65" t="s">
        <v>58</v>
      </c>
      <c r="CU8" s="46"/>
      <c r="CV8" s="46"/>
      <c r="CW8" s="46"/>
      <c r="CX8" s="46"/>
      <c r="CY8" s="46"/>
      <c r="DA8" s="46"/>
      <c r="DC8" s="46"/>
      <c r="DD8" s="46"/>
      <c r="DE8" s="46"/>
      <c r="DF8" s="46"/>
      <c r="DG8" s="46"/>
      <c r="DH8" s="46"/>
      <c r="DI8" s="46"/>
      <c r="DJ8" s="46"/>
      <c r="DK8" s="46"/>
      <c r="DL8" s="46"/>
      <c r="DM8" s="46"/>
      <c r="DN8" s="46"/>
      <c r="DO8" s="65" t="s">
        <v>58</v>
      </c>
      <c r="DP8" s="46"/>
      <c r="DQ8" s="46"/>
      <c r="DR8" s="46"/>
      <c r="DS8" s="46"/>
      <c r="DT8" s="46"/>
      <c r="DU8" s="51"/>
      <c r="DV8" s="46"/>
      <c r="DW8" s="46"/>
      <c r="DX8" s="46"/>
      <c r="DY8" s="46"/>
      <c r="DZ8" s="31"/>
      <c r="EA8" s="31"/>
      <c r="EB8" s="31"/>
      <c r="EC8" s="31"/>
      <c r="ED8" s="31"/>
      <c r="EE8" s="31"/>
    </row>
    <row r="9">
      <c r="A9" s="45"/>
      <c r="B9" s="66" t="str">
        <f>concatenate("https://www.basketball-reference.com/teams/",B3,"/",C3,".html")</f>
        <v>https://www.basketball-reference.com/teams/GSW/2017.html</v>
      </c>
      <c r="C9" s="6"/>
      <c r="D9" s="6"/>
      <c r="E9" s="6"/>
      <c r="F9" s="6"/>
      <c r="G9" s="6"/>
      <c r="H9" s="6"/>
      <c r="I9" s="6"/>
      <c r="J9" s="6"/>
      <c r="K9" s="6"/>
      <c r="L9" s="6"/>
      <c r="M9" s="6"/>
      <c r="N9" s="6"/>
      <c r="O9" s="6"/>
      <c r="P9" s="6"/>
      <c r="Q9" s="35" t="s">
        <v>59</v>
      </c>
      <c r="R9" s="6">
        <f>sum(F13:F42)</f>
        <v>19780</v>
      </c>
      <c r="S9" s="6"/>
      <c r="T9" s="6"/>
      <c r="U9" s="6"/>
      <c r="V9" s="6"/>
      <c r="W9" s="35" t="s">
        <v>60</v>
      </c>
      <c r="X9" s="6">
        <f>round(sum(E14:E36)/5,0)</f>
        <v>82</v>
      </c>
      <c r="Y9" s="6"/>
      <c r="Z9" s="6"/>
      <c r="AA9" s="6"/>
      <c r="AB9" s="6"/>
      <c r="AC9" s="6"/>
      <c r="AD9" s="6"/>
      <c r="AE9" s="6"/>
      <c r="AF9" s="6"/>
      <c r="AG9" s="6"/>
      <c r="AH9" s="6"/>
      <c r="AI9" s="6"/>
      <c r="AJ9" s="6"/>
      <c r="AK9" s="31"/>
      <c r="AL9" s="31"/>
      <c r="AM9" s="31"/>
      <c r="AN9" s="31"/>
      <c r="AO9" s="31"/>
      <c r="AP9" s="31"/>
      <c r="AQ9" s="31"/>
      <c r="AR9" s="60"/>
      <c r="AS9" s="60"/>
      <c r="AT9" s="60"/>
      <c r="AU9" s="60"/>
      <c r="AV9" s="60"/>
      <c r="AW9" s="60"/>
      <c r="AX9" s="67"/>
      <c r="AY9" s="1"/>
      <c r="AZ9" s="1"/>
      <c r="BA9" s="1"/>
      <c r="BB9" s="1"/>
      <c r="BC9" s="60"/>
      <c r="BD9" s="60"/>
      <c r="BE9" s="60"/>
      <c r="BF9" s="60"/>
      <c r="BG9" s="60"/>
      <c r="BH9" s="60"/>
      <c r="BI9" s="60"/>
      <c r="BJ9" s="60"/>
      <c r="BK9" s="60"/>
      <c r="BL9" s="60"/>
      <c r="BM9" s="60"/>
      <c r="BN9" s="68"/>
      <c r="BO9" s="68"/>
      <c r="BP9" s="68"/>
      <c r="BQ9" s="68"/>
      <c r="BR9" s="68"/>
      <c r="BS9" s="68"/>
      <c r="BT9" s="68"/>
      <c r="BU9" s="68"/>
      <c r="BV9" s="68"/>
      <c r="BW9" s="68"/>
      <c r="BX9" s="68"/>
      <c r="BY9" s="68"/>
      <c r="BZ9" s="68"/>
      <c r="CA9" s="31"/>
      <c r="CB9" s="31"/>
      <c r="CC9" s="31"/>
      <c r="CD9" s="31"/>
      <c r="CE9" s="31"/>
      <c r="CF9" s="31"/>
      <c r="CH9" s="31"/>
      <c r="CI9" s="31"/>
      <c r="CJ9" s="31"/>
      <c r="CK9" s="31"/>
      <c r="CL9" s="31"/>
      <c r="CM9" s="31"/>
      <c r="CN9" s="31"/>
      <c r="CO9" s="31"/>
      <c r="CP9" s="31"/>
      <c r="CQ9" s="31"/>
      <c r="CR9" s="31"/>
      <c r="CS9" s="31"/>
      <c r="CT9" s="69">
        <f>sum($CT$14:$CT$41)</f>
        <v>53.19308366</v>
      </c>
      <c r="CU9" s="31"/>
      <c r="CV9" s="31"/>
      <c r="CW9" s="31"/>
      <c r="CX9" s="31"/>
      <c r="CY9" s="31"/>
      <c r="CZ9" s="31"/>
      <c r="DA9" s="31"/>
      <c r="DC9" s="31"/>
      <c r="DD9" s="31"/>
      <c r="DE9" s="31"/>
      <c r="DF9" s="31"/>
      <c r="DG9" s="31"/>
      <c r="DH9" s="31"/>
      <c r="DI9" s="31"/>
      <c r="DJ9" s="31"/>
      <c r="DK9" s="31"/>
      <c r="DL9" s="31"/>
      <c r="DM9" s="31"/>
      <c r="DN9" s="31"/>
      <c r="DO9" s="69">
        <f>sum($DO$14:$DO$44)</f>
        <v>29.75816347</v>
      </c>
      <c r="DP9" s="31"/>
      <c r="DQ9" s="31"/>
      <c r="DR9" s="31"/>
      <c r="DS9" s="31"/>
      <c r="DT9" s="31"/>
      <c r="DU9" s="32"/>
      <c r="DV9" s="31"/>
      <c r="DW9" s="31"/>
      <c r="DX9" s="31"/>
      <c r="DY9" s="31"/>
      <c r="DZ9" s="46"/>
      <c r="EA9" s="46"/>
      <c r="EB9" s="46"/>
      <c r="EC9" s="46"/>
      <c r="ED9" s="46"/>
      <c r="EE9" s="46"/>
    </row>
    <row r="10">
      <c r="AW10" s="5"/>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T10" s="70" t="s">
        <v>61</v>
      </c>
      <c r="DO10" s="70" t="s">
        <v>61</v>
      </c>
      <c r="DU10" s="4"/>
      <c r="DZ10" s="31"/>
      <c r="EA10" s="31"/>
      <c r="EB10" s="31"/>
      <c r="EC10" s="31"/>
      <c r="ED10" s="31"/>
      <c r="EE10" s="31"/>
    </row>
    <row r="11">
      <c r="A11" s="71" t="s">
        <v>226</v>
      </c>
      <c r="B11" s="72"/>
      <c r="D11" s="71" t="str">
        <f>left(C138,find(",",C138)-1)</f>
        <v> 67-15</v>
      </c>
      <c r="AW11" s="5"/>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T11" s="69">
        <f>($F$6-CT9)/5</f>
        <v>-8.157341082</v>
      </c>
      <c r="DO11" s="69">
        <f>($F$7-DO9)/5</f>
        <v>-4.553694869</v>
      </c>
      <c r="DP11" s="73" t="str">
        <f>CONCATENATE(C3," ",A11," (",trim(D11),")")</f>
        <v>2017 Golden State Warriors (67-15)</v>
      </c>
      <c r="DQ11" s="74"/>
      <c r="DR11" s="74"/>
      <c r="DS11" s="75"/>
      <c r="DT11" s="76"/>
      <c r="DU11" s="77"/>
      <c r="DV11" s="76"/>
      <c r="DW11" s="76"/>
      <c r="DX11" s="76"/>
      <c r="DY11" s="78"/>
      <c r="DZ11" s="46"/>
      <c r="EA11" s="46"/>
      <c r="EB11" s="46"/>
      <c r="EC11" s="46"/>
      <c r="ED11" s="46"/>
      <c r="EE11" s="46"/>
    </row>
    <row r="12">
      <c r="A12" s="70" t="s">
        <v>63</v>
      </c>
      <c r="B12" s="70"/>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0" t="s">
        <v>64</v>
      </c>
      <c r="AD12" s="79"/>
      <c r="AE12" s="79"/>
      <c r="AF12" s="79"/>
      <c r="AG12" s="79"/>
      <c r="AH12" s="70" t="s">
        <v>65</v>
      </c>
      <c r="AI12" s="79"/>
      <c r="AJ12" s="79"/>
      <c r="AK12" s="79"/>
      <c r="AL12" s="79"/>
      <c r="AM12" s="79"/>
      <c r="AN12" s="79"/>
      <c r="AO12" s="79"/>
      <c r="AP12" s="79"/>
      <c r="AQ12" s="79"/>
      <c r="AR12" s="79"/>
      <c r="AS12" s="79"/>
      <c r="AT12" s="70" t="s">
        <v>66</v>
      </c>
      <c r="AU12" s="70"/>
      <c r="AV12" s="70"/>
      <c r="AW12" s="70"/>
      <c r="AX12" s="70"/>
      <c r="AY12" s="70"/>
      <c r="AZ12" s="80" t="s">
        <v>67</v>
      </c>
      <c r="BA12" s="81"/>
      <c r="BB12" s="81"/>
      <c r="BC12" s="81"/>
      <c r="BD12" s="81"/>
      <c r="BE12" s="81"/>
      <c r="BF12" s="81"/>
      <c r="BG12" s="81"/>
      <c r="BH12" s="81"/>
      <c r="BI12" s="81"/>
      <c r="BJ12" s="81"/>
      <c r="BK12" s="81"/>
      <c r="BL12" s="81"/>
      <c r="BM12" s="82"/>
      <c r="BN12" s="83" t="s">
        <v>312</v>
      </c>
      <c r="BO12" s="83"/>
      <c r="BP12" s="83"/>
      <c r="BQ12" s="83"/>
      <c r="BR12" s="83"/>
      <c r="BS12" s="83"/>
      <c r="BT12" s="83"/>
      <c r="BU12" s="83"/>
      <c r="BV12" s="83"/>
      <c r="BW12" s="83"/>
      <c r="BX12" s="83"/>
      <c r="BY12" s="83"/>
      <c r="BZ12" s="3" t="s">
        <v>69</v>
      </c>
      <c r="CA12" s="84"/>
      <c r="CB12" s="84"/>
      <c r="CC12" s="84"/>
      <c r="CD12" s="84"/>
      <c r="CE12" s="84"/>
      <c r="CF12" s="84"/>
      <c r="CG12" s="84"/>
      <c r="CH12" s="84"/>
      <c r="CI12" s="84"/>
      <c r="CJ12" s="84"/>
      <c r="CK12" s="84"/>
      <c r="CL12" s="84"/>
      <c r="CM12" s="11" t="s">
        <v>70</v>
      </c>
      <c r="CN12" s="79"/>
      <c r="CO12" s="79"/>
      <c r="CP12" s="79"/>
      <c r="CQ12" s="79"/>
      <c r="CR12" s="79"/>
      <c r="CS12" s="79"/>
      <c r="CT12" s="79"/>
      <c r="CU12" s="3" t="s">
        <v>71</v>
      </c>
      <c r="CV12" s="84"/>
      <c r="CW12" s="84"/>
      <c r="CX12" s="84"/>
      <c r="CY12" s="84"/>
      <c r="CZ12" s="84"/>
      <c r="DA12" s="84"/>
      <c r="DB12" s="84"/>
      <c r="DC12" s="84"/>
      <c r="DD12" s="84"/>
      <c r="DE12" s="84"/>
      <c r="DF12" s="84"/>
      <c r="DG12" s="84"/>
      <c r="DH12" s="11" t="s">
        <v>72</v>
      </c>
      <c r="DI12" s="79"/>
      <c r="DJ12" s="79"/>
      <c r="DK12" s="79"/>
      <c r="DL12" s="79"/>
      <c r="DM12" s="79"/>
      <c r="DN12" s="79"/>
      <c r="DO12" s="79"/>
      <c r="DP12" s="85"/>
      <c r="DQ12" s="86"/>
      <c r="DR12" s="86"/>
      <c r="DS12" s="87"/>
      <c r="DT12" s="88" t="s">
        <v>73</v>
      </c>
      <c r="DU12" s="89">
        <f>C7</f>
        <v>99.8</v>
      </c>
      <c r="DV12" s="88" t="s">
        <v>74</v>
      </c>
      <c r="DW12" s="89">
        <f>C4</f>
        <v>11.41</v>
      </c>
      <c r="DX12" s="88" t="s">
        <v>75</v>
      </c>
      <c r="DY12" s="90">
        <f>C5</f>
        <v>6.4915</v>
      </c>
      <c r="DZ12" s="31"/>
      <c r="EA12" s="31"/>
      <c r="EB12" s="31"/>
      <c r="EC12" s="31"/>
      <c r="ED12" s="31"/>
      <c r="EE12" s="31"/>
    </row>
    <row r="13">
      <c r="A13" s="91" t="s">
        <v>76</v>
      </c>
      <c r="B13" s="92"/>
      <c r="C13" s="91" t="s">
        <v>77</v>
      </c>
      <c r="D13" s="91" t="s">
        <v>78</v>
      </c>
      <c r="E13" s="91" t="s">
        <v>79</v>
      </c>
      <c r="F13" s="91" t="s">
        <v>80</v>
      </c>
      <c r="G13" s="91" t="s">
        <v>81</v>
      </c>
      <c r="H13" s="91" t="s">
        <v>13</v>
      </c>
      <c r="I13" s="91" t="s">
        <v>82</v>
      </c>
      <c r="J13" s="91" t="s">
        <v>83</v>
      </c>
      <c r="K13" s="91" t="s">
        <v>84</v>
      </c>
      <c r="L13" s="91" t="s">
        <v>85</v>
      </c>
      <c r="M13" s="91" t="s">
        <v>86</v>
      </c>
      <c r="N13" s="91" t="s">
        <v>87</v>
      </c>
      <c r="O13" s="91" t="s">
        <v>88</v>
      </c>
      <c r="P13" s="91" t="s">
        <v>89</v>
      </c>
      <c r="Q13" s="91" t="s">
        <v>90</v>
      </c>
      <c r="R13" s="91" t="s">
        <v>14</v>
      </c>
      <c r="S13" s="91" t="s">
        <v>91</v>
      </c>
      <c r="T13" s="91" t="s">
        <v>18</v>
      </c>
      <c r="U13" s="91" t="s">
        <v>19</v>
      </c>
      <c r="V13" s="91" t="s">
        <v>20</v>
      </c>
      <c r="W13" s="91" t="s">
        <v>16</v>
      </c>
      <c r="X13" s="91" t="s">
        <v>21</v>
      </c>
      <c r="Y13" s="91" t="s">
        <v>22</v>
      </c>
      <c r="Z13" s="91" t="s">
        <v>92</v>
      </c>
      <c r="AA13" s="91" t="s">
        <v>23</v>
      </c>
      <c r="AB13" s="91" t="s">
        <v>93</v>
      </c>
      <c r="AC13" s="93" t="s">
        <v>94</v>
      </c>
      <c r="AD13" s="93" t="s">
        <v>95</v>
      </c>
      <c r="AE13" s="93" t="s">
        <v>96</v>
      </c>
      <c r="AF13" s="93" t="s">
        <v>97</v>
      </c>
      <c r="AG13" s="94" t="s">
        <v>98</v>
      </c>
      <c r="AH13" s="95" t="s">
        <v>99</v>
      </c>
      <c r="AI13" s="95" t="s">
        <v>13</v>
      </c>
      <c r="AJ13" s="95" t="s">
        <v>14</v>
      </c>
      <c r="AK13" s="95" t="s">
        <v>100</v>
      </c>
      <c r="AL13" s="96" t="s">
        <v>16</v>
      </c>
      <c r="AM13" s="96" t="s">
        <v>17</v>
      </c>
      <c r="AN13" s="95" t="s">
        <v>18</v>
      </c>
      <c r="AO13" s="95" t="s">
        <v>19</v>
      </c>
      <c r="AP13" s="95" t="s">
        <v>20</v>
      </c>
      <c r="AQ13" s="95" t="s">
        <v>21</v>
      </c>
      <c r="AR13" s="95" t="s">
        <v>22</v>
      </c>
      <c r="AS13" s="95" t="s">
        <v>23</v>
      </c>
      <c r="AT13" s="10" t="s">
        <v>5</v>
      </c>
      <c r="AU13" s="10" t="s">
        <v>6</v>
      </c>
      <c r="AV13" s="10" t="s">
        <v>7</v>
      </c>
      <c r="AW13" s="10" t="s">
        <v>8</v>
      </c>
      <c r="AX13" s="10" t="s">
        <v>9</v>
      </c>
      <c r="AY13" s="97" t="s">
        <v>101</v>
      </c>
      <c r="AZ13" s="97" t="s">
        <v>102</v>
      </c>
      <c r="BA13" s="97" t="s">
        <v>103</v>
      </c>
      <c r="BB13" s="97" t="s">
        <v>104</v>
      </c>
      <c r="BC13" s="97" t="s">
        <v>105</v>
      </c>
      <c r="BD13" s="97" t="s">
        <v>106</v>
      </c>
      <c r="BE13" s="97" t="s">
        <v>107</v>
      </c>
      <c r="BF13" s="97" t="s">
        <v>108</v>
      </c>
      <c r="BG13" s="97" t="s">
        <v>109</v>
      </c>
      <c r="BH13" s="97" t="s">
        <v>110</v>
      </c>
      <c r="BI13" s="97" t="s">
        <v>111</v>
      </c>
      <c r="BJ13" s="97" t="s">
        <v>112</v>
      </c>
      <c r="BK13" s="97" t="s">
        <v>113</v>
      </c>
      <c r="BL13" s="97" t="s">
        <v>114</v>
      </c>
      <c r="BM13" s="97" t="s">
        <v>102</v>
      </c>
      <c r="BN13" s="97" t="s">
        <v>115</v>
      </c>
      <c r="BO13" s="97" t="s">
        <v>105</v>
      </c>
      <c r="BP13" s="97" t="s">
        <v>106</v>
      </c>
      <c r="BQ13" s="97" t="s">
        <v>107</v>
      </c>
      <c r="BR13" s="97" t="s">
        <v>116</v>
      </c>
      <c r="BS13" s="97" t="s">
        <v>109</v>
      </c>
      <c r="BT13" s="97" t="s">
        <v>110</v>
      </c>
      <c r="BU13" s="97" t="s">
        <v>117</v>
      </c>
      <c r="BV13" s="97" t="s">
        <v>112</v>
      </c>
      <c r="BW13" s="97" t="s">
        <v>113</v>
      </c>
      <c r="BX13" s="97" t="s">
        <v>118</v>
      </c>
      <c r="BY13" s="97" t="s">
        <v>68</v>
      </c>
      <c r="BZ13" s="98" t="s">
        <v>119</v>
      </c>
      <c r="CA13" s="99" t="s">
        <v>12</v>
      </c>
      <c r="CB13" s="100" t="s">
        <v>13</v>
      </c>
      <c r="CC13" s="100" t="s">
        <v>14</v>
      </c>
      <c r="CD13" s="99" t="s">
        <v>100</v>
      </c>
      <c r="CE13" s="99" t="s">
        <v>16</v>
      </c>
      <c r="CF13" s="99" t="s">
        <v>17</v>
      </c>
      <c r="CG13" s="99" t="s">
        <v>18</v>
      </c>
      <c r="CH13" s="99" t="s">
        <v>19</v>
      </c>
      <c r="CI13" s="101" t="s">
        <v>20</v>
      </c>
      <c r="CJ13" s="99" t="s">
        <v>21</v>
      </c>
      <c r="CK13" s="99" t="s">
        <v>22</v>
      </c>
      <c r="CL13" s="102" t="s">
        <v>23</v>
      </c>
      <c r="CM13" s="103" t="s">
        <v>120</v>
      </c>
      <c r="CN13" s="103" t="s">
        <v>121</v>
      </c>
      <c r="CO13" s="103" t="s">
        <v>122</v>
      </c>
      <c r="CP13" s="103" t="s">
        <v>123</v>
      </c>
      <c r="CQ13" s="97" t="s">
        <v>124</v>
      </c>
      <c r="CR13" s="103" t="s">
        <v>125</v>
      </c>
      <c r="CS13" s="103" t="s">
        <v>126</v>
      </c>
      <c r="CT13" s="103" t="s">
        <v>127</v>
      </c>
      <c r="CU13" s="98" t="s">
        <v>119</v>
      </c>
      <c r="CV13" s="99" t="s">
        <v>12</v>
      </c>
      <c r="CW13" s="100" t="s">
        <v>13</v>
      </c>
      <c r="CX13" s="100" t="s">
        <v>14</v>
      </c>
      <c r="CY13" s="99" t="s">
        <v>100</v>
      </c>
      <c r="CZ13" s="99" t="s">
        <v>16</v>
      </c>
      <c r="DA13" s="99" t="s">
        <v>17</v>
      </c>
      <c r="DB13" s="99" t="s">
        <v>18</v>
      </c>
      <c r="DC13" s="99" t="s">
        <v>19</v>
      </c>
      <c r="DD13" s="101" t="s">
        <v>20</v>
      </c>
      <c r="DE13" s="99" t="s">
        <v>21</v>
      </c>
      <c r="DF13" s="99" t="s">
        <v>22</v>
      </c>
      <c r="DG13" s="102" t="s">
        <v>23</v>
      </c>
      <c r="DH13" s="103" t="s">
        <v>120</v>
      </c>
      <c r="DI13" s="103" t="s">
        <v>121</v>
      </c>
      <c r="DJ13" s="103" t="s">
        <v>122</v>
      </c>
      <c r="DK13" s="103" t="s">
        <v>123</v>
      </c>
      <c r="DL13" s="97" t="s">
        <v>124</v>
      </c>
      <c r="DM13" s="103" t="s">
        <v>128</v>
      </c>
      <c r="DN13" s="103" t="s">
        <v>126</v>
      </c>
      <c r="DO13" s="103" t="s">
        <v>127</v>
      </c>
      <c r="DP13" s="104" t="s">
        <v>119</v>
      </c>
      <c r="DQ13" s="104" t="s">
        <v>129</v>
      </c>
      <c r="DR13" s="104" t="s">
        <v>130</v>
      </c>
      <c r="DS13" s="104" t="s">
        <v>131</v>
      </c>
      <c r="DT13" s="104" t="s">
        <v>132</v>
      </c>
      <c r="DU13" s="105" t="s">
        <v>133</v>
      </c>
      <c r="DV13" s="104" t="s">
        <v>134</v>
      </c>
      <c r="DW13" s="104" t="s">
        <v>135</v>
      </c>
      <c r="DX13" s="104" t="s">
        <v>127</v>
      </c>
      <c r="DY13" s="106" t="s">
        <v>136</v>
      </c>
      <c r="DZ13" s="107" t="s">
        <v>137</v>
      </c>
      <c r="EA13" s="107" t="s">
        <v>138</v>
      </c>
      <c r="EB13" s="107" t="s">
        <v>139</v>
      </c>
      <c r="EC13" s="107" t="s">
        <v>140</v>
      </c>
      <c r="ED13" s="107" t="s">
        <v>141</v>
      </c>
      <c r="EE13" s="107" t="s">
        <v>142</v>
      </c>
    </row>
    <row r="14">
      <c r="A14" s="108">
        <v>1.0</v>
      </c>
      <c r="B14" s="109" t="s">
        <v>313</v>
      </c>
      <c r="C14" s="109">
        <v>26.0</v>
      </c>
      <c r="D14" s="109">
        <v>78.0</v>
      </c>
      <c r="E14" s="109">
        <v>78.0</v>
      </c>
      <c r="F14" s="109">
        <v>2649.0</v>
      </c>
      <c r="G14" s="109">
        <v>644.0</v>
      </c>
      <c r="H14" s="109">
        <v>1376.0</v>
      </c>
      <c r="I14" s="109">
        <v>0.468</v>
      </c>
      <c r="J14" s="109">
        <v>268.0</v>
      </c>
      <c r="K14" s="109">
        <v>647.0</v>
      </c>
      <c r="L14" s="109">
        <v>0.414</v>
      </c>
      <c r="M14" s="109">
        <v>376.0</v>
      </c>
      <c r="N14" s="109">
        <v>729.0</v>
      </c>
      <c r="O14" s="109">
        <v>0.516</v>
      </c>
      <c r="P14" s="109">
        <v>0.565</v>
      </c>
      <c r="Q14" s="109">
        <v>186.0</v>
      </c>
      <c r="R14" s="109">
        <v>218.0</v>
      </c>
      <c r="S14" s="109">
        <v>0.853</v>
      </c>
      <c r="T14" s="109">
        <v>49.0</v>
      </c>
      <c r="U14" s="109">
        <v>236.0</v>
      </c>
      <c r="V14" s="109">
        <v>285.0</v>
      </c>
      <c r="W14" s="109">
        <v>160.0</v>
      </c>
      <c r="X14" s="109">
        <v>66.0</v>
      </c>
      <c r="Y14" s="109">
        <v>40.0</v>
      </c>
      <c r="Z14" s="109">
        <v>128.0</v>
      </c>
      <c r="AA14" s="109">
        <v>139.0</v>
      </c>
      <c r="AB14" s="109">
        <v>1742.0</v>
      </c>
      <c r="AC14" s="110">
        <f t="shared" ref="AC14:AC30" si="10">H14+$S$6*R14</f>
        <v>1471.92</v>
      </c>
      <c r="AD14" s="111">
        <f t="shared" ref="AD14:AD30" si="11">if(AC14=0,0,AB14/AC14)</f>
        <v>1.183488233</v>
      </c>
      <c r="AE14" s="4">
        <f t="shared" ref="AE14:AE30" si="12">((AD14-$R$7)+$R$8)*AC14</f>
        <v>1455.35126</v>
      </c>
      <c r="AF14" s="110">
        <f t="shared" ref="AF14:AF30" si="13">F14*$C$7/48</f>
        <v>5507.7125</v>
      </c>
      <c r="AG14" s="112">
        <f t="shared" ref="AG14:AG30" si="14">AC14*(AD14-($R$7+BN$7))</f>
        <v>469.1648597</v>
      </c>
      <c r="AH14" s="113">
        <f t="shared" ref="AH14:AH30" si="15">AE14/$AF14*100</f>
        <v>26.42387851</v>
      </c>
      <c r="AI14" s="113">
        <f t="shared" ref="AI14:AI30" si="16">H14/$AF14*100</f>
        <v>24.98314863</v>
      </c>
      <c r="AJ14" s="113">
        <f t="shared" ref="AJ14:AJ30" si="17">R14/$AF14*100</f>
        <v>3.958086048</v>
      </c>
      <c r="AK14" s="113">
        <f t="shared" ref="AK14:AK30" si="18">J14/$AF14*100</f>
        <v>4.865903948</v>
      </c>
      <c r="AL14" s="113">
        <f t="shared" ref="AL14:AL30" si="19">W14/$AF14*100</f>
        <v>2.905017283</v>
      </c>
      <c r="AM14" s="113">
        <f t="shared" ref="AM14:AM30" si="20">Z14/$AF14*100</f>
        <v>2.324013826</v>
      </c>
      <c r="AN14" s="113">
        <f t="shared" ref="AN14:AP14" si="4">T14/$AF14*100</f>
        <v>0.8896615428</v>
      </c>
      <c r="AO14" s="113">
        <f t="shared" si="4"/>
        <v>4.284900492</v>
      </c>
      <c r="AP14" s="113">
        <f t="shared" si="4"/>
        <v>5.174562035</v>
      </c>
      <c r="AQ14" s="113">
        <f t="shared" ref="AQ14:AR14" si="5">X14/$AF14*100</f>
        <v>1.198319629</v>
      </c>
      <c r="AR14" s="113">
        <f t="shared" si="5"/>
        <v>0.7262543206</v>
      </c>
      <c r="AS14" s="113">
        <f t="shared" ref="AS14:AS30" si="23">AA14/$AF14*100</f>
        <v>2.523733764</v>
      </c>
      <c r="AT14" s="114">
        <f t="shared" ref="AT14:AT30" si="24">V14/$X$4/$CS14</f>
        <v>0.1168315163</v>
      </c>
      <c r="AU14" s="114">
        <f t="shared" ref="AU14:AU30" si="25">X14/$X$5/$CS14</f>
        <v>0.1255592184</v>
      </c>
      <c r="AV14" s="114">
        <f t="shared" ref="AV14:AV30" si="26">AA14/$X$6/$CS14</f>
        <v>0.1309663905</v>
      </c>
      <c r="AW14" s="114">
        <f t="shared" ref="AW14:AW30" si="27">W14/$X$7/$CS14</f>
        <v>0.09592252002</v>
      </c>
      <c r="AX14" s="114">
        <f t="shared" ref="AX14:AX30" si="28">Y14/$X$8/$CS14</f>
        <v>0.1076319808</v>
      </c>
      <c r="AY14" s="115">
        <f t="shared" ref="AY14:AY30" si="29">AG14/$AB$4/$CS14</f>
        <v>0.2669317749</v>
      </c>
      <c r="AZ14" s="116" t="str">
        <f t="shared" ref="AZ14:AZ30" si="30">if(iserror(index($C$51:$C$81,match(B14,$N$51:$N$81,false))),"?",index($C$51:$C$81,match(B14,$N$51:$N$81,false)))</f>
        <v>SG</v>
      </c>
      <c r="BA14" s="117">
        <f t="shared" ref="BA14:BA30" si="31">vlookup(AZ14,$S$51:$T$65,2,false)</f>
        <v>2</v>
      </c>
      <c r="BB14" s="118">
        <f t="shared" ref="BB14:BB30" si="32">$BK$3+sumproduct($BL$3:$BP$3,AT14:AX14)</f>
        <v>2.800234863</v>
      </c>
      <c r="BC14" s="118">
        <f t="shared" ref="BC14:BC30" si="33">(BB14*$F14+ BA14*$BQ$3)/($F14+$BQ$3)</f>
        <v>2.785410209</v>
      </c>
      <c r="BD14" s="118">
        <f t="shared" ref="BD14:BD30" si="34">max(min(BC14,5),1)</f>
        <v>2.785410209</v>
      </c>
      <c r="BE14" s="119">
        <f>sumproduct(BD14:BD39,$F14:$F39)/$R$9</f>
        <v>3.135936861</v>
      </c>
      <c r="BF14" s="118">
        <f t="shared" ref="BF14:BF30" si="35">BC14-(BE14-3)</f>
        <v>2.649473347</v>
      </c>
      <c r="BG14" s="118">
        <f t="shared" ref="BG14:BG30" si="36">max(min(BF14,5),1)</f>
        <v>2.649473347</v>
      </c>
      <c r="BH14" s="119">
        <f>sumproduct(BG14:BG39,$F14:$F39)/$R$9</f>
        <v>3.00566289</v>
      </c>
      <c r="BI14" s="118">
        <f t="shared" ref="BI14:BI30" si="37">BC14-(BE14-3)-(BH14-3)</f>
        <v>2.643810457</v>
      </c>
      <c r="BJ14" s="118">
        <f t="shared" ref="BJ14:BJ30" si="38">max(min(BI14,5),1)</f>
        <v>2.643810457</v>
      </c>
      <c r="BK14" s="119">
        <f>sumproduct(BJ14:BJ39,$F14:$F39)/$R$9</f>
        <v>3.000235906</v>
      </c>
      <c r="BL14" s="118">
        <f t="shared" ref="BL14:BL30" si="39">BC14-(BE14-3)-(BH14-3)-(BK14-3)</f>
        <v>2.643574551</v>
      </c>
      <c r="BM14" s="118">
        <f t="shared" ref="BM14:BM30" si="40">max(min(BL14,5),1)</f>
        <v>2.643574551</v>
      </c>
      <c r="BN14" s="120">
        <f t="shared" ref="BN14:BN30" si="41">$BK$7+$BL$7*AW14+$BM$7*AY14</f>
        <v>3.082229213</v>
      </c>
      <c r="BO14" s="118">
        <f t="shared" ref="BO14:BO30" si="42">(BN14*$F14+$BP$7*$BQ$7)/($F14+$BQ$7)</f>
        <v>3.099231265</v>
      </c>
      <c r="BP14" s="118">
        <f t="shared" ref="BP14:BP30" si="43">max(min(BO14,5),1)</f>
        <v>3.099231265</v>
      </c>
      <c r="BQ14" s="119">
        <f>sumproduct(BP14:BP39,$F14:$F39)/$R$9</f>
        <v>2.983558642</v>
      </c>
      <c r="BR14" s="118">
        <f t="shared" ref="BR14:BR30" si="44">BO14-(BQ14-3)</f>
        <v>3.115672623</v>
      </c>
      <c r="BS14" s="118">
        <f t="shared" ref="BS14:BS30" si="45">max(min(BR14,5),1)</f>
        <v>3.115672623</v>
      </c>
      <c r="BT14" s="119">
        <f>sumproduct(BS14:BS39,$F14:$F39)/$R$9</f>
        <v>2.997736612</v>
      </c>
      <c r="BU14" s="118">
        <f t="shared" ref="BU14:BU30" si="46">BO14-(BQ14-3)-(BT14-3)</f>
        <v>3.117936011</v>
      </c>
      <c r="BV14" s="118">
        <f t="shared" ref="BV14:BV30" si="47">max(min(BU14,5),1)</f>
        <v>3.117936011</v>
      </c>
      <c r="BW14" s="119">
        <f>sumproduct(BV14:BV39,$F14:$F39)/$R$9</f>
        <v>2.999688412</v>
      </c>
      <c r="BX14" s="118">
        <f t="shared" ref="BX14:BX30" si="48">BO14-(BQ14-3)-(BT14-3)-(BW14-3)</f>
        <v>3.118247599</v>
      </c>
      <c r="BY14" s="118">
        <f t="shared" ref="BY14:BY30" si="49">max(min(BX14,5),1)</f>
        <v>3.118247599</v>
      </c>
      <c r="BZ14" s="61" t="str">
        <f t="shared" ref="BZ14:BZ30" si="50">B14</f>
        <v>Klay Thompson</v>
      </c>
      <c r="CA14" s="121">
        <f t="shared" ref="CA14:CA30" si="51">(5-$BM14)/4*CA$3+($BM14-1)/4*CA$4</f>
        <v>0.86</v>
      </c>
      <c r="CB14" s="122">
        <f t="shared" ref="CB14:CC14" si="6">(5-$BY14)/4*CB$3+($BY14-1)/4*CB$4</f>
        <v>-0.6765036179</v>
      </c>
      <c r="CC14" s="122">
        <f t="shared" si="6"/>
        <v>-0.2976615919</v>
      </c>
      <c r="CD14" s="121">
        <f t="shared" ref="CD14:CL14" si="7">(5-$BM14)/4*CD$3+($BM14-1)/4*CD$4</f>
        <v>0.389</v>
      </c>
      <c r="CE14" s="121">
        <f t="shared" si="7"/>
        <v>0.7665457115</v>
      </c>
      <c r="CF14" s="121">
        <f t="shared" si="7"/>
        <v>-0.964</v>
      </c>
      <c r="CG14" s="121">
        <f t="shared" si="7"/>
        <v>0.4354939485</v>
      </c>
      <c r="CH14" s="121">
        <f t="shared" si="7"/>
        <v>0.1427080865</v>
      </c>
      <c r="CI14" s="121">
        <f t="shared" si="7"/>
        <v>0</v>
      </c>
      <c r="CJ14" s="121">
        <f t="shared" si="7"/>
        <v>1.220667397</v>
      </c>
      <c r="CK14" s="121">
        <f t="shared" si="7"/>
        <v>1.07060237</v>
      </c>
      <c r="CL14" s="121">
        <f t="shared" si="7"/>
        <v>-0.367</v>
      </c>
      <c r="CM14" s="118">
        <f t="shared" ref="CM14:CM30" si="54">sumproduct(CA14:CD14,AH14:AK14)</f>
        <v>6.538011526</v>
      </c>
      <c r="CN14" s="118">
        <f t="shared" ref="CN14:CN30" si="55">sumproduct(CE14:CF14,AL14:AM14)</f>
        <v>-0.01352078848</v>
      </c>
      <c r="CO14" s="118">
        <f t="shared" ref="CO14:CO30" si="56">sumproduct(CG14:CI14,AN14:AP14)</f>
        <v>0.9989321679</v>
      </c>
      <c r="CP14" s="118">
        <f t="shared" ref="CP14:CP30" si="57">SUMPRODUCT(CJ14:CL14,AQ14:AS14)</f>
        <v>1.314069008</v>
      </c>
      <c r="CQ14" s="123">
        <f t="shared" ref="CQ14:CQ30" si="58">if(BM14&lt;3,(BM14-1)/2*$CP$4+(3-BM14)/2*$CO$4,(BM14-3)/2*$CQ$4+(5-BM14)/2*$CP$4)+$CR$4*(BY14-3)</f>
        <v>0.01823141109</v>
      </c>
      <c r="CR14" s="124">
        <f t="shared" ref="CR14:CR30" si="59">sum(CM14:CQ14)</f>
        <v>8.855723324</v>
      </c>
      <c r="CS14" s="114">
        <f t="shared" ref="CS14:CS30" si="60">F14/($R$9/5)</f>
        <v>0.6696157735</v>
      </c>
      <c r="CT14" s="118">
        <f t="shared" ref="CT14:CT30" si="61">CS14*CR14</f>
        <v>5.929932023</v>
      </c>
      <c r="CU14" s="125" t="str">
        <f t="shared" ref="CU14:CU30" si="62">BZ14</f>
        <v>Klay Thompson</v>
      </c>
      <c r="CV14" s="121">
        <f t="shared" ref="CV14:CV30" si="63">(5-$BM14)/4*CA$7+($BM14-1)/4*CA$8</f>
        <v>0.605</v>
      </c>
      <c r="CW14" s="122">
        <f t="shared" ref="CW14:CX14" si="8">(5-$BY14)/4*CB$7+($BY14-1)/4*CB$8</f>
        <v>-0.4051977898</v>
      </c>
      <c r="CX14" s="122">
        <f t="shared" si="8"/>
        <v>-0.1782870275</v>
      </c>
      <c r="CY14" s="121">
        <f t="shared" ref="CY14:DG14" si="9">(5-$BM14)/4*CD$7+($BM14-1)/4*CD$8</f>
        <v>0.477</v>
      </c>
      <c r="CZ14" s="121">
        <f t="shared" si="9"/>
        <v>0.476</v>
      </c>
      <c r="DA14" s="121">
        <f t="shared" si="9"/>
        <v>-0.7035007722</v>
      </c>
      <c r="DB14" s="121">
        <f t="shared" si="9"/>
        <v>0.5303955707</v>
      </c>
      <c r="DC14" s="121">
        <f t="shared" si="9"/>
        <v>-0.02365786789</v>
      </c>
      <c r="DD14" s="121">
        <f t="shared" si="9"/>
        <v>0</v>
      </c>
      <c r="DE14" s="121">
        <f t="shared" si="9"/>
        <v>0.2250745556</v>
      </c>
      <c r="DF14" s="121">
        <f t="shared" si="9"/>
        <v>0.4669587955</v>
      </c>
      <c r="DG14" s="121">
        <f t="shared" si="9"/>
        <v>-0.439</v>
      </c>
      <c r="DH14" s="118">
        <f t="shared" ref="DH14:DH30" si="66">sumproduct(CV14:CY14,AH14:AK14)</f>
        <v>7.47869068</v>
      </c>
      <c r="DI14" s="118">
        <f t="shared" ref="DI14:DI30" si="67">sumproduct(CZ14:DA14,AL14:AM14)</f>
        <v>-0.2521572948</v>
      </c>
      <c r="DJ14" s="118">
        <f t="shared" ref="DJ14:DJ30" si="68">sumproduct(DB14:DD14,AN14:AP14)</f>
        <v>0.3705009319</v>
      </c>
      <c r="DK14" s="118">
        <f t="shared" ref="DK14:DK30" si="69">SUMPRODUCT(DE14:DG14,AQ14:AS14)</f>
        <v>-0.4990770217</v>
      </c>
      <c r="DL14" s="123">
        <f t="shared" ref="DL14:DL30" si="70">if(BM14&lt;3,(BM14-1)/2*$CP$8+(3-BM14)/2*$CO$8,(BM14-3)/2*$CQ$8+(5-BM14)/2*$CP$8)+$CR$8*(BY14-3)</f>
        <v>-0.2517587388</v>
      </c>
      <c r="DM14" s="124">
        <f t="shared" ref="DM14:DM30" si="71">sum(DH14:DL14)</f>
        <v>6.846198557</v>
      </c>
      <c r="DN14" s="114">
        <f t="shared" ref="DN14:DN30" si="72">CS14</f>
        <v>0.6696157735</v>
      </c>
      <c r="DO14" s="118">
        <f t="shared" ref="DO14:DO30" si="73">DN14*DM14</f>
        <v>4.584322542</v>
      </c>
      <c r="DP14" s="126" t="str">
        <f t="shared" ref="DP14:DP30" si="74">concatenate(B14,if(iserror(vlookup(B14,$N$51:$O$81,2,false)),"",concatenate(" (",vlookup(B14,$N$51:$O$81,2,false),")")))</f>
        <v>Klay Thompson (6th)</v>
      </c>
      <c r="DQ14" s="127">
        <f t="shared" ref="DQ14:DQ30" si="75">BM14</f>
        <v>2.643574551</v>
      </c>
      <c r="DR14" s="127">
        <f t="shared" ref="DR14:DR30" si="76">BY14</f>
        <v>3.118247599</v>
      </c>
      <c r="DS14" s="128">
        <f t="shared" ref="DS14:DS30" si="77">F14</f>
        <v>2649</v>
      </c>
      <c r="DT14" s="127">
        <f t="shared" ref="DT14:DT30" si="78">F14/D14</f>
        <v>33.96153846</v>
      </c>
      <c r="DU14" s="127">
        <f t="shared" ref="DU14:DU30" si="79">CR14+$CT$11</f>
        <v>0.6983822416</v>
      </c>
      <c r="DV14" s="127">
        <f t="shared" ref="DV14:DV30" si="80">DM14+$DO$11</f>
        <v>2.292503688</v>
      </c>
      <c r="DW14" s="127">
        <f t="shared" ref="DW14:DW30" si="81">DU14-DV14</f>
        <v>-1.594121446</v>
      </c>
      <c r="DX14" s="127">
        <f t="shared" ref="DX14:DX30" si="82">DU14*CS14</f>
        <v>0.4676477649</v>
      </c>
      <c r="DY14" s="129">
        <f t="shared" ref="DY14:DY30" si="83">(DU14+2)* DN14*$X$9/82</f>
        <v>1.806879312</v>
      </c>
      <c r="DZ14" s="130">
        <f t="shared" ref="DZ14:DZ30" si="84">F14/(D14+4)</f>
        <v>32.30487805</v>
      </c>
      <c r="EA14" s="130">
        <f t="shared" ref="EA14:EA30" si="85">max((450-DS14)/3,0)</f>
        <v>0</v>
      </c>
      <c r="EB14" s="130">
        <f t="shared" ref="EB14:EB30" si="86">-4.75+0.175*DZ14</f>
        <v>0.9033536585</v>
      </c>
      <c r="EC14" s="130">
        <f t="shared" ref="EC14:EC30" si="87">(DU14*DS14+EB14* EA14)/(DS14+ EA14)</f>
        <v>0.6983822416</v>
      </c>
      <c r="ED14" s="32">
        <f t="shared" ref="ED14:ED30" si="88">(DV14*DS14+EB14* EA14)/(DS14+ EA14)</f>
        <v>2.292503688</v>
      </c>
      <c r="EE14" s="32">
        <f t="shared" ref="EE14:EE30" si="89">EC14-ED14</f>
        <v>-1.594121446</v>
      </c>
    </row>
    <row r="15">
      <c r="A15" s="108">
        <v>2.0</v>
      </c>
      <c r="B15" s="109" t="s">
        <v>314</v>
      </c>
      <c r="C15" s="109">
        <v>28.0</v>
      </c>
      <c r="D15" s="109">
        <v>79.0</v>
      </c>
      <c r="E15" s="109">
        <v>79.0</v>
      </c>
      <c r="F15" s="109">
        <v>2638.0</v>
      </c>
      <c r="G15" s="109">
        <v>675.0</v>
      </c>
      <c r="H15" s="109">
        <v>1443.0</v>
      </c>
      <c r="I15" s="109">
        <v>0.468</v>
      </c>
      <c r="J15" s="109">
        <v>324.0</v>
      </c>
      <c r="K15" s="109">
        <v>789.0</v>
      </c>
      <c r="L15" s="109">
        <v>0.411</v>
      </c>
      <c r="M15" s="109">
        <v>351.0</v>
      </c>
      <c r="N15" s="109">
        <v>654.0</v>
      </c>
      <c r="O15" s="109">
        <v>0.537</v>
      </c>
      <c r="P15" s="109">
        <v>0.58</v>
      </c>
      <c r="Q15" s="109">
        <v>325.0</v>
      </c>
      <c r="R15" s="109">
        <v>362.0</v>
      </c>
      <c r="S15" s="109">
        <v>0.898</v>
      </c>
      <c r="T15" s="109">
        <v>61.0</v>
      </c>
      <c r="U15" s="109">
        <v>292.0</v>
      </c>
      <c r="V15" s="109">
        <v>353.0</v>
      </c>
      <c r="W15" s="109">
        <v>524.0</v>
      </c>
      <c r="X15" s="109">
        <v>142.0</v>
      </c>
      <c r="Y15" s="109">
        <v>17.0</v>
      </c>
      <c r="Z15" s="109">
        <v>239.0</v>
      </c>
      <c r="AA15" s="109">
        <v>183.0</v>
      </c>
      <c r="AB15" s="109">
        <v>1999.0</v>
      </c>
      <c r="AC15" s="110">
        <f t="shared" si="10"/>
        <v>1602.28</v>
      </c>
      <c r="AD15" s="111">
        <f t="shared" si="11"/>
        <v>1.247597174</v>
      </c>
      <c r="AE15" s="4">
        <f t="shared" si="12"/>
        <v>1686.96433</v>
      </c>
      <c r="AF15" s="110">
        <f t="shared" si="13"/>
        <v>5484.841667</v>
      </c>
      <c r="AG15" s="112">
        <f t="shared" si="14"/>
        <v>613.4367299</v>
      </c>
      <c r="AH15" s="113">
        <f t="shared" si="15"/>
        <v>30.75684646</v>
      </c>
      <c r="AI15" s="113">
        <f t="shared" si="16"/>
        <v>26.30887248</v>
      </c>
      <c r="AJ15" s="113">
        <f t="shared" si="17"/>
        <v>6.600008204</v>
      </c>
      <c r="AK15" s="113">
        <f t="shared" si="18"/>
        <v>5.907189664</v>
      </c>
      <c r="AL15" s="113">
        <f t="shared" si="19"/>
        <v>9.553603036</v>
      </c>
      <c r="AM15" s="113">
        <f t="shared" si="20"/>
        <v>4.35746398</v>
      </c>
      <c r="AN15" s="113">
        <f t="shared" ref="AN15:AP15" si="21">T15/$AF15*100</f>
        <v>1.112156079</v>
      </c>
      <c r="AO15" s="113">
        <f t="shared" si="21"/>
        <v>5.323763524</v>
      </c>
      <c r="AP15" s="113">
        <f t="shared" si="21"/>
        <v>6.435919603</v>
      </c>
      <c r="AQ15" s="113">
        <f t="shared" ref="AQ15:AR15" si="22">X15/$AF15*100</f>
        <v>2.588953495</v>
      </c>
      <c r="AR15" s="113">
        <f t="shared" si="22"/>
        <v>0.3099451367</v>
      </c>
      <c r="AS15" s="113">
        <f t="shared" si="23"/>
        <v>3.336468236</v>
      </c>
      <c r="AT15" s="114">
        <f t="shared" si="24"/>
        <v>0.1453105096</v>
      </c>
      <c r="AU15" s="114">
        <f t="shared" si="25"/>
        <v>0.2712690081</v>
      </c>
      <c r="AV15" s="114">
        <f t="shared" si="26"/>
        <v>0.1731423528</v>
      </c>
      <c r="AW15" s="114">
        <f t="shared" si="27"/>
        <v>0.3154561881</v>
      </c>
      <c r="AX15" s="114">
        <f t="shared" si="28"/>
        <v>0.04593433464</v>
      </c>
      <c r="AY15" s="115">
        <f t="shared" si="29"/>
        <v>0.3504707204</v>
      </c>
      <c r="AZ15" s="116" t="str">
        <f t="shared" si="30"/>
        <v>PG</v>
      </c>
      <c r="BA15" s="117">
        <f t="shared" si="31"/>
        <v>1</v>
      </c>
      <c r="BB15" s="118">
        <f t="shared" si="32"/>
        <v>1.847532022</v>
      </c>
      <c r="BC15" s="118">
        <f t="shared" si="33"/>
        <v>1.831766917</v>
      </c>
      <c r="BD15" s="118">
        <f t="shared" si="34"/>
        <v>1.831766917</v>
      </c>
      <c r="BE15" s="131">
        <f t="shared" ref="BE15:BE30" si="92">BE14</f>
        <v>3.135936861</v>
      </c>
      <c r="BF15" s="118">
        <f t="shared" si="35"/>
        <v>1.695830056</v>
      </c>
      <c r="BG15" s="118">
        <f t="shared" si="36"/>
        <v>1.695830056</v>
      </c>
      <c r="BH15" s="131">
        <f t="shared" ref="BH15:BH30" si="93">BH14</f>
        <v>3.00566289</v>
      </c>
      <c r="BI15" s="118">
        <f t="shared" si="37"/>
        <v>1.690167165</v>
      </c>
      <c r="BJ15" s="118">
        <f t="shared" si="38"/>
        <v>1.690167165</v>
      </c>
      <c r="BK15" s="131">
        <f t="shared" ref="BK15:BK30" si="94">BK14</f>
        <v>3.000235906</v>
      </c>
      <c r="BL15" s="118">
        <f t="shared" si="39"/>
        <v>1.689931259</v>
      </c>
      <c r="BM15" s="118">
        <f t="shared" si="40"/>
        <v>1.689931259</v>
      </c>
      <c r="BN15" s="120">
        <f t="shared" si="41"/>
        <v>0.9104092988</v>
      </c>
      <c r="BO15" s="118">
        <f t="shared" si="42"/>
        <v>0.9678793639</v>
      </c>
      <c r="BP15" s="118">
        <f t="shared" si="43"/>
        <v>1</v>
      </c>
      <c r="BQ15" s="131">
        <f t="shared" ref="BQ15:BQ30" si="95">BQ14</f>
        <v>2.983558642</v>
      </c>
      <c r="BR15" s="118">
        <f t="shared" si="44"/>
        <v>0.9843207218</v>
      </c>
      <c r="BS15" s="118">
        <f t="shared" si="45"/>
        <v>1</v>
      </c>
      <c r="BT15" s="131">
        <f t="shared" ref="BT15:BT30" si="96">BT14</f>
        <v>2.997736612</v>
      </c>
      <c r="BU15" s="118">
        <f t="shared" si="46"/>
        <v>0.98658411</v>
      </c>
      <c r="BV15" s="118">
        <f t="shared" si="47"/>
        <v>1</v>
      </c>
      <c r="BW15" s="131">
        <f t="shared" ref="BW15:BW30" si="97">BW14</f>
        <v>2.999688412</v>
      </c>
      <c r="BX15" s="118">
        <f t="shared" si="48"/>
        <v>0.9868956978</v>
      </c>
      <c r="BY15" s="118">
        <f t="shared" si="49"/>
        <v>1</v>
      </c>
      <c r="BZ15" s="61" t="str">
        <f t="shared" si="50"/>
        <v>Stephen Curry</v>
      </c>
      <c r="CA15" s="121">
        <f t="shared" si="51"/>
        <v>0.86</v>
      </c>
      <c r="CB15" s="122">
        <f t="shared" ref="CB15:CC15" si="52">(5-$BY15)/4*CB$3+($BY15-1)/4*CB$4</f>
        <v>-0.56</v>
      </c>
      <c r="CC15" s="122">
        <f t="shared" si="52"/>
        <v>-0.2464</v>
      </c>
      <c r="CD15" s="121">
        <f t="shared" ref="CD15:CL15" si="53">(5-$BM15)/4*CD$3+($BM15-1)/4*CD$4</f>
        <v>0.389</v>
      </c>
      <c r="CE15" s="121">
        <f t="shared" si="53"/>
        <v>0.6583071979</v>
      </c>
      <c r="CF15" s="121">
        <f t="shared" si="53"/>
        <v>-0.964</v>
      </c>
      <c r="CG15" s="121">
        <f t="shared" si="53"/>
        <v>0.538487424</v>
      </c>
      <c r="CH15" s="121">
        <f t="shared" si="53"/>
        <v>0.127211383</v>
      </c>
      <c r="CI15" s="121">
        <f t="shared" si="53"/>
        <v>0</v>
      </c>
      <c r="CJ15" s="121">
        <f t="shared" si="53"/>
        <v>1.306733704</v>
      </c>
      <c r="CK15" s="121">
        <f t="shared" si="53"/>
        <v>1.219370724</v>
      </c>
      <c r="CL15" s="121">
        <f t="shared" si="53"/>
        <v>-0.367</v>
      </c>
      <c r="CM15" s="118">
        <f t="shared" si="54"/>
        <v>12.38957412</v>
      </c>
      <c r="CN15" s="118">
        <f t="shared" si="55"/>
        <v>2.088610368</v>
      </c>
      <c r="CO15" s="118">
        <f t="shared" si="56"/>
        <v>1.276125382</v>
      </c>
      <c r="CP15" s="118">
        <f t="shared" si="57"/>
        <v>2.536526972</v>
      </c>
      <c r="CQ15" s="123">
        <f t="shared" si="58"/>
        <v>-3.309818115</v>
      </c>
      <c r="CR15" s="124">
        <f t="shared" si="59"/>
        <v>14.98101873</v>
      </c>
      <c r="CS15" s="114">
        <f t="shared" si="60"/>
        <v>0.6668351871</v>
      </c>
      <c r="CT15" s="118">
        <f t="shared" si="61"/>
        <v>9.989870426</v>
      </c>
      <c r="CU15" s="125" t="str">
        <f t="shared" si="62"/>
        <v>Stephen Curry</v>
      </c>
      <c r="CV15" s="121">
        <f t="shared" si="63"/>
        <v>0.605</v>
      </c>
      <c r="CW15" s="122">
        <f t="shared" ref="CW15:CX15" si="64">(5-$BY15)/4*CB$7+($BY15-1)/4*CB$8</f>
        <v>-0.33</v>
      </c>
      <c r="CX15" s="122">
        <f t="shared" si="64"/>
        <v>-0.1452</v>
      </c>
      <c r="CY15" s="121">
        <f t="shared" ref="CY15:DG15" si="65">(5-$BM15)/4*CD$7+($BM15-1)/4*CD$8</f>
        <v>0.477</v>
      </c>
      <c r="CZ15" s="121">
        <f t="shared" si="65"/>
        <v>0.476</v>
      </c>
      <c r="DA15" s="121">
        <f t="shared" si="65"/>
        <v>-0.6312622929</v>
      </c>
      <c r="DB15" s="121">
        <f t="shared" si="65"/>
        <v>0.5742631621</v>
      </c>
      <c r="DC15" s="121">
        <f t="shared" si="65"/>
        <v>-0.07491619482</v>
      </c>
      <c r="DD15" s="121">
        <f t="shared" si="65"/>
        <v>0</v>
      </c>
      <c r="DE15" s="121">
        <f t="shared" si="65"/>
        <v>0.1971804893</v>
      </c>
      <c r="DF15" s="121">
        <f t="shared" si="65"/>
        <v>0.6166807923</v>
      </c>
      <c r="DG15" s="121">
        <f t="shared" si="65"/>
        <v>-0.439</v>
      </c>
      <c r="DH15" s="118">
        <f t="shared" si="66"/>
        <v>11.78537247</v>
      </c>
      <c r="DI15" s="118">
        <f t="shared" si="67"/>
        <v>1.796812342</v>
      </c>
      <c r="DJ15" s="118">
        <f t="shared" si="68"/>
        <v>0.2398341611</v>
      </c>
      <c r="DK15" s="118">
        <f t="shared" si="69"/>
        <v>-0.7630812262</v>
      </c>
      <c r="DL15" s="123">
        <f t="shared" si="70"/>
        <v>-1.972248361</v>
      </c>
      <c r="DM15" s="124">
        <f t="shared" si="71"/>
        <v>11.08668938</v>
      </c>
      <c r="DN15" s="114">
        <f t="shared" si="72"/>
        <v>0.6668351871</v>
      </c>
      <c r="DO15" s="118">
        <f t="shared" si="73"/>
        <v>7.392994588</v>
      </c>
      <c r="DP15" s="126" t="str">
        <f t="shared" si="74"/>
        <v>Stephen Curry (8th)</v>
      </c>
      <c r="DQ15" s="127">
        <f t="shared" si="75"/>
        <v>1.689931259</v>
      </c>
      <c r="DR15" s="127">
        <f t="shared" si="76"/>
        <v>1</v>
      </c>
      <c r="DS15" s="128">
        <f t="shared" si="77"/>
        <v>2638</v>
      </c>
      <c r="DT15" s="127">
        <f t="shared" si="78"/>
        <v>33.39240506</v>
      </c>
      <c r="DU15" s="127">
        <f t="shared" si="79"/>
        <v>6.823677646</v>
      </c>
      <c r="DV15" s="127">
        <f t="shared" si="80"/>
        <v>6.532994512</v>
      </c>
      <c r="DW15" s="127">
        <f t="shared" si="81"/>
        <v>0.2906831335</v>
      </c>
      <c r="DX15" s="127">
        <f t="shared" si="82"/>
        <v>4.550268359</v>
      </c>
      <c r="DY15" s="129">
        <f t="shared" si="83"/>
        <v>5.883938734</v>
      </c>
      <c r="DZ15" s="130">
        <f t="shared" si="84"/>
        <v>31.78313253</v>
      </c>
      <c r="EA15" s="130">
        <f t="shared" si="85"/>
        <v>0</v>
      </c>
      <c r="EB15" s="130">
        <f t="shared" si="86"/>
        <v>0.8120481928</v>
      </c>
      <c r="EC15" s="130">
        <f t="shared" si="87"/>
        <v>6.823677646</v>
      </c>
      <c r="ED15" s="32">
        <f t="shared" si="88"/>
        <v>6.532994512</v>
      </c>
      <c r="EE15" s="32">
        <f t="shared" si="89"/>
        <v>0.2906831335</v>
      </c>
    </row>
    <row r="16">
      <c r="A16" s="108">
        <v>3.0</v>
      </c>
      <c r="B16" s="109" t="s">
        <v>315</v>
      </c>
      <c r="C16" s="109">
        <v>26.0</v>
      </c>
      <c r="D16" s="109">
        <v>76.0</v>
      </c>
      <c r="E16" s="109">
        <v>76.0</v>
      </c>
      <c r="F16" s="109">
        <v>2471.0</v>
      </c>
      <c r="G16" s="109">
        <v>272.0</v>
      </c>
      <c r="H16" s="109">
        <v>650.0</v>
      </c>
      <c r="I16" s="109">
        <v>0.418</v>
      </c>
      <c r="J16" s="109">
        <v>81.0</v>
      </c>
      <c r="K16" s="109">
        <v>263.0</v>
      </c>
      <c r="L16" s="109">
        <v>0.308</v>
      </c>
      <c r="M16" s="109">
        <v>191.0</v>
      </c>
      <c r="N16" s="109">
        <v>387.0</v>
      </c>
      <c r="O16" s="109">
        <v>0.494</v>
      </c>
      <c r="P16" s="109">
        <v>0.481</v>
      </c>
      <c r="Q16" s="109">
        <v>151.0</v>
      </c>
      <c r="R16" s="109">
        <v>213.0</v>
      </c>
      <c r="S16" s="109">
        <v>0.709</v>
      </c>
      <c r="T16" s="109">
        <v>98.0</v>
      </c>
      <c r="U16" s="109">
        <v>501.0</v>
      </c>
      <c r="V16" s="109">
        <v>599.0</v>
      </c>
      <c r="W16" s="109">
        <v>533.0</v>
      </c>
      <c r="X16" s="109">
        <v>154.0</v>
      </c>
      <c r="Y16" s="109">
        <v>106.0</v>
      </c>
      <c r="Z16" s="109">
        <v>184.0</v>
      </c>
      <c r="AA16" s="109">
        <v>217.0</v>
      </c>
      <c r="AB16" s="109">
        <v>776.0</v>
      </c>
      <c r="AC16" s="110">
        <f t="shared" si="10"/>
        <v>743.72</v>
      </c>
      <c r="AD16" s="111">
        <f t="shared" si="11"/>
        <v>1.043403431</v>
      </c>
      <c r="AE16" s="4">
        <f t="shared" si="12"/>
        <v>631.1644104</v>
      </c>
      <c r="AF16" s="110">
        <f t="shared" si="13"/>
        <v>5137.620833</v>
      </c>
      <c r="AG16" s="112">
        <f t="shared" si="14"/>
        <v>132.8720104</v>
      </c>
      <c r="AH16" s="113">
        <f t="shared" si="15"/>
        <v>12.2851497</v>
      </c>
      <c r="AI16" s="113">
        <f t="shared" si="16"/>
        <v>12.65177056</v>
      </c>
      <c r="AJ16" s="113">
        <f t="shared" si="17"/>
        <v>4.145887891</v>
      </c>
      <c r="AK16" s="113">
        <f t="shared" si="18"/>
        <v>1.576605254</v>
      </c>
      <c r="AL16" s="113">
        <f t="shared" si="19"/>
        <v>10.37445186</v>
      </c>
      <c r="AM16" s="113">
        <f t="shared" si="20"/>
        <v>3.581424281</v>
      </c>
      <c r="AN16" s="113">
        <f t="shared" ref="AN16:AP16" si="90">T16/$AF16*100</f>
        <v>1.907497715</v>
      </c>
      <c r="AO16" s="113">
        <f t="shared" si="90"/>
        <v>9.751595461</v>
      </c>
      <c r="AP16" s="113">
        <f t="shared" si="90"/>
        <v>11.65909318</v>
      </c>
      <c r="AQ16" s="113">
        <f t="shared" ref="AQ16:AR16" si="91">X16/$AF16*100</f>
        <v>2.997496409</v>
      </c>
      <c r="AR16" s="113">
        <f t="shared" si="91"/>
        <v>2.063211814</v>
      </c>
      <c r="AS16" s="113">
        <f t="shared" si="23"/>
        <v>4.22374494</v>
      </c>
      <c r="AT16" s="114">
        <f t="shared" si="24"/>
        <v>0.2632395797</v>
      </c>
      <c r="AU16" s="114">
        <f t="shared" si="25"/>
        <v>0.3140758918</v>
      </c>
      <c r="AV16" s="114">
        <f t="shared" si="26"/>
        <v>0.2191866024</v>
      </c>
      <c r="AW16" s="114">
        <f t="shared" si="27"/>
        <v>0.3425602911</v>
      </c>
      <c r="AX16" s="114">
        <f t="shared" si="28"/>
        <v>0.3057710888</v>
      </c>
      <c r="AY16" s="115">
        <f t="shared" si="29"/>
        <v>0.08104337468</v>
      </c>
      <c r="AZ16" s="116" t="str">
        <f t="shared" si="30"/>
        <v>PF</v>
      </c>
      <c r="BA16" s="117">
        <f t="shared" si="31"/>
        <v>4</v>
      </c>
      <c r="BB16" s="118">
        <f t="shared" si="32"/>
        <v>3.146226798</v>
      </c>
      <c r="BC16" s="118">
        <f t="shared" si="33"/>
        <v>3.163160023</v>
      </c>
      <c r="BD16" s="118">
        <f t="shared" si="34"/>
        <v>3.163160023</v>
      </c>
      <c r="BE16" s="131">
        <f t="shared" si="92"/>
        <v>3.135936861</v>
      </c>
      <c r="BF16" s="118">
        <f t="shared" si="35"/>
        <v>3.027223162</v>
      </c>
      <c r="BG16" s="118">
        <f t="shared" si="36"/>
        <v>3.027223162</v>
      </c>
      <c r="BH16" s="131">
        <f t="shared" si="93"/>
        <v>3.00566289</v>
      </c>
      <c r="BI16" s="118">
        <f t="shared" si="37"/>
        <v>3.021560271</v>
      </c>
      <c r="BJ16" s="118">
        <f t="shared" si="38"/>
        <v>3.021560271</v>
      </c>
      <c r="BK16" s="131">
        <f t="shared" si="94"/>
        <v>3.000235906</v>
      </c>
      <c r="BL16" s="118">
        <f t="shared" si="39"/>
        <v>3.021324365</v>
      </c>
      <c r="BM16" s="118">
        <f t="shared" si="40"/>
        <v>3.021324365</v>
      </c>
      <c r="BN16" s="120">
        <f t="shared" si="41"/>
        <v>3.032408873</v>
      </c>
      <c r="BO16" s="118">
        <f t="shared" si="42"/>
        <v>3.051599494</v>
      </c>
      <c r="BP16" s="118">
        <f t="shared" si="43"/>
        <v>3.051599494</v>
      </c>
      <c r="BQ16" s="131">
        <f t="shared" si="95"/>
        <v>2.983558642</v>
      </c>
      <c r="BR16" s="118">
        <f t="shared" si="44"/>
        <v>3.068040852</v>
      </c>
      <c r="BS16" s="118">
        <f t="shared" si="45"/>
        <v>3.068040852</v>
      </c>
      <c r="BT16" s="131">
        <f t="shared" si="96"/>
        <v>2.997736612</v>
      </c>
      <c r="BU16" s="118">
        <f t="shared" si="46"/>
        <v>3.07030424</v>
      </c>
      <c r="BV16" s="118">
        <f t="shared" si="47"/>
        <v>3.07030424</v>
      </c>
      <c r="BW16" s="131">
        <f t="shared" si="97"/>
        <v>2.999688412</v>
      </c>
      <c r="BX16" s="118">
        <f t="shared" si="48"/>
        <v>3.070615828</v>
      </c>
      <c r="BY16" s="118">
        <f t="shared" si="49"/>
        <v>3.070615828</v>
      </c>
      <c r="BZ16" s="61" t="str">
        <f t="shared" si="50"/>
        <v>Draymond Green</v>
      </c>
      <c r="CA16" s="121">
        <f t="shared" si="51"/>
        <v>0.86</v>
      </c>
      <c r="CB16" s="122">
        <f t="shared" ref="CB16:CC16" si="98">(5-$BY16)/4*CB$3+($BY16-1)/4*CB$4</f>
        <v>-0.6738838705</v>
      </c>
      <c r="CC16" s="122">
        <f t="shared" si="98"/>
        <v>-0.296508903</v>
      </c>
      <c r="CD16" s="121">
        <f t="shared" ref="CD16:CL16" si="99">(5-$BM16)/4*CD$3+($BM16-1)/4*CD$4</f>
        <v>0.389</v>
      </c>
      <c r="CE16" s="121">
        <f t="shared" si="99"/>
        <v>0.8094203155</v>
      </c>
      <c r="CF16" s="121">
        <f t="shared" si="99"/>
        <v>-0.964</v>
      </c>
      <c r="CG16" s="121">
        <f t="shared" si="99"/>
        <v>0.3946969685</v>
      </c>
      <c r="CH16" s="121">
        <f t="shared" si="99"/>
        <v>0.1488465209</v>
      </c>
      <c r="CI16" s="121">
        <f t="shared" si="99"/>
        <v>0</v>
      </c>
      <c r="CJ16" s="121">
        <f t="shared" si="99"/>
        <v>1.186575476</v>
      </c>
      <c r="CK16" s="121">
        <f t="shared" si="99"/>
        <v>1.011673399</v>
      </c>
      <c r="CL16" s="121">
        <f t="shared" si="99"/>
        <v>-0.367</v>
      </c>
      <c r="CM16" s="118">
        <f t="shared" si="54"/>
        <v>1.423411401</v>
      </c>
      <c r="CN16" s="118">
        <f t="shared" si="55"/>
        <v>4.944799089</v>
      </c>
      <c r="CO16" s="118">
        <f t="shared" si="56"/>
        <v>2.204374624</v>
      </c>
      <c r="CP16" s="118">
        <f t="shared" si="57"/>
        <v>4.093937845</v>
      </c>
      <c r="CQ16" s="123">
        <f t="shared" si="58"/>
        <v>0.09794415364</v>
      </c>
      <c r="CR16" s="124">
        <f t="shared" si="59"/>
        <v>12.76446711</v>
      </c>
      <c r="CS16" s="114">
        <f t="shared" si="60"/>
        <v>0.6246208291</v>
      </c>
      <c r="CT16" s="118">
        <f t="shared" si="61"/>
        <v>7.972952031</v>
      </c>
      <c r="CU16" s="125" t="str">
        <f t="shared" si="62"/>
        <v>Draymond Green</v>
      </c>
      <c r="CV16" s="121">
        <f t="shared" si="63"/>
        <v>0.605</v>
      </c>
      <c r="CW16" s="122">
        <f t="shared" ref="CW16:CX16" si="100">(5-$BY16)/4*CB$7+($BY16-1)/4*CB$8</f>
        <v>-0.4035068619</v>
      </c>
      <c r="CX16" s="122">
        <f t="shared" si="100"/>
        <v>-0.1775430192</v>
      </c>
      <c r="CY16" s="121">
        <f t="shared" ref="CY16:DG16" si="101">(5-$BM16)/4*CD$7+($BM16-1)/4*CD$8</f>
        <v>0.477</v>
      </c>
      <c r="CZ16" s="121">
        <f t="shared" si="101"/>
        <v>0.476</v>
      </c>
      <c r="DA16" s="121">
        <f t="shared" si="101"/>
        <v>-0.7321153207</v>
      </c>
      <c r="DB16" s="121">
        <f t="shared" si="101"/>
        <v>0.5130190792</v>
      </c>
      <c r="DC16" s="121">
        <f t="shared" si="101"/>
        <v>-0.003353815364</v>
      </c>
      <c r="DD16" s="121">
        <f t="shared" si="101"/>
        <v>0</v>
      </c>
      <c r="DE16" s="121">
        <f t="shared" si="101"/>
        <v>0.2361237377</v>
      </c>
      <c r="DF16" s="121">
        <f t="shared" si="101"/>
        <v>0.4076520746</v>
      </c>
      <c r="DG16" s="121">
        <f t="shared" si="101"/>
        <v>-0.439</v>
      </c>
      <c r="DH16" s="118">
        <f t="shared" si="66"/>
        <v>2.343406585</v>
      </c>
      <c r="DI16" s="118">
        <f t="shared" si="67"/>
        <v>2.316223498</v>
      </c>
      <c r="DJ16" s="118">
        <f t="shared" si="68"/>
        <v>0.9458776706</v>
      </c>
      <c r="DK16" s="118">
        <f t="shared" si="69"/>
        <v>-0.3053713965</v>
      </c>
      <c r="DL16" s="123">
        <f t="shared" si="70"/>
        <v>0.0303648061</v>
      </c>
      <c r="DM16" s="124">
        <f t="shared" si="71"/>
        <v>5.330501164</v>
      </c>
      <c r="DN16" s="114">
        <f t="shared" si="72"/>
        <v>0.6246208291</v>
      </c>
      <c r="DO16" s="118">
        <f t="shared" si="73"/>
        <v>3.329542057</v>
      </c>
      <c r="DP16" s="126" t="str">
        <f t="shared" si="74"/>
        <v>Draymond Green (5th)</v>
      </c>
      <c r="DQ16" s="127">
        <f t="shared" si="75"/>
        <v>3.021324365</v>
      </c>
      <c r="DR16" s="127">
        <f t="shared" si="76"/>
        <v>3.070615828</v>
      </c>
      <c r="DS16" s="128">
        <f t="shared" si="77"/>
        <v>2471</v>
      </c>
      <c r="DT16" s="127">
        <f t="shared" si="78"/>
        <v>32.51315789</v>
      </c>
      <c r="DU16" s="127">
        <f t="shared" si="79"/>
        <v>4.60712603</v>
      </c>
      <c r="DV16" s="127">
        <f t="shared" si="80"/>
        <v>0.7768062944</v>
      </c>
      <c r="DW16" s="127">
        <f t="shared" si="81"/>
        <v>3.830319735</v>
      </c>
      <c r="DX16" s="127">
        <f t="shared" si="82"/>
        <v>2.87770688</v>
      </c>
      <c r="DY16" s="129">
        <f t="shared" si="83"/>
        <v>4.126948539</v>
      </c>
      <c r="DZ16" s="130">
        <f t="shared" si="84"/>
        <v>30.8875</v>
      </c>
      <c r="EA16" s="130">
        <f t="shared" si="85"/>
        <v>0</v>
      </c>
      <c r="EB16" s="130">
        <f t="shared" si="86"/>
        <v>0.6553125</v>
      </c>
      <c r="EC16" s="130">
        <f t="shared" si="87"/>
        <v>4.60712603</v>
      </c>
      <c r="ED16" s="32">
        <f t="shared" si="88"/>
        <v>0.7768062944</v>
      </c>
      <c r="EE16" s="32">
        <f t="shared" si="89"/>
        <v>3.830319735</v>
      </c>
    </row>
    <row r="17">
      <c r="A17" s="108">
        <v>4.0</v>
      </c>
      <c r="B17" s="109" t="s">
        <v>316</v>
      </c>
      <c r="C17" s="109">
        <v>28.0</v>
      </c>
      <c r="D17" s="109">
        <v>62.0</v>
      </c>
      <c r="E17" s="109">
        <v>62.0</v>
      </c>
      <c r="F17" s="109">
        <v>2070.0</v>
      </c>
      <c r="G17" s="109">
        <v>551.0</v>
      </c>
      <c r="H17" s="109">
        <v>1026.0</v>
      </c>
      <c r="I17" s="109">
        <v>0.537</v>
      </c>
      <c r="J17" s="109">
        <v>117.0</v>
      </c>
      <c r="K17" s="109">
        <v>312.0</v>
      </c>
      <c r="L17" s="109">
        <v>0.375</v>
      </c>
      <c r="M17" s="109">
        <v>434.0</v>
      </c>
      <c r="N17" s="109">
        <v>714.0</v>
      </c>
      <c r="O17" s="109">
        <v>0.608</v>
      </c>
      <c r="P17" s="109">
        <v>0.594</v>
      </c>
      <c r="Q17" s="109">
        <v>336.0</v>
      </c>
      <c r="R17" s="109">
        <v>384.0</v>
      </c>
      <c r="S17" s="109">
        <v>0.875</v>
      </c>
      <c r="T17" s="109">
        <v>39.0</v>
      </c>
      <c r="U17" s="109">
        <v>474.0</v>
      </c>
      <c r="V17" s="109">
        <v>513.0</v>
      </c>
      <c r="W17" s="109">
        <v>300.0</v>
      </c>
      <c r="X17" s="109">
        <v>66.0</v>
      </c>
      <c r="Y17" s="109">
        <v>99.0</v>
      </c>
      <c r="Z17" s="109">
        <v>138.0</v>
      </c>
      <c r="AA17" s="109">
        <v>117.0</v>
      </c>
      <c r="AB17" s="109">
        <v>1555.0</v>
      </c>
      <c r="AC17" s="110">
        <f t="shared" si="10"/>
        <v>1194.96</v>
      </c>
      <c r="AD17" s="111">
        <f t="shared" si="11"/>
        <v>1.301298788</v>
      </c>
      <c r="AE17" s="4">
        <f t="shared" si="12"/>
        <v>1322.287775</v>
      </c>
      <c r="AF17" s="110">
        <f t="shared" si="13"/>
        <v>4303.875</v>
      </c>
      <c r="AG17" s="112">
        <f t="shared" si="14"/>
        <v>521.6645747</v>
      </c>
      <c r="AH17" s="113">
        <f t="shared" si="15"/>
        <v>30.72319188</v>
      </c>
      <c r="AI17" s="113">
        <f t="shared" si="16"/>
        <v>23.83898231</v>
      </c>
      <c r="AJ17" s="113">
        <f t="shared" si="17"/>
        <v>8.922192211</v>
      </c>
      <c r="AK17" s="113">
        <f t="shared" si="18"/>
        <v>2.718480439</v>
      </c>
      <c r="AL17" s="113">
        <f t="shared" si="19"/>
        <v>6.970462664</v>
      </c>
      <c r="AM17" s="113">
        <f t="shared" si="20"/>
        <v>3.206412826</v>
      </c>
      <c r="AN17" s="113">
        <f t="shared" ref="AN17:AP17" si="102">T17/$AF17*100</f>
        <v>0.9061601464</v>
      </c>
      <c r="AO17" s="113">
        <f t="shared" si="102"/>
        <v>11.01333101</v>
      </c>
      <c r="AP17" s="113">
        <f t="shared" si="102"/>
        <v>11.91949116</v>
      </c>
      <c r="AQ17" s="113">
        <f t="shared" ref="AQ17:AR17" si="103">X17/$AF17*100</f>
        <v>1.533501786</v>
      </c>
      <c r="AR17" s="113">
        <f t="shared" si="103"/>
        <v>2.300252679</v>
      </c>
      <c r="AS17" s="113">
        <f t="shared" si="23"/>
        <v>2.718480439</v>
      </c>
      <c r="AT17" s="114">
        <f t="shared" si="24"/>
        <v>0.2691188581</v>
      </c>
      <c r="AU17" s="114">
        <f t="shared" si="25"/>
        <v>0.1606794055</v>
      </c>
      <c r="AV17" s="114">
        <f t="shared" si="26"/>
        <v>0.1410725552</v>
      </c>
      <c r="AW17" s="114">
        <f t="shared" si="27"/>
        <v>0.2301619162</v>
      </c>
      <c r="AX17" s="114">
        <f t="shared" si="28"/>
        <v>0.3409009009</v>
      </c>
      <c r="AY17" s="115">
        <f t="shared" si="29"/>
        <v>0.3798199362</v>
      </c>
      <c r="AZ17" s="116" t="str">
        <f t="shared" si="30"/>
        <v>PF</v>
      </c>
      <c r="BA17" s="117">
        <f t="shared" si="31"/>
        <v>4</v>
      </c>
      <c r="BB17" s="118">
        <f t="shared" si="32"/>
        <v>3.957065679</v>
      </c>
      <c r="BC17" s="118">
        <f t="shared" si="33"/>
        <v>3.958078281</v>
      </c>
      <c r="BD17" s="118">
        <f t="shared" si="34"/>
        <v>3.958078281</v>
      </c>
      <c r="BE17" s="131">
        <f t="shared" si="92"/>
        <v>3.135936861</v>
      </c>
      <c r="BF17" s="118">
        <f t="shared" si="35"/>
        <v>3.822141419</v>
      </c>
      <c r="BG17" s="118">
        <f t="shared" si="36"/>
        <v>3.822141419</v>
      </c>
      <c r="BH17" s="131">
        <f t="shared" si="93"/>
        <v>3.00566289</v>
      </c>
      <c r="BI17" s="118">
        <f t="shared" si="37"/>
        <v>3.816478529</v>
      </c>
      <c r="BJ17" s="118">
        <f t="shared" si="38"/>
        <v>3.816478529</v>
      </c>
      <c r="BK17" s="131">
        <f t="shared" si="94"/>
        <v>3.000235906</v>
      </c>
      <c r="BL17" s="118">
        <f t="shared" si="39"/>
        <v>3.816242623</v>
      </c>
      <c r="BM17" s="118">
        <f t="shared" si="40"/>
        <v>3.816242623</v>
      </c>
      <c r="BN17" s="120">
        <f t="shared" si="41"/>
        <v>1.2261371</v>
      </c>
      <c r="BO17" s="118">
        <f t="shared" si="42"/>
        <v>1.291558395</v>
      </c>
      <c r="BP17" s="118">
        <f t="shared" si="43"/>
        <v>1.291558395</v>
      </c>
      <c r="BQ17" s="131">
        <f t="shared" si="95"/>
        <v>2.983558642</v>
      </c>
      <c r="BR17" s="118">
        <f t="shared" si="44"/>
        <v>1.307999753</v>
      </c>
      <c r="BS17" s="118">
        <f t="shared" si="45"/>
        <v>1.307999753</v>
      </c>
      <c r="BT17" s="131">
        <f t="shared" si="96"/>
        <v>2.997736612</v>
      </c>
      <c r="BU17" s="118">
        <f t="shared" si="46"/>
        <v>1.310263141</v>
      </c>
      <c r="BV17" s="118">
        <f t="shared" si="47"/>
        <v>1.310263141</v>
      </c>
      <c r="BW17" s="131">
        <f t="shared" si="97"/>
        <v>2.999688412</v>
      </c>
      <c r="BX17" s="118">
        <f t="shared" si="48"/>
        <v>1.310574729</v>
      </c>
      <c r="BY17" s="118">
        <f t="shared" si="49"/>
        <v>1.310574729</v>
      </c>
      <c r="BZ17" s="61" t="str">
        <f t="shared" si="50"/>
        <v>Kevin Durant</v>
      </c>
      <c r="CA17" s="121">
        <f t="shared" si="51"/>
        <v>0.86</v>
      </c>
      <c r="CB17" s="122">
        <f t="shared" ref="CB17:CC17" si="104">(5-$BY17)/4*CB$3+($BY17-1)/4*CB$4</f>
        <v>-0.5770816101</v>
      </c>
      <c r="CC17" s="122">
        <f t="shared" si="104"/>
        <v>-0.2539159084</v>
      </c>
      <c r="CD17" s="121">
        <f t="shared" ref="CD17:CL17" si="105">(5-$BM17)/4*CD$3+($BM17-1)/4*CD$4</f>
        <v>0.389</v>
      </c>
      <c r="CE17" s="121">
        <f t="shared" si="105"/>
        <v>0.8996435377</v>
      </c>
      <c r="CF17" s="121">
        <f t="shared" si="105"/>
        <v>-0.964</v>
      </c>
      <c r="CG17" s="121">
        <f t="shared" si="105"/>
        <v>0.3088457967</v>
      </c>
      <c r="CH17" s="121">
        <f t="shared" si="105"/>
        <v>0.1617639426</v>
      </c>
      <c r="CI17" s="121">
        <f t="shared" si="105"/>
        <v>0</v>
      </c>
      <c r="CJ17" s="121">
        <f t="shared" si="105"/>
        <v>1.114834103</v>
      </c>
      <c r="CK17" s="121">
        <f t="shared" si="105"/>
        <v>0.8876661508</v>
      </c>
      <c r="CL17" s="121">
        <f t="shared" si="105"/>
        <v>-0.367</v>
      </c>
      <c r="CM17" s="118">
        <f t="shared" si="54"/>
        <v>11.45690908</v>
      </c>
      <c r="CN17" s="118">
        <f t="shared" si="55"/>
        <v>3.179949727</v>
      </c>
      <c r="CO17" s="118">
        <f t="shared" si="56"/>
        <v>2.061423598</v>
      </c>
      <c r="CP17" s="118">
        <f t="shared" si="57"/>
        <v>2.753774209</v>
      </c>
      <c r="CQ17" s="123">
        <f t="shared" si="58"/>
        <v>-2.343232851</v>
      </c>
      <c r="CR17" s="124">
        <f t="shared" si="59"/>
        <v>17.10882376</v>
      </c>
      <c r="CS17" s="114">
        <f t="shared" si="60"/>
        <v>0.523255814</v>
      </c>
      <c r="CT17" s="118">
        <f t="shared" si="61"/>
        <v>8.952291501</v>
      </c>
      <c r="CU17" s="125" t="str">
        <f t="shared" si="62"/>
        <v>Kevin Durant</v>
      </c>
      <c r="CV17" s="121">
        <f t="shared" si="63"/>
        <v>0.605</v>
      </c>
      <c r="CW17" s="122">
        <f t="shared" ref="CW17:CX17" si="106">(5-$BY17)/4*CB$7+($BY17-1)/4*CB$8</f>
        <v>-0.3410254029</v>
      </c>
      <c r="CX17" s="122">
        <f t="shared" si="106"/>
        <v>-0.1500511773</v>
      </c>
      <c r="CY17" s="121">
        <f t="shared" ref="CY17:DG17" si="107">(5-$BM17)/4*CD$7+($BM17-1)/4*CD$8</f>
        <v>0.477</v>
      </c>
      <c r="CZ17" s="121">
        <f t="shared" si="107"/>
        <v>0.476</v>
      </c>
      <c r="DA17" s="121">
        <f t="shared" si="107"/>
        <v>-0.7923303787</v>
      </c>
      <c r="DB17" s="121">
        <f t="shared" si="107"/>
        <v>0.4764528394</v>
      </c>
      <c r="DC17" s="121">
        <f t="shared" si="107"/>
        <v>0.03937304097</v>
      </c>
      <c r="DD17" s="121">
        <f t="shared" si="107"/>
        <v>0</v>
      </c>
      <c r="DE17" s="121">
        <f t="shared" si="107"/>
        <v>0.2593750967</v>
      </c>
      <c r="DF17" s="121">
        <f t="shared" si="107"/>
        <v>0.2828499082</v>
      </c>
      <c r="DG17" s="121">
        <f t="shared" si="107"/>
        <v>-0.439</v>
      </c>
      <c r="DH17" s="118">
        <f t="shared" si="66"/>
        <v>10.41576227</v>
      </c>
      <c r="DI17" s="118">
        <f t="shared" si="67"/>
        <v>0.7774019399</v>
      </c>
      <c r="DJ17" s="118">
        <f t="shared" si="68"/>
        <v>0.8653709078</v>
      </c>
      <c r="DK17" s="118">
        <f t="shared" si="69"/>
        <v>-0.1450344795</v>
      </c>
      <c r="DL17" s="123">
        <f t="shared" si="70"/>
        <v>-0.7264528666</v>
      </c>
      <c r="DM17" s="124">
        <f t="shared" si="71"/>
        <v>11.18704777</v>
      </c>
      <c r="DN17" s="114">
        <f t="shared" si="72"/>
        <v>0.523255814</v>
      </c>
      <c r="DO17" s="118">
        <f t="shared" si="73"/>
        <v>5.853687786</v>
      </c>
      <c r="DP17" s="126" t="str">
        <f t="shared" si="74"/>
        <v>Kevin Durant (10th)</v>
      </c>
      <c r="DQ17" s="127">
        <f t="shared" si="75"/>
        <v>3.816242623</v>
      </c>
      <c r="DR17" s="127">
        <f t="shared" si="76"/>
        <v>1.310574729</v>
      </c>
      <c r="DS17" s="128">
        <f t="shared" si="77"/>
        <v>2070</v>
      </c>
      <c r="DT17" s="127">
        <f t="shared" si="78"/>
        <v>33.38709677</v>
      </c>
      <c r="DU17" s="127">
        <f t="shared" si="79"/>
        <v>8.951482676</v>
      </c>
      <c r="DV17" s="127">
        <f t="shared" si="80"/>
        <v>6.633352899</v>
      </c>
      <c r="DW17" s="127">
        <f t="shared" si="81"/>
        <v>2.318129776</v>
      </c>
      <c r="DX17" s="127">
        <f t="shared" si="82"/>
        <v>4.683915354</v>
      </c>
      <c r="DY17" s="129">
        <f t="shared" si="83"/>
        <v>5.730426982</v>
      </c>
      <c r="DZ17" s="130">
        <f t="shared" si="84"/>
        <v>31.36363636</v>
      </c>
      <c r="EA17" s="130">
        <f t="shared" si="85"/>
        <v>0</v>
      </c>
      <c r="EB17" s="130">
        <f t="shared" si="86"/>
        <v>0.7386363636</v>
      </c>
      <c r="EC17" s="130">
        <f t="shared" si="87"/>
        <v>8.951482676</v>
      </c>
      <c r="ED17" s="32">
        <f t="shared" si="88"/>
        <v>6.633352899</v>
      </c>
      <c r="EE17" s="32">
        <f t="shared" si="89"/>
        <v>2.318129776</v>
      </c>
    </row>
    <row r="18">
      <c r="A18" s="108">
        <v>5.0</v>
      </c>
      <c r="B18" s="109" t="s">
        <v>317</v>
      </c>
      <c r="C18" s="109">
        <v>33.0</v>
      </c>
      <c r="D18" s="109">
        <v>76.0</v>
      </c>
      <c r="E18" s="109">
        <v>0.0</v>
      </c>
      <c r="F18" s="109">
        <v>1998.0</v>
      </c>
      <c r="G18" s="109">
        <v>219.0</v>
      </c>
      <c r="H18" s="109">
        <v>415.0</v>
      </c>
      <c r="I18" s="109">
        <v>0.528</v>
      </c>
      <c r="J18" s="109">
        <v>64.0</v>
      </c>
      <c r="K18" s="109">
        <v>177.0</v>
      </c>
      <c r="L18" s="109">
        <v>0.362</v>
      </c>
      <c r="M18" s="109">
        <v>155.0</v>
      </c>
      <c r="N18" s="109">
        <v>238.0</v>
      </c>
      <c r="O18" s="109">
        <v>0.651</v>
      </c>
      <c r="P18" s="109">
        <v>0.605</v>
      </c>
      <c r="Q18" s="109">
        <v>72.0</v>
      </c>
      <c r="R18" s="109">
        <v>102.0</v>
      </c>
      <c r="S18" s="109">
        <v>0.706</v>
      </c>
      <c r="T18" s="109">
        <v>51.0</v>
      </c>
      <c r="U18" s="109">
        <v>253.0</v>
      </c>
      <c r="V18" s="109">
        <v>304.0</v>
      </c>
      <c r="W18" s="109">
        <v>261.0</v>
      </c>
      <c r="X18" s="109">
        <v>76.0</v>
      </c>
      <c r="Y18" s="109">
        <v>39.0</v>
      </c>
      <c r="Z18" s="109">
        <v>58.0</v>
      </c>
      <c r="AA18" s="109">
        <v>97.0</v>
      </c>
      <c r="AB18" s="109">
        <v>574.0</v>
      </c>
      <c r="AC18" s="110">
        <f t="shared" si="10"/>
        <v>459.88</v>
      </c>
      <c r="AD18" s="111">
        <f t="shared" si="11"/>
        <v>1.248151692</v>
      </c>
      <c r="AE18" s="4">
        <f t="shared" si="12"/>
        <v>484.4407694</v>
      </c>
      <c r="AF18" s="110">
        <f t="shared" si="13"/>
        <v>4154.175</v>
      </c>
      <c r="AG18" s="112">
        <f t="shared" si="14"/>
        <v>176.3211694</v>
      </c>
      <c r="AH18" s="113">
        <f t="shared" si="15"/>
        <v>11.66153976</v>
      </c>
      <c r="AI18" s="113">
        <f t="shared" si="16"/>
        <v>9.98994987</v>
      </c>
      <c r="AJ18" s="113">
        <f t="shared" si="17"/>
        <v>2.455361173</v>
      </c>
      <c r="AK18" s="113">
        <f t="shared" si="18"/>
        <v>1.540618775</v>
      </c>
      <c r="AL18" s="113">
        <f t="shared" si="19"/>
        <v>6.282835942</v>
      </c>
      <c r="AM18" s="113">
        <f t="shared" si="20"/>
        <v>1.396185765</v>
      </c>
      <c r="AN18" s="113">
        <f t="shared" ref="AN18:AP18" si="108">T18/$AF18*100</f>
        <v>1.227680586</v>
      </c>
      <c r="AO18" s="113">
        <f t="shared" si="108"/>
        <v>6.090258595</v>
      </c>
      <c r="AP18" s="113">
        <f t="shared" si="108"/>
        <v>7.317939182</v>
      </c>
      <c r="AQ18" s="113">
        <f t="shared" ref="AQ18:AR18" si="109">X18/$AF18*100</f>
        <v>1.829484795</v>
      </c>
      <c r="AR18" s="113">
        <f t="shared" si="109"/>
        <v>0.9388145661</v>
      </c>
      <c r="AS18" s="113">
        <f t="shared" si="23"/>
        <v>2.335000331</v>
      </c>
      <c r="AT18" s="114">
        <f t="shared" si="24"/>
        <v>0.1652247911</v>
      </c>
      <c r="AU18" s="114">
        <f t="shared" si="25"/>
        <v>0.1916923293</v>
      </c>
      <c r="AV18" s="114">
        <f t="shared" si="26"/>
        <v>0.1211722764</v>
      </c>
      <c r="AW18" s="114">
        <f t="shared" si="27"/>
        <v>0.2074567542</v>
      </c>
      <c r="AX18" s="114">
        <f t="shared" si="28"/>
        <v>0.1391337283</v>
      </c>
      <c r="AY18" s="115">
        <f t="shared" si="29"/>
        <v>0.1330043148</v>
      </c>
      <c r="AZ18" s="116" t="str">
        <f t="shared" si="30"/>
        <v>SF</v>
      </c>
      <c r="BA18" s="117">
        <f t="shared" si="31"/>
        <v>3</v>
      </c>
      <c r="BB18" s="118">
        <f t="shared" si="32"/>
        <v>2.703673181</v>
      </c>
      <c r="BC18" s="118">
        <f t="shared" si="33"/>
        <v>2.710907722</v>
      </c>
      <c r="BD18" s="118">
        <f t="shared" si="34"/>
        <v>2.710907722</v>
      </c>
      <c r="BE18" s="131">
        <f t="shared" si="92"/>
        <v>3.135936861</v>
      </c>
      <c r="BF18" s="118">
        <f t="shared" si="35"/>
        <v>2.574970861</v>
      </c>
      <c r="BG18" s="118">
        <f t="shared" si="36"/>
        <v>2.574970861</v>
      </c>
      <c r="BH18" s="131">
        <f t="shared" si="93"/>
        <v>3.00566289</v>
      </c>
      <c r="BI18" s="118">
        <f t="shared" si="37"/>
        <v>2.56930797</v>
      </c>
      <c r="BJ18" s="118">
        <f t="shared" si="38"/>
        <v>2.56930797</v>
      </c>
      <c r="BK18" s="131">
        <f t="shared" si="94"/>
        <v>3.000235906</v>
      </c>
      <c r="BL18" s="118">
        <f t="shared" si="39"/>
        <v>2.569072064</v>
      </c>
      <c r="BM18" s="118">
        <f t="shared" si="40"/>
        <v>2.569072064</v>
      </c>
      <c r="BN18" s="120">
        <f t="shared" si="41"/>
        <v>3.485753055</v>
      </c>
      <c r="BO18" s="118">
        <f t="shared" si="42"/>
        <v>3.498307912</v>
      </c>
      <c r="BP18" s="118">
        <f t="shared" si="43"/>
        <v>3.498307912</v>
      </c>
      <c r="BQ18" s="131">
        <f t="shared" si="95"/>
        <v>2.983558642</v>
      </c>
      <c r="BR18" s="118">
        <f t="shared" si="44"/>
        <v>3.51474927</v>
      </c>
      <c r="BS18" s="118">
        <f t="shared" si="45"/>
        <v>3.51474927</v>
      </c>
      <c r="BT18" s="131">
        <f t="shared" si="96"/>
        <v>2.997736612</v>
      </c>
      <c r="BU18" s="118">
        <f t="shared" si="46"/>
        <v>3.517012658</v>
      </c>
      <c r="BV18" s="118">
        <f t="shared" si="47"/>
        <v>3.517012658</v>
      </c>
      <c r="BW18" s="131">
        <f t="shared" si="97"/>
        <v>2.999688412</v>
      </c>
      <c r="BX18" s="118">
        <f t="shared" si="48"/>
        <v>3.517324246</v>
      </c>
      <c r="BY18" s="118">
        <f t="shared" si="49"/>
        <v>3.517324246</v>
      </c>
      <c r="BZ18" s="61" t="str">
        <f t="shared" si="50"/>
        <v>Andre Iguodala</v>
      </c>
      <c r="CA18" s="121">
        <f t="shared" si="51"/>
        <v>0.86</v>
      </c>
      <c r="CB18" s="122">
        <f t="shared" ref="CB18:CC18" si="110">(5-$BY18)/4*CB$3+($BY18-1)/4*CB$4</f>
        <v>-0.6984528335</v>
      </c>
      <c r="CC18" s="122">
        <f t="shared" si="110"/>
        <v>-0.3073192468</v>
      </c>
      <c r="CD18" s="121">
        <f t="shared" ref="CD18:CL18" si="111">(5-$BM18)/4*CD$3+($BM18-1)/4*CD$4</f>
        <v>0.389</v>
      </c>
      <c r="CE18" s="121">
        <f t="shared" si="111"/>
        <v>0.7580896793</v>
      </c>
      <c r="CF18" s="121">
        <f t="shared" si="111"/>
        <v>-0.964</v>
      </c>
      <c r="CG18" s="121">
        <f t="shared" si="111"/>
        <v>0.4435402171</v>
      </c>
      <c r="CH18" s="121">
        <f t="shared" si="111"/>
        <v>0.141497421</v>
      </c>
      <c r="CI18" s="121">
        <f t="shared" si="111"/>
        <v>0</v>
      </c>
      <c r="CJ18" s="121">
        <f t="shared" si="111"/>
        <v>1.227391246</v>
      </c>
      <c r="CK18" s="121">
        <f t="shared" si="111"/>
        <v>1.082224758</v>
      </c>
      <c r="CL18" s="121">
        <f t="shared" si="111"/>
        <v>-0.367</v>
      </c>
      <c r="CM18" s="118">
        <f t="shared" si="54"/>
        <v>2.89613636</v>
      </c>
      <c r="CN18" s="118">
        <f t="shared" si="55"/>
        <v>3.417030007</v>
      </c>
      <c r="CO18" s="118">
        <f t="shared" si="56"/>
        <v>1.406281598</v>
      </c>
      <c r="CP18" s="118">
        <f t="shared" si="57"/>
        <v>2.404556868</v>
      </c>
      <c r="CQ18" s="123">
        <f t="shared" si="58"/>
        <v>0.5412792037</v>
      </c>
      <c r="CR18" s="124">
        <f t="shared" si="59"/>
        <v>10.66528404</v>
      </c>
      <c r="CS18" s="114">
        <f t="shared" si="60"/>
        <v>0.5050556117</v>
      </c>
      <c r="CT18" s="118">
        <f t="shared" si="61"/>
        <v>5.386561554</v>
      </c>
      <c r="CU18" s="125" t="str">
        <f t="shared" si="62"/>
        <v>Andre Iguodala</v>
      </c>
      <c r="CV18" s="121">
        <f t="shared" si="63"/>
        <v>0.605</v>
      </c>
      <c r="CW18" s="122">
        <f t="shared" ref="CW18:CX18" si="112">(5-$BY18)/4*CB$7+($BY18-1)/4*CB$8</f>
        <v>-0.4193650107</v>
      </c>
      <c r="CX18" s="122">
        <f t="shared" si="112"/>
        <v>-0.1845206047</v>
      </c>
      <c r="CY18" s="121">
        <f t="shared" ref="CY18:DG18" si="113">(5-$BM18)/4*CD$7+($BM18-1)/4*CD$8</f>
        <v>0.477</v>
      </c>
      <c r="CZ18" s="121">
        <f t="shared" si="113"/>
        <v>0.476</v>
      </c>
      <c r="DA18" s="121">
        <f t="shared" si="113"/>
        <v>-0.6978572089</v>
      </c>
      <c r="DB18" s="121">
        <f t="shared" si="113"/>
        <v>0.533822685</v>
      </c>
      <c r="DC18" s="121">
        <f t="shared" si="113"/>
        <v>-0.02766237655</v>
      </c>
      <c r="DD18" s="121">
        <f t="shared" si="113"/>
        <v>0</v>
      </c>
      <c r="DE18" s="121">
        <f t="shared" si="113"/>
        <v>0.2228953579</v>
      </c>
      <c r="DF18" s="121">
        <f t="shared" si="113"/>
        <v>0.4786556859</v>
      </c>
      <c r="DG18" s="121">
        <f t="shared" si="113"/>
        <v>-0.439</v>
      </c>
      <c r="DH18" s="118">
        <f t="shared" si="66"/>
        <v>3.147606549</v>
      </c>
      <c r="DI18" s="118">
        <f t="shared" si="67"/>
        <v>2.016291607</v>
      </c>
      <c r="DJ18" s="118">
        <f t="shared" si="68"/>
        <v>0.4868927205</v>
      </c>
      <c r="DK18" s="118">
        <f t="shared" si="69"/>
        <v>-0.167912547</v>
      </c>
      <c r="DL18" s="123">
        <f t="shared" si="70"/>
        <v>-0.1434083916</v>
      </c>
      <c r="DM18" s="124">
        <f t="shared" si="71"/>
        <v>5.339469939</v>
      </c>
      <c r="DN18" s="114">
        <f t="shared" si="72"/>
        <v>0.5050556117</v>
      </c>
      <c r="DO18" s="118">
        <f t="shared" si="73"/>
        <v>2.696729256</v>
      </c>
      <c r="DP18" s="126" t="str">
        <f t="shared" si="74"/>
        <v>Andre Iguodala (13th)</v>
      </c>
      <c r="DQ18" s="127">
        <f t="shared" si="75"/>
        <v>2.569072064</v>
      </c>
      <c r="DR18" s="127">
        <f t="shared" si="76"/>
        <v>3.517324246</v>
      </c>
      <c r="DS18" s="128">
        <f t="shared" si="77"/>
        <v>1998</v>
      </c>
      <c r="DT18" s="127">
        <f t="shared" si="78"/>
        <v>26.28947368</v>
      </c>
      <c r="DU18" s="127">
        <f t="shared" si="79"/>
        <v>2.507942955</v>
      </c>
      <c r="DV18" s="127">
        <f t="shared" si="80"/>
        <v>0.7857750691</v>
      </c>
      <c r="DW18" s="127">
        <f t="shared" si="81"/>
        <v>1.722167886</v>
      </c>
      <c r="DX18" s="127">
        <f t="shared" si="82"/>
        <v>1.266650663</v>
      </c>
      <c r="DY18" s="129">
        <f t="shared" si="83"/>
        <v>2.276761887</v>
      </c>
      <c r="DZ18" s="130">
        <f t="shared" si="84"/>
        <v>24.975</v>
      </c>
      <c r="EA18" s="130">
        <f t="shared" si="85"/>
        <v>0</v>
      </c>
      <c r="EB18" s="130">
        <f t="shared" si="86"/>
        <v>-0.379375</v>
      </c>
      <c r="EC18" s="130">
        <f t="shared" si="87"/>
        <v>2.507942955</v>
      </c>
      <c r="ED18" s="32">
        <f t="shared" si="88"/>
        <v>0.7857750691</v>
      </c>
      <c r="EE18" s="32">
        <f t="shared" si="89"/>
        <v>1.722167886</v>
      </c>
    </row>
    <row r="19">
      <c r="A19" s="108">
        <v>6.0</v>
      </c>
      <c r="B19" s="109" t="s">
        <v>318</v>
      </c>
      <c r="C19" s="109">
        <v>31.0</v>
      </c>
      <c r="D19" s="109">
        <v>76.0</v>
      </c>
      <c r="E19" s="109">
        <v>3.0</v>
      </c>
      <c r="F19" s="109">
        <v>1345.0</v>
      </c>
      <c r="G19" s="109">
        <v>173.0</v>
      </c>
      <c r="H19" s="109">
        <v>316.0</v>
      </c>
      <c r="I19" s="109">
        <v>0.547</v>
      </c>
      <c r="J19" s="109">
        <v>1.0</v>
      </c>
      <c r="K19" s="109">
        <v>3.0</v>
      </c>
      <c r="L19" s="109">
        <v>0.333</v>
      </c>
      <c r="M19" s="109">
        <v>172.0</v>
      </c>
      <c r="N19" s="109">
        <v>313.0</v>
      </c>
      <c r="O19" s="109">
        <v>0.55</v>
      </c>
      <c r="P19" s="109">
        <v>0.549</v>
      </c>
      <c r="Q19" s="109">
        <v>42.0</v>
      </c>
      <c r="R19" s="109">
        <v>60.0</v>
      </c>
      <c r="S19" s="109">
        <v>0.7</v>
      </c>
      <c r="T19" s="109">
        <v>28.0</v>
      </c>
      <c r="U19" s="109">
        <v>123.0</v>
      </c>
      <c r="V19" s="109">
        <v>151.0</v>
      </c>
      <c r="W19" s="109">
        <v>139.0</v>
      </c>
      <c r="X19" s="109">
        <v>38.0</v>
      </c>
      <c r="Y19" s="109">
        <v>20.0</v>
      </c>
      <c r="Z19" s="109">
        <v>62.0</v>
      </c>
      <c r="AA19" s="109">
        <v>120.0</v>
      </c>
      <c r="AB19" s="109">
        <v>389.0</v>
      </c>
      <c r="AC19" s="110">
        <f t="shared" si="10"/>
        <v>342.4</v>
      </c>
      <c r="AD19" s="111">
        <f t="shared" si="11"/>
        <v>1.136098131</v>
      </c>
      <c r="AE19" s="4">
        <f t="shared" si="12"/>
        <v>322.3193865</v>
      </c>
      <c r="AF19" s="110">
        <f t="shared" si="13"/>
        <v>2796.479167</v>
      </c>
      <c r="AG19" s="112">
        <f t="shared" si="14"/>
        <v>92.91138647</v>
      </c>
      <c r="AH19" s="113">
        <f t="shared" si="15"/>
        <v>11.52589979</v>
      </c>
      <c r="AI19" s="113">
        <f t="shared" si="16"/>
        <v>11.29992327</v>
      </c>
      <c r="AJ19" s="113">
        <f t="shared" si="17"/>
        <v>2.145555051</v>
      </c>
      <c r="AK19" s="113">
        <f t="shared" si="18"/>
        <v>0.03575925084</v>
      </c>
      <c r="AL19" s="113">
        <f t="shared" si="19"/>
        <v>4.970535867</v>
      </c>
      <c r="AM19" s="113">
        <f t="shared" si="20"/>
        <v>2.217073552</v>
      </c>
      <c r="AN19" s="113">
        <f t="shared" ref="AN19:AP19" si="114">T19/$AF19*100</f>
        <v>1.001259024</v>
      </c>
      <c r="AO19" s="113">
        <f t="shared" si="114"/>
        <v>4.398387854</v>
      </c>
      <c r="AP19" s="113">
        <f t="shared" si="114"/>
        <v>5.399646877</v>
      </c>
      <c r="AQ19" s="113">
        <f t="shared" ref="AQ19:AR19" si="115">X19/$AF19*100</f>
        <v>1.358851532</v>
      </c>
      <c r="AR19" s="113">
        <f t="shared" si="115"/>
        <v>0.7151850169</v>
      </c>
      <c r="AS19" s="113">
        <f t="shared" si="23"/>
        <v>4.291110101</v>
      </c>
      <c r="AT19" s="114">
        <f t="shared" si="24"/>
        <v>0.121913493</v>
      </c>
      <c r="AU19" s="114">
        <f t="shared" si="25"/>
        <v>0.1423796557</v>
      </c>
      <c r="AV19" s="114">
        <f t="shared" si="26"/>
        <v>0.2226824434</v>
      </c>
      <c r="AW19" s="114">
        <f t="shared" si="27"/>
        <v>0.1641251255</v>
      </c>
      <c r="AX19" s="114">
        <f t="shared" si="28"/>
        <v>0.1059914934</v>
      </c>
      <c r="AY19" s="115">
        <f t="shared" si="29"/>
        <v>0.1041126289</v>
      </c>
      <c r="AZ19" s="116" t="str">
        <f t="shared" si="30"/>
        <v>PG</v>
      </c>
      <c r="BA19" s="117">
        <f t="shared" si="31"/>
        <v>1</v>
      </c>
      <c r="BB19" s="118">
        <f t="shared" si="32"/>
        <v>2.649542678</v>
      </c>
      <c r="BC19" s="118">
        <f t="shared" si="33"/>
        <v>2.590419284</v>
      </c>
      <c r="BD19" s="118">
        <f t="shared" si="34"/>
        <v>2.590419284</v>
      </c>
      <c r="BE19" s="131">
        <f t="shared" si="92"/>
        <v>3.135936861</v>
      </c>
      <c r="BF19" s="118">
        <f t="shared" si="35"/>
        <v>2.454482423</v>
      </c>
      <c r="BG19" s="118">
        <f t="shared" si="36"/>
        <v>2.454482423</v>
      </c>
      <c r="BH19" s="131">
        <f t="shared" si="93"/>
        <v>3.00566289</v>
      </c>
      <c r="BI19" s="118">
        <f t="shared" si="37"/>
        <v>2.448819532</v>
      </c>
      <c r="BJ19" s="118">
        <f t="shared" si="38"/>
        <v>2.448819532</v>
      </c>
      <c r="BK19" s="131">
        <f t="shared" si="94"/>
        <v>3.000235906</v>
      </c>
      <c r="BL19" s="118">
        <f t="shared" si="39"/>
        <v>2.448583626</v>
      </c>
      <c r="BM19" s="118">
        <f t="shared" si="40"/>
        <v>2.448583626</v>
      </c>
      <c r="BN19" s="120">
        <f t="shared" si="41"/>
        <v>4.020397853</v>
      </c>
      <c r="BO19" s="118">
        <f t="shared" si="42"/>
        <v>4.019666747</v>
      </c>
      <c r="BP19" s="118">
        <f t="shared" si="43"/>
        <v>4.019666747</v>
      </c>
      <c r="BQ19" s="131">
        <f t="shared" si="95"/>
        <v>2.983558642</v>
      </c>
      <c r="BR19" s="118">
        <f t="shared" si="44"/>
        <v>4.036108105</v>
      </c>
      <c r="BS19" s="118">
        <f t="shared" si="45"/>
        <v>4.036108105</v>
      </c>
      <c r="BT19" s="131">
        <f t="shared" si="96"/>
        <v>2.997736612</v>
      </c>
      <c r="BU19" s="118">
        <f t="shared" si="46"/>
        <v>4.038371494</v>
      </c>
      <c r="BV19" s="118">
        <f t="shared" si="47"/>
        <v>4.038371494</v>
      </c>
      <c r="BW19" s="131">
        <f t="shared" si="97"/>
        <v>2.999688412</v>
      </c>
      <c r="BX19" s="118">
        <f t="shared" si="48"/>
        <v>4.038683081</v>
      </c>
      <c r="BY19" s="118">
        <f t="shared" si="49"/>
        <v>4.038683081</v>
      </c>
      <c r="BZ19" s="61" t="str">
        <f t="shared" si="50"/>
        <v>Shaun Livingston</v>
      </c>
      <c r="CA19" s="121">
        <f t="shared" si="51"/>
        <v>0.86</v>
      </c>
      <c r="CB19" s="122">
        <f t="shared" ref="CB19:CC19" si="116">(5-$BY19)/4*CB$3+($BY19-1)/4*CB$4</f>
        <v>-0.7271275695</v>
      </c>
      <c r="CC19" s="122">
        <f t="shared" si="116"/>
        <v>-0.3199361306</v>
      </c>
      <c r="CD19" s="121">
        <f t="shared" ref="CD19:CL19" si="117">(5-$BM19)/4*CD$3+($BM19-1)/4*CD$4</f>
        <v>0.389</v>
      </c>
      <c r="CE19" s="121">
        <f t="shared" si="117"/>
        <v>0.7444142416</v>
      </c>
      <c r="CF19" s="121">
        <f t="shared" si="117"/>
        <v>-0.964</v>
      </c>
      <c r="CG19" s="121">
        <f t="shared" si="117"/>
        <v>0.4565529684</v>
      </c>
      <c r="CH19" s="121">
        <f t="shared" si="117"/>
        <v>0.1395394839</v>
      </c>
      <c r="CI19" s="121">
        <f t="shared" si="117"/>
        <v>0</v>
      </c>
      <c r="CJ19" s="121">
        <f t="shared" si="117"/>
        <v>1.238265328</v>
      </c>
      <c r="CK19" s="121">
        <f t="shared" si="117"/>
        <v>1.101020954</v>
      </c>
      <c r="CL19" s="121">
        <f t="shared" si="117"/>
        <v>-0.367</v>
      </c>
      <c r="CM19" s="118">
        <f t="shared" si="54"/>
        <v>1.023257849</v>
      </c>
      <c r="CN19" s="118">
        <f t="shared" si="55"/>
        <v>1.562878783</v>
      </c>
      <c r="CO19" s="118">
        <f t="shared" si="56"/>
        <v>1.070876551</v>
      </c>
      <c r="CP19" s="118">
        <f t="shared" si="57"/>
        <v>0.8952150203</v>
      </c>
      <c r="CQ19" s="123">
        <f t="shared" si="58"/>
        <v>1.215124137</v>
      </c>
      <c r="CR19" s="124">
        <f t="shared" si="59"/>
        <v>5.767352341</v>
      </c>
      <c r="CS19" s="114">
        <f t="shared" si="60"/>
        <v>0.3399898888</v>
      </c>
      <c r="CT19" s="118">
        <f t="shared" si="61"/>
        <v>1.960841481</v>
      </c>
      <c r="CU19" s="125" t="str">
        <f t="shared" si="62"/>
        <v>Shaun Livingston</v>
      </c>
      <c r="CV19" s="121">
        <f t="shared" si="63"/>
        <v>0.605</v>
      </c>
      <c r="CW19" s="122">
        <f t="shared" ref="CW19:CX19" si="118">(5-$BY19)/4*CB$7+($BY19-1)/4*CB$8</f>
        <v>-0.4378732494</v>
      </c>
      <c r="CX19" s="122">
        <f t="shared" si="118"/>
        <v>-0.1926642297</v>
      </c>
      <c r="CY19" s="121">
        <f t="shared" ref="CY19:DG19" si="119">(5-$BM19)/4*CD$7+($BM19-1)/4*CD$8</f>
        <v>0.477</v>
      </c>
      <c r="CZ19" s="121">
        <f t="shared" si="119"/>
        <v>0.476</v>
      </c>
      <c r="DA19" s="121">
        <f t="shared" si="119"/>
        <v>-0.6887302097</v>
      </c>
      <c r="DB19" s="121">
        <f t="shared" si="119"/>
        <v>0.5393651532</v>
      </c>
      <c r="DC19" s="121">
        <f t="shared" si="119"/>
        <v>-0.03413863009</v>
      </c>
      <c r="DD19" s="121">
        <f t="shared" si="119"/>
        <v>0</v>
      </c>
      <c r="DE19" s="121">
        <f t="shared" si="119"/>
        <v>0.2193710711</v>
      </c>
      <c r="DF19" s="121">
        <f t="shared" si="119"/>
        <v>0.4975723707</v>
      </c>
      <c r="DG19" s="121">
        <f t="shared" si="119"/>
        <v>-0.439</v>
      </c>
      <c r="DH19" s="118">
        <f t="shared" si="66"/>
        <v>1.628920707</v>
      </c>
      <c r="DI19" s="118">
        <f t="shared" si="67"/>
        <v>0.8390095402</v>
      </c>
      <c r="DJ19" s="118">
        <f t="shared" si="68"/>
        <v>0.3898892907</v>
      </c>
      <c r="DK19" s="118">
        <f t="shared" si="69"/>
        <v>-1.229848314</v>
      </c>
      <c r="DL19" s="123">
        <f t="shared" si="70"/>
        <v>-0.02151877636</v>
      </c>
      <c r="DM19" s="124">
        <f t="shared" si="71"/>
        <v>1.606452448</v>
      </c>
      <c r="DN19" s="114">
        <f t="shared" si="72"/>
        <v>0.3399898888</v>
      </c>
      <c r="DO19" s="118">
        <f t="shared" si="73"/>
        <v>0.5461775891</v>
      </c>
      <c r="DP19" s="126" t="str">
        <f t="shared" si="74"/>
        <v>Shaun Livingston (12th)</v>
      </c>
      <c r="DQ19" s="127">
        <f t="shared" si="75"/>
        <v>2.448583626</v>
      </c>
      <c r="DR19" s="127">
        <f t="shared" si="76"/>
        <v>4.038683081</v>
      </c>
      <c r="DS19" s="128">
        <f t="shared" si="77"/>
        <v>1345</v>
      </c>
      <c r="DT19" s="127">
        <f t="shared" si="78"/>
        <v>17.69736842</v>
      </c>
      <c r="DU19" s="127">
        <f t="shared" si="79"/>
        <v>-2.389988742</v>
      </c>
      <c r="DV19" s="127">
        <f t="shared" si="80"/>
        <v>-2.947242421</v>
      </c>
      <c r="DW19" s="127">
        <f t="shared" si="81"/>
        <v>0.5572536797</v>
      </c>
      <c r="DX19" s="127">
        <f t="shared" si="82"/>
        <v>-0.8125720065</v>
      </c>
      <c r="DY19" s="129">
        <f t="shared" si="83"/>
        <v>-0.1325922289</v>
      </c>
      <c r="DZ19" s="130">
        <f t="shared" si="84"/>
        <v>16.8125</v>
      </c>
      <c r="EA19" s="130">
        <f t="shared" si="85"/>
        <v>0</v>
      </c>
      <c r="EB19" s="130">
        <f t="shared" si="86"/>
        <v>-1.8078125</v>
      </c>
      <c r="EC19" s="130">
        <f t="shared" si="87"/>
        <v>-2.389988742</v>
      </c>
      <c r="ED19" s="32">
        <f t="shared" si="88"/>
        <v>-2.947242421</v>
      </c>
      <c r="EE19" s="32">
        <f t="shared" si="89"/>
        <v>0.5572536797</v>
      </c>
    </row>
    <row r="20">
      <c r="A20" s="108">
        <v>7.0</v>
      </c>
      <c r="B20" s="109" t="s">
        <v>319</v>
      </c>
      <c r="C20" s="109">
        <v>32.0</v>
      </c>
      <c r="D20" s="109">
        <v>70.0</v>
      </c>
      <c r="E20" s="109">
        <v>70.0</v>
      </c>
      <c r="F20" s="109">
        <v>1268.0</v>
      </c>
      <c r="G20" s="109">
        <v>164.0</v>
      </c>
      <c r="H20" s="109">
        <v>307.0</v>
      </c>
      <c r="I20" s="109">
        <v>0.534</v>
      </c>
      <c r="J20" s="109">
        <v>0.0</v>
      </c>
      <c r="K20" s="109">
        <v>2.0</v>
      </c>
      <c r="L20" s="109">
        <v>0.0</v>
      </c>
      <c r="M20" s="109">
        <v>164.0</v>
      </c>
      <c r="N20" s="109">
        <v>305.0</v>
      </c>
      <c r="O20" s="109">
        <v>0.538</v>
      </c>
      <c r="P20" s="109">
        <v>0.534</v>
      </c>
      <c r="Q20" s="109">
        <v>98.0</v>
      </c>
      <c r="R20" s="109">
        <v>126.0</v>
      </c>
      <c r="S20" s="109">
        <v>0.778</v>
      </c>
      <c r="T20" s="109">
        <v>140.0</v>
      </c>
      <c r="U20" s="109">
        <v>270.0</v>
      </c>
      <c r="V20" s="109">
        <v>410.0</v>
      </c>
      <c r="W20" s="109">
        <v>132.0</v>
      </c>
      <c r="X20" s="109">
        <v>59.0</v>
      </c>
      <c r="Y20" s="109">
        <v>33.0</v>
      </c>
      <c r="Z20" s="109">
        <v>87.0</v>
      </c>
      <c r="AA20" s="109">
        <v>166.0</v>
      </c>
      <c r="AB20" s="109">
        <v>426.0</v>
      </c>
      <c r="AC20" s="110">
        <f t="shared" si="10"/>
        <v>362.44</v>
      </c>
      <c r="AD20" s="111">
        <f t="shared" si="11"/>
        <v>1.175366957</v>
      </c>
      <c r="AE20" s="4">
        <f t="shared" si="12"/>
        <v>355.416701</v>
      </c>
      <c r="AF20" s="110">
        <f t="shared" si="13"/>
        <v>2636.383333</v>
      </c>
      <c r="AG20" s="112">
        <f t="shared" si="14"/>
        <v>112.581901</v>
      </c>
      <c r="AH20" s="113">
        <f t="shared" si="15"/>
        <v>13.48122242</v>
      </c>
      <c r="AI20" s="113">
        <f t="shared" si="16"/>
        <v>11.64474059</v>
      </c>
      <c r="AJ20" s="113">
        <f t="shared" si="17"/>
        <v>4.779274638</v>
      </c>
      <c r="AK20" s="113">
        <f t="shared" si="18"/>
        <v>0</v>
      </c>
      <c r="AL20" s="113">
        <f t="shared" si="19"/>
        <v>5.006859144</v>
      </c>
      <c r="AM20" s="113">
        <f t="shared" si="20"/>
        <v>3.299975345</v>
      </c>
      <c r="AN20" s="113">
        <f t="shared" ref="AN20:AP20" si="120">T20/$AF20*100</f>
        <v>5.310305153</v>
      </c>
      <c r="AO20" s="113">
        <f t="shared" si="120"/>
        <v>10.24130279</v>
      </c>
      <c r="AP20" s="113">
        <f t="shared" si="120"/>
        <v>15.55160795</v>
      </c>
      <c r="AQ20" s="113">
        <f t="shared" ref="AQ20:AR20" si="121">X20/$AF20*100</f>
        <v>2.237914314</v>
      </c>
      <c r="AR20" s="113">
        <f t="shared" si="121"/>
        <v>1.251714786</v>
      </c>
      <c r="AS20" s="113">
        <f t="shared" si="23"/>
        <v>6.296504681</v>
      </c>
      <c r="AT20" s="114">
        <f t="shared" si="24"/>
        <v>0.3511249698</v>
      </c>
      <c r="AU20" s="114">
        <f t="shared" si="25"/>
        <v>0.2344873315</v>
      </c>
      <c r="AV20" s="114">
        <f t="shared" si="26"/>
        <v>0.3267501916</v>
      </c>
      <c r="AW20" s="114">
        <f t="shared" si="27"/>
        <v>0.1653245058</v>
      </c>
      <c r="AX20" s="114">
        <f t="shared" si="28"/>
        <v>0.1855060107</v>
      </c>
      <c r="AY20" s="115">
        <f t="shared" si="29"/>
        <v>0.1338153951</v>
      </c>
      <c r="AZ20" s="116" t="str">
        <f t="shared" si="30"/>
        <v>C</v>
      </c>
      <c r="BA20" s="117">
        <f t="shared" si="31"/>
        <v>5</v>
      </c>
      <c r="BB20" s="118">
        <f t="shared" si="32"/>
        <v>4.638804008</v>
      </c>
      <c r="BC20" s="118">
        <f t="shared" si="33"/>
        <v>4.652506436</v>
      </c>
      <c r="BD20" s="118">
        <f t="shared" si="34"/>
        <v>4.652506436</v>
      </c>
      <c r="BE20" s="131">
        <f t="shared" si="92"/>
        <v>3.135936861</v>
      </c>
      <c r="BF20" s="118">
        <f t="shared" si="35"/>
        <v>4.516569574</v>
      </c>
      <c r="BG20" s="118">
        <f t="shared" si="36"/>
        <v>4.516569574</v>
      </c>
      <c r="BH20" s="131">
        <f t="shared" si="93"/>
        <v>3.00566289</v>
      </c>
      <c r="BI20" s="118">
        <f t="shared" si="37"/>
        <v>4.510906684</v>
      </c>
      <c r="BJ20" s="118">
        <f t="shared" si="38"/>
        <v>4.510906684</v>
      </c>
      <c r="BK20" s="131">
        <f t="shared" si="94"/>
        <v>3.000235906</v>
      </c>
      <c r="BL20" s="118">
        <f t="shared" si="39"/>
        <v>4.510670778</v>
      </c>
      <c r="BM20" s="118">
        <f t="shared" si="40"/>
        <v>4.510670778</v>
      </c>
      <c r="BN20" s="120">
        <f t="shared" si="41"/>
        <v>3.758648645</v>
      </c>
      <c r="BO20" s="118">
        <f t="shared" si="42"/>
        <v>3.767804615</v>
      </c>
      <c r="BP20" s="118">
        <f t="shared" si="43"/>
        <v>3.767804615</v>
      </c>
      <c r="BQ20" s="131">
        <f t="shared" si="95"/>
        <v>2.983558642</v>
      </c>
      <c r="BR20" s="118">
        <f t="shared" si="44"/>
        <v>3.784245973</v>
      </c>
      <c r="BS20" s="118">
        <f t="shared" si="45"/>
        <v>3.784245973</v>
      </c>
      <c r="BT20" s="131">
        <f t="shared" si="96"/>
        <v>2.997736612</v>
      </c>
      <c r="BU20" s="118">
        <f t="shared" si="46"/>
        <v>3.786509361</v>
      </c>
      <c r="BV20" s="118">
        <f t="shared" si="47"/>
        <v>3.786509361</v>
      </c>
      <c r="BW20" s="131">
        <f t="shared" si="97"/>
        <v>2.999688412</v>
      </c>
      <c r="BX20" s="118">
        <f t="shared" si="48"/>
        <v>3.786820949</v>
      </c>
      <c r="BY20" s="118">
        <f t="shared" si="49"/>
        <v>3.786820949</v>
      </c>
      <c r="BZ20" s="61" t="str">
        <f t="shared" si="50"/>
        <v>Zaza Pachulia</v>
      </c>
      <c r="CA20" s="121">
        <f t="shared" si="51"/>
        <v>0.86</v>
      </c>
      <c r="CB20" s="122">
        <f t="shared" ref="CB20:CC20" si="122">(5-$BY20)/4*CB$3+($BY20-1)/4*CB$4</f>
        <v>-0.7132751522</v>
      </c>
      <c r="CC20" s="122">
        <f t="shared" si="122"/>
        <v>-0.313841067</v>
      </c>
      <c r="CD20" s="121">
        <f t="shared" ref="CD20:CL20" si="123">(5-$BM20)/4*CD$3+($BM20-1)/4*CD$4</f>
        <v>0.389</v>
      </c>
      <c r="CE20" s="121">
        <f t="shared" si="123"/>
        <v>0.9784611333</v>
      </c>
      <c r="CF20" s="121">
        <f t="shared" si="123"/>
        <v>-0.964</v>
      </c>
      <c r="CG20" s="121">
        <f t="shared" si="123"/>
        <v>0.233847556</v>
      </c>
      <c r="CH20" s="121">
        <f t="shared" si="123"/>
        <v>0.1730484001</v>
      </c>
      <c r="CI20" s="121">
        <f t="shared" si="123"/>
        <v>0</v>
      </c>
      <c r="CJ20" s="121">
        <f t="shared" si="123"/>
        <v>1.052161962</v>
      </c>
      <c r="CK20" s="121">
        <f t="shared" si="123"/>
        <v>0.7793353587</v>
      </c>
      <c r="CL20" s="121">
        <f t="shared" si="123"/>
        <v>-0.367</v>
      </c>
      <c r="CM20" s="118">
        <f t="shared" si="54"/>
        <v>1.788014517</v>
      </c>
      <c r="CN20" s="118">
        <f t="shared" si="55"/>
        <v>1.71784084</v>
      </c>
      <c r="CO20" s="118">
        <f t="shared" si="56"/>
        <v>3.014042946</v>
      </c>
      <c r="CP20" s="118">
        <f t="shared" si="57"/>
        <v>1.01933669</v>
      </c>
      <c r="CQ20" s="123">
        <f t="shared" si="58"/>
        <v>1.091320656</v>
      </c>
      <c r="CR20" s="124">
        <f t="shared" si="59"/>
        <v>8.630555649</v>
      </c>
      <c r="CS20" s="114">
        <f t="shared" si="60"/>
        <v>0.3205257836</v>
      </c>
      <c r="CT20" s="118">
        <f t="shared" si="61"/>
        <v>2.766315612</v>
      </c>
      <c r="CU20" s="125" t="str">
        <f t="shared" si="62"/>
        <v>Zaza Pachulia</v>
      </c>
      <c r="CV20" s="121">
        <f t="shared" si="63"/>
        <v>0.605</v>
      </c>
      <c r="CW20" s="122">
        <f t="shared" ref="CW20:CX20" si="124">(5-$BY20)/4*CB$7+($BY20-1)/4*CB$8</f>
        <v>-0.4289321437</v>
      </c>
      <c r="CX20" s="122">
        <f t="shared" si="124"/>
        <v>-0.1887301432</v>
      </c>
      <c r="CY20" s="121">
        <f t="shared" ref="CY20:DG20" si="125">(5-$BM20)/4*CD$7+($BM20-1)/4*CD$8</f>
        <v>0.477</v>
      </c>
      <c r="CZ20" s="121">
        <f t="shared" si="125"/>
        <v>0.476</v>
      </c>
      <c r="DA20" s="121">
        <f t="shared" si="125"/>
        <v>-0.8449333114</v>
      </c>
      <c r="DB20" s="121">
        <f t="shared" si="125"/>
        <v>0.4445091442</v>
      </c>
      <c r="DC20" s="121">
        <f t="shared" si="125"/>
        <v>0.0766985543</v>
      </c>
      <c r="DD20" s="121">
        <f t="shared" si="125"/>
        <v>0</v>
      </c>
      <c r="DE20" s="121">
        <f t="shared" si="125"/>
        <v>0.2796871202</v>
      </c>
      <c r="DF20" s="121">
        <f t="shared" si="125"/>
        <v>0.1738246879</v>
      </c>
      <c r="DG20" s="121">
        <f t="shared" si="125"/>
        <v>-0.439</v>
      </c>
      <c r="DH20" s="118">
        <f t="shared" si="66"/>
        <v>2.259342836</v>
      </c>
      <c r="DI20" s="118">
        <f t="shared" si="67"/>
        <v>-0.4049941432</v>
      </c>
      <c r="DJ20" s="118">
        <f t="shared" si="68"/>
        <v>3.145972318</v>
      </c>
      <c r="DK20" s="118">
        <f t="shared" si="69"/>
        <v>-1.920670813</v>
      </c>
      <c r="DL20" s="123">
        <f t="shared" si="70"/>
        <v>0.338333008</v>
      </c>
      <c r="DM20" s="124">
        <f t="shared" si="71"/>
        <v>3.417983205</v>
      </c>
      <c r="DN20" s="114">
        <f t="shared" si="72"/>
        <v>0.3205257836</v>
      </c>
      <c r="DO20" s="118">
        <f t="shared" si="73"/>
        <v>1.095551745</v>
      </c>
      <c r="DP20" s="126" t="str">
        <f t="shared" si="74"/>
        <v>Zaza Pachulia (14th)</v>
      </c>
      <c r="DQ20" s="127">
        <f t="shared" si="75"/>
        <v>4.510670778</v>
      </c>
      <c r="DR20" s="127">
        <f t="shared" si="76"/>
        <v>3.786820949</v>
      </c>
      <c r="DS20" s="128">
        <f t="shared" si="77"/>
        <v>1268</v>
      </c>
      <c r="DT20" s="127">
        <f t="shared" si="78"/>
        <v>18.11428571</v>
      </c>
      <c r="DU20" s="127">
        <f t="shared" si="79"/>
        <v>0.4732145665</v>
      </c>
      <c r="DV20" s="127">
        <f t="shared" si="80"/>
        <v>-1.135711664</v>
      </c>
      <c r="DW20" s="127">
        <f t="shared" si="81"/>
        <v>1.608926231</v>
      </c>
      <c r="DX20" s="127">
        <f t="shared" si="82"/>
        <v>0.1516774698</v>
      </c>
      <c r="DY20" s="129">
        <f t="shared" si="83"/>
        <v>0.792729037</v>
      </c>
      <c r="DZ20" s="130">
        <f t="shared" si="84"/>
        <v>17.13513514</v>
      </c>
      <c r="EA20" s="130">
        <f t="shared" si="85"/>
        <v>0</v>
      </c>
      <c r="EB20" s="130">
        <f t="shared" si="86"/>
        <v>-1.751351351</v>
      </c>
      <c r="EC20" s="130">
        <f t="shared" si="87"/>
        <v>0.4732145665</v>
      </c>
      <c r="ED20" s="32">
        <f t="shared" si="88"/>
        <v>-1.135711664</v>
      </c>
      <c r="EE20" s="32">
        <f t="shared" si="89"/>
        <v>1.608926231</v>
      </c>
    </row>
    <row r="21">
      <c r="A21" s="108">
        <v>8.0</v>
      </c>
      <c r="B21" s="109" t="s">
        <v>320</v>
      </c>
      <c r="C21" s="109">
        <v>25.0</v>
      </c>
      <c r="D21" s="109">
        <v>77.0</v>
      </c>
      <c r="E21" s="109">
        <v>0.0</v>
      </c>
      <c r="F21" s="109">
        <v>1137.0</v>
      </c>
      <c r="G21" s="109">
        <v>211.0</v>
      </c>
      <c r="H21" s="109">
        <v>433.0</v>
      </c>
      <c r="I21" s="109">
        <v>0.487</v>
      </c>
      <c r="J21" s="109">
        <v>61.0</v>
      </c>
      <c r="K21" s="109">
        <v>163.0</v>
      </c>
      <c r="L21" s="109">
        <v>0.374</v>
      </c>
      <c r="M21" s="109">
        <v>150.0</v>
      </c>
      <c r="N21" s="109">
        <v>270.0</v>
      </c>
      <c r="O21" s="109">
        <v>0.556</v>
      </c>
      <c r="P21" s="109">
        <v>0.558</v>
      </c>
      <c r="Q21" s="109">
        <v>44.0</v>
      </c>
      <c r="R21" s="109">
        <v>58.0</v>
      </c>
      <c r="S21" s="109">
        <v>0.759</v>
      </c>
      <c r="T21" s="109">
        <v>22.0</v>
      </c>
      <c r="U21" s="109">
        <v>99.0</v>
      </c>
      <c r="V21" s="109">
        <v>121.0</v>
      </c>
      <c r="W21" s="109">
        <v>90.0</v>
      </c>
      <c r="X21" s="109">
        <v>39.0</v>
      </c>
      <c r="Y21" s="109">
        <v>8.0</v>
      </c>
      <c r="Z21" s="109">
        <v>55.0</v>
      </c>
      <c r="AA21" s="109">
        <v>77.0</v>
      </c>
      <c r="AB21" s="109">
        <v>527.0</v>
      </c>
      <c r="AC21" s="110">
        <f t="shared" si="10"/>
        <v>458.52</v>
      </c>
      <c r="AD21" s="111">
        <f t="shared" si="11"/>
        <v>1.149350083</v>
      </c>
      <c r="AE21" s="4">
        <f t="shared" si="12"/>
        <v>437.7056223</v>
      </c>
      <c r="AF21" s="110">
        <f t="shared" si="13"/>
        <v>2364.0125</v>
      </c>
      <c r="AG21" s="112">
        <f t="shared" si="14"/>
        <v>130.4972223</v>
      </c>
      <c r="AH21" s="113">
        <f t="shared" si="15"/>
        <v>18.51536835</v>
      </c>
      <c r="AI21" s="113">
        <f t="shared" si="16"/>
        <v>18.31631601</v>
      </c>
      <c r="AJ21" s="113">
        <f t="shared" si="17"/>
        <v>2.453455724</v>
      </c>
      <c r="AK21" s="113">
        <f t="shared" si="18"/>
        <v>2.580358606</v>
      </c>
      <c r="AL21" s="113">
        <f t="shared" si="19"/>
        <v>3.807086468</v>
      </c>
      <c r="AM21" s="113">
        <f t="shared" si="20"/>
        <v>2.326552842</v>
      </c>
      <c r="AN21" s="113">
        <f t="shared" ref="AN21:AP21" si="126">T21/$AF21*100</f>
        <v>0.9306211367</v>
      </c>
      <c r="AO21" s="113">
        <f t="shared" si="126"/>
        <v>4.187795115</v>
      </c>
      <c r="AP21" s="113">
        <f t="shared" si="126"/>
        <v>5.118416252</v>
      </c>
      <c r="AQ21" s="113">
        <f t="shared" ref="AQ21:AR21" si="127">X21/$AF21*100</f>
        <v>1.64973747</v>
      </c>
      <c r="AR21" s="113">
        <f t="shared" si="127"/>
        <v>0.3384076861</v>
      </c>
      <c r="AS21" s="113">
        <f t="shared" si="23"/>
        <v>3.257173979</v>
      </c>
      <c r="AT21" s="114">
        <f t="shared" si="24"/>
        <v>0.1155638541</v>
      </c>
      <c r="AU21" s="114">
        <f t="shared" si="25"/>
        <v>0.1728585113</v>
      </c>
      <c r="AV21" s="114">
        <f t="shared" si="26"/>
        <v>0.1690274645</v>
      </c>
      <c r="AW21" s="114">
        <f t="shared" si="27"/>
        <v>0.1257084872</v>
      </c>
      <c r="AX21" s="114">
        <f t="shared" si="28"/>
        <v>0.0501525272</v>
      </c>
      <c r="AY21" s="115">
        <f t="shared" si="29"/>
        <v>0.1729806638</v>
      </c>
      <c r="AZ21" s="116" t="str">
        <f t="shared" si="30"/>
        <v>SG</v>
      </c>
      <c r="BA21" s="117">
        <f t="shared" si="31"/>
        <v>2</v>
      </c>
      <c r="BB21" s="118">
        <f t="shared" si="32"/>
        <v>2.508274427</v>
      </c>
      <c r="BC21" s="118">
        <f t="shared" si="33"/>
        <v>2.486864384</v>
      </c>
      <c r="BD21" s="118">
        <f t="shared" si="34"/>
        <v>2.486864384</v>
      </c>
      <c r="BE21" s="131">
        <f t="shared" si="92"/>
        <v>3.135936861</v>
      </c>
      <c r="BF21" s="118">
        <f t="shared" si="35"/>
        <v>2.350927523</v>
      </c>
      <c r="BG21" s="118">
        <f t="shared" si="36"/>
        <v>2.350927523</v>
      </c>
      <c r="BH21" s="131">
        <f t="shared" si="93"/>
        <v>3.00566289</v>
      </c>
      <c r="BI21" s="118">
        <f t="shared" si="37"/>
        <v>2.345264632</v>
      </c>
      <c r="BJ21" s="118">
        <f t="shared" si="38"/>
        <v>2.345264632</v>
      </c>
      <c r="BK21" s="131">
        <f t="shared" si="94"/>
        <v>3.000235906</v>
      </c>
      <c r="BL21" s="118">
        <f t="shared" si="39"/>
        <v>2.345028726</v>
      </c>
      <c r="BM21" s="118">
        <f t="shared" si="40"/>
        <v>2.345028726</v>
      </c>
      <c r="BN21" s="120">
        <f t="shared" si="41"/>
        <v>3.687130421</v>
      </c>
      <c r="BO21" s="118">
        <f t="shared" si="42"/>
        <v>3.700309426</v>
      </c>
      <c r="BP21" s="118">
        <f t="shared" si="43"/>
        <v>3.700309426</v>
      </c>
      <c r="BQ21" s="131">
        <f t="shared" si="95"/>
        <v>2.983558642</v>
      </c>
      <c r="BR21" s="118">
        <f t="shared" si="44"/>
        <v>3.716750784</v>
      </c>
      <c r="BS21" s="118">
        <f t="shared" si="45"/>
        <v>3.716750784</v>
      </c>
      <c r="BT21" s="131">
        <f t="shared" si="96"/>
        <v>2.997736612</v>
      </c>
      <c r="BU21" s="118">
        <f t="shared" si="46"/>
        <v>3.719014173</v>
      </c>
      <c r="BV21" s="118">
        <f t="shared" si="47"/>
        <v>3.719014173</v>
      </c>
      <c r="BW21" s="131">
        <f t="shared" si="97"/>
        <v>2.999688412</v>
      </c>
      <c r="BX21" s="118">
        <f t="shared" si="48"/>
        <v>3.71932576</v>
      </c>
      <c r="BY21" s="118">
        <f t="shared" si="49"/>
        <v>3.71932576</v>
      </c>
      <c r="BZ21" s="61" t="str">
        <f t="shared" si="50"/>
        <v>Ian Clark</v>
      </c>
      <c r="CA21" s="121">
        <f t="shared" si="51"/>
        <v>0.86</v>
      </c>
      <c r="CB21" s="122">
        <f t="shared" ref="CB21:CC21" si="128">(5-$BY21)/4*CB$3+($BY21-1)/4*CB$4</f>
        <v>-0.7095629168</v>
      </c>
      <c r="CC21" s="122">
        <f t="shared" si="128"/>
        <v>-0.3122076834</v>
      </c>
      <c r="CD21" s="121">
        <f t="shared" ref="CD21:CL21" si="129">(5-$BM21)/4*CD$3+($BM21-1)/4*CD$4</f>
        <v>0.389</v>
      </c>
      <c r="CE21" s="121">
        <f t="shared" si="129"/>
        <v>0.7326607604</v>
      </c>
      <c r="CF21" s="121">
        <f t="shared" si="129"/>
        <v>-0.964</v>
      </c>
      <c r="CG21" s="121">
        <f t="shared" si="129"/>
        <v>0.4677368976</v>
      </c>
      <c r="CH21" s="121">
        <f t="shared" si="129"/>
        <v>0.1378567168</v>
      </c>
      <c r="CI21" s="121">
        <f t="shared" si="129"/>
        <v>0</v>
      </c>
      <c r="CJ21" s="121">
        <f t="shared" si="129"/>
        <v>1.247611157</v>
      </c>
      <c r="CK21" s="121">
        <f t="shared" si="129"/>
        <v>1.117175519</v>
      </c>
      <c r="CL21" s="121">
        <f t="shared" si="129"/>
        <v>-0.367</v>
      </c>
      <c r="CM21" s="118">
        <f t="shared" si="54"/>
        <v>3.164409942</v>
      </c>
      <c r="CN21" s="118">
        <f t="shared" si="55"/>
        <v>0.5465059275</v>
      </c>
      <c r="CO21" s="118">
        <f t="shared" si="56"/>
        <v>1.012601529</v>
      </c>
      <c r="CP21" s="118">
        <f t="shared" si="57"/>
        <v>1.240908806</v>
      </c>
      <c r="CQ21" s="123">
        <f t="shared" si="58"/>
        <v>0.7298215786</v>
      </c>
      <c r="CR21" s="124">
        <f t="shared" si="59"/>
        <v>6.694247783</v>
      </c>
      <c r="CS21" s="114">
        <f t="shared" si="60"/>
        <v>0.2874115268</v>
      </c>
      <c r="CT21" s="118">
        <f t="shared" si="61"/>
        <v>1.924003976</v>
      </c>
      <c r="CU21" s="125" t="str">
        <f t="shared" si="62"/>
        <v>Ian Clark</v>
      </c>
      <c r="CV21" s="121">
        <f t="shared" si="63"/>
        <v>0.605</v>
      </c>
      <c r="CW21" s="122">
        <f t="shared" ref="CW21:CX21" si="130">(5-$BY21)/4*CB$7+($BY21-1)/4*CB$8</f>
        <v>-0.4265360645</v>
      </c>
      <c r="CX21" s="122">
        <f t="shared" si="130"/>
        <v>-0.1876758684</v>
      </c>
      <c r="CY21" s="121">
        <f t="shared" ref="CY21:DG21" si="131">(5-$BM21)/4*CD$7+($BM21-1)/4*CD$8</f>
        <v>0.477</v>
      </c>
      <c r="CZ21" s="121">
        <f t="shared" si="131"/>
        <v>0.476</v>
      </c>
      <c r="DA21" s="121">
        <f t="shared" si="131"/>
        <v>-0.680885926</v>
      </c>
      <c r="DB21" s="121">
        <f t="shared" si="131"/>
        <v>0.5441286786</v>
      </c>
      <c r="DC21" s="121">
        <f t="shared" si="131"/>
        <v>-0.03970470596</v>
      </c>
      <c r="DD21" s="121">
        <f t="shared" si="131"/>
        <v>0</v>
      </c>
      <c r="DE21" s="121">
        <f t="shared" si="131"/>
        <v>0.2163420902</v>
      </c>
      <c r="DF21" s="121">
        <f t="shared" si="131"/>
        <v>0.51383049</v>
      </c>
      <c r="DG21" s="121">
        <f t="shared" si="131"/>
        <v>-0.439</v>
      </c>
      <c r="DH21" s="118">
        <f t="shared" si="66"/>
        <v>4.15960513</v>
      </c>
      <c r="DI21" s="118">
        <f t="shared" si="67"/>
        <v>0.2280560728</v>
      </c>
      <c r="DJ21" s="118">
        <f t="shared" si="68"/>
        <v>0.3401024757</v>
      </c>
      <c r="DK21" s="118">
        <f t="shared" si="69"/>
        <v>-0.8991075369</v>
      </c>
      <c r="DL21" s="123">
        <f t="shared" si="70"/>
        <v>-0.2467605344</v>
      </c>
      <c r="DM21" s="124">
        <f t="shared" si="71"/>
        <v>3.581895607</v>
      </c>
      <c r="DN21" s="114">
        <f t="shared" si="72"/>
        <v>0.2874115268</v>
      </c>
      <c r="DO21" s="118">
        <f t="shared" si="73"/>
        <v>1.029478085</v>
      </c>
      <c r="DP21" s="126" t="str">
        <f t="shared" si="74"/>
        <v>Ian Clark (4th)</v>
      </c>
      <c r="DQ21" s="127">
        <f t="shared" si="75"/>
        <v>2.345028726</v>
      </c>
      <c r="DR21" s="127">
        <f t="shared" si="76"/>
        <v>3.71932576</v>
      </c>
      <c r="DS21" s="128">
        <f t="shared" si="77"/>
        <v>1137</v>
      </c>
      <c r="DT21" s="127">
        <f t="shared" si="78"/>
        <v>14.76623377</v>
      </c>
      <c r="DU21" s="127">
        <f t="shared" si="79"/>
        <v>-1.463093299</v>
      </c>
      <c r="DV21" s="127">
        <f t="shared" si="80"/>
        <v>-0.9717992624</v>
      </c>
      <c r="DW21" s="127">
        <f t="shared" si="81"/>
        <v>-0.4912940369</v>
      </c>
      <c r="DX21" s="127">
        <f t="shared" si="82"/>
        <v>-0.420509879</v>
      </c>
      <c r="DY21" s="129">
        <f t="shared" si="83"/>
        <v>0.1543131746</v>
      </c>
      <c r="DZ21" s="130">
        <f t="shared" si="84"/>
        <v>14.03703704</v>
      </c>
      <c r="EA21" s="130">
        <f t="shared" si="85"/>
        <v>0</v>
      </c>
      <c r="EB21" s="130">
        <f t="shared" si="86"/>
        <v>-2.293518519</v>
      </c>
      <c r="EC21" s="130">
        <f t="shared" si="87"/>
        <v>-1.463093299</v>
      </c>
      <c r="ED21" s="32">
        <f t="shared" si="88"/>
        <v>-0.9717992624</v>
      </c>
      <c r="EE21" s="32">
        <f t="shared" si="89"/>
        <v>-0.4912940369</v>
      </c>
    </row>
    <row r="22">
      <c r="A22" s="108">
        <v>9.0</v>
      </c>
      <c r="B22" s="109" t="s">
        <v>321</v>
      </c>
      <c r="C22" s="109">
        <v>21.0</v>
      </c>
      <c r="D22" s="109">
        <v>71.0</v>
      </c>
      <c r="E22" s="109">
        <v>20.0</v>
      </c>
      <c r="F22" s="109">
        <v>1074.0</v>
      </c>
      <c r="G22" s="109">
        <v>106.0</v>
      </c>
      <c r="H22" s="109">
        <v>245.0</v>
      </c>
      <c r="I22" s="109">
        <v>0.433</v>
      </c>
      <c r="J22" s="109">
        <v>41.0</v>
      </c>
      <c r="K22" s="109">
        <v>123.0</v>
      </c>
      <c r="L22" s="109">
        <v>0.333</v>
      </c>
      <c r="M22" s="109">
        <v>65.0</v>
      </c>
      <c r="N22" s="109">
        <v>122.0</v>
      </c>
      <c r="O22" s="109">
        <v>0.533</v>
      </c>
      <c r="P22" s="109">
        <v>0.516</v>
      </c>
      <c r="Q22" s="109">
        <v>29.0</v>
      </c>
      <c r="R22" s="109">
        <v>37.0</v>
      </c>
      <c r="S22" s="109">
        <v>0.784</v>
      </c>
      <c r="T22" s="109">
        <v>21.0</v>
      </c>
      <c r="U22" s="109">
        <v>79.0</v>
      </c>
      <c r="V22" s="109">
        <v>100.0</v>
      </c>
      <c r="W22" s="109">
        <v>77.0</v>
      </c>
      <c r="X22" s="109">
        <v>32.0</v>
      </c>
      <c r="Y22" s="109">
        <v>15.0</v>
      </c>
      <c r="Z22" s="109">
        <v>36.0</v>
      </c>
      <c r="AA22" s="109">
        <v>62.0</v>
      </c>
      <c r="AB22" s="109">
        <v>282.0</v>
      </c>
      <c r="AC22" s="110">
        <f t="shared" si="10"/>
        <v>261.28</v>
      </c>
      <c r="AD22" s="111">
        <f t="shared" si="11"/>
        <v>1.079301898</v>
      </c>
      <c r="AE22" s="4">
        <f t="shared" si="12"/>
        <v>231.1170832</v>
      </c>
      <c r="AF22" s="110">
        <f t="shared" si="13"/>
        <v>2233.025</v>
      </c>
      <c r="AG22" s="112">
        <f t="shared" si="14"/>
        <v>56.05948323</v>
      </c>
      <c r="AH22" s="113">
        <f t="shared" si="15"/>
        <v>10.34995503</v>
      </c>
      <c r="AI22" s="113">
        <f t="shared" si="16"/>
        <v>10.971664</v>
      </c>
      <c r="AJ22" s="113">
        <f t="shared" si="17"/>
        <v>1.656945175</v>
      </c>
      <c r="AK22" s="113">
        <f t="shared" si="18"/>
        <v>1.836074383</v>
      </c>
      <c r="AL22" s="113">
        <f t="shared" si="19"/>
        <v>3.448237257</v>
      </c>
      <c r="AM22" s="113">
        <f t="shared" si="20"/>
        <v>1.612162873</v>
      </c>
      <c r="AN22" s="113">
        <f t="shared" ref="AN22:AP22" si="132">T22/$AF22*100</f>
        <v>0.9404283427</v>
      </c>
      <c r="AO22" s="113">
        <f t="shared" si="132"/>
        <v>3.537801861</v>
      </c>
      <c r="AP22" s="113">
        <f t="shared" si="132"/>
        <v>4.478230203</v>
      </c>
      <c r="AQ22" s="113">
        <f t="shared" ref="AQ22:AR22" si="133">X22/$AF22*100</f>
        <v>1.433033665</v>
      </c>
      <c r="AR22" s="113">
        <f t="shared" si="133"/>
        <v>0.6717345305</v>
      </c>
      <c r="AS22" s="113">
        <f t="shared" si="23"/>
        <v>2.776502726</v>
      </c>
      <c r="AT22" s="114">
        <f t="shared" si="24"/>
        <v>0.101109702</v>
      </c>
      <c r="AU22" s="114">
        <f t="shared" si="25"/>
        <v>0.1501524155</v>
      </c>
      <c r="AV22" s="114">
        <f t="shared" si="26"/>
        <v>0.144083558</v>
      </c>
      <c r="AW22" s="114">
        <f t="shared" si="27"/>
        <v>0.1138594284</v>
      </c>
      <c r="AX22" s="114">
        <f t="shared" si="28"/>
        <v>0.09955206603</v>
      </c>
      <c r="AY22" s="115">
        <f t="shared" si="29"/>
        <v>0.07866862601</v>
      </c>
      <c r="AZ22" s="116" t="str">
        <f t="shared" si="30"/>
        <v>SG</v>
      </c>
      <c r="BA22" s="117">
        <f t="shared" si="31"/>
        <v>2</v>
      </c>
      <c r="BB22" s="118">
        <f t="shared" si="32"/>
        <v>2.538940436</v>
      </c>
      <c r="BC22" s="118">
        <f t="shared" si="33"/>
        <v>2.514966218</v>
      </c>
      <c r="BD22" s="118">
        <f t="shared" si="34"/>
        <v>2.514966218</v>
      </c>
      <c r="BE22" s="131">
        <f t="shared" si="92"/>
        <v>3.135936861</v>
      </c>
      <c r="BF22" s="118">
        <f t="shared" si="35"/>
        <v>2.379029356</v>
      </c>
      <c r="BG22" s="118">
        <f t="shared" si="36"/>
        <v>2.379029356</v>
      </c>
      <c r="BH22" s="131">
        <f t="shared" si="93"/>
        <v>3.00566289</v>
      </c>
      <c r="BI22" s="118">
        <f t="shared" si="37"/>
        <v>2.373366466</v>
      </c>
      <c r="BJ22" s="118">
        <f t="shared" si="38"/>
        <v>2.373366466</v>
      </c>
      <c r="BK22" s="131">
        <f t="shared" si="94"/>
        <v>3.000235906</v>
      </c>
      <c r="BL22" s="118">
        <f t="shared" si="39"/>
        <v>2.37313056</v>
      </c>
      <c r="BM22" s="118">
        <f t="shared" si="40"/>
        <v>2.37313056</v>
      </c>
      <c r="BN22" s="120">
        <f t="shared" si="41"/>
        <v>4.571638613</v>
      </c>
      <c r="BO22" s="118">
        <f t="shared" si="42"/>
        <v>4.546209849</v>
      </c>
      <c r="BP22" s="118">
        <f t="shared" si="43"/>
        <v>4.546209849</v>
      </c>
      <c r="BQ22" s="131">
        <f t="shared" si="95"/>
        <v>2.983558642</v>
      </c>
      <c r="BR22" s="118">
        <f t="shared" si="44"/>
        <v>4.562651207</v>
      </c>
      <c r="BS22" s="118">
        <f t="shared" si="45"/>
        <v>4.562651207</v>
      </c>
      <c r="BT22" s="131">
        <f t="shared" si="96"/>
        <v>2.997736612</v>
      </c>
      <c r="BU22" s="118">
        <f t="shared" si="46"/>
        <v>4.564914595</v>
      </c>
      <c r="BV22" s="118">
        <f t="shared" si="47"/>
        <v>4.564914595</v>
      </c>
      <c r="BW22" s="131">
        <f t="shared" si="97"/>
        <v>2.999688412</v>
      </c>
      <c r="BX22" s="118">
        <f t="shared" si="48"/>
        <v>4.565226183</v>
      </c>
      <c r="BY22" s="118">
        <f t="shared" si="49"/>
        <v>4.565226183</v>
      </c>
      <c r="BZ22" s="61" t="str">
        <f t="shared" si="50"/>
        <v>Patrick McCaw</v>
      </c>
      <c r="CA22" s="121">
        <f t="shared" si="51"/>
        <v>0.86</v>
      </c>
      <c r="CB22" s="122">
        <f t="shared" ref="CB22:CC22" si="134">(5-$BY22)/4*CB$3+($BY22-1)/4*CB$4</f>
        <v>-0.7560874401</v>
      </c>
      <c r="CC22" s="122">
        <f t="shared" si="134"/>
        <v>-0.3326784736</v>
      </c>
      <c r="CD22" s="121">
        <f t="shared" ref="CD22:CL22" si="135">(5-$BM22)/4*CD$3+($BM22-1)/4*CD$4</f>
        <v>0.389</v>
      </c>
      <c r="CE22" s="121">
        <f t="shared" si="135"/>
        <v>0.7358503185</v>
      </c>
      <c r="CF22" s="121">
        <f t="shared" si="135"/>
        <v>-0.964</v>
      </c>
      <c r="CG22" s="121">
        <f t="shared" si="135"/>
        <v>0.4647018995</v>
      </c>
      <c r="CH22" s="121">
        <f t="shared" si="135"/>
        <v>0.1383133716</v>
      </c>
      <c r="CI22" s="121">
        <f t="shared" si="135"/>
        <v>0</v>
      </c>
      <c r="CJ22" s="121">
        <f t="shared" si="135"/>
        <v>1.245074967</v>
      </c>
      <c r="CK22" s="121">
        <f t="shared" si="135"/>
        <v>1.112791633</v>
      </c>
      <c r="CL22" s="121">
        <f t="shared" si="135"/>
        <v>-0.367</v>
      </c>
      <c r="CM22" s="118">
        <f t="shared" si="54"/>
        <v>0.7684269204</v>
      </c>
      <c r="CN22" s="118">
        <f t="shared" si="55"/>
        <v>0.9832614739</v>
      </c>
      <c r="CO22" s="118">
        <f t="shared" si="56"/>
        <v>0.9263441406</v>
      </c>
      <c r="CP22" s="118">
        <f t="shared" si="57"/>
        <v>1.512758408</v>
      </c>
      <c r="CQ22" s="123">
        <f t="shared" si="58"/>
        <v>1.914579115</v>
      </c>
      <c r="CR22" s="124">
        <f t="shared" si="59"/>
        <v>6.105370057</v>
      </c>
      <c r="CS22" s="114">
        <f t="shared" si="60"/>
        <v>0.2714863498</v>
      </c>
      <c r="CT22" s="118">
        <f t="shared" si="61"/>
        <v>1.657524631</v>
      </c>
      <c r="CU22" s="125" t="str">
        <f t="shared" si="62"/>
        <v>Patrick McCaw</v>
      </c>
      <c r="CV22" s="121">
        <f t="shared" si="63"/>
        <v>0.605</v>
      </c>
      <c r="CW22" s="122">
        <f t="shared" ref="CW22:CX22" si="136">(5-$BY22)/4*CB$7+($BY22-1)/4*CB$8</f>
        <v>-0.4565655295</v>
      </c>
      <c r="CX22" s="122">
        <f t="shared" si="136"/>
        <v>-0.200888833</v>
      </c>
      <c r="CY22" s="121">
        <f t="shared" ref="CY22:DG22" si="137">(5-$BM22)/4*CD$7+($BM22-1)/4*CD$8</f>
        <v>0.477</v>
      </c>
      <c r="CZ22" s="121">
        <f t="shared" si="137"/>
        <v>0.476</v>
      </c>
      <c r="DA22" s="121">
        <f t="shared" si="137"/>
        <v>-0.6830146399</v>
      </c>
      <c r="DB22" s="121">
        <f t="shared" si="137"/>
        <v>0.5428359942</v>
      </c>
      <c r="DC22" s="121">
        <f t="shared" si="137"/>
        <v>-0.03819423241</v>
      </c>
      <c r="DD22" s="121">
        <f t="shared" si="137"/>
        <v>0</v>
      </c>
      <c r="DE22" s="121">
        <f t="shared" si="137"/>
        <v>0.2171640689</v>
      </c>
      <c r="DF22" s="121">
        <f t="shared" si="137"/>
        <v>0.5094185021</v>
      </c>
      <c r="DG22" s="121">
        <f t="shared" si="137"/>
        <v>-0.439</v>
      </c>
      <c r="DH22" s="118">
        <f t="shared" si="66"/>
        <v>1.795384906</v>
      </c>
      <c r="DI22" s="118">
        <f t="shared" si="67"/>
        <v>0.5402300898</v>
      </c>
      <c r="DJ22" s="118">
        <f t="shared" si="68"/>
        <v>0.3753747279</v>
      </c>
      <c r="DK22" s="118">
        <f t="shared" si="69"/>
        <v>-0.5654872769</v>
      </c>
      <c r="DL22" s="123">
        <f t="shared" si="70"/>
        <v>0.1408351039</v>
      </c>
      <c r="DM22" s="124">
        <f t="shared" si="71"/>
        <v>2.286337551</v>
      </c>
      <c r="DN22" s="114">
        <f t="shared" si="72"/>
        <v>0.2714863498</v>
      </c>
      <c r="DO22" s="118">
        <f t="shared" si="73"/>
        <v>0.6207094363</v>
      </c>
      <c r="DP22" s="126" t="str">
        <f t="shared" si="74"/>
        <v>Patrick McCaw (R)</v>
      </c>
      <c r="DQ22" s="127">
        <f t="shared" si="75"/>
        <v>2.37313056</v>
      </c>
      <c r="DR22" s="127">
        <f t="shared" si="76"/>
        <v>4.565226183</v>
      </c>
      <c r="DS22" s="128">
        <f t="shared" si="77"/>
        <v>1074</v>
      </c>
      <c r="DT22" s="127">
        <f t="shared" si="78"/>
        <v>15.12676056</v>
      </c>
      <c r="DU22" s="127">
        <f t="shared" si="79"/>
        <v>-2.051971025</v>
      </c>
      <c r="DV22" s="127">
        <f t="shared" si="80"/>
        <v>-2.267357318</v>
      </c>
      <c r="DW22" s="127">
        <f t="shared" si="81"/>
        <v>0.215386293</v>
      </c>
      <c r="DX22" s="127">
        <f t="shared" si="82"/>
        <v>-0.5570821236</v>
      </c>
      <c r="DY22" s="129">
        <f t="shared" si="83"/>
        <v>-0.01410942391</v>
      </c>
      <c r="DZ22" s="130">
        <f t="shared" si="84"/>
        <v>14.32</v>
      </c>
      <c r="EA22" s="130">
        <f t="shared" si="85"/>
        <v>0</v>
      </c>
      <c r="EB22" s="130">
        <f t="shared" si="86"/>
        <v>-2.244</v>
      </c>
      <c r="EC22" s="130">
        <f t="shared" si="87"/>
        <v>-2.051971025</v>
      </c>
      <c r="ED22" s="32">
        <f t="shared" si="88"/>
        <v>-2.267357318</v>
      </c>
      <c r="EE22" s="32">
        <f t="shared" si="89"/>
        <v>0.215386293</v>
      </c>
    </row>
    <row r="23">
      <c r="A23" s="108">
        <v>10.0</v>
      </c>
      <c r="B23" s="109" t="s">
        <v>322</v>
      </c>
      <c r="C23" s="109">
        <v>36.0</v>
      </c>
      <c r="D23" s="109">
        <v>68.0</v>
      </c>
      <c r="E23" s="109">
        <v>0.0</v>
      </c>
      <c r="F23" s="109">
        <v>854.0</v>
      </c>
      <c r="G23" s="109">
        <v>135.0</v>
      </c>
      <c r="H23" s="109">
        <v>252.0</v>
      </c>
      <c r="I23" s="109">
        <v>0.536</v>
      </c>
      <c r="J23" s="109">
        <v>3.0</v>
      </c>
      <c r="K23" s="109">
        <v>8.0</v>
      </c>
      <c r="L23" s="109">
        <v>0.375</v>
      </c>
      <c r="M23" s="109">
        <v>132.0</v>
      </c>
      <c r="N23" s="109">
        <v>244.0</v>
      </c>
      <c r="O23" s="109">
        <v>0.541</v>
      </c>
      <c r="P23" s="109">
        <v>0.542</v>
      </c>
      <c r="Q23" s="109">
        <v>43.0</v>
      </c>
      <c r="R23" s="109">
        <v>56.0</v>
      </c>
      <c r="S23" s="109">
        <v>0.768</v>
      </c>
      <c r="T23" s="109">
        <v>47.0</v>
      </c>
      <c r="U23" s="109">
        <v>156.0</v>
      </c>
      <c r="V23" s="109">
        <v>203.0</v>
      </c>
      <c r="W23" s="109">
        <v>151.0</v>
      </c>
      <c r="X23" s="109">
        <v>42.0</v>
      </c>
      <c r="Y23" s="109">
        <v>48.0</v>
      </c>
      <c r="Z23" s="109">
        <v>78.0</v>
      </c>
      <c r="AA23" s="109">
        <v>105.0</v>
      </c>
      <c r="AB23" s="109">
        <v>316.0</v>
      </c>
      <c r="AC23" s="110">
        <f t="shared" si="10"/>
        <v>276.64</v>
      </c>
      <c r="AD23" s="111">
        <f t="shared" si="11"/>
        <v>1.142278774</v>
      </c>
      <c r="AE23" s="4">
        <f t="shared" si="12"/>
        <v>262.1258034</v>
      </c>
      <c r="AF23" s="110">
        <f t="shared" si="13"/>
        <v>1775.608333</v>
      </c>
      <c r="AG23" s="112">
        <f t="shared" si="14"/>
        <v>76.77700337</v>
      </c>
      <c r="AH23" s="113">
        <f t="shared" si="15"/>
        <v>14.76259141</v>
      </c>
      <c r="AI23" s="113">
        <f t="shared" si="16"/>
        <v>14.19231906</v>
      </c>
      <c r="AJ23" s="113">
        <f t="shared" si="17"/>
        <v>3.153848681</v>
      </c>
      <c r="AK23" s="113">
        <f t="shared" si="18"/>
        <v>0.1689561793</v>
      </c>
      <c r="AL23" s="113">
        <f t="shared" si="19"/>
        <v>8.504127693</v>
      </c>
      <c r="AM23" s="113">
        <f t="shared" si="20"/>
        <v>4.392860663</v>
      </c>
      <c r="AN23" s="113">
        <f t="shared" ref="AN23:AP23" si="138">T23/$AF23*100</f>
        <v>2.646980143</v>
      </c>
      <c r="AO23" s="113">
        <f t="shared" si="138"/>
        <v>8.785721326</v>
      </c>
      <c r="AP23" s="113">
        <f t="shared" si="138"/>
        <v>11.43270147</v>
      </c>
      <c r="AQ23" s="113">
        <f t="shared" ref="AQ23:AR23" si="139">X23/$AF23*100</f>
        <v>2.365386511</v>
      </c>
      <c r="AR23" s="113">
        <f t="shared" si="139"/>
        <v>2.703298869</v>
      </c>
      <c r="AS23" s="113">
        <f t="shared" si="23"/>
        <v>5.913466277</v>
      </c>
      <c r="AT23" s="114">
        <f t="shared" si="24"/>
        <v>0.2581280966</v>
      </c>
      <c r="AU23" s="114">
        <f t="shared" si="25"/>
        <v>0.2478437924</v>
      </c>
      <c r="AV23" s="114">
        <f t="shared" si="26"/>
        <v>0.3068728345</v>
      </c>
      <c r="AW23" s="114">
        <f t="shared" si="27"/>
        <v>0.280802928</v>
      </c>
      <c r="AX23" s="114">
        <f t="shared" si="28"/>
        <v>0.4006329515</v>
      </c>
      <c r="AY23" s="115">
        <f t="shared" si="29"/>
        <v>0.1354971134</v>
      </c>
      <c r="AZ23" s="116" t="str">
        <f t="shared" si="30"/>
        <v>C</v>
      </c>
      <c r="BA23" s="117">
        <f t="shared" si="31"/>
        <v>5</v>
      </c>
      <c r="BB23" s="118">
        <f t="shared" si="32"/>
        <v>3.730072322</v>
      </c>
      <c r="BC23" s="118">
        <f t="shared" si="33"/>
        <v>3.800311685</v>
      </c>
      <c r="BD23" s="118">
        <f t="shared" si="34"/>
        <v>3.800311685</v>
      </c>
      <c r="BE23" s="131">
        <f t="shared" si="92"/>
        <v>3.135936861</v>
      </c>
      <c r="BF23" s="118">
        <f t="shared" si="35"/>
        <v>3.664374824</v>
      </c>
      <c r="BG23" s="118">
        <f t="shared" si="36"/>
        <v>3.664374824</v>
      </c>
      <c r="BH23" s="131">
        <f t="shared" si="93"/>
        <v>3.00566289</v>
      </c>
      <c r="BI23" s="118">
        <f t="shared" si="37"/>
        <v>3.658711933</v>
      </c>
      <c r="BJ23" s="118">
        <f t="shared" si="38"/>
        <v>3.658711933</v>
      </c>
      <c r="BK23" s="131">
        <f t="shared" si="94"/>
        <v>3.000235906</v>
      </c>
      <c r="BL23" s="118">
        <f t="shared" si="39"/>
        <v>3.658476027</v>
      </c>
      <c r="BM23" s="118">
        <f t="shared" si="40"/>
        <v>3.658476027</v>
      </c>
      <c r="BN23" s="120">
        <f t="shared" si="41"/>
        <v>2.977318387</v>
      </c>
      <c r="BO23" s="118">
        <f t="shared" si="42"/>
        <v>3.033882635</v>
      </c>
      <c r="BP23" s="118">
        <f t="shared" si="43"/>
        <v>3.033882635</v>
      </c>
      <c r="BQ23" s="131">
        <f t="shared" si="95"/>
        <v>2.983558642</v>
      </c>
      <c r="BR23" s="118">
        <f t="shared" si="44"/>
        <v>3.050323993</v>
      </c>
      <c r="BS23" s="118">
        <f t="shared" si="45"/>
        <v>3.050323993</v>
      </c>
      <c r="BT23" s="131">
        <f t="shared" si="96"/>
        <v>2.997736612</v>
      </c>
      <c r="BU23" s="118">
        <f t="shared" si="46"/>
        <v>3.052587381</v>
      </c>
      <c r="BV23" s="118">
        <f t="shared" si="47"/>
        <v>3.052587381</v>
      </c>
      <c r="BW23" s="131">
        <f t="shared" si="97"/>
        <v>2.999688412</v>
      </c>
      <c r="BX23" s="118">
        <f t="shared" si="48"/>
        <v>3.052898969</v>
      </c>
      <c r="BY23" s="118">
        <f t="shared" si="49"/>
        <v>3.052898969</v>
      </c>
      <c r="BZ23" s="61" t="str">
        <f t="shared" si="50"/>
        <v>David West</v>
      </c>
      <c r="CA23" s="121">
        <f t="shared" si="51"/>
        <v>0.86</v>
      </c>
      <c r="CB23" s="122">
        <f t="shared" ref="CB23:CC23" si="140">(5-$BY23)/4*CB$3+($BY23-1)/4*CB$4</f>
        <v>-0.6729094433</v>
      </c>
      <c r="CC23" s="122">
        <f t="shared" si="140"/>
        <v>-0.2960801551</v>
      </c>
      <c r="CD23" s="121">
        <f t="shared" ref="CD23:CL23" si="141">(5-$BM23)/4*CD$3+($BM23-1)/4*CD$4</f>
        <v>0.389</v>
      </c>
      <c r="CE23" s="121">
        <f t="shared" si="141"/>
        <v>0.8817370291</v>
      </c>
      <c r="CF23" s="121">
        <f t="shared" si="141"/>
        <v>-0.964</v>
      </c>
      <c r="CG23" s="121">
        <f t="shared" si="141"/>
        <v>0.3258845891</v>
      </c>
      <c r="CH23" s="121">
        <f t="shared" si="141"/>
        <v>0.1592002354</v>
      </c>
      <c r="CI23" s="121">
        <f t="shared" si="141"/>
        <v>0</v>
      </c>
      <c r="CJ23" s="121">
        <f t="shared" si="141"/>
        <v>1.129072539</v>
      </c>
      <c r="CK23" s="121">
        <f t="shared" si="141"/>
        <v>0.9122777398</v>
      </c>
      <c r="CL23" s="121">
        <f t="shared" si="141"/>
        <v>-0.367</v>
      </c>
      <c r="CM23" s="118">
        <f t="shared" si="54"/>
        <v>2.277615043</v>
      </c>
      <c r="CN23" s="118">
        <f t="shared" si="55"/>
        <v>3.263686608</v>
      </c>
      <c r="CO23" s="118">
        <f t="shared" si="56"/>
        <v>2.26129894</v>
      </c>
      <c r="CP23" s="118">
        <f t="shared" si="57"/>
        <v>2.966610211</v>
      </c>
      <c r="CQ23" s="123">
        <f t="shared" si="58"/>
        <v>0.07337087024</v>
      </c>
      <c r="CR23" s="124">
        <f t="shared" si="59"/>
        <v>10.84258167</v>
      </c>
      <c r="CS23" s="114">
        <f t="shared" si="60"/>
        <v>0.2158746208</v>
      </c>
      <c r="CT23" s="118">
        <f t="shared" si="61"/>
        <v>2.340638207</v>
      </c>
      <c r="CU23" s="125" t="str">
        <f t="shared" si="62"/>
        <v>David West</v>
      </c>
      <c r="CV23" s="121">
        <f t="shared" si="63"/>
        <v>0.605</v>
      </c>
      <c r="CW23" s="122">
        <f t="shared" ref="CW23:CX23" si="142">(5-$BY23)/4*CB$7+($BY23-1)/4*CB$8</f>
        <v>-0.4028779134</v>
      </c>
      <c r="CX23" s="122">
        <f t="shared" si="142"/>
        <v>-0.1772662819</v>
      </c>
      <c r="CY23" s="121">
        <f t="shared" ref="CY23:DG23" si="143">(5-$BM23)/4*CD$7+($BM23-1)/4*CD$8</f>
        <v>0.477</v>
      </c>
      <c r="CZ23" s="121">
        <f t="shared" si="143"/>
        <v>0.476</v>
      </c>
      <c r="DA23" s="121">
        <f t="shared" si="143"/>
        <v>-0.780379559</v>
      </c>
      <c r="DB23" s="121">
        <f t="shared" si="143"/>
        <v>0.4837101028</v>
      </c>
      <c r="DC23" s="121">
        <f t="shared" si="143"/>
        <v>0.03089308645</v>
      </c>
      <c r="DD23" s="121">
        <f t="shared" si="143"/>
        <v>0</v>
      </c>
      <c r="DE23" s="121">
        <f t="shared" si="143"/>
        <v>0.2547604238</v>
      </c>
      <c r="DF23" s="121">
        <f t="shared" si="143"/>
        <v>0.3076192638</v>
      </c>
      <c r="DG23" s="121">
        <f t="shared" si="143"/>
        <v>-0.439</v>
      </c>
      <c r="DH23" s="118">
        <f t="shared" si="66"/>
        <v>2.735116983</v>
      </c>
      <c r="DI23" s="118">
        <f t="shared" si="67"/>
        <v>0.6198661151</v>
      </c>
      <c r="DJ23" s="118">
        <f t="shared" si="68"/>
        <v>1.551789085</v>
      </c>
      <c r="DK23" s="118">
        <f t="shared" si="69"/>
        <v>-1.161818018</v>
      </c>
      <c r="DL23" s="123">
        <f t="shared" si="70"/>
        <v>0.02274655674</v>
      </c>
      <c r="DM23" s="124">
        <f t="shared" si="71"/>
        <v>3.767700722</v>
      </c>
      <c r="DN23" s="114">
        <f t="shared" si="72"/>
        <v>0.2158746208</v>
      </c>
      <c r="DO23" s="118">
        <f t="shared" si="73"/>
        <v>0.8133509648</v>
      </c>
      <c r="DP23" s="126" t="str">
        <f t="shared" si="74"/>
        <v>David West (14th)</v>
      </c>
      <c r="DQ23" s="127">
        <f t="shared" si="75"/>
        <v>3.658476027</v>
      </c>
      <c r="DR23" s="127">
        <f t="shared" si="76"/>
        <v>3.052898969</v>
      </c>
      <c r="DS23" s="128">
        <f t="shared" si="77"/>
        <v>854</v>
      </c>
      <c r="DT23" s="127">
        <f t="shared" si="78"/>
        <v>12.55882353</v>
      </c>
      <c r="DU23" s="127">
        <f t="shared" si="79"/>
        <v>2.68524059</v>
      </c>
      <c r="DV23" s="127">
        <f t="shared" si="80"/>
        <v>-0.7859941471</v>
      </c>
      <c r="DW23" s="127">
        <f t="shared" si="81"/>
        <v>3.471234737</v>
      </c>
      <c r="DX23" s="127">
        <f t="shared" si="82"/>
        <v>0.5796752942</v>
      </c>
      <c r="DY23" s="129">
        <f t="shared" si="83"/>
        <v>1.011424536</v>
      </c>
      <c r="DZ23" s="130">
        <f t="shared" si="84"/>
        <v>11.86111111</v>
      </c>
      <c r="EA23" s="130">
        <f t="shared" si="85"/>
        <v>0</v>
      </c>
      <c r="EB23" s="130">
        <f t="shared" si="86"/>
        <v>-2.674305556</v>
      </c>
      <c r="EC23" s="130">
        <f t="shared" si="87"/>
        <v>2.68524059</v>
      </c>
      <c r="ED23" s="32">
        <f t="shared" si="88"/>
        <v>-0.7859941471</v>
      </c>
      <c r="EE23" s="32">
        <f t="shared" si="89"/>
        <v>3.471234737</v>
      </c>
    </row>
    <row r="24">
      <c r="A24" s="108">
        <v>11.0</v>
      </c>
      <c r="B24" s="109" t="s">
        <v>323</v>
      </c>
      <c r="C24" s="109">
        <v>29.0</v>
      </c>
      <c r="D24" s="109">
        <v>77.0</v>
      </c>
      <c r="E24" s="109">
        <v>10.0</v>
      </c>
      <c r="F24" s="109">
        <v>739.0</v>
      </c>
      <c r="G24" s="109">
        <v>208.0</v>
      </c>
      <c r="H24" s="109">
        <v>319.0</v>
      </c>
      <c r="I24" s="109">
        <v>0.652</v>
      </c>
      <c r="J24" s="109">
        <v>0.0</v>
      </c>
      <c r="K24" s="109">
        <v>3.0</v>
      </c>
      <c r="L24" s="109">
        <v>0.0</v>
      </c>
      <c r="M24" s="109">
        <v>208.0</v>
      </c>
      <c r="N24" s="109">
        <v>316.0</v>
      </c>
      <c r="O24" s="109">
        <v>0.658</v>
      </c>
      <c r="P24" s="109">
        <v>0.652</v>
      </c>
      <c r="Q24" s="109">
        <v>56.0</v>
      </c>
      <c r="R24" s="109">
        <v>111.0</v>
      </c>
      <c r="S24" s="109">
        <v>0.505</v>
      </c>
      <c r="T24" s="109">
        <v>100.0</v>
      </c>
      <c r="U24" s="109">
        <v>144.0</v>
      </c>
      <c r="V24" s="109">
        <v>244.0</v>
      </c>
      <c r="W24" s="109">
        <v>17.0</v>
      </c>
      <c r="X24" s="109">
        <v>19.0</v>
      </c>
      <c r="Y24" s="109">
        <v>67.0</v>
      </c>
      <c r="Z24" s="109">
        <v>40.0</v>
      </c>
      <c r="AA24" s="109">
        <v>109.0</v>
      </c>
      <c r="AB24" s="109">
        <v>472.0</v>
      </c>
      <c r="AC24" s="110">
        <f t="shared" si="10"/>
        <v>367.84</v>
      </c>
      <c r="AD24" s="111">
        <f t="shared" si="11"/>
        <v>1.283166594</v>
      </c>
      <c r="AE24" s="4">
        <f t="shared" si="12"/>
        <v>400.3650792</v>
      </c>
      <c r="AF24" s="110">
        <f t="shared" si="13"/>
        <v>1536.504167</v>
      </c>
      <c r="AG24" s="112">
        <f t="shared" si="14"/>
        <v>153.9122792</v>
      </c>
      <c r="AH24" s="113">
        <f t="shared" si="15"/>
        <v>26.0568821</v>
      </c>
      <c r="AI24" s="113">
        <f t="shared" si="16"/>
        <v>20.76141457</v>
      </c>
      <c r="AJ24" s="113">
        <f t="shared" si="17"/>
        <v>7.224191278</v>
      </c>
      <c r="AK24" s="113">
        <f t="shared" si="18"/>
        <v>0</v>
      </c>
      <c r="AL24" s="113">
        <f t="shared" si="19"/>
        <v>1.106407673</v>
      </c>
      <c r="AM24" s="113">
        <f t="shared" si="20"/>
        <v>2.603312172</v>
      </c>
      <c r="AN24" s="113">
        <f t="shared" ref="AN24:AP24" si="144">T24/$AF24*100</f>
        <v>6.508280431</v>
      </c>
      <c r="AO24" s="113">
        <f t="shared" si="144"/>
        <v>9.371923821</v>
      </c>
      <c r="AP24" s="113">
        <f t="shared" si="144"/>
        <v>15.88020425</v>
      </c>
      <c r="AQ24" s="113">
        <f t="shared" ref="AQ24:AR24" si="145">X24/$AF24*100</f>
        <v>1.236573282</v>
      </c>
      <c r="AR24" s="113">
        <f t="shared" si="145"/>
        <v>4.360547889</v>
      </c>
      <c r="AS24" s="113">
        <f t="shared" si="23"/>
        <v>7.09402567</v>
      </c>
      <c r="AT24" s="114">
        <f t="shared" si="24"/>
        <v>0.3585440333</v>
      </c>
      <c r="AU24" s="114">
        <f t="shared" si="25"/>
        <v>0.1295674134</v>
      </c>
      <c r="AV24" s="114">
        <f t="shared" si="26"/>
        <v>0.3681366669</v>
      </c>
      <c r="AW24" s="114">
        <f t="shared" si="27"/>
        <v>0.03653314313</v>
      </c>
      <c r="AX24" s="114">
        <f t="shared" si="28"/>
        <v>0.6462397445</v>
      </c>
      <c r="AY24" s="115">
        <f t="shared" si="29"/>
        <v>0.3138958598</v>
      </c>
      <c r="AZ24" s="116" t="str">
        <f t="shared" si="30"/>
        <v>C</v>
      </c>
      <c r="BA24" s="117">
        <f t="shared" si="31"/>
        <v>5</v>
      </c>
      <c r="BB24" s="118">
        <f t="shared" si="32"/>
        <v>6.228422473</v>
      </c>
      <c r="BC24" s="118">
        <f t="shared" si="33"/>
        <v>6.150575675</v>
      </c>
      <c r="BD24" s="118">
        <f t="shared" si="34"/>
        <v>5</v>
      </c>
      <c r="BE24" s="131">
        <f t="shared" si="92"/>
        <v>3.135936861</v>
      </c>
      <c r="BF24" s="118">
        <f t="shared" si="35"/>
        <v>6.014638814</v>
      </c>
      <c r="BG24" s="118">
        <f t="shared" si="36"/>
        <v>5</v>
      </c>
      <c r="BH24" s="131">
        <f t="shared" si="93"/>
        <v>3.00566289</v>
      </c>
      <c r="BI24" s="118">
        <f t="shared" si="37"/>
        <v>6.008975923</v>
      </c>
      <c r="BJ24" s="118">
        <f t="shared" si="38"/>
        <v>5</v>
      </c>
      <c r="BK24" s="131">
        <f t="shared" si="94"/>
        <v>3.000235906</v>
      </c>
      <c r="BL24" s="118">
        <f t="shared" si="39"/>
        <v>6.008740017</v>
      </c>
      <c r="BM24" s="118">
        <f t="shared" si="40"/>
        <v>5</v>
      </c>
      <c r="BN24" s="120">
        <f t="shared" si="41"/>
        <v>3.075403861</v>
      </c>
      <c r="BO24" s="118">
        <f t="shared" si="42"/>
        <v>3.133996772</v>
      </c>
      <c r="BP24" s="118">
        <f t="shared" si="43"/>
        <v>3.133996772</v>
      </c>
      <c r="BQ24" s="131">
        <f t="shared" si="95"/>
        <v>2.983558642</v>
      </c>
      <c r="BR24" s="118">
        <f t="shared" si="44"/>
        <v>3.15043813</v>
      </c>
      <c r="BS24" s="118">
        <f t="shared" si="45"/>
        <v>3.15043813</v>
      </c>
      <c r="BT24" s="131">
        <f t="shared" si="96"/>
        <v>2.997736612</v>
      </c>
      <c r="BU24" s="118">
        <f t="shared" si="46"/>
        <v>3.152701518</v>
      </c>
      <c r="BV24" s="118">
        <f t="shared" si="47"/>
        <v>3.152701518</v>
      </c>
      <c r="BW24" s="131">
        <f t="shared" si="97"/>
        <v>2.999688412</v>
      </c>
      <c r="BX24" s="118">
        <f t="shared" si="48"/>
        <v>3.153013106</v>
      </c>
      <c r="BY24" s="118">
        <f t="shared" si="49"/>
        <v>3.153013106</v>
      </c>
      <c r="BZ24" s="61" t="str">
        <f t="shared" si="50"/>
        <v>JaVale McGee</v>
      </c>
      <c r="CA24" s="121">
        <f t="shared" si="51"/>
        <v>0.86</v>
      </c>
      <c r="CB24" s="122">
        <f t="shared" ref="CB24:CC24" si="146">(5-$BY24)/4*CB$3+($BY24-1)/4*CB$4</f>
        <v>-0.6784157208</v>
      </c>
      <c r="CC24" s="122">
        <f t="shared" si="146"/>
        <v>-0.2985029172</v>
      </c>
      <c r="CD24" s="121">
        <f t="shared" ref="CD24:CL24" si="147">(5-$BM24)/4*CD$3+($BM24-1)/4*CD$4</f>
        <v>0.389</v>
      </c>
      <c r="CE24" s="121">
        <f t="shared" si="147"/>
        <v>1.034</v>
      </c>
      <c r="CF24" s="121">
        <f t="shared" si="147"/>
        <v>-0.964</v>
      </c>
      <c r="CG24" s="121">
        <f t="shared" si="147"/>
        <v>0.181</v>
      </c>
      <c r="CH24" s="121">
        <f t="shared" si="147"/>
        <v>0.181</v>
      </c>
      <c r="CI24" s="121">
        <f t="shared" si="147"/>
        <v>0</v>
      </c>
      <c r="CJ24" s="121">
        <f t="shared" si="147"/>
        <v>1.008</v>
      </c>
      <c r="CK24" s="121">
        <f t="shared" si="147"/>
        <v>0.703</v>
      </c>
      <c r="CL24" s="121">
        <f t="shared" si="147"/>
        <v>-0.367</v>
      </c>
      <c r="CM24" s="118">
        <f t="shared" si="54"/>
        <v>6.167606403</v>
      </c>
      <c r="CN24" s="118">
        <f t="shared" si="55"/>
        <v>-1.3655674</v>
      </c>
      <c r="CO24" s="118">
        <f t="shared" si="56"/>
        <v>2.87431697</v>
      </c>
      <c r="CP24" s="118">
        <f t="shared" si="57"/>
        <v>1.708423613</v>
      </c>
      <c r="CQ24" s="123">
        <f t="shared" si="58"/>
        <v>0.2122291783</v>
      </c>
      <c r="CR24" s="124">
        <f t="shared" si="59"/>
        <v>9.597008764</v>
      </c>
      <c r="CS24" s="114">
        <f t="shared" si="60"/>
        <v>0.1868048534</v>
      </c>
      <c r="CT24" s="118">
        <f t="shared" si="61"/>
        <v>1.792767815</v>
      </c>
      <c r="CU24" s="125" t="str">
        <f t="shared" si="62"/>
        <v>JaVale McGee</v>
      </c>
      <c r="CV24" s="121">
        <f t="shared" si="63"/>
        <v>0.605</v>
      </c>
      <c r="CW24" s="122">
        <f t="shared" ref="CW24:CX24" si="148">(5-$BY24)/4*CB$7+($BY24-1)/4*CB$8</f>
        <v>-0.4064319653</v>
      </c>
      <c r="CX24" s="122">
        <f t="shared" si="148"/>
        <v>-0.1788300647</v>
      </c>
      <c r="CY24" s="121">
        <f t="shared" ref="CY24:DG24" si="149">(5-$BM24)/4*CD$7+($BM24-1)/4*CD$8</f>
        <v>0.477</v>
      </c>
      <c r="CZ24" s="121">
        <f t="shared" si="149"/>
        <v>0.476</v>
      </c>
      <c r="DA24" s="121">
        <f t="shared" si="149"/>
        <v>-0.882</v>
      </c>
      <c r="DB24" s="121">
        <f t="shared" si="149"/>
        <v>0.422</v>
      </c>
      <c r="DC24" s="121">
        <f t="shared" si="149"/>
        <v>0.103</v>
      </c>
      <c r="DD24" s="121">
        <f t="shared" si="149"/>
        <v>0</v>
      </c>
      <c r="DE24" s="121">
        <f t="shared" si="149"/>
        <v>0.294</v>
      </c>
      <c r="DF24" s="121">
        <f t="shared" si="149"/>
        <v>0.097</v>
      </c>
      <c r="DG24" s="121">
        <f t="shared" si="149"/>
        <v>-0.439</v>
      </c>
      <c r="DH24" s="118">
        <f t="shared" si="66"/>
        <v>6.034408551</v>
      </c>
      <c r="DI24" s="118">
        <f t="shared" si="67"/>
        <v>-1.769471284</v>
      </c>
      <c r="DJ24" s="118">
        <f t="shared" si="68"/>
        <v>3.711802495</v>
      </c>
      <c r="DK24" s="118">
        <f t="shared" si="69"/>
        <v>-2.327751579</v>
      </c>
      <c r="DL24" s="123">
        <f t="shared" si="70"/>
        <v>0.06579563567</v>
      </c>
      <c r="DM24" s="124">
        <f t="shared" si="71"/>
        <v>5.714783819</v>
      </c>
      <c r="DN24" s="114">
        <f t="shared" si="72"/>
        <v>0.1868048534</v>
      </c>
      <c r="DO24" s="118">
        <f t="shared" si="73"/>
        <v>1.067549353</v>
      </c>
      <c r="DP24" s="126" t="str">
        <f t="shared" si="74"/>
        <v>JaVale McGee (9th)</v>
      </c>
      <c r="DQ24" s="127">
        <f t="shared" si="75"/>
        <v>5</v>
      </c>
      <c r="DR24" s="127">
        <f t="shared" si="76"/>
        <v>3.153013106</v>
      </c>
      <c r="DS24" s="128">
        <f t="shared" si="77"/>
        <v>739</v>
      </c>
      <c r="DT24" s="127">
        <f t="shared" si="78"/>
        <v>9.597402597</v>
      </c>
      <c r="DU24" s="127">
        <f t="shared" si="79"/>
        <v>1.439667681</v>
      </c>
      <c r="DV24" s="127">
        <f t="shared" si="80"/>
        <v>1.16108895</v>
      </c>
      <c r="DW24" s="127">
        <f t="shared" si="81"/>
        <v>0.2785787317</v>
      </c>
      <c r="DX24" s="127">
        <f t="shared" si="82"/>
        <v>0.2689369102</v>
      </c>
      <c r="DY24" s="129">
        <f t="shared" si="83"/>
        <v>0.6425466169</v>
      </c>
      <c r="DZ24" s="130">
        <f t="shared" si="84"/>
        <v>9.12345679</v>
      </c>
      <c r="EA24" s="130">
        <f t="shared" si="85"/>
        <v>0</v>
      </c>
      <c r="EB24" s="130">
        <f t="shared" si="86"/>
        <v>-3.153395062</v>
      </c>
      <c r="EC24" s="130">
        <f t="shared" si="87"/>
        <v>1.439667681</v>
      </c>
      <c r="ED24" s="32">
        <f t="shared" si="88"/>
        <v>1.16108895</v>
      </c>
      <c r="EE24" s="32">
        <f t="shared" si="89"/>
        <v>0.2785787317</v>
      </c>
    </row>
    <row r="25">
      <c r="A25" s="108">
        <v>12.0</v>
      </c>
      <c r="B25" s="109" t="s">
        <v>324</v>
      </c>
      <c r="C25" s="109">
        <v>24.0</v>
      </c>
      <c r="D25" s="109">
        <v>52.0</v>
      </c>
      <c r="E25" s="109">
        <v>2.0</v>
      </c>
      <c r="F25" s="109">
        <v>457.0</v>
      </c>
      <c r="G25" s="109">
        <v>62.0</v>
      </c>
      <c r="H25" s="109">
        <v>117.0</v>
      </c>
      <c r="I25" s="109">
        <v>0.53</v>
      </c>
      <c r="J25" s="109">
        <v>2.0</v>
      </c>
      <c r="K25" s="109">
        <v>8.0</v>
      </c>
      <c r="L25" s="109">
        <v>0.25</v>
      </c>
      <c r="M25" s="109">
        <v>60.0</v>
      </c>
      <c r="N25" s="109">
        <v>109.0</v>
      </c>
      <c r="O25" s="109">
        <v>0.55</v>
      </c>
      <c r="P25" s="109">
        <v>0.538</v>
      </c>
      <c r="Q25" s="109">
        <v>21.0</v>
      </c>
      <c r="R25" s="109">
        <v>42.0</v>
      </c>
      <c r="S25" s="109">
        <v>0.5</v>
      </c>
      <c r="T25" s="109">
        <v>34.0</v>
      </c>
      <c r="U25" s="109">
        <v>57.0</v>
      </c>
      <c r="V25" s="109">
        <v>91.0</v>
      </c>
      <c r="W25" s="109">
        <v>18.0</v>
      </c>
      <c r="X25" s="109">
        <v>18.0</v>
      </c>
      <c r="Y25" s="109">
        <v>29.0</v>
      </c>
      <c r="Z25" s="109">
        <v>19.0</v>
      </c>
      <c r="AA25" s="109">
        <v>47.0</v>
      </c>
      <c r="AB25" s="109">
        <v>147.0</v>
      </c>
      <c r="AC25" s="110">
        <f t="shared" si="10"/>
        <v>135.48</v>
      </c>
      <c r="AD25" s="111">
        <f t="shared" si="11"/>
        <v>1.085031001</v>
      </c>
      <c r="AE25" s="4">
        <f t="shared" si="12"/>
        <v>120.6159769</v>
      </c>
      <c r="AF25" s="110">
        <f t="shared" si="13"/>
        <v>950.1791667</v>
      </c>
      <c r="AG25" s="112">
        <f t="shared" si="14"/>
        <v>29.84437687</v>
      </c>
      <c r="AH25" s="113">
        <f t="shared" si="15"/>
        <v>12.69402457</v>
      </c>
      <c r="AI25" s="113">
        <f t="shared" si="16"/>
        <v>12.3134672</v>
      </c>
      <c r="AJ25" s="113">
        <f t="shared" si="17"/>
        <v>4.420218994</v>
      </c>
      <c r="AK25" s="113">
        <f t="shared" si="18"/>
        <v>0.2104866188</v>
      </c>
      <c r="AL25" s="113">
        <f t="shared" si="19"/>
        <v>1.894379569</v>
      </c>
      <c r="AM25" s="113">
        <f t="shared" si="20"/>
        <v>1.999622878</v>
      </c>
      <c r="AN25" s="113">
        <f t="shared" ref="AN25:AP25" si="150">T25/$AF25*100</f>
        <v>3.578272519</v>
      </c>
      <c r="AO25" s="113">
        <f t="shared" si="150"/>
        <v>5.998868634</v>
      </c>
      <c r="AP25" s="113">
        <f t="shared" si="150"/>
        <v>9.577141153</v>
      </c>
      <c r="AQ25" s="113">
        <f t="shared" ref="AQ25:AR25" si="151">X25/$AF25*100</f>
        <v>1.894379569</v>
      </c>
      <c r="AR25" s="113">
        <f t="shared" si="151"/>
        <v>3.052055972</v>
      </c>
      <c r="AS25" s="113">
        <f t="shared" si="23"/>
        <v>4.946435541</v>
      </c>
      <c r="AT25" s="114">
        <f t="shared" si="24"/>
        <v>0.2162331644</v>
      </c>
      <c r="AU25" s="114">
        <f t="shared" si="25"/>
        <v>0.198491965</v>
      </c>
      <c r="AV25" s="114">
        <f t="shared" si="26"/>
        <v>0.256689837</v>
      </c>
      <c r="AW25" s="114">
        <f t="shared" si="27"/>
        <v>0.06255166301</v>
      </c>
      <c r="AX25" s="114">
        <f t="shared" si="28"/>
        <v>0.4523192777</v>
      </c>
      <c r="AY25" s="115">
        <f t="shared" si="29"/>
        <v>0.09842446705</v>
      </c>
      <c r="AZ25" s="116" t="str">
        <f t="shared" si="30"/>
        <v>PF</v>
      </c>
      <c r="BA25" s="117">
        <f t="shared" si="31"/>
        <v>4</v>
      </c>
      <c r="BB25" s="118">
        <f t="shared" si="32"/>
        <v>4.297770088</v>
      </c>
      <c r="BC25" s="118">
        <f t="shared" si="33"/>
        <v>4.268404202</v>
      </c>
      <c r="BD25" s="118">
        <f t="shared" si="34"/>
        <v>4.268404202</v>
      </c>
      <c r="BE25" s="131">
        <f t="shared" si="92"/>
        <v>3.135936861</v>
      </c>
      <c r="BF25" s="118">
        <f t="shared" si="35"/>
        <v>4.132467341</v>
      </c>
      <c r="BG25" s="118">
        <f t="shared" si="36"/>
        <v>4.132467341</v>
      </c>
      <c r="BH25" s="131">
        <f t="shared" si="93"/>
        <v>3.00566289</v>
      </c>
      <c r="BI25" s="118">
        <f t="shared" si="37"/>
        <v>4.12680445</v>
      </c>
      <c r="BJ25" s="118">
        <f t="shared" si="38"/>
        <v>4.12680445</v>
      </c>
      <c r="BK25" s="131">
        <f t="shared" si="94"/>
        <v>3.000235906</v>
      </c>
      <c r="BL25" s="118">
        <f t="shared" si="39"/>
        <v>4.126568544</v>
      </c>
      <c r="BM25" s="118">
        <f t="shared" si="40"/>
        <v>4.126568544</v>
      </c>
      <c r="BN25" s="120">
        <f t="shared" si="41"/>
        <v>4.743608386</v>
      </c>
      <c r="BO25" s="118">
        <f t="shared" si="42"/>
        <v>4.670274226</v>
      </c>
      <c r="BP25" s="118">
        <f t="shared" si="43"/>
        <v>4.670274226</v>
      </c>
      <c r="BQ25" s="131">
        <f t="shared" si="95"/>
        <v>2.983558642</v>
      </c>
      <c r="BR25" s="118">
        <f t="shared" si="44"/>
        <v>4.686715584</v>
      </c>
      <c r="BS25" s="118">
        <f t="shared" si="45"/>
        <v>4.686715584</v>
      </c>
      <c r="BT25" s="131">
        <f t="shared" si="96"/>
        <v>2.997736612</v>
      </c>
      <c r="BU25" s="118">
        <f t="shared" si="46"/>
        <v>4.688978972</v>
      </c>
      <c r="BV25" s="118">
        <f t="shared" si="47"/>
        <v>4.688978972</v>
      </c>
      <c r="BW25" s="131">
        <f t="shared" si="97"/>
        <v>2.999688412</v>
      </c>
      <c r="BX25" s="118">
        <f t="shared" si="48"/>
        <v>4.68929056</v>
      </c>
      <c r="BY25" s="118">
        <f t="shared" si="49"/>
        <v>4.68929056</v>
      </c>
      <c r="BZ25" s="61" t="str">
        <f t="shared" si="50"/>
        <v>James Michael McAdoo</v>
      </c>
      <c r="CA25" s="121">
        <f t="shared" si="51"/>
        <v>0.86</v>
      </c>
      <c r="CB25" s="122">
        <f t="shared" ref="CB25:CC25" si="152">(5-$BY25)/4*CB$3+($BY25-1)/4*CB$4</f>
        <v>-0.7629109808</v>
      </c>
      <c r="CC25" s="122">
        <f t="shared" si="152"/>
        <v>-0.3356808315</v>
      </c>
      <c r="CD25" s="121">
        <f t="shared" ref="CD25:CL25" si="153">(5-$BM25)/4*CD$3+($BM25-1)/4*CD$4</f>
        <v>0.389</v>
      </c>
      <c r="CE25" s="121">
        <f t="shared" si="153"/>
        <v>0.9348655297</v>
      </c>
      <c r="CF25" s="121">
        <f t="shared" si="153"/>
        <v>-0.964</v>
      </c>
      <c r="CG25" s="121">
        <f t="shared" si="153"/>
        <v>0.2753305972</v>
      </c>
      <c r="CH25" s="121">
        <f t="shared" si="153"/>
        <v>0.1668067388</v>
      </c>
      <c r="CI25" s="121">
        <f t="shared" si="153"/>
        <v>0</v>
      </c>
      <c r="CJ25" s="121">
        <f t="shared" si="153"/>
        <v>1.086827189</v>
      </c>
      <c r="CK25" s="121">
        <f t="shared" si="153"/>
        <v>0.8392553071</v>
      </c>
      <c r="CL25" s="121">
        <f t="shared" si="153"/>
        <v>-0.367</v>
      </c>
      <c r="CM25" s="118">
        <f t="shared" si="54"/>
        <v>0.1208783007</v>
      </c>
      <c r="CN25" s="118">
        <f t="shared" si="55"/>
        <v>-0.1566462954</v>
      </c>
      <c r="CO25" s="118">
        <f t="shared" si="56"/>
        <v>1.985859623</v>
      </c>
      <c r="CP25" s="118">
        <f t="shared" si="57"/>
        <v>2.80497555</v>
      </c>
      <c r="CQ25" s="123">
        <f t="shared" si="58"/>
        <v>2.343046006</v>
      </c>
      <c r="CR25" s="124">
        <f t="shared" si="59"/>
        <v>7.098113185</v>
      </c>
      <c r="CS25" s="114">
        <f t="shared" si="60"/>
        <v>0.115520728</v>
      </c>
      <c r="CT25" s="118">
        <f t="shared" si="61"/>
        <v>0.8199792026</v>
      </c>
      <c r="CU25" s="125" t="str">
        <f t="shared" si="62"/>
        <v>James Michael McAdoo</v>
      </c>
      <c r="CV25" s="121">
        <f t="shared" si="63"/>
        <v>0.605</v>
      </c>
      <c r="CW25" s="122">
        <f t="shared" ref="CW25:CX25" si="154">(5-$BY25)/4*CB$7+($BY25-1)/4*CB$8</f>
        <v>-0.4609698149</v>
      </c>
      <c r="CX25" s="122">
        <f t="shared" si="154"/>
        <v>-0.2028267185</v>
      </c>
      <c r="CY25" s="121">
        <f t="shared" ref="CY25:DG25" si="155">(5-$BM25)/4*CD$7+($BM25-1)/4*CD$8</f>
        <v>0.477</v>
      </c>
      <c r="CZ25" s="121">
        <f t="shared" si="155"/>
        <v>0.476</v>
      </c>
      <c r="DA25" s="121">
        <f t="shared" si="155"/>
        <v>-0.8158375672</v>
      </c>
      <c r="DB25" s="121">
        <f t="shared" si="155"/>
        <v>0.462177847</v>
      </c>
      <c r="DC25" s="121">
        <f t="shared" si="155"/>
        <v>0.05605305924</v>
      </c>
      <c r="DD25" s="121">
        <f t="shared" si="155"/>
        <v>0</v>
      </c>
      <c r="DE25" s="121">
        <f t="shared" si="155"/>
        <v>0.2684521299</v>
      </c>
      <c r="DF25" s="121">
        <f t="shared" si="155"/>
        <v>0.2341287386</v>
      </c>
      <c r="DG25" s="121">
        <f t="shared" si="155"/>
        <v>-0.439</v>
      </c>
      <c r="DH25" s="118">
        <f t="shared" si="66"/>
        <v>1.207611774</v>
      </c>
      <c r="DI25" s="118">
        <f t="shared" si="67"/>
        <v>-0.7296427895</v>
      </c>
      <c r="DJ25" s="118">
        <f t="shared" si="68"/>
        <v>1.990053228</v>
      </c>
      <c r="DK25" s="118">
        <f t="shared" si="69"/>
        <v>-0.9483609574</v>
      </c>
      <c r="DL25" s="123">
        <f t="shared" si="70"/>
        <v>0.7263949406</v>
      </c>
      <c r="DM25" s="124">
        <f t="shared" si="71"/>
        <v>2.246056195</v>
      </c>
      <c r="DN25" s="114">
        <f t="shared" si="72"/>
        <v>0.115520728</v>
      </c>
      <c r="DO25" s="118">
        <f t="shared" si="73"/>
        <v>0.2594660468</v>
      </c>
      <c r="DP25" s="126" t="str">
        <f t="shared" si="74"/>
        <v>James Michael McAdoo (3rd)</v>
      </c>
      <c r="DQ25" s="127">
        <f t="shared" si="75"/>
        <v>4.126568544</v>
      </c>
      <c r="DR25" s="127">
        <f t="shared" si="76"/>
        <v>4.68929056</v>
      </c>
      <c r="DS25" s="128">
        <f t="shared" si="77"/>
        <v>457</v>
      </c>
      <c r="DT25" s="127">
        <f t="shared" si="78"/>
        <v>8.788461538</v>
      </c>
      <c r="DU25" s="127">
        <f t="shared" si="79"/>
        <v>-1.059227897</v>
      </c>
      <c r="DV25" s="127">
        <f t="shared" si="80"/>
        <v>-2.307638675</v>
      </c>
      <c r="DW25" s="127">
        <f t="shared" si="81"/>
        <v>1.248410777</v>
      </c>
      <c r="DX25" s="127">
        <f t="shared" si="82"/>
        <v>-0.1223627778</v>
      </c>
      <c r="DY25" s="129">
        <f t="shared" si="83"/>
        <v>0.1086786782</v>
      </c>
      <c r="DZ25" s="130">
        <f t="shared" si="84"/>
        <v>8.160714286</v>
      </c>
      <c r="EA25" s="130">
        <f t="shared" si="85"/>
        <v>0</v>
      </c>
      <c r="EB25" s="130">
        <f t="shared" si="86"/>
        <v>-3.321875</v>
      </c>
      <c r="EC25" s="130">
        <f t="shared" si="87"/>
        <v>-1.059227897</v>
      </c>
      <c r="ED25" s="32">
        <f t="shared" si="88"/>
        <v>-2.307638675</v>
      </c>
      <c r="EE25" s="32">
        <f t="shared" si="89"/>
        <v>1.248410777</v>
      </c>
    </row>
    <row r="26">
      <c r="A26" s="108">
        <v>13.0</v>
      </c>
      <c r="B26" s="109" t="s">
        <v>325</v>
      </c>
      <c r="C26" s="109">
        <v>20.0</v>
      </c>
      <c r="D26" s="109">
        <v>53.0</v>
      </c>
      <c r="E26" s="109">
        <v>4.0</v>
      </c>
      <c r="F26" s="109">
        <v>447.0</v>
      </c>
      <c r="G26" s="109">
        <v>56.0</v>
      </c>
      <c r="H26" s="109">
        <v>107.0</v>
      </c>
      <c r="I26" s="109">
        <v>0.523</v>
      </c>
      <c r="J26" s="109">
        <v>2.0</v>
      </c>
      <c r="K26" s="109">
        <v>9.0</v>
      </c>
      <c r="L26" s="109">
        <v>0.222</v>
      </c>
      <c r="M26" s="109">
        <v>54.0</v>
      </c>
      <c r="N26" s="109">
        <v>98.0</v>
      </c>
      <c r="O26" s="109">
        <v>0.551</v>
      </c>
      <c r="P26" s="109">
        <v>0.533</v>
      </c>
      <c r="Q26" s="109">
        <v>21.0</v>
      </c>
      <c r="R26" s="109">
        <v>34.0</v>
      </c>
      <c r="S26" s="109">
        <v>0.618</v>
      </c>
      <c r="T26" s="109">
        <v>44.0</v>
      </c>
      <c r="U26" s="109">
        <v>80.0</v>
      </c>
      <c r="V26" s="109">
        <v>124.0</v>
      </c>
      <c r="W26" s="109">
        <v>29.0</v>
      </c>
      <c r="X26" s="109">
        <v>15.0</v>
      </c>
      <c r="Y26" s="109">
        <v>17.0</v>
      </c>
      <c r="Z26" s="109">
        <v>17.0</v>
      </c>
      <c r="AA26" s="109">
        <v>64.0</v>
      </c>
      <c r="AB26" s="109">
        <v>135.0</v>
      </c>
      <c r="AC26" s="110">
        <f t="shared" si="10"/>
        <v>121.96</v>
      </c>
      <c r="AD26" s="111">
        <f t="shared" si="11"/>
        <v>1.106920302</v>
      </c>
      <c r="AE26" s="4">
        <f t="shared" si="12"/>
        <v>111.2489263</v>
      </c>
      <c r="AF26" s="110">
        <f t="shared" si="13"/>
        <v>929.3875</v>
      </c>
      <c r="AG26" s="112">
        <f t="shared" si="14"/>
        <v>29.53572633</v>
      </c>
      <c r="AH26" s="113">
        <f t="shared" si="15"/>
        <v>11.9701337</v>
      </c>
      <c r="AI26" s="113">
        <f t="shared" si="16"/>
        <v>11.5129588</v>
      </c>
      <c r="AJ26" s="113">
        <f t="shared" si="17"/>
        <v>3.658323358</v>
      </c>
      <c r="AK26" s="113">
        <f t="shared" si="18"/>
        <v>0.2151954917</v>
      </c>
      <c r="AL26" s="113">
        <f t="shared" si="19"/>
        <v>3.120334629</v>
      </c>
      <c r="AM26" s="113">
        <f t="shared" si="20"/>
        <v>1.829161679</v>
      </c>
      <c r="AN26" s="113">
        <f t="shared" ref="AN26:AP26" si="156">T26/$AF26*100</f>
        <v>4.734300816</v>
      </c>
      <c r="AO26" s="113">
        <f t="shared" si="156"/>
        <v>8.607819666</v>
      </c>
      <c r="AP26" s="113">
        <f t="shared" si="156"/>
        <v>13.34212048</v>
      </c>
      <c r="AQ26" s="113">
        <f t="shared" ref="AQ26:AR26" si="157">X26/$AF26*100</f>
        <v>1.613966187</v>
      </c>
      <c r="AR26" s="113">
        <f t="shared" si="157"/>
        <v>1.829161679</v>
      </c>
      <c r="AS26" s="113">
        <f t="shared" si="23"/>
        <v>6.886255733</v>
      </c>
      <c r="AT26" s="114">
        <f t="shared" si="24"/>
        <v>0.301239053</v>
      </c>
      <c r="AU26" s="114">
        <f t="shared" si="25"/>
        <v>0.1691104176</v>
      </c>
      <c r="AV26" s="114">
        <f t="shared" si="26"/>
        <v>0.3573546743</v>
      </c>
      <c r="AW26" s="114">
        <f t="shared" si="27"/>
        <v>0.1030322135</v>
      </c>
      <c r="AX26" s="114">
        <f t="shared" si="28"/>
        <v>0.2710845073</v>
      </c>
      <c r="AY26" s="115">
        <f t="shared" si="29"/>
        <v>0.09958567893</v>
      </c>
      <c r="AZ26" s="116" t="str">
        <f t="shared" si="30"/>
        <v>C</v>
      </c>
      <c r="BA26" s="117">
        <f t="shared" si="31"/>
        <v>5</v>
      </c>
      <c r="BB26" s="118">
        <f t="shared" si="32"/>
        <v>4.762228599</v>
      </c>
      <c r="BC26" s="118">
        <f t="shared" si="33"/>
        <v>4.786149263</v>
      </c>
      <c r="BD26" s="118">
        <f t="shared" si="34"/>
        <v>4.786149263</v>
      </c>
      <c r="BE26" s="131">
        <f t="shared" si="92"/>
        <v>3.135936861</v>
      </c>
      <c r="BF26" s="118">
        <f t="shared" si="35"/>
        <v>4.650212402</v>
      </c>
      <c r="BG26" s="118">
        <f t="shared" si="36"/>
        <v>4.650212402</v>
      </c>
      <c r="BH26" s="131">
        <f t="shared" si="93"/>
        <v>3.00566289</v>
      </c>
      <c r="BI26" s="118">
        <f t="shared" si="37"/>
        <v>4.644549511</v>
      </c>
      <c r="BJ26" s="118">
        <f t="shared" si="38"/>
        <v>4.644549511</v>
      </c>
      <c r="BK26" s="131">
        <f t="shared" si="94"/>
        <v>3.000235906</v>
      </c>
      <c r="BL26" s="118">
        <f t="shared" si="39"/>
        <v>4.644313605</v>
      </c>
      <c r="BM26" s="118">
        <f t="shared" si="40"/>
        <v>4.644313605</v>
      </c>
      <c r="BN26" s="120">
        <f t="shared" si="41"/>
        <v>4.464831251</v>
      </c>
      <c r="BO26" s="118">
        <f t="shared" si="42"/>
        <v>4.418067544</v>
      </c>
      <c r="BP26" s="118">
        <f t="shared" si="43"/>
        <v>4.418067544</v>
      </c>
      <c r="BQ26" s="131">
        <f t="shared" si="95"/>
        <v>2.983558642</v>
      </c>
      <c r="BR26" s="118">
        <f t="shared" si="44"/>
        <v>4.434508902</v>
      </c>
      <c r="BS26" s="118">
        <f t="shared" si="45"/>
        <v>4.434508902</v>
      </c>
      <c r="BT26" s="131">
        <f t="shared" si="96"/>
        <v>2.997736612</v>
      </c>
      <c r="BU26" s="118">
        <f t="shared" si="46"/>
        <v>4.43677229</v>
      </c>
      <c r="BV26" s="118">
        <f t="shared" si="47"/>
        <v>4.43677229</v>
      </c>
      <c r="BW26" s="131">
        <f t="shared" si="97"/>
        <v>2.999688412</v>
      </c>
      <c r="BX26" s="118">
        <f t="shared" si="48"/>
        <v>4.437083878</v>
      </c>
      <c r="BY26" s="118">
        <f t="shared" si="49"/>
        <v>4.437083878</v>
      </c>
      <c r="BZ26" s="61" t="str">
        <f t="shared" si="50"/>
        <v>Kevon Looney</v>
      </c>
      <c r="CA26" s="121">
        <f t="shared" si="51"/>
        <v>0.86</v>
      </c>
      <c r="CB26" s="122">
        <f t="shared" ref="CB26:CC26" si="158">(5-$BY26)/4*CB$3+($BY26-1)/4*CB$4</f>
        <v>-0.7490396133</v>
      </c>
      <c r="CC26" s="122">
        <f t="shared" si="158"/>
        <v>-0.3295774298</v>
      </c>
      <c r="CD26" s="121">
        <f t="shared" ref="CD26:CL26" si="159">(5-$BM26)/4*CD$3+($BM26-1)/4*CD$4</f>
        <v>0.389</v>
      </c>
      <c r="CE26" s="121">
        <f t="shared" si="159"/>
        <v>0.9936295942</v>
      </c>
      <c r="CF26" s="121">
        <f t="shared" si="159"/>
        <v>-0.964</v>
      </c>
      <c r="CG26" s="121">
        <f t="shared" si="159"/>
        <v>0.2194141306</v>
      </c>
      <c r="CH26" s="121">
        <f t="shared" si="159"/>
        <v>0.1752200961</v>
      </c>
      <c r="CI26" s="121">
        <f t="shared" si="159"/>
        <v>0</v>
      </c>
      <c r="CJ26" s="121">
        <f t="shared" si="159"/>
        <v>1.040100697</v>
      </c>
      <c r="CK26" s="121">
        <f t="shared" si="159"/>
        <v>0.7584870776</v>
      </c>
      <c r="CL26" s="121">
        <f t="shared" si="159"/>
        <v>-0.367</v>
      </c>
      <c r="CM26" s="118">
        <f t="shared" si="54"/>
        <v>0.548663007</v>
      </c>
      <c r="CN26" s="118">
        <f t="shared" si="55"/>
        <v>1.337144972</v>
      </c>
      <c r="CO26" s="118">
        <f t="shared" si="56"/>
        <v>2.547035487</v>
      </c>
      <c r="CP26" s="118">
        <f t="shared" si="57"/>
        <v>0.5388269991</v>
      </c>
      <c r="CQ26" s="123">
        <f t="shared" si="58"/>
        <v>1.993235339</v>
      </c>
      <c r="CR26" s="124">
        <f t="shared" si="59"/>
        <v>6.964905804</v>
      </c>
      <c r="CS26" s="114">
        <f t="shared" si="60"/>
        <v>0.1129929221</v>
      </c>
      <c r="CT26" s="118">
        <f t="shared" si="61"/>
        <v>0.7869850593</v>
      </c>
      <c r="CU26" s="125" t="str">
        <f t="shared" si="62"/>
        <v>Kevon Looney</v>
      </c>
      <c r="CV26" s="121">
        <f t="shared" si="63"/>
        <v>0.605</v>
      </c>
      <c r="CW26" s="122">
        <f t="shared" ref="CW26:CX26" si="160">(5-$BY26)/4*CB$7+($BY26-1)/4*CB$8</f>
        <v>-0.4520164777</v>
      </c>
      <c r="CX26" s="122">
        <f t="shared" si="160"/>
        <v>-0.1988872502</v>
      </c>
      <c r="CY26" s="121">
        <f t="shared" ref="CY26:DG26" si="161">(5-$BM26)/4*CD$7+($BM26-1)/4*CD$8</f>
        <v>0.477</v>
      </c>
      <c r="CZ26" s="121">
        <f t="shared" si="161"/>
        <v>0.476</v>
      </c>
      <c r="DA26" s="121">
        <f t="shared" si="161"/>
        <v>-0.8550567556</v>
      </c>
      <c r="DB26" s="121">
        <f t="shared" si="161"/>
        <v>0.4383615742</v>
      </c>
      <c r="DC26" s="121">
        <f t="shared" si="161"/>
        <v>0.08388185627</v>
      </c>
      <c r="DD26" s="121">
        <f t="shared" si="161"/>
        <v>0</v>
      </c>
      <c r="DE26" s="121">
        <f t="shared" si="161"/>
        <v>0.2835961729</v>
      </c>
      <c r="DF26" s="121">
        <f t="shared" si="161"/>
        <v>0.152842764</v>
      </c>
      <c r="DG26" s="121">
        <f t="shared" si="161"/>
        <v>-0.439</v>
      </c>
      <c r="DH26" s="118">
        <f t="shared" si="66"/>
        <v>1.412938178</v>
      </c>
      <c r="DI26" s="118">
        <f t="shared" si="67"/>
        <v>-0.07875776734</v>
      </c>
      <c r="DJ26" s="118">
        <f t="shared" si="68"/>
        <v>2.797375451</v>
      </c>
      <c r="DK26" s="118">
        <f t="shared" si="69"/>
        <v>-2.285777506</v>
      </c>
      <c r="DL26" s="123">
        <f t="shared" si="70"/>
        <v>0.6179460675</v>
      </c>
      <c r="DM26" s="124">
        <f t="shared" si="71"/>
        <v>2.463724423</v>
      </c>
      <c r="DN26" s="114">
        <f t="shared" si="72"/>
        <v>0.1129929221</v>
      </c>
      <c r="DO26" s="118">
        <f t="shared" si="73"/>
        <v>0.2783834219</v>
      </c>
      <c r="DP26" s="126" t="str">
        <f t="shared" si="74"/>
        <v>Kevon Looney (2nd)</v>
      </c>
      <c r="DQ26" s="127">
        <f t="shared" si="75"/>
        <v>4.644313605</v>
      </c>
      <c r="DR26" s="127">
        <f t="shared" si="76"/>
        <v>4.437083878</v>
      </c>
      <c r="DS26" s="128">
        <f t="shared" si="77"/>
        <v>447</v>
      </c>
      <c r="DT26" s="127">
        <f t="shared" si="78"/>
        <v>8.433962264</v>
      </c>
      <c r="DU26" s="127">
        <f t="shared" si="79"/>
        <v>-1.192435278</v>
      </c>
      <c r="DV26" s="127">
        <f t="shared" si="80"/>
        <v>-2.089970446</v>
      </c>
      <c r="DW26" s="127">
        <f t="shared" si="81"/>
        <v>0.8975351683</v>
      </c>
      <c r="DX26" s="127">
        <f t="shared" si="82"/>
        <v>-0.1347367465</v>
      </c>
      <c r="DY26" s="129">
        <f t="shared" si="83"/>
        <v>0.09124909774</v>
      </c>
      <c r="DZ26" s="130">
        <f t="shared" si="84"/>
        <v>7.842105263</v>
      </c>
      <c r="EA26" s="130">
        <f t="shared" si="85"/>
        <v>1</v>
      </c>
      <c r="EB26" s="130">
        <f t="shared" si="86"/>
        <v>-3.377631579</v>
      </c>
      <c r="EC26" s="130">
        <f t="shared" si="87"/>
        <v>-1.197312948</v>
      </c>
      <c r="ED26" s="32">
        <f t="shared" si="88"/>
        <v>-2.09284469</v>
      </c>
      <c r="EE26" s="32">
        <f t="shared" si="89"/>
        <v>0.8955317415</v>
      </c>
    </row>
    <row r="27">
      <c r="A27" s="108">
        <v>14.0</v>
      </c>
      <c r="B27" s="109" t="s">
        <v>326</v>
      </c>
      <c r="C27" s="109">
        <v>36.0</v>
      </c>
      <c r="D27" s="109">
        <v>20.0</v>
      </c>
      <c r="E27" s="109">
        <v>5.0</v>
      </c>
      <c r="F27" s="109">
        <v>410.0</v>
      </c>
      <c r="G27" s="109">
        <v>38.0</v>
      </c>
      <c r="H27" s="109">
        <v>90.0</v>
      </c>
      <c r="I27" s="109">
        <v>0.422</v>
      </c>
      <c r="J27" s="109">
        <v>18.0</v>
      </c>
      <c r="K27" s="109">
        <v>52.0</v>
      </c>
      <c r="L27" s="109">
        <v>0.346</v>
      </c>
      <c r="M27" s="109">
        <v>20.0</v>
      </c>
      <c r="N27" s="109">
        <v>38.0</v>
      </c>
      <c r="O27" s="109">
        <v>0.526</v>
      </c>
      <c r="P27" s="109">
        <v>0.522</v>
      </c>
      <c r="Q27" s="109">
        <v>20.0</v>
      </c>
      <c r="R27" s="109">
        <v>23.0</v>
      </c>
      <c r="S27" s="109">
        <v>0.87</v>
      </c>
      <c r="T27" s="109">
        <v>15.0</v>
      </c>
      <c r="U27" s="109">
        <v>76.0</v>
      </c>
      <c r="V27" s="109">
        <v>91.0</v>
      </c>
      <c r="W27" s="109">
        <v>45.0</v>
      </c>
      <c r="X27" s="109">
        <v>12.0</v>
      </c>
      <c r="Y27" s="109">
        <v>9.0</v>
      </c>
      <c r="Z27" s="109">
        <v>24.0</v>
      </c>
      <c r="AA27" s="109">
        <v>47.0</v>
      </c>
      <c r="AB27" s="109">
        <v>114.0</v>
      </c>
      <c r="AC27" s="110">
        <f t="shared" si="10"/>
        <v>100.12</v>
      </c>
      <c r="AD27" s="111">
        <f t="shared" si="11"/>
        <v>1.13863364</v>
      </c>
      <c r="AE27" s="4">
        <f t="shared" si="12"/>
        <v>94.50215238</v>
      </c>
      <c r="AF27" s="110">
        <f t="shared" si="13"/>
        <v>852.4583333</v>
      </c>
      <c r="AG27" s="112">
        <f t="shared" si="14"/>
        <v>27.42175238</v>
      </c>
      <c r="AH27" s="113">
        <f t="shared" si="15"/>
        <v>11.0858383</v>
      </c>
      <c r="AI27" s="113">
        <f t="shared" si="16"/>
        <v>10.55770077</v>
      </c>
      <c r="AJ27" s="113">
        <f t="shared" si="17"/>
        <v>2.698079085</v>
      </c>
      <c r="AK27" s="113">
        <f t="shared" si="18"/>
        <v>2.111540153</v>
      </c>
      <c r="AL27" s="113">
        <f t="shared" si="19"/>
        <v>5.278850384</v>
      </c>
      <c r="AM27" s="113">
        <f t="shared" si="20"/>
        <v>2.815386871</v>
      </c>
      <c r="AN27" s="113">
        <f t="shared" ref="AN27:AP27" si="162">T27/$AF27*100</f>
        <v>1.759616795</v>
      </c>
      <c r="AO27" s="113">
        <f t="shared" si="162"/>
        <v>8.915391759</v>
      </c>
      <c r="AP27" s="113">
        <f t="shared" si="162"/>
        <v>10.67500855</v>
      </c>
      <c r="AQ27" s="113">
        <f t="shared" ref="AQ27:AR27" si="163">X27/$AF27*100</f>
        <v>1.407693436</v>
      </c>
      <c r="AR27" s="113">
        <f t="shared" si="163"/>
        <v>1.055770077</v>
      </c>
      <c r="AS27" s="113">
        <f t="shared" si="23"/>
        <v>5.513465956</v>
      </c>
      <c r="AT27" s="114">
        <f t="shared" si="24"/>
        <v>0.2410208686</v>
      </c>
      <c r="AU27" s="114">
        <f t="shared" si="25"/>
        <v>0.1474972813</v>
      </c>
      <c r="AV27" s="114">
        <f t="shared" si="26"/>
        <v>0.2861152574</v>
      </c>
      <c r="AW27" s="114">
        <f t="shared" si="27"/>
        <v>0.1743055488</v>
      </c>
      <c r="AX27" s="114">
        <f t="shared" si="28"/>
        <v>0.1564667106</v>
      </c>
      <c r="AY27" s="115">
        <f t="shared" si="29"/>
        <v>0.1008017576</v>
      </c>
      <c r="AZ27" s="116" t="str">
        <f t="shared" si="30"/>
        <v>SF</v>
      </c>
      <c r="BA27" s="117">
        <f t="shared" si="31"/>
        <v>3</v>
      </c>
      <c r="BB27" s="118">
        <f t="shared" si="32"/>
        <v>3.780258334</v>
      </c>
      <c r="BC27" s="118">
        <f t="shared" si="33"/>
        <v>3.695447646</v>
      </c>
      <c r="BD27" s="118">
        <f t="shared" si="34"/>
        <v>3.695447646</v>
      </c>
      <c r="BE27" s="131">
        <f t="shared" si="92"/>
        <v>3.135936861</v>
      </c>
      <c r="BF27" s="118">
        <f t="shared" si="35"/>
        <v>3.559510784</v>
      </c>
      <c r="BG27" s="118">
        <f t="shared" si="36"/>
        <v>3.559510784</v>
      </c>
      <c r="BH27" s="131">
        <f t="shared" si="93"/>
        <v>3.00566289</v>
      </c>
      <c r="BI27" s="118">
        <f t="shared" si="37"/>
        <v>3.553847894</v>
      </c>
      <c r="BJ27" s="118">
        <f t="shared" si="38"/>
        <v>3.553847894</v>
      </c>
      <c r="BK27" s="131">
        <f t="shared" si="94"/>
        <v>3.000235906</v>
      </c>
      <c r="BL27" s="118">
        <f t="shared" si="39"/>
        <v>3.553611988</v>
      </c>
      <c r="BM27" s="118">
        <f t="shared" si="40"/>
        <v>3.553611988</v>
      </c>
      <c r="BN27" s="120">
        <f t="shared" si="41"/>
        <v>3.981071971</v>
      </c>
      <c r="BO27" s="118">
        <f t="shared" si="42"/>
        <v>3.983129365</v>
      </c>
      <c r="BP27" s="118">
        <f t="shared" si="43"/>
        <v>3.983129365</v>
      </c>
      <c r="BQ27" s="131">
        <f t="shared" si="95"/>
        <v>2.983558642</v>
      </c>
      <c r="BR27" s="118">
        <f t="shared" si="44"/>
        <v>3.999570723</v>
      </c>
      <c r="BS27" s="118">
        <f t="shared" si="45"/>
        <v>3.999570723</v>
      </c>
      <c r="BT27" s="131">
        <f t="shared" si="96"/>
        <v>2.997736612</v>
      </c>
      <c r="BU27" s="118">
        <f t="shared" si="46"/>
        <v>4.001834111</v>
      </c>
      <c r="BV27" s="118">
        <f t="shared" si="47"/>
        <v>4.001834111</v>
      </c>
      <c r="BW27" s="131">
        <f t="shared" si="97"/>
        <v>2.999688412</v>
      </c>
      <c r="BX27" s="118">
        <f t="shared" si="48"/>
        <v>4.002145699</v>
      </c>
      <c r="BY27" s="118">
        <f t="shared" si="49"/>
        <v>4.002145699</v>
      </c>
      <c r="BZ27" s="61" t="str">
        <f t="shared" si="50"/>
        <v>Matt Barnes</v>
      </c>
      <c r="CA27" s="121">
        <f t="shared" si="51"/>
        <v>0.86</v>
      </c>
      <c r="CB27" s="122">
        <f t="shared" ref="CB27:CC27" si="164">(5-$BY27)/4*CB$3+($BY27-1)/4*CB$4</f>
        <v>-0.7251180134</v>
      </c>
      <c r="CC27" s="122">
        <f t="shared" si="164"/>
        <v>-0.3190519259</v>
      </c>
      <c r="CD27" s="121">
        <f t="shared" ref="CD27:CL27" si="165">(5-$BM27)/4*CD$3+($BM27-1)/4*CD$4</f>
        <v>0.389</v>
      </c>
      <c r="CE27" s="121">
        <f t="shared" si="165"/>
        <v>0.8698349606</v>
      </c>
      <c r="CF27" s="121">
        <f t="shared" si="165"/>
        <v>-0.964</v>
      </c>
      <c r="CG27" s="121">
        <f t="shared" si="165"/>
        <v>0.3372099053</v>
      </c>
      <c r="CH27" s="121">
        <f t="shared" si="165"/>
        <v>0.1574961948</v>
      </c>
      <c r="CI27" s="121">
        <f t="shared" si="165"/>
        <v>0</v>
      </c>
      <c r="CJ27" s="121">
        <f t="shared" si="165"/>
        <v>1.138536518</v>
      </c>
      <c r="CK27" s="121">
        <f t="shared" si="165"/>
        <v>0.9286365299</v>
      </c>
      <c r="CL27" s="121">
        <f t="shared" si="165"/>
        <v>-0.367</v>
      </c>
      <c r="CM27" s="118">
        <f t="shared" si="54"/>
        <v>1.838803719</v>
      </c>
      <c r="CN27" s="118">
        <f t="shared" si="55"/>
        <v>1.877695672</v>
      </c>
      <c r="CO27" s="118">
        <f t="shared" si="56"/>
        <v>1.99750049</v>
      </c>
      <c r="CP27" s="118">
        <f t="shared" si="57"/>
        <v>0.5596950373</v>
      </c>
      <c r="CQ27" s="123">
        <f t="shared" si="58"/>
        <v>1.389976085</v>
      </c>
      <c r="CR27" s="124">
        <f t="shared" si="59"/>
        <v>7.663671002</v>
      </c>
      <c r="CS27" s="114">
        <f t="shared" si="60"/>
        <v>0.1036400404</v>
      </c>
      <c r="CT27" s="118">
        <f t="shared" si="61"/>
        <v>0.7942631726</v>
      </c>
      <c r="CU27" s="125" t="str">
        <f t="shared" si="62"/>
        <v>Matt Barnes</v>
      </c>
      <c r="CV27" s="121">
        <f t="shared" si="63"/>
        <v>0.605</v>
      </c>
      <c r="CW27" s="122">
        <f t="shared" ref="CW27:CX27" si="166">(5-$BY27)/4*CB$7+($BY27-1)/4*CB$8</f>
        <v>-0.4365761723</v>
      </c>
      <c r="CX27" s="122">
        <f t="shared" si="166"/>
        <v>-0.1920935158</v>
      </c>
      <c r="CY27" s="121">
        <f t="shared" ref="CY27:DG27" si="167">(5-$BM27)/4*CD$7+($BM27-1)/4*CD$8</f>
        <v>0.477</v>
      </c>
      <c r="CZ27" s="121">
        <f t="shared" si="167"/>
        <v>0.476</v>
      </c>
      <c r="DA27" s="121">
        <f t="shared" si="167"/>
        <v>-0.7724361081</v>
      </c>
      <c r="DB27" s="121">
        <f t="shared" si="167"/>
        <v>0.4885338486</v>
      </c>
      <c r="DC27" s="121">
        <f t="shared" si="167"/>
        <v>0.02525664434</v>
      </c>
      <c r="DD27" s="121">
        <f t="shared" si="167"/>
        <v>0</v>
      </c>
      <c r="DE27" s="121">
        <f t="shared" si="167"/>
        <v>0.2516931506</v>
      </c>
      <c r="DF27" s="121">
        <f t="shared" si="167"/>
        <v>0.3240829179</v>
      </c>
      <c r="DG27" s="121">
        <f t="shared" si="167"/>
        <v>-0.439</v>
      </c>
      <c r="DH27" s="118">
        <f t="shared" si="66"/>
        <v>2.586612736</v>
      </c>
      <c r="DI27" s="118">
        <f t="shared" si="67"/>
        <v>0.3380263051</v>
      </c>
      <c r="DJ27" s="118">
        <f t="shared" si="68"/>
        <v>1.084805243</v>
      </c>
      <c r="DK27" s="118">
        <f t="shared" si="69"/>
        <v>-1.723947712</v>
      </c>
      <c r="DL27" s="123">
        <f t="shared" si="70"/>
        <v>0.4309226506</v>
      </c>
      <c r="DM27" s="124">
        <f t="shared" si="71"/>
        <v>2.716419223</v>
      </c>
      <c r="DN27" s="114">
        <f t="shared" si="72"/>
        <v>0.1036400404</v>
      </c>
      <c r="DO27" s="118">
        <f t="shared" si="73"/>
        <v>0.2815297981</v>
      </c>
      <c r="DP27" s="126" t="str">
        <f t="shared" si="74"/>
        <v>Matt Barnes (14th)</v>
      </c>
      <c r="DQ27" s="127">
        <f t="shared" si="75"/>
        <v>3.553611988</v>
      </c>
      <c r="DR27" s="127">
        <f t="shared" si="76"/>
        <v>4.002145699</v>
      </c>
      <c r="DS27" s="128">
        <f t="shared" si="77"/>
        <v>410</v>
      </c>
      <c r="DT27" s="127">
        <f t="shared" si="78"/>
        <v>20.5</v>
      </c>
      <c r="DU27" s="127">
        <f t="shared" si="79"/>
        <v>-0.4936700798</v>
      </c>
      <c r="DV27" s="127">
        <f t="shared" si="80"/>
        <v>-1.837275646</v>
      </c>
      <c r="DW27" s="127">
        <f t="shared" si="81"/>
        <v>1.343605567</v>
      </c>
      <c r="DX27" s="127">
        <f t="shared" si="82"/>
        <v>-0.05116398704</v>
      </c>
      <c r="DY27" s="129">
        <f t="shared" si="83"/>
        <v>0.1561160938</v>
      </c>
      <c r="DZ27" s="130">
        <f t="shared" si="84"/>
        <v>17.08333333</v>
      </c>
      <c r="EA27" s="130">
        <f t="shared" si="85"/>
        <v>13.33333333</v>
      </c>
      <c r="EB27" s="130">
        <f t="shared" si="86"/>
        <v>-1.760416667</v>
      </c>
      <c r="EC27" s="130">
        <f t="shared" si="87"/>
        <v>-0.5335676101</v>
      </c>
      <c r="ED27" s="32">
        <f t="shared" si="88"/>
        <v>-1.834854891</v>
      </c>
      <c r="EE27" s="32">
        <f t="shared" si="89"/>
        <v>1.301287281</v>
      </c>
    </row>
    <row r="28">
      <c r="A28" s="108">
        <v>15.0</v>
      </c>
      <c r="B28" s="109" t="s">
        <v>327</v>
      </c>
      <c r="C28" s="109">
        <v>34.0</v>
      </c>
      <c r="D28" s="109">
        <v>14.0</v>
      </c>
      <c r="E28" s="109">
        <v>1.0</v>
      </c>
      <c r="F28" s="109">
        <v>92.0</v>
      </c>
      <c r="G28" s="109">
        <v>5.0</v>
      </c>
      <c r="H28" s="109">
        <v>14.0</v>
      </c>
      <c r="I28" s="109">
        <v>0.357</v>
      </c>
      <c r="J28" s="109">
        <v>0.0</v>
      </c>
      <c r="K28" s="109">
        <v>0.0</v>
      </c>
      <c r="L28" s="132"/>
      <c r="M28" s="109">
        <v>5.0</v>
      </c>
      <c r="N28" s="109">
        <v>14.0</v>
      </c>
      <c r="O28" s="109">
        <v>0.357</v>
      </c>
      <c r="P28" s="109">
        <v>0.357</v>
      </c>
      <c r="Q28" s="109">
        <v>8.0</v>
      </c>
      <c r="R28" s="109">
        <v>11.0</v>
      </c>
      <c r="S28" s="109">
        <v>0.727</v>
      </c>
      <c r="T28" s="109">
        <v>12.0</v>
      </c>
      <c r="U28" s="109">
        <v>15.0</v>
      </c>
      <c r="V28" s="109">
        <v>27.0</v>
      </c>
      <c r="W28" s="109">
        <v>10.0</v>
      </c>
      <c r="X28" s="109">
        <v>3.0</v>
      </c>
      <c r="Y28" s="109">
        <v>3.0</v>
      </c>
      <c r="Z28" s="109">
        <v>8.0</v>
      </c>
      <c r="AA28" s="109">
        <v>16.0</v>
      </c>
      <c r="AB28" s="109">
        <v>18.0</v>
      </c>
      <c r="AC28" s="110">
        <f t="shared" si="10"/>
        <v>18.84</v>
      </c>
      <c r="AD28" s="111">
        <f t="shared" si="11"/>
        <v>0.9554140127</v>
      </c>
      <c r="AE28" s="4">
        <f t="shared" si="12"/>
        <v>14.3310083</v>
      </c>
      <c r="AF28" s="110">
        <f t="shared" si="13"/>
        <v>191.2833333</v>
      </c>
      <c r="AG28" s="112">
        <f t="shared" si="14"/>
        <v>1.708208298</v>
      </c>
      <c r="AH28" s="113">
        <f t="shared" si="15"/>
        <v>7.492031871</v>
      </c>
      <c r="AI28" s="113">
        <f t="shared" si="16"/>
        <v>7.318985798</v>
      </c>
      <c r="AJ28" s="113">
        <f t="shared" si="17"/>
        <v>5.750631698</v>
      </c>
      <c r="AK28" s="113">
        <f t="shared" si="18"/>
        <v>0</v>
      </c>
      <c r="AL28" s="113">
        <f t="shared" si="19"/>
        <v>5.227846998</v>
      </c>
      <c r="AM28" s="113">
        <f t="shared" si="20"/>
        <v>4.182277599</v>
      </c>
      <c r="AN28" s="113">
        <f t="shared" ref="AN28:AP28" si="168">T28/$AF28*100</f>
        <v>6.273416398</v>
      </c>
      <c r="AO28" s="113">
        <f t="shared" si="168"/>
        <v>7.841770498</v>
      </c>
      <c r="AP28" s="113">
        <f t="shared" si="168"/>
        <v>14.1151869</v>
      </c>
      <c r="AQ28" s="113">
        <f t="shared" ref="AQ28:AR28" si="169">X28/$AF28*100</f>
        <v>1.5683541</v>
      </c>
      <c r="AR28" s="113">
        <f t="shared" si="169"/>
        <v>1.5683541</v>
      </c>
      <c r="AS28" s="113">
        <f t="shared" si="23"/>
        <v>8.364555197</v>
      </c>
      <c r="AT28" s="114">
        <f t="shared" si="24"/>
        <v>0.3186933846</v>
      </c>
      <c r="AU28" s="114">
        <f t="shared" si="25"/>
        <v>0.1643312102</v>
      </c>
      <c r="AV28" s="114">
        <f t="shared" si="26"/>
        <v>0.4340694006</v>
      </c>
      <c r="AW28" s="114">
        <f t="shared" si="27"/>
        <v>0.1726214372</v>
      </c>
      <c r="AX28" s="114">
        <f t="shared" si="28"/>
        <v>0.2324324324</v>
      </c>
      <c r="AY28" s="115">
        <f t="shared" si="29"/>
        <v>0.02798399768</v>
      </c>
      <c r="AZ28" s="116" t="str">
        <f t="shared" si="30"/>
        <v>C</v>
      </c>
      <c r="BA28" s="117">
        <f t="shared" si="31"/>
        <v>5</v>
      </c>
      <c r="BB28" s="118">
        <f t="shared" si="32"/>
        <v>4.690994762</v>
      </c>
      <c r="BC28" s="118">
        <f t="shared" si="33"/>
        <v>4.799799423</v>
      </c>
      <c r="BD28" s="118">
        <f t="shared" si="34"/>
        <v>4.799799423</v>
      </c>
      <c r="BE28" s="131">
        <f t="shared" si="92"/>
        <v>3.135936861</v>
      </c>
      <c r="BF28" s="118">
        <f t="shared" si="35"/>
        <v>4.663862562</v>
      </c>
      <c r="BG28" s="118">
        <f t="shared" si="36"/>
        <v>4.663862562</v>
      </c>
      <c r="BH28" s="131">
        <f t="shared" si="93"/>
        <v>3.00566289</v>
      </c>
      <c r="BI28" s="118">
        <f t="shared" si="37"/>
        <v>4.658199671</v>
      </c>
      <c r="BJ28" s="118">
        <f t="shared" si="38"/>
        <v>4.658199671</v>
      </c>
      <c r="BK28" s="131">
        <f t="shared" si="94"/>
        <v>3.000235906</v>
      </c>
      <c r="BL28" s="118">
        <f t="shared" si="39"/>
        <v>4.657963765</v>
      </c>
      <c r="BM28" s="118">
        <f t="shared" si="40"/>
        <v>4.657963765</v>
      </c>
      <c r="BN28" s="120">
        <f t="shared" si="41"/>
        <v>4.614419388</v>
      </c>
      <c r="BO28" s="118">
        <f t="shared" si="42"/>
        <v>4.398074533</v>
      </c>
      <c r="BP28" s="118">
        <f t="shared" si="43"/>
        <v>4.398074533</v>
      </c>
      <c r="BQ28" s="131">
        <f t="shared" si="95"/>
        <v>2.983558642</v>
      </c>
      <c r="BR28" s="118">
        <f t="shared" si="44"/>
        <v>4.414515891</v>
      </c>
      <c r="BS28" s="118">
        <f t="shared" si="45"/>
        <v>4.414515891</v>
      </c>
      <c r="BT28" s="131">
        <f t="shared" si="96"/>
        <v>2.997736612</v>
      </c>
      <c r="BU28" s="118">
        <f t="shared" si="46"/>
        <v>4.416779279</v>
      </c>
      <c r="BV28" s="118">
        <f t="shared" si="47"/>
        <v>4.416779279</v>
      </c>
      <c r="BW28" s="131">
        <f t="shared" si="97"/>
        <v>2.999688412</v>
      </c>
      <c r="BX28" s="118">
        <f t="shared" si="48"/>
        <v>4.417090867</v>
      </c>
      <c r="BY28" s="118">
        <f t="shared" si="49"/>
        <v>4.417090867</v>
      </c>
      <c r="BZ28" s="61" t="str">
        <f t="shared" si="50"/>
        <v>Anderson Varejão</v>
      </c>
      <c r="CA28" s="121">
        <f t="shared" si="51"/>
        <v>0.86</v>
      </c>
      <c r="CB28" s="122">
        <f t="shared" ref="CB28:CC28" si="170">(5-$BY28)/4*CB$3+($BY28-1)/4*CB$4</f>
        <v>-0.7479399977</v>
      </c>
      <c r="CC28" s="122">
        <f t="shared" si="170"/>
        <v>-0.329093599</v>
      </c>
      <c r="CD28" s="121">
        <f t="shared" ref="CD28:CL28" si="171">(5-$BM28)/4*CD$3+($BM28-1)/4*CD$4</f>
        <v>0.389</v>
      </c>
      <c r="CE28" s="121">
        <f t="shared" si="171"/>
        <v>0.9951788873</v>
      </c>
      <c r="CF28" s="121">
        <f t="shared" si="171"/>
        <v>-0.964</v>
      </c>
      <c r="CG28" s="121">
        <f t="shared" si="171"/>
        <v>0.2179399134</v>
      </c>
      <c r="CH28" s="121">
        <f t="shared" si="171"/>
        <v>0.1754419112</v>
      </c>
      <c r="CI28" s="121">
        <f t="shared" si="171"/>
        <v>0</v>
      </c>
      <c r="CJ28" s="121">
        <f t="shared" si="171"/>
        <v>1.03886877</v>
      </c>
      <c r="CK28" s="121">
        <f t="shared" si="171"/>
        <v>0.7563576526</v>
      </c>
      <c r="CL28" s="121">
        <f t="shared" si="171"/>
        <v>-0.367</v>
      </c>
      <c r="CM28" s="118">
        <f t="shared" si="54"/>
        <v>-0.9235108933</v>
      </c>
      <c r="CN28" s="118">
        <f t="shared" si="55"/>
        <v>1.170927354</v>
      </c>
      <c r="CO28" s="118">
        <f t="shared" si="56"/>
        <v>2.743003029</v>
      </c>
      <c r="CP28" s="118">
        <f t="shared" si="57"/>
        <v>-0.2542410376</v>
      </c>
      <c r="CQ28" s="123">
        <f t="shared" si="58"/>
        <v>1.965505033</v>
      </c>
      <c r="CR28" s="124">
        <f t="shared" si="59"/>
        <v>4.701683485</v>
      </c>
      <c r="CS28" s="114">
        <f t="shared" si="60"/>
        <v>0.02325581395</v>
      </c>
      <c r="CT28" s="118">
        <f t="shared" si="61"/>
        <v>0.1093414764</v>
      </c>
      <c r="CU28" s="125" t="str">
        <f t="shared" si="62"/>
        <v>Anderson Varejão</v>
      </c>
      <c r="CV28" s="121">
        <f t="shared" si="63"/>
        <v>0.605</v>
      </c>
      <c r="CW28" s="122">
        <f t="shared" ref="CW28:CX28" si="172">(5-$BY28)/4*CB$7+($BY28-1)/4*CB$8</f>
        <v>-0.4513067258</v>
      </c>
      <c r="CX28" s="122">
        <f t="shared" si="172"/>
        <v>-0.1985749593</v>
      </c>
      <c r="CY28" s="121">
        <f t="shared" ref="CY28:DG28" si="173">(5-$BM28)/4*CD$7+($BM28-1)/4*CD$8</f>
        <v>0.477</v>
      </c>
      <c r="CZ28" s="121">
        <f t="shared" si="173"/>
        <v>0.476</v>
      </c>
      <c r="DA28" s="121">
        <f t="shared" si="173"/>
        <v>-0.8560907552</v>
      </c>
      <c r="DB28" s="121">
        <f t="shared" si="173"/>
        <v>0.4377336668</v>
      </c>
      <c r="DC28" s="121">
        <f t="shared" si="173"/>
        <v>0.08461555237</v>
      </c>
      <c r="DD28" s="121">
        <f t="shared" si="173"/>
        <v>0</v>
      </c>
      <c r="DE28" s="121">
        <f t="shared" si="173"/>
        <v>0.2839954401</v>
      </c>
      <c r="DF28" s="121">
        <f t="shared" si="173"/>
        <v>0.1506996889</v>
      </c>
      <c r="DG28" s="121">
        <f t="shared" si="173"/>
        <v>-0.439</v>
      </c>
      <c r="DH28" s="118">
        <f t="shared" si="66"/>
        <v>0.08764031004</v>
      </c>
      <c r="DI28" s="118">
        <f t="shared" si="67"/>
        <v>-1.091954017</v>
      </c>
      <c r="DJ28" s="118">
        <f t="shared" si="68"/>
        <v>3.409621306</v>
      </c>
      <c r="DK28" s="118">
        <f t="shared" si="69"/>
        <v>-2.990283844</v>
      </c>
      <c r="DL28" s="123">
        <f t="shared" si="70"/>
        <v>0.6093490729</v>
      </c>
      <c r="DM28" s="124">
        <f t="shared" si="71"/>
        <v>0.0243728277</v>
      </c>
      <c r="DN28" s="114">
        <f t="shared" si="72"/>
        <v>0.02325581395</v>
      </c>
      <c r="DO28" s="118">
        <f t="shared" si="73"/>
        <v>0.0005668099464</v>
      </c>
      <c r="DP28" s="126" t="str">
        <f t="shared" si="74"/>
        <v>Anderson Varejão (13th)</v>
      </c>
      <c r="DQ28" s="127">
        <f t="shared" si="75"/>
        <v>4.657963765</v>
      </c>
      <c r="DR28" s="127">
        <f t="shared" si="76"/>
        <v>4.417090867</v>
      </c>
      <c r="DS28" s="128">
        <f t="shared" si="77"/>
        <v>92</v>
      </c>
      <c r="DT28" s="127">
        <f t="shared" si="78"/>
        <v>6.571428571</v>
      </c>
      <c r="DU28" s="127">
        <f t="shared" si="79"/>
        <v>-3.455657597</v>
      </c>
      <c r="DV28" s="127">
        <f t="shared" si="80"/>
        <v>-4.529322042</v>
      </c>
      <c r="DW28" s="127">
        <f t="shared" si="81"/>
        <v>1.073664444</v>
      </c>
      <c r="DX28" s="127">
        <f t="shared" si="82"/>
        <v>-0.08036413017</v>
      </c>
      <c r="DY28" s="129">
        <f t="shared" si="83"/>
        <v>-0.03385250226</v>
      </c>
      <c r="DZ28" s="130">
        <f t="shared" si="84"/>
        <v>5.111111111</v>
      </c>
      <c r="EA28" s="130">
        <f t="shared" si="85"/>
        <v>119.3333333</v>
      </c>
      <c r="EB28" s="130">
        <f t="shared" si="86"/>
        <v>-3.855555556</v>
      </c>
      <c r="EC28" s="130">
        <f t="shared" si="87"/>
        <v>-3.681467485</v>
      </c>
      <c r="ED28" s="32">
        <f t="shared" si="88"/>
        <v>-4.148867149</v>
      </c>
      <c r="EE28" s="32">
        <f t="shared" si="89"/>
        <v>0.4673996635</v>
      </c>
    </row>
    <row r="29">
      <c r="A29" s="108">
        <v>16.0</v>
      </c>
      <c r="B29" s="109" t="s">
        <v>328</v>
      </c>
      <c r="C29" s="109">
        <v>21.0</v>
      </c>
      <c r="D29" s="109">
        <v>10.0</v>
      </c>
      <c r="E29" s="109">
        <v>0.0</v>
      </c>
      <c r="F29" s="109">
        <v>85.0</v>
      </c>
      <c r="G29" s="109">
        <v>8.0</v>
      </c>
      <c r="H29" s="109">
        <v>16.0</v>
      </c>
      <c r="I29" s="109">
        <v>0.5</v>
      </c>
      <c r="J29" s="109">
        <v>0.0</v>
      </c>
      <c r="K29" s="109">
        <v>0.0</v>
      </c>
      <c r="L29" s="132"/>
      <c r="M29" s="109">
        <v>8.0</v>
      </c>
      <c r="N29" s="109">
        <v>16.0</v>
      </c>
      <c r="O29" s="109">
        <v>0.5</v>
      </c>
      <c r="P29" s="109">
        <v>0.5</v>
      </c>
      <c r="Q29" s="109">
        <v>3.0</v>
      </c>
      <c r="R29" s="109">
        <v>10.0</v>
      </c>
      <c r="S29" s="109">
        <v>0.3</v>
      </c>
      <c r="T29" s="109">
        <v>9.0</v>
      </c>
      <c r="U29" s="109">
        <v>14.0</v>
      </c>
      <c r="V29" s="109">
        <v>23.0</v>
      </c>
      <c r="W29" s="109">
        <v>0.0</v>
      </c>
      <c r="X29" s="109">
        <v>1.0</v>
      </c>
      <c r="Y29" s="109">
        <v>4.0</v>
      </c>
      <c r="Z29" s="109">
        <v>6.0</v>
      </c>
      <c r="AA29" s="109">
        <v>15.0</v>
      </c>
      <c r="AB29" s="109">
        <v>19.0</v>
      </c>
      <c r="AC29" s="110">
        <f t="shared" si="10"/>
        <v>20.4</v>
      </c>
      <c r="AD29" s="111">
        <f t="shared" si="11"/>
        <v>0.931372549</v>
      </c>
      <c r="AE29" s="4">
        <f t="shared" si="12"/>
        <v>15.02720644</v>
      </c>
      <c r="AF29" s="110">
        <f t="shared" si="13"/>
        <v>176.7291667</v>
      </c>
      <c r="AG29" s="112">
        <f t="shared" si="14"/>
        <v>1.359206437</v>
      </c>
      <c r="AH29" s="113">
        <f t="shared" si="15"/>
        <v>8.502957786</v>
      </c>
      <c r="AI29" s="113">
        <f t="shared" si="16"/>
        <v>9.053400919</v>
      </c>
      <c r="AJ29" s="113">
        <f t="shared" si="17"/>
        <v>5.658375575</v>
      </c>
      <c r="AK29" s="113">
        <f t="shared" si="18"/>
        <v>0</v>
      </c>
      <c r="AL29" s="113">
        <f t="shared" si="19"/>
        <v>0</v>
      </c>
      <c r="AM29" s="113">
        <f t="shared" si="20"/>
        <v>3.395025345</v>
      </c>
      <c r="AN29" s="113">
        <f t="shared" ref="AN29:AP29" si="174">T29/$AF29*100</f>
        <v>5.092538017</v>
      </c>
      <c r="AO29" s="113">
        <f t="shared" si="174"/>
        <v>7.921725805</v>
      </c>
      <c r="AP29" s="113">
        <f t="shared" si="174"/>
        <v>13.01426382</v>
      </c>
      <c r="AQ29" s="113">
        <f t="shared" ref="AQ29:AR29" si="175">X29/$AF29*100</f>
        <v>0.5658375575</v>
      </c>
      <c r="AR29" s="113">
        <f t="shared" si="175"/>
        <v>2.26335023</v>
      </c>
      <c r="AS29" s="113">
        <f t="shared" si="23"/>
        <v>8.487563362</v>
      </c>
      <c r="AT29" s="114">
        <f t="shared" si="24"/>
        <v>0.2938366892</v>
      </c>
      <c r="AU29" s="114">
        <f t="shared" si="25"/>
        <v>0.05928812289</v>
      </c>
      <c r="AV29" s="114">
        <f t="shared" si="26"/>
        <v>0.4404527742</v>
      </c>
      <c r="AW29" s="114">
        <f t="shared" si="27"/>
        <v>0</v>
      </c>
      <c r="AX29" s="114">
        <f t="shared" si="28"/>
        <v>0.3354319025</v>
      </c>
      <c r="AY29" s="115">
        <f t="shared" si="29"/>
        <v>0.02410034465</v>
      </c>
      <c r="AZ29" s="116" t="str">
        <f t="shared" si="30"/>
        <v>C</v>
      </c>
      <c r="BA29" s="117">
        <f t="shared" si="31"/>
        <v>5</v>
      </c>
      <c r="BB29" s="118">
        <f t="shared" si="32"/>
        <v>5.525123275</v>
      </c>
      <c r="BC29" s="118">
        <f t="shared" si="33"/>
        <v>5.330633173</v>
      </c>
      <c r="BD29" s="118">
        <f t="shared" si="34"/>
        <v>5</v>
      </c>
      <c r="BE29" s="131">
        <f t="shared" si="92"/>
        <v>3.135936861</v>
      </c>
      <c r="BF29" s="118">
        <f t="shared" si="35"/>
        <v>5.194696312</v>
      </c>
      <c r="BG29" s="118">
        <f t="shared" si="36"/>
        <v>5</v>
      </c>
      <c r="BH29" s="131">
        <f t="shared" si="93"/>
        <v>3.00566289</v>
      </c>
      <c r="BI29" s="118">
        <f t="shared" si="37"/>
        <v>5.189033422</v>
      </c>
      <c r="BJ29" s="118">
        <f t="shared" si="38"/>
        <v>5</v>
      </c>
      <c r="BK29" s="131">
        <f t="shared" si="94"/>
        <v>3.000235906</v>
      </c>
      <c r="BL29" s="118">
        <f t="shared" si="39"/>
        <v>5.188797516</v>
      </c>
      <c r="BM29" s="118">
        <f t="shared" si="40"/>
        <v>5</v>
      </c>
      <c r="BN29" s="120">
        <f t="shared" si="41"/>
        <v>5.794084245</v>
      </c>
      <c r="BO29" s="118">
        <f t="shared" si="42"/>
        <v>5.129608599</v>
      </c>
      <c r="BP29" s="118">
        <f t="shared" si="43"/>
        <v>5</v>
      </c>
      <c r="BQ29" s="131">
        <f t="shared" si="95"/>
        <v>2.983558642</v>
      </c>
      <c r="BR29" s="118">
        <f t="shared" si="44"/>
        <v>5.146049957</v>
      </c>
      <c r="BS29" s="118">
        <f t="shared" si="45"/>
        <v>5</v>
      </c>
      <c r="BT29" s="131">
        <f t="shared" si="96"/>
        <v>2.997736612</v>
      </c>
      <c r="BU29" s="118">
        <f t="shared" si="46"/>
        <v>5.148313345</v>
      </c>
      <c r="BV29" s="118">
        <f t="shared" si="47"/>
        <v>5</v>
      </c>
      <c r="BW29" s="131">
        <f t="shared" si="97"/>
        <v>2.999688412</v>
      </c>
      <c r="BX29" s="118">
        <f t="shared" si="48"/>
        <v>5.148624933</v>
      </c>
      <c r="BY29" s="118">
        <f t="shared" si="49"/>
        <v>5</v>
      </c>
      <c r="BZ29" s="61" t="str">
        <f t="shared" si="50"/>
        <v>Damian Jones</v>
      </c>
      <c r="CA29" s="121">
        <f t="shared" si="51"/>
        <v>0.86</v>
      </c>
      <c r="CB29" s="122">
        <f t="shared" ref="CB29:CC29" si="176">(5-$BY29)/4*CB$3+($BY29-1)/4*CB$4</f>
        <v>-0.78</v>
      </c>
      <c r="CC29" s="122">
        <f t="shared" si="176"/>
        <v>-0.3432</v>
      </c>
      <c r="CD29" s="121">
        <f t="shared" ref="CD29:CL29" si="177">(5-$BM29)/4*CD$3+($BM29-1)/4*CD$4</f>
        <v>0.389</v>
      </c>
      <c r="CE29" s="121">
        <f t="shared" si="177"/>
        <v>1.034</v>
      </c>
      <c r="CF29" s="121">
        <f t="shared" si="177"/>
        <v>-0.964</v>
      </c>
      <c r="CG29" s="121">
        <f t="shared" si="177"/>
        <v>0.181</v>
      </c>
      <c r="CH29" s="121">
        <f t="shared" si="177"/>
        <v>0.181</v>
      </c>
      <c r="CI29" s="121">
        <f t="shared" si="177"/>
        <v>0</v>
      </c>
      <c r="CJ29" s="121">
        <f t="shared" si="177"/>
        <v>1.008</v>
      </c>
      <c r="CK29" s="121">
        <f t="shared" si="177"/>
        <v>0.703</v>
      </c>
      <c r="CL29" s="121">
        <f t="shared" si="177"/>
        <v>-0.367</v>
      </c>
      <c r="CM29" s="118">
        <f t="shared" si="54"/>
        <v>-1.691063519</v>
      </c>
      <c r="CN29" s="118">
        <f t="shared" si="55"/>
        <v>-3.272804432</v>
      </c>
      <c r="CO29" s="118">
        <f t="shared" si="56"/>
        <v>2.355581752</v>
      </c>
      <c r="CP29" s="118">
        <f t="shared" si="57"/>
        <v>-0.9534362843</v>
      </c>
      <c r="CQ29" s="123">
        <f t="shared" si="58"/>
        <v>2.774</v>
      </c>
      <c r="CR29" s="124">
        <f t="shared" si="59"/>
        <v>-0.7877224836</v>
      </c>
      <c r="CS29" s="114">
        <f t="shared" si="60"/>
        <v>0.02148634985</v>
      </c>
      <c r="CT29" s="118">
        <f t="shared" si="61"/>
        <v>-0.01692528087</v>
      </c>
      <c r="CU29" s="125" t="str">
        <f t="shared" si="62"/>
        <v>Damian Jones</v>
      </c>
      <c r="CV29" s="121">
        <f t="shared" si="63"/>
        <v>0.605</v>
      </c>
      <c r="CW29" s="122">
        <f t="shared" ref="CW29:CX29" si="178">(5-$BY29)/4*CB$7+($BY29-1)/4*CB$8</f>
        <v>-0.472</v>
      </c>
      <c r="CX29" s="122">
        <f t="shared" si="178"/>
        <v>-0.20768</v>
      </c>
      <c r="CY29" s="121">
        <f t="shared" ref="CY29:DG29" si="179">(5-$BM29)/4*CD$7+($BM29-1)/4*CD$8</f>
        <v>0.477</v>
      </c>
      <c r="CZ29" s="121">
        <f t="shared" si="179"/>
        <v>0.476</v>
      </c>
      <c r="DA29" s="121">
        <f t="shared" si="179"/>
        <v>-0.882</v>
      </c>
      <c r="DB29" s="121">
        <f t="shared" si="179"/>
        <v>0.422</v>
      </c>
      <c r="DC29" s="121">
        <f t="shared" si="179"/>
        <v>0.103</v>
      </c>
      <c r="DD29" s="121">
        <f t="shared" si="179"/>
        <v>0</v>
      </c>
      <c r="DE29" s="121">
        <f t="shared" si="179"/>
        <v>0.294</v>
      </c>
      <c r="DF29" s="121">
        <f t="shared" si="179"/>
        <v>0.097</v>
      </c>
      <c r="DG29" s="121">
        <f t="shared" si="179"/>
        <v>-0.439</v>
      </c>
      <c r="DH29" s="118">
        <f t="shared" si="66"/>
        <v>-0.3040472129</v>
      </c>
      <c r="DI29" s="118">
        <f t="shared" si="67"/>
        <v>-2.994412354</v>
      </c>
      <c r="DJ29" s="118">
        <f t="shared" si="68"/>
        <v>2.964988801</v>
      </c>
      <c r="DK29" s="118">
        <f t="shared" si="69"/>
        <v>-3.340139102</v>
      </c>
      <c r="DL29" s="123">
        <f t="shared" si="70"/>
        <v>0.86</v>
      </c>
      <c r="DM29" s="124">
        <f t="shared" si="71"/>
        <v>-2.813609868</v>
      </c>
      <c r="DN29" s="114">
        <f t="shared" si="72"/>
        <v>0.02148634985</v>
      </c>
      <c r="DO29" s="118">
        <f t="shared" si="73"/>
        <v>-0.06045420595</v>
      </c>
      <c r="DP29" s="126" t="str">
        <f t="shared" si="74"/>
        <v>Damian Jones (R)</v>
      </c>
      <c r="DQ29" s="127">
        <f t="shared" si="75"/>
        <v>5</v>
      </c>
      <c r="DR29" s="127">
        <f t="shared" si="76"/>
        <v>5</v>
      </c>
      <c r="DS29" s="128">
        <f t="shared" si="77"/>
        <v>85</v>
      </c>
      <c r="DT29" s="127">
        <f t="shared" si="78"/>
        <v>8.5</v>
      </c>
      <c r="DU29" s="127">
        <f t="shared" si="79"/>
        <v>-8.945063566</v>
      </c>
      <c r="DV29" s="127">
        <f t="shared" si="80"/>
        <v>-7.367304737</v>
      </c>
      <c r="DW29" s="127">
        <f t="shared" si="81"/>
        <v>-1.577758829</v>
      </c>
      <c r="DX29" s="127">
        <f t="shared" si="82"/>
        <v>-0.1921967652</v>
      </c>
      <c r="DY29" s="129">
        <f t="shared" si="83"/>
        <v>-0.1492240655</v>
      </c>
      <c r="DZ29" s="130">
        <f t="shared" si="84"/>
        <v>6.071428571</v>
      </c>
      <c r="EA29" s="130">
        <f t="shared" si="85"/>
        <v>121.6666667</v>
      </c>
      <c r="EB29" s="130">
        <f t="shared" si="86"/>
        <v>-3.6875</v>
      </c>
      <c r="EC29" s="130">
        <f t="shared" si="87"/>
        <v>-5.849885015</v>
      </c>
      <c r="ED29" s="32">
        <f t="shared" si="88"/>
        <v>-5.200968077</v>
      </c>
      <c r="EE29" s="32">
        <f t="shared" si="89"/>
        <v>-0.6489169377</v>
      </c>
    </row>
    <row r="30">
      <c r="A30" s="108">
        <v>17.0</v>
      </c>
      <c r="B30" s="109" t="s">
        <v>329</v>
      </c>
      <c r="C30" s="109">
        <v>24.0</v>
      </c>
      <c r="D30" s="109">
        <v>7.0</v>
      </c>
      <c r="E30" s="109">
        <v>0.0</v>
      </c>
      <c r="F30" s="109">
        <v>46.0</v>
      </c>
      <c r="G30" s="109">
        <v>5.0</v>
      </c>
      <c r="H30" s="109">
        <v>14.0</v>
      </c>
      <c r="I30" s="109">
        <v>0.357</v>
      </c>
      <c r="J30" s="109">
        <v>0.0</v>
      </c>
      <c r="K30" s="109">
        <v>3.0</v>
      </c>
      <c r="L30" s="109">
        <v>0.0</v>
      </c>
      <c r="M30" s="109">
        <v>5.0</v>
      </c>
      <c r="N30" s="109">
        <v>11.0</v>
      </c>
      <c r="O30" s="109">
        <v>0.455</v>
      </c>
      <c r="P30" s="109">
        <v>0.357</v>
      </c>
      <c r="Q30" s="109">
        <v>2.0</v>
      </c>
      <c r="R30" s="109">
        <v>3.0</v>
      </c>
      <c r="S30" s="109">
        <v>0.667</v>
      </c>
      <c r="T30" s="109">
        <v>0.0</v>
      </c>
      <c r="U30" s="109">
        <v>4.0</v>
      </c>
      <c r="V30" s="109">
        <v>4.0</v>
      </c>
      <c r="W30" s="109">
        <v>5.0</v>
      </c>
      <c r="X30" s="109">
        <v>3.0</v>
      </c>
      <c r="Y30" s="109">
        <v>1.0</v>
      </c>
      <c r="Z30" s="109">
        <v>3.0</v>
      </c>
      <c r="AA30" s="109">
        <v>4.0</v>
      </c>
      <c r="AB30" s="109">
        <v>12.0</v>
      </c>
      <c r="AC30" s="110">
        <f t="shared" si="10"/>
        <v>15.32</v>
      </c>
      <c r="AD30" s="111">
        <f t="shared" si="11"/>
        <v>0.7832898172</v>
      </c>
      <c r="AE30" s="4">
        <f t="shared" si="12"/>
        <v>9.016509932</v>
      </c>
      <c r="AF30" s="110">
        <f t="shared" si="13"/>
        <v>95.64166667</v>
      </c>
      <c r="AG30" s="112">
        <f t="shared" si="14"/>
        <v>-1.247890068</v>
      </c>
      <c r="AH30" s="113">
        <f t="shared" si="15"/>
        <v>9.427386877</v>
      </c>
      <c r="AI30" s="113">
        <f t="shared" si="16"/>
        <v>14.6379716</v>
      </c>
      <c r="AJ30" s="113">
        <f t="shared" si="17"/>
        <v>3.136708199</v>
      </c>
      <c r="AK30" s="113">
        <f t="shared" si="18"/>
        <v>0</v>
      </c>
      <c r="AL30" s="113">
        <f t="shared" si="19"/>
        <v>5.227846998</v>
      </c>
      <c r="AM30" s="113">
        <f t="shared" si="20"/>
        <v>3.136708199</v>
      </c>
      <c r="AN30" s="113">
        <f t="shared" ref="AN30:AP30" si="180">T30/$AF30*100</f>
        <v>0</v>
      </c>
      <c r="AO30" s="113">
        <f t="shared" si="180"/>
        <v>4.182277599</v>
      </c>
      <c r="AP30" s="113">
        <f t="shared" si="180"/>
        <v>4.182277599</v>
      </c>
      <c r="AQ30" s="113">
        <f t="shared" ref="AQ30:AR30" si="181">X30/$AF30*100</f>
        <v>3.136708199</v>
      </c>
      <c r="AR30" s="113">
        <f t="shared" si="181"/>
        <v>1.0455694</v>
      </c>
      <c r="AS30" s="113">
        <f t="shared" si="23"/>
        <v>4.182277599</v>
      </c>
      <c r="AT30" s="114">
        <f t="shared" si="24"/>
        <v>0.0944276695</v>
      </c>
      <c r="AU30" s="114">
        <f t="shared" si="25"/>
        <v>0.3286624204</v>
      </c>
      <c r="AV30" s="114">
        <f t="shared" si="26"/>
        <v>0.2170347003</v>
      </c>
      <c r="AW30" s="114">
        <f t="shared" si="27"/>
        <v>0.1726214372</v>
      </c>
      <c r="AX30" s="114">
        <f t="shared" si="28"/>
        <v>0.154954955</v>
      </c>
      <c r="AY30" s="115">
        <f t="shared" si="29"/>
        <v>-0.04088605917</v>
      </c>
      <c r="AZ30" s="116" t="str">
        <f t="shared" si="30"/>
        <v>PG</v>
      </c>
      <c r="BA30" s="117">
        <f t="shared" si="31"/>
        <v>1</v>
      </c>
      <c r="BB30" s="118">
        <f t="shared" si="32"/>
        <v>1.994159798</v>
      </c>
      <c r="BC30" s="118">
        <f t="shared" si="33"/>
        <v>1.476368237</v>
      </c>
      <c r="BD30" s="118">
        <f t="shared" si="34"/>
        <v>1.476368237</v>
      </c>
      <c r="BE30" s="131">
        <f t="shared" si="92"/>
        <v>3.135936861</v>
      </c>
      <c r="BF30" s="118">
        <f t="shared" si="35"/>
        <v>1.340431375</v>
      </c>
      <c r="BG30" s="118">
        <f t="shared" si="36"/>
        <v>1.340431375</v>
      </c>
      <c r="BH30" s="131">
        <f t="shared" si="93"/>
        <v>3.00566289</v>
      </c>
      <c r="BI30" s="118">
        <f t="shared" si="37"/>
        <v>1.334768485</v>
      </c>
      <c r="BJ30" s="118">
        <f t="shared" si="38"/>
        <v>1.334768485</v>
      </c>
      <c r="BK30" s="131">
        <f t="shared" si="94"/>
        <v>3.000235906</v>
      </c>
      <c r="BL30" s="118">
        <f t="shared" si="39"/>
        <v>1.334532579</v>
      </c>
      <c r="BM30" s="118">
        <f t="shared" si="40"/>
        <v>1.334532579</v>
      </c>
      <c r="BN30" s="120">
        <f t="shared" si="41"/>
        <v>5.202852041</v>
      </c>
      <c r="BO30" s="118">
        <f t="shared" si="42"/>
        <v>4.576366603</v>
      </c>
      <c r="BP30" s="118">
        <f t="shared" si="43"/>
        <v>4.576366603</v>
      </c>
      <c r="BQ30" s="131">
        <f t="shared" si="95"/>
        <v>2.983558642</v>
      </c>
      <c r="BR30" s="118">
        <f t="shared" si="44"/>
        <v>4.592807961</v>
      </c>
      <c r="BS30" s="118">
        <f t="shared" si="45"/>
        <v>4.592807961</v>
      </c>
      <c r="BT30" s="131">
        <f t="shared" si="96"/>
        <v>2.997736612</v>
      </c>
      <c r="BU30" s="118">
        <f t="shared" si="46"/>
        <v>4.595071349</v>
      </c>
      <c r="BV30" s="118">
        <f t="shared" si="47"/>
        <v>4.595071349</v>
      </c>
      <c r="BW30" s="131">
        <f t="shared" si="97"/>
        <v>2.999688412</v>
      </c>
      <c r="BX30" s="118">
        <f t="shared" si="48"/>
        <v>4.595382937</v>
      </c>
      <c r="BY30" s="118">
        <f t="shared" si="49"/>
        <v>4.595382937</v>
      </c>
      <c r="BZ30" s="61" t="str">
        <f t="shared" si="50"/>
        <v>Briante Weber</v>
      </c>
      <c r="CA30" s="121">
        <f t="shared" si="51"/>
        <v>0.86</v>
      </c>
      <c r="CB30" s="122">
        <f t="shared" ref="CB30:CC30" si="182">(5-$BY30)/4*CB$3+($BY30-1)/4*CB$4</f>
        <v>-0.7577460615</v>
      </c>
      <c r="CC30" s="122">
        <f t="shared" si="182"/>
        <v>-0.3334082671</v>
      </c>
      <c r="CD30" s="121">
        <f t="shared" ref="CD30:CL30" si="183">(5-$BM30)/4*CD$3+($BM30-1)/4*CD$4</f>
        <v>0.389</v>
      </c>
      <c r="CE30" s="121">
        <f t="shared" si="183"/>
        <v>0.6179694477</v>
      </c>
      <c r="CF30" s="121">
        <f t="shared" si="183"/>
        <v>-0.964</v>
      </c>
      <c r="CG30" s="121">
        <f t="shared" si="183"/>
        <v>0.5768704815</v>
      </c>
      <c r="CH30" s="121">
        <f t="shared" si="183"/>
        <v>0.1214361544</v>
      </c>
      <c r="CI30" s="121">
        <f t="shared" si="183"/>
        <v>0</v>
      </c>
      <c r="CJ30" s="121">
        <f t="shared" si="183"/>
        <v>1.338808435</v>
      </c>
      <c r="CK30" s="121">
        <f t="shared" si="183"/>
        <v>1.274812918</v>
      </c>
      <c r="CL30" s="121">
        <f t="shared" si="183"/>
        <v>-0.367</v>
      </c>
      <c r="CM30" s="118">
        <f t="shared" si="54"/>
        <v>-4.030117056</v>
      </c>
      <c r="CN30" s="118">
        <f t="shared" si="55"/>
        <v>0.2068630183</v>
      </c>
      <c r="CO30" s="118">
        <f t="shared" si="56"/>
        <v>0.5078797082</v>
      </c>
      <c r="CP30" s="118">
        <f t="shared" si="57"/>
        <v>3.997460893</v>
      </c>
      <c r="CQ30" s="123">
        <f t="shared" si="58"/>
        <v>1.531619958</v>
      </c>
      <c r="CR30" s="124">
        <f t="shared" si="59"/>
        <v>2.213706521</v>
      </c>
      <c r="CS30" s="114">
        <f t="shared" si="60"/>
        <v>0.01162790698</v>
      </c>
      <c r="CT30" s="118">
        <f t="shared" si="61"/>
        <v>0.0257407735</v>
      </c>
      <c r="CU30" s="125" t="str">
        <f t="shared" si="62"/>
        <v>Briante Weber</v>
      </c>
      <c r="CV30" s="121">
        <f t="shared" si="63"/>
        <v>0.605</v>
      </c>
      <c r="CW30" s="122">
        <f t="shared" ref="CW30:CX30" si="184">(5-$BY30)/4*CB$7+($BY30-1)/4*CB$8</f>
        <v>-0.4576360943</v>
      </c>
      <c r="CX30" s="122">
        <f t="shared" si="184"/>
        <v>-0.2013598815</v>
      </c>
      <c r="CY30" s="121">
        <f t="shared" ref="CY30:DG30" si="185">(5-$BM30)/4*CD$7+($BM30-1)/4*CD$8</f>
        <v>0.477</v>
      </c>
      <c r="CZ30" s="121">
        <f t="shared" si="185"/>
        <v>0.476</v>
      </c>
      <c r="DA30" s="121">
        <f t="shared" si="185"/>
        <v>-0.6043408428</v>
      </c>
      <c r="DB30" s="121">
        <f t="shared" si="185"/>
        <v>0.5906115014</v>
      </c>
      <c r="DC30" s="121">
        <f t="shared" si="185"/>
        <v>-0.0940188739</v>
      </c>
      <c r="DD30" s="121">
        <f t="shared" si="185"/>
        <v>0</v>
      </c>
      <c r="DE30" s="121">
        <f t="shared" si="185"/>
        <v>0.1867850779</v>
      </c>
      <c r="DF30" s="121">
        <f t="shared" si="185"/>
        <v>0.6724783852</v>
      </c>
      <c r="DG30" s="121">
        <f t="shared" si="185"/>
        <v>-0.439</v>
      </c>
      <c r="DH30" s="118">
        <f t="shared" si="66"/>
        <v>-1.626902279</v>
      </c>
      <c r="DI30" s="118">
        <f t="shared" si="67"/>
        <v>0.5928142945</v>
      </c>
      <c r="DJ30" s="118">
        <f t="shared" si="68"/>
        <v>-0.3932130302</v>
      </c>
      <c r="DK30" s="118">
        <f t="shared" si="69"/>
        <v>-0.547006759</v>
      </c>
      <c r="DL30" s="123">
        <f t="shared" si="70"/>
        <v>-0.7279671779</v>
      </c>
      <c r="DM30" s="124">
        <f t="shared" si="71"/>
        <v>-2.702274952</v>
      </c>
      <c r="DN30" s="114">
        <f t="shared" si="72"/>
        <v>0.01162790698</v>
      </c>
      <c r="DO30" s="118">
        <f t="shared" si="73"/>
        <v>-0.03142180177</v>
      </c>
      <c r="DP30" s="126" t="str">
        <f t="shared" si="74"/>
        <v>Briante Weber (2nd)</v>
      </c>
      <c r="DQ30" s="127">
        <f t="shared" si="75"/>
        <v>1.334532579</v>
      </c>
      <c r="DR30" s="127">
        <f t="shared" si="76"/>
        <v>4.595382937</v>
      </c>
      <c r="DS30" s="128">
        <f t="shared" si="77"/>
        <v>46</v>
      </c>
      <c r="DT30" s="127">
        <f t="shared" si="78"/>
        <v>6.571428571</v>
      </c>
      <c r="DU30" s="127">
        <f t="shared" si="79"/>
        <v>-5.943634561</v>
      </c>
      <c r="DV30" s="127">
        <f t="shared" si="80"/>
        <v>-7.255969821</v>
      </c>
      <c r="DW30" s="127">
        <f t="shared" si="81"/>
        <v>1.31233526</v>
      </c>
      <c r="DX30" s="127">
        <f t="shared" si="82"/>
        <v>-0.06911202978</v>
      </c>
      <c r="DY30" s="129">
        <f t="shared" si="83"/>
        <v>-0.04585621583</v>
      </c>
      <c r="DZ30" s="130">
        <f t="shared" si="84"/>
        <v>4.181818182</v>
      </c>
      <c r="EA30" s="130">
        <f t="shared" si="85"/>
        <v>134.6666667</v>
      </c>
      <c r="EB30" s="130">
        <f t="shared" si="86"/>
        <v>-4.018181818</v>
      </c>
      <c r="EC30" s="130">
        <f t="shared" si="87"/>
        <v>-4.508426243</v>
      </c>
      <c r="ED30" s="32">
        <f t="shared" si="88"/>
        <v>-4.842563265</v>
      </c>
      <c r="EE30" s="32">
        <f t="shared" si="89"/>
        <v>0.334137022</v>
      </c>
    </row>
    <row r="31">
      <c r="A31" s="108"/>
      <c r="B31" s="109"/>
      <c r="C31" s="109"/>
      <c r="D31" s="109"/>
      <c r="E31" s="109"/>
      <c r="F31" s="109"/>
      <c r="G31" s="109"/>
      <c r="H31" s="109"/>
      <c r="I31" s="109"/>
      <c r="J31" s="109"/>
      <c r="K31" s="109"/>
      <c r="L31" s="132"/>
      <c r="M31" s="109"/>
      <c r="N31" s="109"/>
      <c r="O31" s="109"/>
      <c r="P31" s="109"/>
      <c r="Q31" s="109"/>
      <c r="R31" s="109"/>
      <c r="S31" s="109"/>
      <c r="T31" s="109"/>
      <c r="U31" s="109"/>
      <c r="V31" s="109"/>
      <c r="W31" s="109"/>
      <c r="X31" s="109"/>
      <c r="Y31" s="109"/>
      <c r="Z31" s="109"/>
      <c r="AA31" s="109"/>
      <c r="AB31" s="109"/>
      <c r="AC31" s="110"/>
      <c r="AD31" s="111"/>
      <c r="AE31" s="4"/>
      <c r="AF31" s="110"/>
      <c r="AG31" s="112"/>
      <c r="AH31" s="113"/>
      <c r="AI31" s="113"/>
      <c r="AJ31" s="113"/>
      <c r="AK31" s="113"/>
      <c r="AL31" s="113"/>
      <c r="AM31" s="113"/>
      <c r="AN31" s="113"/>
      <c r="AO31" s="113"/>
      <c r="AP31" s="113"/>
      <c r="AQ31" s="113"/>
      <c r="AR31" s="113"/>
      <c r="AS31" s="113"/>
      <c r="AT31" s="114"/>
      <c r="AU31" s="114"/>
      <c r="AV31" s="114"/>
      <c r="AW31" s="114"/>
      <c r="AX31" s="114"/>
      <c r="AY31" s="115"/>
      <c r="AZ31" s="116"/>
      <c r="BA31" s="117"/>
      <c r="BB31" s="118"/>
      <c r="BC31" s="118"/>
      <c r="BD31" s="118"/>
      <c r="BE31" s="131"/>
      <c r="BF31" s="118"/>
      <c r="BG31" s="118"/>
      <c r="BH31" s="131"/>
      <c r="BI31" s="118"/>
      <c r="BJ31" s="118"/>
      <c r="BK31" s="131"/>
      <c r="BL31" s="118"/>
      <c r="BM31" s="118"/>
      <c r="BN31" s="120"/>
      <c r="BO31" s="118"/>
      <c r="BP31" s="118"/>
      <c r="BQ31" s="131"/>
      <c r="BR31" s="118"/>
      <c r="BS31" s="118"/>
      <c r="BT31" s="131"/>
      <c r="BU31" s="118"/>
      <c r="BV31" s="118"/>
      <c r="BW31" s="131"/>
      <c r="BX31" s="118"/>
      <c r="BY31" s="118"/>
      <c r="CA31" s="121"/>
      <c r="CB31" s="122"/>
      <c r="CC31" s="122"/>
      <c r="CD31" s="121"/>
      <c r="CE31" s="121"/>
      <c r="CF31" s="121"/>
      <c r="CG31" s="121"/>
      <c r="CH31" s="121"/>
      <c r="CI31" s="121"/>
      <c r="CJ31" s="121"/>
      <c r="CK31" s="121"/>
      <c r="CL31" s="121"/>
      <c r="CM31" s="118"/>
      <c r="CN31" s="118"/>
      <c r="CO31" s="118"/>
      <c r="CP31" s="118"/>
      <c r="CQ31" s="123"/>
      <c r="CR31" s="103"/>
      <c r="CS31" s="114"/>
      <c r="CT31" s="118"/>
      <c r="CU31" s="125"/>
      <c r="CV31" s="121"/>
      <c r="CW31" s="122"/>
      <c r="CX31" s="122"/>
      <c r="CY31" s="121"/>
      <c r="CZ31" s="121"/>
      <c r="DA31" s="121"/>
      <c r="DB31" s="121"/>
      <c r="DC31" s="121"/>
      <c r="DD31" s="121"/>
      <c r="DE31" s="121"/>
      <c r="DF31" s="121"/>
      <c r="DG31" s="121"/>
      <c r="DH31" s="118"/>
      <c r="DI31" s="118"/>
      <c r="DJ31" s="118"/>
      <c r="DK31" s="118"/>
      <c r="DL31" s="123"/>
      <c r="DM31" s="103"/>
      <c r="DN31" s="114"/>
      <c r="DO31" s="118"/>
      <c r="DP31" s="126"/>
      <c r="DQ31" s="127"/>
      <c r="DR31" s="127"/>
      <c r="DS31" s="128"/>
      <c r="DT31" s="127"/>
      <c r="DU31" s="127"/>
      <c r="DV31" s="127"/>
      <c r="DW31" s="127"/>
      <c r="DX31" s="127"/>
      <c r="DY31" s="129"/>
      <c r="DZ31" s="130"/>
      <c r="EA31" s="130"/>
      <c r="EB31" s="130"/>
      <c r="EC31" s="130"/>
      <c r="ED31" s="32"/>
      <c r="EE31" s="32"/>
    </row>
    <row r="32">
      <c r="A32" s="108"/>
      <c r="B32" s="109"/>
      <c r="C32" s="109"/>
      <c r="D32" s="109"/>
      <c r="E32" s="109"/>
      <c r="F32" s="109"/>
      <c r="G32" s="109"/>
      <c r="H32" s="109"/>
      <c r="I32" s="109"/>
      <c r="J32" s="109"/>
      <c r="K32" s="109"/>
      <c r="L32" s="132"/>
      <c r="M32" s="109"/>
      <c r="N32" s="109"/>
      <c r="O32" s="109"/>
      <c r="P32" s="109"/>
      <c r="Q32" s="109"/>
      <c r="R32" s="109"/>
      <c r="S32" s="109"/>
      <c r="T32" s="109"/>
      <c r="U32" s="109"/>
      <c r="V32" s="109"/>
      <c r="W32" s="109"/>
      <c r="X32" s="109"/>
      <c r="Y32" s="109"/>
      <c r="Z32" s="109"/>
      <c r="AA32" s="109"/>
      <c r="AB32" s="109"/>
      <c r="AC32" s="110"/>
      <c r="AD32" s="111"/>
      <c r="AE32" s="4"/>
      <c r="AF32" s="110"/>
      <c r="AG32" s="112"/>
      <c r="AH32" s="113"/>
      <c r="AI32" s="113"/>
      <c r="AJ32" s="113"/>
      <c r="AK32" s="113"/>
      <c r="AL32" s="113"/>
      <c r="AM32" s="113"/>
      <c r="AN32" s="113"/>
      <c r="AO32" s="113"/>
      <c r="AP32" s="113"/>
      <c r="AQ32" s="113"/>
      <c r="AR32" s="113"/>
      <c r="AS32" s="113"/>
      <c r="AT32" s="114"/>
      <c r="AU32" s="114"/>
      <c r="AV32" s="114"/>
      <c r="AW32" s="114"/>
      <c r="AX32" s="114"/>
      <c r="AY32" s="115"/>
      <c r="AZ32" s="116"/>
      <c r="BA32" s="117"/>
      <c r="BB32" s="118"/>
      <c r="BC32" s="118"/>
      <c r="BD32" s="118"/>
      <c r="BE32" s="131"/>
      <c r="BF32" s="118"/>
      <c r="BG32" s="118"/>
      <c r="BH32" s="131"/>
      <c r="BI32" s="118"/>
      <c r="BJ32" s="118"/>
      <c r="BK32" s="131"/>
      <c r="BL32" s="118"/>
      <c r="BM32" s="118"/>
      <c r="BN32" s="120"/>
      <c r="BO32" s="118"/>
      <c r="BP32" s="118"/>
      <c r="BQ32" s="131"/>
      <c r="BR32" s="118"/>
      <c r="BS32" s="118"/>
      <c r="BT32" s="131"/>
      <c r="BU32" s="118"/>
      <c r="BV32" s="118"/>
      <c r="BW32" s="131"/>
      <c r="BX32" s="118"/>
      <c r="BY32" s="118"/>
      <c r="CA32" s="121"/>
      <c r="CB32" s="122"/>
      <c r="CC32" s="122"/>
      <c r="CD32" s="121"/>
      <c r="CE32" s="121"/>
      <c r="CF32" s="121"/>
      <c r="CG32" s="121"/>
      <c r="CH32" s="121"/>
      <c r="CI32" s="121"/>
      <c r="CJ32" s="121"/>
      <c r="CK32" s="121"/>
      <c r="CL32" s="121"/>
      <c r="CM32" s="118"/>
      <c r="CN32" s="118"/>
      <c r="CO32" s="118"/>
      <c r="CP32" s="118"/>
      <c r="CQ32" s="123"/>
      <c r="CR32" s="103"/>
      <c r="CS32" s="114"/>
      <c r="CT32" s="118"/>
      <c r="CU32" s="125"/>
      <c r="CV32" s="121"/>
      <c r="CW32" s="122"/>
      <c r="CX32" s="122"/>
      <c r="CY32" s="121"/>
      <c r="CZ32" s="121"/>
      <c r="DA32" s="121"/>
      <c r="DB32" s="121"/>
      <c r="DC32" s="121"/>
      <c r="DD32" s="121"/>
      <c r="DE32" s="121"/>
      <c r="DF32" s="121"/>
      <c r="DG32" s="121"/>
      <c r="DH32" s="118"/>
      <c r="DI32" s="118"/>
      <c r="DJ32" s="118"/>
      <c r="DK32" s="118"/>
      <c r="DL32" s="123"/>
      <c r="DM32" s="103"/>
      <c r="DN32" s="114"/>
      <c r="DO32" s="118"/>
      <c r="DP32" s="126"/>
      <c r="DQ32" s="127"/>
      <c r="DR32" s="127"/>
      <c r="DS32" s="128"/>
      <c r="DT32" s="127"/>
      <c r="DU32" s="127"/>
      <c r="DV32" s="127"/>
      <c r="DW32" s="127"/>
      <c r="DX32" s="127"/>
      <c r="DY32" s="129"/>
      <c r="DZ32" s="130"/>
      <c r="EA32" s="130"/>
      <c r="EB32" s="130"/>
      <c r="EC32" s="130"/>
      <c r="ED32" s="32"/>
      <c r="EE32" s="32"/>
    </row>
    <row r="33">
      <c r="A33" s="108"/>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10"/>
      <c r="AD33" s="111"/>
      <c r="AE33" s="4"/>
      <c r="AF33" s="110"/>
      <c r="AG33" s="112"/>
      <c r="AH33" s="113"/>
      <c r="AI33" s="113"/>
      <c r="AJ33" s="113"/>
      <c r="AK33" s="113"/>
      <c r="AL33" s="113"/>
      <c r="AM33" s="113"/>
      <c r="AN33" s="113"/>
      <c r="AO33" s="113"/>
      <c r="AP33" s="113"/>
      <c r="AQ33" s="113"/>
      <c r="AR33" s="113"/>
      <c r="AS33" s="113"/>
      <c r="AT33" s="114"/>
      <c r="AU33" s="114"/>
      <c r="AV33" s="114"/>
      <c r="AW33" s="114"/>
      <c r="AX33" s="114"/>
      <c r="AY33" s="115"/>
      <c r="AZ33" s="116"/>
      <c r="BA33" s="117"/>
      <c r="BB33" s="118"/>
      <c r="BC33" s="118"/>
      <c r="BD33" s="118"/>
      <c r="BE33" s="131"/>
      <c r="BF33" s="118"/>
      <c r="BG33" s="118"/>
      <c r="BH33" s="131"/>
      <c r="BI33" s="118"/>
      <c r="BJ33" s="118"/>
      <c r="BK33" s="131"/>
      <c r="BL33" s="118"/>
      <c r="BM33" s="118"/>
      <c r="BN33" s="120"/>
      <c r="BO33" s="118"/>
      <c r="BP33" s="118"/>
      <c r="BQ33" s="131"/>
      <c r="BR33" s="118"/>
      <c r="BS33" s="118"/>
      <c r="BT33" s="131"/>
      <c r="BU33" s="118"/>
      <c r="BV33" s="118"/>
      <c r="BW33" s="131"/>
      <c r="BX33" s="118"/>
      <c r="BY33" s="118"/>
      <c r="CA33" s="121"/>
      <c r="CB33" s="122"/>
      <c r="CC33" s="122"/>
      <c r="CD33" s="121"/>
      <c r="CE33" s="121"/>
      <c r="CF33" s="121"/>
      <c r="CG33" s="121"/>
      <c r="CH33" s="121"/>
      <c r="CI33" s="121"/>
      <c r="CJ33" s="121"/>
      <c r="CK33" s="121"/>
      <c r="CL33" s="121"/>
      <c r="CM33" s="118"/>
      <c r="CN33" s="118"/>
      <c r="CO33" s="118"/>
      <c r="CP33" s="118"/>
      <c r="CQ33" s="123"/>
      <c r="CR33" s="103"/>
      <c r="CS33" s="114"/>
      <c r="CT33" s="118"/>
      <c r="CU33" s="125"/>
      <c r="CV33" s="121"/>
      <c r="CW33" s="122"/>
      <c r="CX33" s="122"/>
      <c r="CY33" s="121"/>
      <c r="CZ33" s="121"/>
      <c r="DA33" s="121"/>
      <c r="DB33" s="121"/>
      <c r="DC33" s="121"/>
      <c r="DD33" s="121"/>
      <c r="DE33" s="121"/>
      <c r="DF33" s="121"/>
      <c r="DG33" s="121"/>
      <c r="DH33" s="118"/>
      <c r="DI33" s="118"/>
      <c r="DJ33" s="118"/>
      <c r="DK33" s="118"/>
      <c r="DL33" s="123"/>
      <c r="DM33" s="103"/>
      <c r="DN33" s="114"/>
      <c r="DO33" s="118"/>
      <c r="DP33" s="126"/>
      <c r="DQ33" s="127"/>
      <c r="DR33" s="127"/>
      <c r="DS33" s="128"/>
      <c r="DT33" s="127"/>
      <c r="DU33" s="127"/>
      <c r="DV33" s="127"/>
      <c r="DW33" s="127"/>
      <c r="DX33" s="127"/>
      <c r="DY33" s="129"/>
      <c r="DZ33" s="130"/>
      <c r="EA33" s="130"/>
      <c r="EB33" s="130"/>
      <c r="EC33" s="130"/>
      <c r="ED33" s="32"/>
      <c r="EE33" s="32"/>
    </row>
    <row r="34">
      <c r="A34" s="108"/>
      <c r="B34" s="109"/>
      <c r="C34" s="109"/>
      <c r="D34" s="109"/>
      <c r="E34" s="109"/>
      <c r="F34" s="109"/>
      <c r="G34" s="109"/>
      <c r="H34" s="109"/>
      <c r="I34" s="132"/>
      <c r="J34" s="109"/>
      <c r="K34" s="109"/>
      <c r="L34" s="132"/>
      <c r="M34" s="109"/>
      <c r="N34" s="109"/>
      <c r="O34" s="132"/>
      <c r="P34" s="132"/>
      <c r="Q34" s="109"/>
      <c r="R34" s="109"/>
      <c r="S34" s="132"/>
      <c r="T34" s="109"/>
      <c r="U34" s="109"/>
      <c r="V34" s="109"/>
      <c r="W34" s="109"/>
      <c r="X34" s="109"/>
      <c r="Y34" s="109"/>
      <c r="Z34" s="109"/>
      <c r="AA34" s="109"/>
      <c r="AB34" s="109"/>
      <c r="AC34" s="110"/>
      <c r="AD34" s="111"/>
      <c r="AE34" s="4"/>
      <c r="AF34" s="110"/>
      <c r="AG34" s="112"/>
      <c r="AH34" s="113"/>
      <c r="AI34" s="113"/>
      <c r="AJ34" s="113"/>
      <c r="AK34" s="113"/>
      <c r="AL34" s="113"/>
      <c r="AM34" s="113"/>
      <c r="AN34" s="113"/>
      <c r="AO34" s="113"/>
      <c r="AP34" s="113"/>
      <c r="AQ34" s="113"/>
      <c r="AR34" s="113"/>
      <c r="AS34" s="113"/>
      <c r="AT34" s="114"/>
      <c r="AU34" s="114"/>
      <c r="AV34" s="114"/>
      <c r="AW34" s="114"/>
      <c r="AX34" s="114"/>
      <c r="AY34" s="115"/>
      <c r="AZ34" s="116"/>
      <c r="BA34" s="117"/>
      <c r="BB34" s="118"/>
      <c r="BC34" s="118"/>
      <c r="BD34" s="118"/>
      <c r="BE34" s="131"/>
      <c r="BF34" s="118"/>
      <c r="BG34" s="118"/>
      <c r="BH34" s="131"/>
      <c r="BI34" s="118"/>
      <c r="BJ34" s="118"/>
      <c r="BK34" s="131"/>
      <c r="BL34" s="118"/>
      <c r="BM34" s="118"/>
      <c r="BN34" s="120"/>
      <c r="BO34" s="118"/>
      <c r="BP34" s="118"/>
      <c r="BQ34" s="131"/>
      <c r="BR34" s="118"/>
      <c r="BS34" s="118"/>
      <c r="BT34" s="131"/>
      <c r="BU34" s="118"/>
      <c r="BV34" s="118"/>
      <c r="BW34" s="131"/>
      <c r="BX34" s="118"/>
      <c r="BY34" s="118"/>
      <c r="CA34" s="121"/>
      <c r="CB34" s="122"/>
      <c r="CC34" s="122"/>
      <c r="CD34" s="121"/>
      <c r="CE34" s="121"/>
      <c r="CF34" s="121"/>
      <c r="CG34" s="121"/>
      <c r="CH34" s="121"/>
      <c r="CI34" s="121"/>
      <c r="CJ34" s="121"/>
      <c r="CK34" s="121"/>
      <c r="CL34" s="121"/>
      <c r="CM34" s="118"/>
      <c r="CN34" s="118"/>
      <c r="CO34" s="118"/>
      <c r="CP34" s="118"/>
      <c r="CQ34" s="123"/>
      <c r="CR34" s="103"/>
      <c r="CS34" s="114"/>
      <c r="CT34" s="118"/>
      <c r="CU34" s="125"/>
      <c r="CV34" s="121"/>
      <c r="CW34" s="122"/>
      <c r="CX34" s="122"/>
      <c r="CY34" s="121"/>
      <c r="CZ34" s="121"/>
      <c r="DA34" s="121"/>
      <c r="DB34" s="121"/>
      <c r="DC34" s="121"/>
      <c r="DD34" s="121"/>
      <c r="DE34" s="121"/>
      <c r="DF34" s="121"/>
      <c r="DG34" s="121"/>
      <c r="DH34" s="118"/>
      <c r="DI34" s="118"/>
      <c r="DJ34" s="118"/>
      <c r="DK34" s="118"/>
      <c r="DL34" s="123"/>
      <c r="DM34" s="103"/>
      <c r="DN34" s="114"/>
      <c r="DO34" s="118"/>
      <c r="DP34" s="126"/>
      <c r="DQ34" s="127"/>
      <c r="DR34" s="127"/>
      <c r="DS34" s="128"/>
      <c r="DT34" s="127"/>
      <c r="DU34" s="127"/>
      <c r="DV34" s="127"/>
      <c r="DW34" s="127"/>
      <c r="DX34" s="127"/>
      <c r="DY34" s="129"/>
      <c r="DZ34" s="130"/>
      <c r="EA34" s="130"/>
      <c r="EB34" s="130"/>
      <c r="EC34" s="130"/>
      <c r="ED34" s="32"/>
      <c r="EE34" s="32"/>
    </row>
    <row r="35">
      <c r="A35" s="108"/>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10"/>
      <c r="AD35" s="111"/>
      <c r="AE35" s="4"/>
      <c r="AF35" s="110"/>
      <c r="AG35" s="112"/>
      <c r="AH35" s="113"/>
      <c r="AI35" s="113"/>
      <c r="AJ35" s="113"/>
      <c r="AK35" s="113"/>
      <c r="AL35" s="113"/>
      <c r="AM35" s="113"/>
      <c r="AN35" s="113"/>
      <c r="AO35" s="113"/>
      <c r="AP35" s="113"/>
      <c r="AQ35" s="113"/>
      <c r="AR35" s="113"/>
      <c r="AS35" s="113"/>
      <c r="AT35" s="114"/>
      <c r="AU35" s="114"/>
      <c r="AV35" s="114"/>
      <c r="AW35" s="114"/>
      <c r="AX35" s="114"/>
      <c r="AY35" s="133"/>
      <c r="AZ35" s="116"/>
      <c r="BA35" s="117"/>
      <c r="BB35" s="118"/>
      <c r="BC35" s="118"/>
      <c r="BD35" s="118"/>
      <c r="BE35" s="131"/>
      <c r="BF35" s="118"/>
      <c r="BG35" s="118"/>
      <c r="BH35" s="131"/>
      <c r="BI35" s="118"/>
      <c r="BJ35" s="118"/>
      <c r="BK35" s="131"/>
      <c r="BL35" s="118"/>
      <c r="BM35" s="118"/>
      <c r="CA35" s="121"/>
      <c r="CB35" s="122"/>
      <c r="CC35" s="122"/>
      <c r="CD35" s="121"/>
      <c r="CE35" s="121"/>
      <c r="CF35" s="121"/>
      <c r="CG35" s="121"/>
      <c r="CH35" s="121"/>
      <c r="CI35" s="121"/>
      <c r="CJ35" s="121"/>
      <c r="CK35" s="121"/>
      <c r="CL35" s="121"/>
      <c r="CM35" s="118"/>
      <c r="CN35" s="118"/>
      <c r="CO35" s="118"/>
      <c r="CP35" s="118"/>
      <c r="CQ35" s="123"/>
      <c r="CR35" s="103"/>
      <c r="CS35" s="114"/>
      <c r="CT35" s="118"/>
      <c r="CU35" s="125"/>
      <c r="CV35" s="121"/>
      <c r="CW35" s="122"/>
      <c r="CX35" s="122"/>
      <c r="CY35" s="121"/>
      <c r="CZ35" s="121"/>
      <c r="DA35" s="121"/>
      <c r="DB35" s="121"/>
      <c r="DC35" s="121"/>
      <c r="DD35" s="121"/>
      <c r="DE35" s="121"/>
      <c r="DF35" s="121"/>
      <c r="DG35" s="121"/>
      <c r="DH35" s="118"/>
      <c r="DI35" s="118"/>
      <c r="DJ35" s="118"/>
      <c r="DK35" s="118"/>
      <c r="DL35" s="123"/>
      <c r="DM35" s="103"/>
      <c r="DN35" s="114"/>
      <c r="DO35" s="118"/>
      <c r="DP35" s="126"/>
      <c r="DQ35" s="128"/>
      <c r="DR35" s="128"/>
      <c r="DS35" s="128"/>
      <c r="DT35" s="127"/>
      <c r="DU35" s="127"/>
      <c r="DV35" s="127"/>
      <c r="DW35" s="127"/>
      <c r="DX35" s="127"/>
      <c r="DY35" s="129"/>
      <c r="DZ35" s="31"/>
      <c r="EA35" s="31"/>
      <c r="EB35" s="31"/>
      <c r="EC35" s="31"/>
      <c r="ED35" s="31"/>
      <c r="EE35" s="31"/>
    </row>
    <row r="36">
      <c r="A36" s="108"/>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10"/>
      <c r="AD36" s="111"/>
      <c r="AE36" s="4"/>
      <c r="AF36" s="110"/>
      <c r="AG36" s="112">
        <f t="shared" ref="AG36:AG37" si="186">AC36*(AD36-($R$7+BN$7))</f>
        <v>0</v>
      </c>
      <c r="AH36" s="113"/>
      <c r="AI36" s="113"/>
      <c r="AJ36" s="113"/>
      <c r="AK36" s="113"/>
      <c r="AL36" s="113"/>
      <c r="AM36" s="113"/>
      <c r="AN36" s="113"/>
      <c r="AO36" s="113"/>
      <c r="AP36" s="113"/>
      <c r="AQ36" s="113"/>
      <c r="AR36" s="113"/>
      <c r="AS36" s="113"/>
      <c r="AT36" s="114"/>
      <c r="AU36" s="114"/>
      <c r="AV36" s="114"/>
      <c r="AW36" s="114"/>
      <c r="AX36" s="114"/>
      <c r="AY36" s="133"/>
      <c r="AZ36" s="116"/>
      <c r="BA36" s="117"/>
      <c r="BB36" s="118"/>
      <c r="BC36" s="118"/>
      <c r="BD36" s="118"/>
      <c r="BE36" s="131"/>
      <c r="BF36" s="118"/>
      <c r="BG36" s="118"/>
      <c r="BH36" s="131"/>
      <c r="BI36" s="118"/>
      <c r="BJ36" s="118"/>
      <c r="BK36" s="131"/>
      <c r="BL36" s="118"/>
      <c r="BM36" s="118"/>
      <c r="CA36" s="121"/>
      <c r="CB36" s="122"/>
      <c r="CC36" s="122"/>
      <c r="CD36" s="121"/>
      <c r="CE36" s="121"/>
      <c r="CF36" s="121"/>
      <c r="CG36" s="121"/>
      <c r="CH36" s="121"/>
      <c r="CI36" s="121"/>
      <c r="CJ36" s="121"/>
      <c r="CK36" s="121"/>
      <c r="CL36" s="121"/>
      <c r="CM36" s="118"/>
      <c r="CN36" s="118"/>
      <c r="CO36" s="118"/>
      <c r="CP36" s="118"/>
      <c r="CQ36" s="123"/>
      <c r="CR36" s="103"/>
      <c r="CS36" s="114"/>
      <c r="CT36" s="118"/>
      <c r="CU36" s="125"/>
      <c r="CV36" s="121"/>
      <c r="CW36" s="122"/>
      <c r="CX36" s="122"/>
      <c r="CY36" s="121"/>
      <c r="CZ36" s="121"/>
      <c r="DA36" s="121"/>
      <c r="DB36" s="121"/>
      <c r="DC36" s="121"/>
      <c r="DD36" s="121"/>
      <c r="DE36" s="121"/>
      <c r="DF36" s="121"/>
      <c r="DG36" s="121"/>
      <c r="DH36" s="118"/>
      <c r="DI36" s="118"/>
      <c r="DJ36" s="118"/>
      <c r="DK36" s="118"/>
      <c r="DL36" s="123"/>
      <c r="DM36" s="103"/>
      <c r="DN36" s="114"/>
      <c r="DO36" s="118"/>
      <c r="DP36" s="126" t="str">
        <f t="shared" ref="DP36:DP40" si="187">concatenate(B36,if(iserror(vlookup(B36,$M$51:$O$81,2,false)),"",concatenate(" (",vlookup(B36,$M$51:$O$81,2,false),")")))</f>
        <v/>
      </c>
      <c r="DQ36" s="128"/>
      <c r="DR36" s="128"/>
      <c r="DS36" s="128"/>
      <c r="DT36" s="127"/>
      <c r="DU36" s="127"/>
      <c r="DV36" s="127"/>
      <c r="DW36" s="127"/>
      <c r="DX36" s="127"/>
      <c r="DY36" s="129"/>
      <c r="DZ36" s="31"/>
      <c r="EA36" s="31"/>
      <c r="EB36" s="31"/>
      <c r="EC36" s="31"/>
      <c r="ED36" s="31"/>
      <c r="EE36" s="31"/>
    </row>
    <row r="37">
      <c r="A37" s="108"/>
      <c r="B37" s="109"/>
      <c r="C37" s="109"/>
      <c r="D37" s="109"/>
      <c r="E37" s="109"/>
      <c r="F37" s="109"/>
      <c r="G37" s="109"/>
      <c r="H37" s="109"/>
      <c r="I37" s="109"/>
      <c r="J37" s="109"/>
      <c r="K37" s="109"/>
      <c r="L37" s="109"/>
      <c r="M37" s="109"/>
      <c r="N37" s="109"/>
      <c r="O37" s="109"/>
      <c r="P37" s="109"/>
      <c r="Q37" s="109"/>
      <c r="R37" s="109"/>
      <c r="S37" s="134"/>
      <c r="T37" s="109"/>
      <c r="U37" s="109"/>
      <c r="V37" s="109"/>
      <c r="W37" s="109"/>
      <c r="X37" s="109"/>
      <c r="Y37" s="109"/>
      <c r="Z37" s="109"/>
      <c r="AA37" s="109"/>
      <c r="AB37" s="109"/>
      <c r="AC37" s="110"/>
      <c r="AD37" s="111"/>
      <c r="AE37" s="4"/>
      <c r="AF37" s="110"/>
      <c r="AG37" s="112">
        <f t="shared" si="186"/>
        <v>0</v>
      </c>
      <c r="AH37" s="113"/>
      <c r="AI37" s="113"/>
      <c r="AJ37" s="113"/>
      <c r="AK37" s="113"/>
      <c r="AL37" s="113"/>
      <c r="AM37" s="113"/>
      <c r="AN37" s="113"/>
      <c r="AO37" s="113"/>
      <c r="AP37" s="113"/>
      <c r="AQ37" s="113"/>
      <c r="AR37" s="113"/>
      <c r="AS37" s="113"/>
      <c r="AT37" s="114"/>
      <c r="AU37" s="114"/>
      <c r="AV37" s="114"/>
      <c r="AW37" s="114"/>
      <c r="AX37" s="114"/>
      <c r="AY37" s="133"/>
      <c r="AZ37" s="116"/>
      <c r="BA37" s="117"/>
      <c r="BB37" s="118"/>
      <c r="BC37" s="118"/>
      <c r="BD37" s="118"/>
      <c r="BE37" s="131"/>
      <c r="BF37" s="118"/>
      <c r="BG37" s="118"/>
      <c r="BH37" s="131"/>
      <c r="BI37" s="118"/>
      <c r="BJ37" s="118"/>
      <c r="BK37" s="131"/>
      <c r="BL37" s="118"/>
      <c r="BM37" s="118"/>
      <c r="CA37" s="121"/>
      <c r="CB37" s="122"/>
      <c r="CC37" s="122"/>
      <c r="CD37" s="121"/>
      <c r="CE37" s="121"/>
      <c r="CF37" s="121"/>
      <c r="CG37" s="121"/>
      <c r="CH37" s="121"/>
      <c r="CI37" s="121"/>
      <c r="CJ37" s="121"/>
      <c r="CK37" s="121"/>
      <c r="CL37" s="121"/>
      <c r="CM37" s="118"/>
      <c r="CN37" s="118"/>
      <c r="CO37" s="118"/>
      <c r="CP37" s="118"/>
      <c r="CQ37" s="123"/>
      <c r="CR37" s="103"/>
      <c r="CS37" s="114"/>
      <c r="CT37" s="118"/>
      <c r="CU37" s="125"/>
      <c r="CV37" s="121"/>
      <c r="CW37" s="122"/>
      <c r="CX37" s="122"/>
      <c r="CY37" s="121"/>
      <c r="CZ37" s="121"/>
      <c r="DA37" s="121"/>
      <c r="DB37" s="121"/>
      <c r="DC37" s="121"/>
      <c r="DD37" s="121"/>
      <c r="DE37" s="121"/>
      <c r="DF37" s="121"/>
      <c r="DG37" s="121"/>
      <c r="DH37" s="118"/>
      <c r="DI37" s="118"/>
      <c r="DJ37" s="118"/>
      <c r="DK37" s="118"/>
      <c r="DL37" s="123"/>
      <c r="DM37" s="103"/>
      <c r="DN37" s="114"/>
      <c r="DO37" s="118"/>
      <c r="DP37" s="126" t="str">
        <f t="shared" si="187"/>
        <v/>
      </c>
      <c r="DQ37" s="128"/>
      <c r="DR37" s="128"/>
      <c r="DS37" s="128"/>
      <c r="DT37" s="127"/>
      <c r="DU37" s="127"/>
      <c r="DV37" s="127"/>
      <c r="DW37" s="127"/>
      <c r="DX37" s="127"/>
      <c r="DY37" s="129"/>
      <c r="DZ37" s="31"/>
      <c r="EA37" s="31"/>
      <c r="EB37" s="31"/>
      <c r="EC37" s="31"/>
      <c r="ED37" s="31"/>
      <c r="EE37" s="31"/>
    </row>
    <row r="38">
      <c r="AC38" s="110"/>
      <c r="AD38" s="111"/>
      <c r="AE38" s="4"/>
      <c r="AF38" s="110"/>
      <c r="AG38" s="135"/>
      <c r="AH38" s="113"/>
      <c r="AI38" s="113"/>
      <c r="AJ38" s="113"/>
      <c r="AK38" s="113"/>
      <c r="AL38" s="113"/>
      <c r="AM38" s="113"/>
      <c r="AN38" s="113"/>
      <c r="AO38" s="113"/>
      <c r="AP38" s="113"/>
      <c r="AQ38" s="113"/>
      <c r="AR38" s="113"/>
      <c r="AS38" s="113"/>
      <c r="AT38" s="114"/>
      <c r="AU38" s="114"/>
      <c r="AV38" s="114"/>
      <c r="AW38" s="114"/>
      <c r="AX38" s="114"/>
      <c r="AY38" s="133"/>
      <c r="AZ38" s="116"/>
      <c r="BA38" s="117"/>
      <c r="BB38" s="118"/>
      <c r="BC38" s="118"/>
      <c r="BD38" s="118"/>
      <c r="BE38" s="131"/>
      <c r="BF38" s="118"/>
      <c r="BG38" s="118"/>
      <c r="BH38" s="131"/>
      <c r="BI38" s="118"/>
      <c r="BJ38" s="118"/>
      <c r="BK38" s="131"/>
      <c r="BL38" s="118"/>
      <c r="BM38" s="118"/>
      <c r="CA38" s="121"/>
      <c r="CB38" s="122"/>
      <c r="CC38" s="122"/>
      <c r="CD38" s="121"/>
      <c r="CE38" s="121"/>
      <c r="CF38" s="121"/>
      <c r="CG38" s="121"/>
      <c r="CH38" s="121"/>
      <c r="CI38" s="121"/>
      <c r="CJ38" s="121"/>
      <c r="CK38" s="121"/>
      <c r="CL38" s="121"/>
      <c r="CM38" s="118"/>
      <c r="CN38" s="118"/>
      <c r="CO38" s="118"/>
      <c r="CP38" s="118"/>
      <c r="CQ38" s="123"/>
      <c r="CR38" s="103"/>
      <c r="CS38" s="114"/>
      <c r="CT38" s="118"/>
      <c r="CU38" s="125"/>
      <c r="CV38" s="121"/>
      <c r="CW38" s="122"/>
      <c r="CX38" s="122"/>
      <c r="CY38" s="121"/>
      <c r="CZ38" s="121"/>
      <c r="DA38" s="121"/>
      <c r="DB38" s="121"/>
      <c r="DC38" s="121"/>
      <c r="DD38" s="121"/>
      <c r="DE38" s="121"/>
      <c r="DF38" s="121"/>
      <c r="DG38" s="121"/>
      <c r="DH38" s="118"/>
      <c r="DI38" s="118"/>
      <c r="DJ38" s="118"/>
      <c r="DK38" s="118"/>
      <c r="DL38" s="123"/>
      <c r="DM38" s="103"/>
      <c r="DN38" s="114"/>
      <c r="DO38" s="118"/>
      <c r="DP38" s="126" t="str">
        <f t="shared" si="187"/>
        <v/>
      </c>
      <c r="DQ38" s="127"/>
      <c r="DR38" s="127"/>
      <c r="DS38" s="127"/>
      <c r="DT38" s="127"/>
      <c r="DU38" s="127"/>
      <c r="DV38" s="127"/>
      <c r="DW38" s="127"/>
      <c r="DX38" s="127"/>
      <c r="DY38" s="129"/>
      <c r="DZ38" s="31"/>
      <c r="EA38" s="31"/>
      <c r="EB38" s="31"/>
      <c r="EC38" s="31"/>
      <c r="ED38" s="31"/>
      <c r="EE38" s="31"/>
    </row>
    <row r="39">
      <c r="AC39" s="110"/>
      <c r="AD39" s="111"/>
      <c r="AE39" s="4"/>
      <c r="AF39" s="110"/>
      <c r="AG39" s="135"/>
      <c r="AH39" s="113"/>
      <c r="AI39" s="113"/>
      <c r="AJ39" s="113"/>
      <c r="AK39" s="113"/>
      <c r="AL39" s="113"/>
      <c r="AM39" s="113"/>
      <c r="AN39" s="113"/>
      <c r="AO39" s="113"/>
      <c r="AP39" s="113"/>
      <c r="AQ39" s="113"/>
      <c r="AR39" s="113"/>
      <c r="AS39" s="113"/>
      <c r="AT39" s="114"/>
      <c r="AU39" s="114"/>
      <c r="AV39" s="114"/>
      <c r="AW39" s="114"/>
      <c r="AX39" s="114"/>
      <c r="AY39" s="133"/>
      <c r="AZ39" s="116"/>
      <c r="BA39" s="117"/>
      <c r="BB39" s="118"/>
      <c r="BC39" s="118"/>
      <c r="BD39" s="118"/>
      <c r="BE39" s="131"/>
      <c r="BF39" s="118"/>
      <c r="BG39" s="118"/>
      <c r="BH39" s="131"/>
      <c r="BI39" s="118"/>
      <c r="BJ39" s="118"/>
      <c r="BK39" s="131"/>
      <c r="BL39" s="118"/>
      <c r="BM39" s="118"/>
      <c r="CA39" s="121"/>
      <c r="CB39" s="122"/>
      <c r="CC39" s="122"/>
      <c r="CD39" s="121"/>
      <c r="CE39" s="121"/>
      <c r="CF39" s="121"/>
      <c r="CG39" s="121"/>
      <c r="CH39" s="121"/>
      <c r="CI39" s="121"/>
      <c r="CJ39" s="121"/>
      <c r="CK39" s="121"/>
      <c r="CL39" s="121"/>
      <c r="CM39" s="118"/>
      <c r="CN39" s="118"/>
      <c r="CO39" s="118"/>
      <c r="CP39" s="118"/>
      <c r="CQ39" s="123"/>
      <c r="CR39" s="103"/>
      <c r="CS39" s="114"/>
      <c r="CT39" s="118"/>
      <c r="CU39" s="125"/>
      <c r="CV39" s="121"/>
      <c r="CW39" s="122"/>
      <c r="CX39" s="122"/>
      <c r="CY39" s="121"/>
      <c r="CZ39" s="121"/>
      <c r="DA39" s="121"/>
      <c r="DB39" s="121"/>
      <c r="DC39" s="121"/>
      <c r="DD39" s="121"/>
      <c r="DE39" s="121"/>
      <c r="DF39" s="121"/>
      <c r="DG39" s="121"/>
      <c r="DH39" s="118"/>
      <c r="DI39" s="118"/>
      <c r="DJ39" s="118"/>
      <c r="DK39" s="118"/>
      <c r="DL39" s="123"/>
      <c r="DM39" s="103"/>
      <c r="DN39" s="114"/>
      <c r="DO39" s="118"/>
      <c r="DP39" s="126" t="str">
        <f t="shared" si="187"/>
        <v/>
      </c>
      <c r="DQ39" s="127"/>
      <c r="DR39" s="127"/>
      <c r="DS39" s="127"/>
      <c r="DT39" s="127"/>
      <c r="DU39" s="127"/>
      <c r="DV39" s="127"/>
      <c r="DW39" s="127"/>
      <c r="DX39" s="127"/>
      <c r="DY39" s="129"/>
    </row>
    <row r="40">
      <c r="AC40" s="110"/>
      <c r="AD40" s="111"/>
      <c r="AE40" s="4"/>
      <c r="AF40" s="110"/>
      <c r="AG40" s="135"/>
      <c r="AH40" s="113"/>
      <c r="AI40" s="113"/>
      <c r="AJ40" s="113"/>
      <c r="AK40" s="113"/>
      <c r="AL40" s="113"/>
      <c r="AM40" s="113"/>
      <c r="AN40" s="113"/>
      <c r="AO40" s="113"/>
      <c r="AP40" s="113"/>
      <c r="AQ40" s="113"/>
      <c r="AR40" s="113"/>
      <c r="AS40" s="113"/>
      <c r="AT40" s="114"/>
      <c r="AU40" s="114"/>
      <c r="AV40" s="114"/>
      <c r="AW40" s="114"/>
      <c r="AX40" s="114"/>
      <c r="AY40" s="133"/>
      <c r="AZ40" s="116"/>
      <c r="BA40" s="117"/>
      <c r="BB40" s="118"/>
      <c r="BC40" s="118"/>
      <c r="BD40" s="118"/>
      <c r="BE40" s="131"/>
      <c r="BF40" s="118"/>
      <c r="BG40" s="118"/>
      <c r="BH40" s="131"/>
      <c r="BI40" s="118"/>
      <c r="BJ40" s="118"/>
      <c r="BK40" s="131"/>
      <c r="BL40" s="118"/>
      <c r="BM40" s="118"/>
      <c r="CA40" s="121"/>
      <c r="CB40" s="122"/>
      <c r="CC40" s="122"/>
      <c r="CD40" s="121"/>
      <c r="CE40" s="121"/>
      <c r="CF40" s="121"/>
      <c r="CG40" s="121"/>
      <c r="CH40" s="121"/>
      <c r="CI40" s="121"/>
      <c r="CJ40" s="121"/>
      <c r="CK40" s="121"/>
      <c r="CL40" s="121"/>
      <c r="CM40" s="118"/>
      <c r="CN40" s="118"/>
      <c r="CO40" s="118"/>
      <c r="CP40" s="118"/>
      <c r="CQ40" s="123"/>
      <c r="CR40" s="103"/>
      <c r="CS40" s="114"/>
      <c r="CT40" s="118"/>
      <c r="CU40" s="125"/>
      <c r="CV40" s="121"/>
      <c r="CW40" s="122"/>
      <c r="CX40" s="122"/>
      <c r="CY40" s="121"/>
      <c r="CZ40" s="121"/>
      <c r="DA40" s="121"/>
      <c r="DB40" s="121"/>
      <c r="DC40" s="121"/>
      <c r="DD40" s="121"/>
      <c r="DE40" s="121"/>
      <c r="DF40" s="121"/>
      <c r="DG40" s="121"/>
      <c r="DH40" s="118"/>
      <c r="DI40" s="118"/>
      <c r="DJ40" s="118"/>
      <c r="DK40" s="118"/>
      <c r="DL40" s="123"/>
      <c r="DM40" s="103"/>
      <c r="DN40" s="114"/>
      <c r="DO40" s="118"/>
      <c r="DP40" s="126" t="str">
        <f t="shared" si="187"/>
        <v/>
      </c>
      <c r="DQ40" s="127"/>
      <c r="DR40" s="127"/>
      <c r="DS40" s="127"/>
      <c r="DT40" s="127"/>
      <c r="DU40" s="127"/>
      <c r="DV40" s="127"/>
      <c r="DW40" s="127"/>
      <c r="DX40" s="127"/>
      <c r="DY40" s="129"/>
    </row>
    <row r="41">
      <c r="AW41" s="5"/>
      <c r="DU41" s="4"/>
    </row>
    <row r="42">
      <c r="AW42" s="5"/>
      <c r="DU42" s="4"/>
    </row>
    <row r="43">
      <c r="AW43" s="5"/>
      <c r="DU43" s="4"/>
    </row>
    <row r="44">
      <c r="AW44" s="5"/>
      <c r="DU44" s="4"/>
    </row>
    <row r="45">
      <c r="AW45" s="5"/>
      <c r="DU45" s="4"/>
    </row>
    <row r="46">
      <c r="AW46" s="5"/>
      <c r="DU46" s="4"/>
    </row>
    <row r="47">
      <c r="AW47" s="5"/>
      <c r="DU47" s="4"/>
    </row>
    <row r="48">
      <c r="L48" s="61" t="s">
        <v>164</v>
      </c>
      <c r="M48" s="61" t="s">
        <v>165</v>
      </c>
      <c r="N48" s="61" t="s">
        <v>166</v>
      </c>
      <c r="AW48" s="5"/>
      <c r="DU48" s="4"/>
    </row>
    <row r="49">
      <c r="A49" s="61" t="s">
        <v>167</v>
      </c>
      <c r="AW49" s="5"/>
      <c r="DU49" s="4"/>
    </row>
    <row r="50">
      <c r="A50" s="136" t="s">
        <v>168</v>
      </c>
      <c r="B50" s="136" t="s">
        <v>119</v>
      </c>
      <c r="C50" s="136" t="s">
        <v>129</v>
      </c>
      <c r="D50" s="136" t="s">
        <v>169</v>
      </c>
      <c r="E50" s="136" t="s">
        <v>170</v>
      </c>
      <c r="F50" s="136" t="s">
        <v>171</v>
      </c>
      <c r="G50" s="137"/>
      <c r="H50" s="136" t="s">
        <v>172</v>
      </c>
      <c r="I50" s="136" t="s">
        <v>173</v>
      </c>
      <c r="J50" s="138"/>
      <c r="K50" s="138"/>
      <c r="L50" s="61" t="s">
        <v>119</v>
      </c>
      <c r="M50" s="61" t="s">
        <v>119</v>
      </c>
      <c r="N50" s="61" t="s">
        <v>119</v>
      </c>
      <c r="O50" s="61" t="s">
        <v>174</v>
      </c>
      <c r="AW50" s="5"/>
      <c r="DU50" s="4"/>
    </row>
    <row r="51">
      <c r="A51" s="136">
        <v>22.0</v>
      </c>
      <c r="B51" s="139" t="s">
        <v>326</v>
      </c>
      <c r="C51" s="139" t="s">
        <v>185</v>
      </c>
      <c r="D51" s="140">
        <v>43989.0</v>
      </c>
      <c r="E51" s="139">
        <v>226.0</v>
      </c>
      <c r="F51" s="141">
        <v>29289.0</v>
      </c>
      <c r="G51" s="139" t="s">
        <v>176</v>
      </c>
      <c r="H51" s="139">
        <v>13.0</v>
      </c>
      <c r="I51" s="139" t="s">
        <v>198</v>
      </c>
      <c r="J51" s="138"/>
      <c r="K51" s="138"/>
      <c r="L51" s="143" t="str">
        <f t="shared" ref="L51:L81" si="189">if(iserror(search(L$48,B51)),B51,trim(left(B51,search(L$48,B51)-1)))</f>
        <v>Matt Barnes</v>
      </c>
      <c r="M51" s="143" t="str">
        <f t="shared" ref="M51:N51" si="188">if(iserror(search(M$48,L51)),L51,trim(left(L51,search(M$48,L51)-1)))</f>
        <v>Matt Barnes</v>
      </c>
      <c r="N51" s="143" t="str">
        <f t="shared" si="188"/>
        <v>Matt Barnes</v>
      </c>
      <c r="O51" s="143" t="str">
        <f t="shared" ref="O51:O81" si="191">if(not(isnumber(H51)),H51,if(H51&lt;3,vlookup(H51,$Y$51:$Z$53,2,false),concatenate(H51+1,"th")))</f>
        <v>14th</v>
      </c>
      <c r="S51" s="61" t="s">
        <v>178</v>
      </c>
      <c r="T51" s="61">
        <v>1.0</v>
      </c>
      <c r="Y51" s="61">
        <v>1.0</v>
      </c>
      <c r="Z51" s="61" t="s">
        <v>179</v>
      </c>
      <c r="AW51" s="5"/>
      <c r="DU51" s="4"/>
    </row>
    <row r="52">
      <c r="A52" s="136">
        <v>21.0</v>
      </c>
      <c r="B52" s="139" t="s">
        <v>320</v>
      </c>
      <c r="C52" s="139" t="s">
        <v>183</v>
      </c>
      <c r="D52" s="140">
        <v>43985.0</v>
      </c>
      <c r="E52" s="139">
        <v>175.0</v>
      </c>
      <c r="F52" s="141">
        <v>33304.0</v>
      </c>
      <c r="G52" s="139" t="s">
        <v>176</v>
      </c>
      <c r="H52" s="139">
        <v>3.0</v>
      </c>
      <c r="I52" s="139" t="s">
        <v>330</v>
      </c>
      <c r="J52" s="138"/>
      <c r="K52" s="138"/>
      <c r="L52" s="143" t="str">
        <f t="shared" si="189"/>
        <v>Ian Clark</v>
      </c>
      <c r="M52" s="143" t="str">
        <f t="shared" ref="M52:N52" si="190">if(iserror(search(M$48,L52)),L52,trim(left(L52,search(M$48,L52)-1)))</f>
        <v>Ian Clark</v>
      </c>
      <c r="N52" s="143" t="str">
        <f t="shared" si="190"/>
        <v>Ian Clark</v>
      </c>
      <c r="O52" s="143" t="str">
        <f t="shared" si="191"/>
        <v>4th</v>
      </c>
      <c r="S52" s="61" t="s">
        <v>183</v>
      </c>
      <c r="T52" s="61">
        <v>2.0</v>
      </c>
      <c r="Y52" s="61">
        <v>2.0</v>
      </c>
      <c r="Z52" s="61" t="s">
        <v>184</v>
      </c>
      <c r="AW52" s="5"/>
      <c r="DU52" s="4"/>
    </row>
    <row r="53">
      <c r="A53" s="136">
        <v>30.0</v>
      </c>
      <c r="B53" s="139" t="s">
        <v>314</v>
      </c>
      <c r="C53" s="139" t="s">
        <v>178</v>
      </c>
      <c r="D53" s="140">
        <v>43985.0</v>
      </c>
      <c r="E53" s="139">
        <v>190.0</v>
      </c>
      <c r="F53" s="141">
        <v>32216.0</v>
      </c>
      <c r="G53" s="139" t="s">
        <v>176</v>
      </c>
      <c r="H53" s="139">
        <v>7.0</v>
      </c>
      <c r="I53" s="139" t="s">
        <v>331</v>
      </c>
      <c r="J53" s="138"/>
      <c r="K53" s="138"/>
      <c r="L53" s="143" t="str">
        <f t="shared" si="189"/>
        <v>Stephen Curry</v>
      </c>
      <c r="M53" s="143" t="str">
        <f t="shared" ref="M53:N53" si="192">if(iserror(search(M$48,L53)),L53,trim(left(L53,search(M$48,L53)-1)))</f>
        <v>Stephen Curry</v>
      </c>
      <c r="N53" s="143" t="str">
        <f t="shared" si="192"/>
        <v>Stephen Curry</v>
      </c>
      <c r="O53" s="143" t="str">
        <f t="shared" si="191"/>
        <v>8th</v>
      </c>
      <c r="S53" s="61" t="s">
        <v>185</v>
      </c>
      <c r="T53" s="61">
        <v>3.0</v>
      </c>
      <c r="Y53" s="61">
        <v>3.0</v>
      </c>
      <c r="AW53" s="5"/>
      <c r="DU53" s="4"/>
    </row>
    <row r="54">
      <c r="A54" s="136">
        <v>35.0</v>
      </c>
      <c r="B54" s="139" t="s">
        <v>316</v>
      </c>
      <c r="C54" s="139" t="s">
        <v>23</v>
      </c>
      <c r="D54" s="140">
        <v>43992.0</v>
      </c>
      <c r="E54" s="139">
        <v>240.0</v>
      </c>
      <c r="F54" s="141">
        <v>32415.0</v>
      </c>
      <c r="G54" s="139" t="s">
        <v>176</v>
      </c>
      <c r="H54" s="139">
        <v>9.0</v>
      </c>
      <c r="I54" s="139" t="s">
        <v>204</v>
      </c>
      <c r="J54" s="138"/>
      <c r="K54" s="138"/>
      <c r="L54" s="143" t="str">
        <f t="shared" si="189"/>
        <v>Kevin Durant</v>
      </c>
      <c r="M54" s="143" t="str">
        <f t="shared" ref="M54:N54" si="193">if(iserror(search(M$48,L54)),L54,trim(left(L54,search(M$48,L54)-1)))</f>
        <v>Kevin Durant</v>
      </c>
      <c r="N54" s="143" t="str">
        <f t="shared" si="193"/>
        <v>Kevin Durant</v>
      </c>
      <c r="O54" s="143" t="str">
        <f t="shared" si="191"/>
        <v>10th</v>
      </c>
      <c r="S54" s="61" t="s">
        <v>23</v>
      </c>
      <c r="T54" s="61">
        <v>4.0</v>
      </c>
      <c r="Y54" s="61">
        <v>4.0</v>
      </c>
      <c r="AW54" s="5"/>
      <c r="DU54" s="4"/>
    </row>
    <row r="55">
      <c r="A55" s="136">
        <v>23.0</v>
      </c>
      <c r="B55" s="139" t="s">
        <v>315</v>
      </c>
      <c r="C55" s="139" t="s">
        <v>23</v>
      </c>
      <c r="D55" s="139">
        <v>43988.0</v>
      </c>
      <c r="E55" s="139">
        <v>230.0</v>
      </c>
      <c r="F55" s="141">
        <v>32936.0</v>
      </c>
      <c r="G55" s="139" t="s">
        <v>176</v>
      </c>
      <c r="H55" s="139">
        <v>4.0</v>
      </c>
      <c r="I55" s="139" t="s">
        <v>332</v>
      </c>
      <c r="J55" s="138"/>
      <c r="K55" s="138"/>
      <c r="L55" s="143" t="str">
        <f t="shared" si="189"/>
        <v>Draymond Green</v>
      </c>
      <c r="M55" s="143" t="str">
        <f t="shared" ref="M55:N55" si="194">if(iserror(search(M$48,L55)),L55,trim(left(L55,search(M$48,L55)-1)))</f>
        <v>Draymond Green</v>
      </c>
      <c r="N55" s="143" t="str">
        <f t="shared" si="194"/>
        <v>Draymond Green</v>
      </c>
      <c r="O55" s="143" t="str">
        <f t="shared" si="191"/>
        <v>5th</v>
      </c>
      <c r="S55" s="61" t="s">
        <v>175</v>
      </c>
      <c r="T55" s="61">
        <v>5.0</v>
      </c>
      <c r="AW55" s="5"/>
      <c r="DU55" s="4"/>
    </row>
    <row r="56">
      <c r="A56" s="136">
        <v>9.0</v>
      </c>
      <c r="B56" s="139" t="s">
        <v>317</v>
      </c>
      <c r="C56" s="139" t="s">
        <v>185</v>
      </c>
      <c r="D56" s="140">
        <v>43988.0</v>
      </c>
      <c r="E56" s="139">
        <v>215.0</v>
      </c>
      <c r="F56" s="141">
        <v>30709.0</v>
      </c>
      <c r="G56" s="139" t="s">
        <v>176</v>
      </c>
      <c r="H56" s="139">
        <v>12.0</v>
      </c>
      <c r="I56" s="139" t="s">
        <v>189</v>
      </c>
      <c r="J56" s="138"/>
      <c r="K56" s="138"/>
      <c r="L56" s="143" t="str">
        <f t="shared" si="189"/>
        <v>Andre Iguodala</v>
      </c>
      <c r="M56" s="143" t="str">
        <f t="shared" ref="M56:N56" si="195">if(iserror(search(M$48,L56)),L56,trim(left(L56,search(M$48,L56)-1)))</f>
        <v>Andre Iguodala</v>
      </c>
      <c r="N56" s="143" t="str">
        <f t="shared" si="195"/>
        <v>Andre Iguodala</v>
      </c>
      <c r="O56" s="143" t="str">
        <f t="shared" si="191"/>
        <v>13th</v>
      </c>
      <c r="S56" s="61" t="s">
        <v>190</v>
      </c>
      <c r="T56" s="61">
        <v>2.5</v>
      </c>
      <c r="AW56" s="5"/>
      <c r="DU56" s="4"/>
    </row>
    <row r="57">
      <c r="A57" s="136">
        <v>15.0</v>
      </c>
      <c r="B57" s="139" t="s">
        <v>328</v>
      </c>
      <c r="C57" s="139" t="s">
        <v>175</v>
      </c>
      <c r="D57" s="140">
        <v>43993.0</v>
      </c>
      <c r="E57" s="139">
        <v>245.0</v>
      </c>
      <c r="F57" s="141">
        <v>34880.0</v>
      </c>
      <c r="G57" s="139" t="s">
        <v>176</v>
      </c>
      <c r="H57" s="139" t="s">
        <v>187</v>
      </c>
      <c r="I57" s="139" t="s">
        <v>333</v>
      </c>
      <c r="J57" s="138"/>
      <c r="K57" s="138"/>
      <c r="L57" s="143" t="str">
        <f t="shared" si="189"/>
        <v>Damian Jones</v>
      </c>
      <c r="M57" s="143" t="str">
        <f t="shared" ref="M57:N57" si="196">if(iserror(search(M$48,L57)),L57,trim(left(L57,search(M$48,L57)-1)))</f>
        <v>Damian Jones</v>
      </c>
      <c r="N57" s="143" t="str">
        <f t="shared" si="196"/>
        <v>Damian Jones</v>
      </c>
      <c r="O57" s="143" t="str">
        <f t="shared" si="191"/>
        <v>R</v>
      </c>
      <c r="S57" s="61" t="s">
        <v>191</v>
      </c>
      <c r="T57" s="61">
        <v>2.5</v>
      </c>
      <c r="AW57" s="5"/>
      <c r="DU57" s="4"/>
    </row>
    <row r="58">
      <c r="A58" s="136">
        <v>34.0</v>
      </c>
      <c r="B58" s="139" t="s">
        <v>318</v>
      </c>
      <c r="C58" s="139" t="s">
        <v>178</v>
      </c>
      <c r="D58" s="140">
        <v>43989.0</v>
      </c>
      <c r="E58" s="139">
        <v>192.0</v>
      </c>
      <c r="F58" s="141">
        <v>31301.0</v>
      </c>
      <c r="G58" s="139" t="s">
        <v>176</v>
      </c>
      <c r="H58" s="139">
        <v>11.0</v>
      </c>
      <c r="I58" s="142"/>
      <c r="J58" s="138"/>
      <c r="K58" s="138"/>
      <c r="L58" s="143" t="str">
        <f t="shared" si="189"/>
        <v>Shaun Livingston</v>
      </c>
      <c r="M58" s="143" t="str">
        <f t="shared" ref="M58:N58" si="197">if(iserror(search(M$48,L58)),L58,trim(left(L58,search(M$48,L58)-1)))</f>
        <v>Shaun Livingston</v>
      </c>
      <c r="N58" s="143" t="str">
        <f t="shared" si="197"/>
        <v>Shaun Livingston</v>
      </c>
      <c r="O58" s="143" t="str">
        <f t="shared" si="191"/>
        <v>12th</v>
      </c>
      <c r="S58" s="61" t="s">
        <v>78</v>
      </c>
      <c r="T58" s="61">
        <v>1.5</v>
      </c>
      <c r="AW58" s="5"/>
      <c r="DU58" s="4"/>
    </row>
    <row r="59">
      <c r="A59" s="136">
        <v>5.0</v>
      </c>
      <c r="B59" s="139" t="s">
        <v>325</v>
      </c>
      <c r="C59" s="139" t="s">
        <v>175</v>
      </c>
      <c r="D59" s="140">
        <v>43991.0</v>
      </c>
      <c r="E59" s="139">
        <v>220.0</v>
      </c>
      <c r="F59" s="141">
        <v>35101.0</v>
      </c>
      <c r="G59" s="139" t="s">
        <v>176</v>
      </c>
      <c r="H59" s="139">
        <v>1.0</v>
      </c>
      <c r="I59" s="139" t="s">
        <v>198</v>
      </c>
      <c r="J59" s="138"/>
      <c r="K59" s="138"/>
      <c r="L59" s="143" t="str">
        <f t="shared" si="189"/>
        <v>Kevon Looney</v>
      </c>
      <c r="M59" s="143" t="str">
        <f t="shared" ref="M59:N59" si="198">if(iserror(search(M$48,L59)),L59,trim(left(L59,search(M$48,L59)-1)))</f>
        <v>Kevon Looney</v>
      </c>
      <c r="N59" s="143" t="str">
        <f t="shared" si="198"/>
        <v>Kevon Looney</v>
      </c>
      <c r="O59" s="143" t="str">
        <f t="shared" si="191"/>
        <v>2nd</v>
      </c>
      <c r="S59" s="61" t="s">
        <v>193</v>
      </c>
      <c r="T59" s="61">
        <v>3.5</v>
      </c>
      <c r="AW59" s="5"/>
      <c r="DU59" s="4"/>
    </row>
    <row r="60">
      <c r="A60" s="136">
        <v>20.0</v>
      </c>
      <c r="B60" s="139" t="s">
        <v>324</v>
      </c>
      <c r="C60" s="139" t="s">
        <v>23</v>
      </c>
      <c r="D60" s="140">
        <v>43991.0</v>
      </c>
      <c r="E60" s="139">
        <v>230.0</v>
      </c>
      <c r="F60" s="141">
        <v>33973.0</v>
      </c>
      <c r="G60" s="139" t="s">
        <v>176</v>
      </c>
      <c r="H60" s="139">
        <v>2.0</v>
      </c>
      <c r="I60" s="139" t="s">
        <v>334</v>
      </c>
      <c r="J60" s="138"/>
      <c r="K60" s="138"/>
      <c r="L60" s="143" t="str">
        <f t="shared" si="189"/>
        <v>James Michael McAdoo</v>
      </c>
      <c r="M60" s="143" t="str">
        <f t="shared" ref="M60:N60" si="199">if(iserror(search(M$48,L60)),L60,trim(left(L60,search(M$48,L60)-1)))</f>
        <v>James Michael McAdoo</v>
      </c>
      <c r="N60" s="143" t="str">
        <f t="shared" si="199"/>
        <v>James Michael McAdoo</v>
      </c>
      <c r="O60" s="143" t="str">
        <f t="shared" si="191"/>
        <v>3rd</v>
      </c>
      <c r="S60" s="61" t="s">
        <v>195</v>
      </c>
      <c r="T60" s="61">
        <v>3.0</v>
      </c>
      <c r="AW60" s="5"/>
      <c r="DU60" s="4"/>
    </row>
    <row r="61">
      <c r="A61" s="136">
        <v>0.0</v>
      </c>
      <c r="B61" s="139" t="s">
        <v>321</v>
      </c>
      <c r="C61" s="139" t="s">
        <v>183</v>
      </c>
      <c r="D61" s="140">
        <v>43989.0</v>
      </c>
      <c r="E61" s="139">
        <v>185.0</v>
      </c>
      <c r="F61" s="141">
        <v>34997.0</v>
      </c>
      <c r="G61" s="139" t="s">
        <v>176</v>
      </c>
      <c r="H61" s="139" t="s">
        <v>187</v>
      </c>
      <c r="I61" s="139" t="s">
        <v>335</v>
      </c>
      <c r="J61" s="138"/>
      <c r="K61" s="138"/>
      <c r="L61" s="143" t="str">
        <f t="shared" si="189"/>
        <v>Patrick McCaw</v>
      </c>
      <c r="M61" s="143" t="str">
        <f t="shared" ref="M61:N61" si="200">if(iserror(search(M$48,L61)),L61,trim(left(L61,search(M$48,L61)-1)))</f>
        <v>Patrick McCaw</v>
      </c>
      <c r="N61" s="143" t="str">
        <f t="shared" si="200"/>
        <v>Patrick McCaw</v>
      </c>
      <c r="O61" s="143" t="str">
        <f t="shared" si="191"/>
        <v>R</v>
      </c>
      <c r="AW61" s="5"/>
      <c r="DU61" s="4"/>
    </row>
    <row r="62">
      <c r="A62" s="136">
        <v>1.0</v>
      </c>
      <c r="B62" s="139" t="s">
        <v>323</v>
      </c>
      <c r="C62" s="139" t="s">
        <v>175</v>
      </c>
      <c r="D62" s="140" t="s">
        <v>180</v>
      </c>
      <c r="E62" s="139">
        <v>270.0</v>
      </c>
      <c r="F62" s="141">
        <v>32161.0</v>
      </c>
      <c r="G62" s="139" t="s">
        <v>176</v>
      </c>
      <c r="H62" s="139">
        <v>8.0</v>
      </c>
      <c r="I62" s="139" t="s">
        <v>336</v>
      </c>
      <c r="J62" s="138"/>
      <c r="K62" s="138"/>
      <c r="L62" s="143" t="str">
        <f t="shared" si="189"/>
        <v>JaVale McGee</v>
      </c>
      <c r="M62" s="143" t="str">
        <f t="shared" ref="M62:N62" si="201">if(iserror(search(M$48,L62)),L62,trim(left(L62,search(M$48,L62)-1)))</f>
        <v>JaVale McGee</v>
      </c>
      <c r="N62" s="143" t="str">
        <f t="shared" si="201"/>
        <v>JaVale McGee</v>
      </c>
      <c r="O62" s="143" t="str">
        <f t="shared" si="191"/>
        <v>9th</v>
      </c>
      <c r="AW62" s="5"/>
      <c r="DU62" s="4"/>
    </row>
    <row r="63">
      <c r="A63" s="136">
        <v>27.0</v>
      </c>
      <c r="B63" s="139" t="s">
        <v>319</v>
      </c>
      <c r="C63" s="139" t="s">
        <v>175</v>
      </c>
      <c r="D63" s="140">
        <v>43993.0</v>
      </c>
      <c r="E63" s="139">
        <v>270.0</v>
      </c>
      <c r="F63" s="141">
        <v>30722.0</v>
      </c>
      <c r="G63" s="139" t="s">
        <v>337</v>
      </c>
      <c r="H63" s="139">
        <v>13.0</v>
      </c>
      <c r="I63" s="142"/>
      <c r="J63" s="138"/>
      <c r="K63" s="138"/>
      <c r="L63" s="143" t="str">
        <f t="shared" si="189"/>
        <v>Zaza Pachulia</v>
      </c>
      <c r="M63" s="143" t="str">
        <f t="shared" ref="M63:N63" si="202">if(iserror(search(M$48,L63)),L63,trim(left(L63,search(M$48,L63)-1)))</f>
        <v>Zaza Pachulia</v>
      </c>
      <c r="N63" s="143" t="str">
        <f t="shared" si="202"/>
        <v>Zaza Pachulia</v>
      </c>
      <c r="O63" s="143" t="str">
        <f t="shared" si="191"/>
        <v>14th</v>
      </c>
      <c r="AW63" s="5"/>
      <c r="DU63" s="4"/>
    </row>
    <row r="64">
      <c r="A64" s="136">
        <v>11.0</v>
      </c>
      <c r="B64" s="139" t="s">
        <v>313</v>
      </c>
      <c r="C64" s="139" t="s">
        <v>183</v>
      </c>
      <c r="D64" s="140">
        <v>43988.0</v>
      </c>
      <c r="E64" s="139">
        <v>215.0</v>
      </c>
      <c r="F64" s="141">
        <v>32912.0</v>
      </c>
      <c r="G64" s="139" t="s">
        <v>176</v>
      </c>
      <c r="H64" s="139">
        <v>5.0</v>
      </c>
      <c r="I64" s="139" t="s">
        <v>338</v>
      </c>
      <c r="J64" s="138"/>
      <c r="K64" s="138"/>
      <c r="L64" s="143" t="str">
        <f t="shared" si="189"/>
        <v>Klay Thompson</v>
      </c>
      <c r="M64" s="143" t="str">
        <f t="shared" ref="M64:N64" si="203">if(iserror(search(M$48,L64)),L64,trim(left(L64,search(M$48,L64)-1)))</f>
        <v>Klay Thompson</v>
      </c>
      <c r="N64" s="143" t="str">
        <f t="shared" si="203"/>
        <v>Klay Thompson</v>
      </c>
      <c r="O64" s="143" t="str">
        <f t="shared" si="191"/>
        <v>6th</v>
      </c>
      <c r="AW64" s="5"/>
      <c r="DU64" s="4"/>
    </row>
    <row r="65">
      <c r="A65" s="136">
        <v>18.0</v>
      </c>
      <c r="B65" s="139" t="s">
        <v>327</v>
      </c>
      <c r="C65" s="139" t="s">
        <v>175</v>
      </c>
      <c r="D65" s="140">
        <v>43992.0</v>
      </c>
      <c r="E65" s="139">
        <v>273.0</v>
      </c>
      <c r="F65" s="141">
        <v>30222.0</v>
      </c>
      <c r="G65" s="139" t="s">
        <v>339</v>
      </c>
      <c r="H65" s="139">
        <v>12.0</v>
      </c>
      <c r="I65" s="142"/>
      <c r="J65" s="138"/>
      <c r="K65" s="138"/>
      <c r="L65" s="143" t="str">
        <f t="shared" si="189"/>
        <v>Anderson Varejão</v>
      </c>
      <c r="M65" s="143" t="str">
        <f t="shared" ref="M65:N65" si="204">if(iserror(search(M$48,L65)),L65,trim(left(L65,search(M$48,L65)-1)))</f>
        <v>Anderson Varejão</v>
      </c>
      <c r="N65" s="143" t="str">
        <f t="shared" si="204"/>
        <v>Anderson Varejão</v>
      </c>
      <c r="O65" s="143" t="str">
        <f t="shared" si="191"/>
        <v>13th</v>
      </c>
      <c r="AW65" s="5"/>
      <c r="DU65" s="4"/>
    </row>
    <row r="66">
      <c r="A66" s="136">
        <v>2.0</v>
      </c>
      <c r="B66" s="139" t="s">
        <v>329</v>
      </c>
      <c r="C66" s="139" t="s">
        <v>178</v>
      </c>
      <c r="D66" s="139">
        <v>43984.0</v>
      </c>
      <c r="E66" s="139">
        <v>165.0</v>
      </c>
      <c r="F66" s="141">
        <v>33967.0</v>
      </c>
      <c r="G66" s="139" t="s">
        <v>176</v>
      </c>
      <c r="H66" s="139">
        <v>1.0</v>
      </c>
      <c r="I66" s="139" t="s">
        <v>200</v>
      </c>
      <c r="J66" s="138"/>
      <c r="K66" s="138"/>
      <c r="L66" s="143" t="str">
        <f t="shared" si="189"/>
        <v>Briante Weber</v>
      </c>
      <c r="M66" s="143" t="str">
        <f t="shared" ref="M66:N66" si="205">if(iserror(search(M$48,L66)),L66,trim(left(L66,search(M$48,L66)-1)))</f>
        <v>Briante Weber</v>
      </c>
      <c r="N66" s="143" t="str">
        <f t="shared" si="205"/>
        <v>Briante Weber</v>
      </c>
      <c r="O66" s="143" t="str">
        <f t="shared" si="191"/>
        <v>2nd</v>
      </c>
      <c r="AW66" s="5"/>
      <c r="DU66" s="4"/>
    </row>
    <row r="67">
      <c r="A67" s="136">
        <v>3.0</v>
      </c>
      <c r="B67" s="139" t="s">
        <v>322</v>
      </c>
      <c r="C67" s="139" t="s">
        <v>175</v>
      </c>
      <c r="D67" s="140">
        <v>43991.0</v>
      </c>
      <c r="E67" s="139">
        <v>250.0</v>
      </c>
      <c r="F67" s="141">
        <v>29462.0</v>
      </c>
      <c r="G67" s="139" t="s">
        <v>176</v>
      </c>
      <c r="H67" s="139">
        <v>13.0</v>
      </c>
      <c r="I67" s="139" t="s">
        <v>340</v>
      </c>
      <c r="J67" s="138"/>
      <c r="K67" s="138"/>
      <c r="L67" s="143" t="str">
        <f t="shared" si="189"/>
        <v>David West</v>
      </c>
      <c r="M67" s="143" t="str">
        <f t="shared" ref="M67:N67" si="206">if(iserror(search(M$48,L67)),L67,trim(left(L67,search(M$48,L67)-1)))</f>
        <v>David West</v>
      </c>
      <c r="N67" s="143" t="str">
        <f t="shared" si="206"/>
        <v>David West</v>
      </c>
      <c r="O67" s="143" t="str">
        <f t="shared" si="191"/>
        <v>14th</v>
      </c>
      <c r="AW67" s="5"/>
      <c r="DU67" s="4"/>
    </row>
    <row r="68">
      <c r="A68" s="136"/>
      <c r="B68" s="139"/>
      <c r="C68" s="139"/>
      <c r="D68" s="140"/>
      <c r="E68" s="139"/>
      <c r="F68" s="141"/>
      <c r="G68" s="139"/>
      <c r="H68" s="139"/>
      <c r="I68" s="139"/>
      <c r="J68" s="138"/>
      <c r="K68" s="138"/>
      <c r="L68" s="143" t="str">
        <f t="shared" si="189"/>
        <v/>
      </c>
      <c r="M68" s="143" t="str">
        <f t="shared" ref="M68:N68" si="207">if(iserror(search(M$48,L68)),L68,trim(left(L68,search(M$48,L68)-1)))</f>
        <v/>
      </c>
      <c r="N68" s="143" t="str">
        <f t="shared" si="207"/>
        <v/>
      </c>
      <c r="O68" s="143" t="str">
        <f t="shared" si="191"/>
        <v/>
      </c>
      <c r="AW68" s="5"/>
      <c r="DU68" s="4"/>
    </row>
    <row r="69">
      <c r="A69" s="136"/>
      <c r="B69" s="139"/>
      <c r="C69" s="139"/>
      <c r="D69" s="140"/>
      <c r="E69" s="139"/>
      <c r="F69" s="141"/>
      <c r="G69" s="139"/>
      <c r="H69" s="139"/>
      <c r="I69" s="139"/>
      <c r="J69" s="138"/>
      <c r="K69" s="138"/>
      <c r="L69" s="143" t="str">
        <f t="shared" si="189"/>
        <v/>
      </c>
      <c r="M69" s="143" t="str">
        <f t="shared" ref="M69:N69" si="208">if(iserror(search(M$48,L69)),L69,trim(left(L69,search(M$48,L69)-1)))</f>
        <v/>
      </c>
      <c r="N69" s="143" t="str">
        <f t="shared" si="208"/>
        <v/>
      </c>
      <c r="O69" s="143" t="str">
        <f t="shared" si="191"/>
        <v/>
      </c>
      <c r="DU69" s="4"/>
    </row>
    <row r="70">
      <c r="A70" s="136"/>
      <c r="B70" s="139"/>
      <c r="C70" s="139"/>
      <c r="D70" s="140"/>
      <c r="E70" s="139"/>
      <c r="F70" s="141"/>
      <c r="G70" s="139"/>
      <c r="H70" s="139"/>
      <c r="I70" s="139"/>
      <c r="J70" s="138"/>
      <c r="K70" s="138"/>
      <c r="L70" s="143" t="str">
        <f t="shared" si="189"/>
        <v/>
      </c>
      <c r="M70" s="143" t="str">
        <f t="shared" ref="M70:N70" si="209">if(iserror(search(M$48,L70)),L70,trim(left(L70,search(M$48,L70)-1)))</f>
        <v/>
      </c>
      <c r="N70" s="143" t="str">
        <f t="shared" si="209"/>
        <v/>
      </c>
      <c r="O70" s="143" t="str">
        <f t="shared" si="191"/>
        <v/>
      </c>
      <c r="AW70" s="5"/>
      <c r="DU70" s="4"/>
    </row>
    <row r="71">
      <c r="A71" s="136"/>
      <c r="B71" s="139"/>
      <c r="C71" s="139"/>
      <c r="D71" s="139"/>
      <c r="E71" s="139"/>
      <c r="F71" s="141"/>
      <c r="G71" s="139"/>
      <c r="H71" s="139"/>
      <c r="I71" s="139"/>
      <c r="J71" s="138"/>
      <c r="K71" s="138"/>
      <c r="L71" s="143" t="str">
        <f t="shared" si="189"/>
        <v/>
      </c>
      <c r="M71" s="143" t="str">
        <f t="shared" ref="M71:N71" si="210">if(iserror(search(M$48,L71)),L71,trim(left(L71,search(M$48,L71)-1)))</f>
        <v/>
      </c>
      <c r="N71" s="143" t="str">
        <f t="shared" si="210"/>
        <v/>
      </c>
      <c r="O71" s="143" t="str">
        <f t="shared" si="191"/>
        <v/>
      </c>
      <c r="AW71" s="5"/>
      <c r="DU71" s="4"/>
    </row>
    <row r="72">
      <c r="A72" s="136"/>
      <c r="B72" s="139"/>
      <c r="C72" s="139"/>
      <c r="D72" s="140"/>
      <c r="E72" s="139"/>
      <c r="F72" s="141"/>
      <c r="G72" s="139"/>
      <c r="H72" s="139"/>
      <c r="I72" s="139"/>
      <c r="J72" s="138"/>
      <c r="K72" s="138"/>
      <c r="L72" s="143" t="str">
        <f t="shared" si="189"/>
        <v/>
      </c>
      <c r="M72" s="143" t="str">
        <f t="shared" ref="M72:N72" si="211">if(iserror(search(M$48,L72)),L72,trim(left(L72,search(M$48,L72)-1)))</f>
        <v/>
      </c>
      <c r="N72" s="143" t="str">
        <f t="shared" si="211"/>
        <v/>
      </c>
      <c r="O72" s="143" t="str">
        <f t="shared" si="191"/>
        <v/>
      </c>
      <c r="DU72" s="4"/>
    </row>
    <row r="73">
      <c r="A73" s="136"/>
      <c r="B73" s="139"/>
      <c r="C73" s="139"/>
      <c r="D73" s="140"/>
      <c r="E73" s="139"/>
      <c r="F73" s="141"/>
      <c r="G73" s="139"/>
      <c r="H73" s="139"/>
      <c r="I73" s="139"/>
      <c r="J73" s="138"/>
      <c r="K73" s="138"/>
      <c r="L73" s="143" t="str">
        <f t="shared" si="189"/>
        <v/>
      </c>
      <c r="M73" s="143" t="str">
        <f t="shared" ref="M73:N73" si="212">if(iserror(search(M$48,L73)),L73,trim(left(L73,search(M$48,L73)-1)))</f>
        <v/>
      </c>
      <c r="N73" s="143" t="str">
        <f t="shared" si="212"/>
        <v/>
      </c>
      <c r="O73" s="143" t="str">
        <f t="shared" si="191"/>
        <v/>
      </c>
      <c r="AW73" s="5"/>
      <c r="DU73" s="4"/>
    </row>
    <row r="74">
      <c r="A74" s="136"/>
      <c r="B74" s="139"/>
      <c r="C74" s="139"/>
      <c r="D74" s="140"/>
      <c r="E74" s="139"/>
      <c r="F74" s="141"/>
      <c r="G74" s="139"/>
      <c r="H74" s="139"/>
      <c r="I74" s="139"/>
      <c r="J74" s="138"/>
      <c r="K74" s="138"/>
      <c r="L74" s="143" t="str">
        <f t="shared" si="189"/>
        <v/>
      </c>
      <c r="M74" s="143" t="str">
        <f t="shared" ref="M74:N74" si="213">if(iserror(search(M$48,L74)),L74,trim(left(L74,search(M$48,L74)-1)))</f>
        <v/>
      </c>
      <c r="N74" s="143" t="str">
        <f t="shared" si="213"/>
        <v/>
      </c>
      <c r="O74" s="143" t="str">
        <f t="shared" si="191"/>
        <v/>
      </c>
      <c r="AW74" s="5"/>
      <c r="DU74" s="4"/>
    </row>
    <row r="75">
      <c r="A75" s="138"/>
      <c r="B75" s="138"/>
      <c r="C75" s="138"/>
      <c r="D75" s="138"/>
      <c r="E75" s="138"/>
      <c r="F75" s="138"/>
      <c r="G75" s="138"/>
      <c r="H75" s="138"/>
      <c r="I75" s="138"/>
      <c r="J75" s="138"/>
      <c r="K75" s="138"/>
      <c r="L75" s="143" t="str">
        <f t="shared" si="189"/>
        <v/>
      </c>
      <c r="M75" s="143" t="str">
        <f t="shared" ref="M75:N75" si="214">if(iserror(search(M$48,L75)),L75,trim(left(L75,search(M$48,L75)-1)))</f>
        <v/>
      </c>
      <c r="N75" s="143" t="str">
        <f t="shared" si="214"/>
        <v/>
      </c>
      <c r="O75" s="143" t="str">
        <f t="shared" si="191"/>
        <v/>
      </c>
      <c r="AW75" s="5"/>
      <c r="DU75" s="4"/>
    </row>
    <row r="76">
      <c r="A76" s="138"/>
      <c r="B76" s="138"/>
      <c r="C76" s="138"/>
      <c r="D76" s="138"/>
      <c r="E76" s="138"/>
      <c r="F76" s="138"/>
      <c r="G76" s="138"/>
      <c r="H76" s="138"/>
      <c r="I76" s="138"/>
      <c r="J76" s="138"/>
      <c r="K76" s="138"/>
      <c r="L76" s="143" t="str">
        <f t="shared" si="189"/>
        <v/>
      </c>
      <c r="M76" s="143" t="str">
        <f t="shared" ref="M76:N76" si="215">if(iserror(search(M$48,L76)),L76,trim(left(L76,search(M$48,L76)-1)))</f>
        <v/>
      </c>
      <c r="N76" s="143" t="str">
        <f t="shared" si="215"/>
        <v/>
      </c>
      <c r="O76" s="143" t="str">
        <f t="shared" si="191"/>
        <v/>
      </c>
      <c r="AW76" s="5"/>
      <c r="DU76" s="4"/>
    </row>
    <row r="77">
      <c r="A77" s="138"/>
      <c r="B77" s="138"/>
      <c r="C77" s="138"/>
      <c r="D77" s="138"/>
      <c r="E77" s="138"/>
      <c r="F77" s="138"/>
      <c r="G77" s="138"/>
      <c r="H77" s="138"/>
      <c r="I77" s="138"/>
      <c r="J77" s="138"/>
      <c r="K77" s="138"/>
      <c r="L77" s="143" t="str">
        <f t="shared" si="189"/>
        <v/>
      </c>
      <c r="M77" s="143" t="str">
        <f t="shared" ref="M77:N77" si="216">if(iserror(search(M$48,L77)),L77,trim(left(L77,search(M$48,L77)-1)))</f>
        <v/>
      </c>
      <c r="N77" s="143" t="str">
        <f t="shared" si="216"/>
        <v/>
      </c>
      <c r="O77" s="143" t="str">
        <f t="shared" si="191"/>
        <v/>
      </c>
      <c r="AW77" s="5"/>
      <c r="DU77" s="4"/>
    </row>
    <row r="78">
      <c r="A78" s="138"/>
      <c r="B78" s="138"/>
      <c r="C78" s="138"/>
      <c r="D78" s="138"/>
      <c r="E78" s="138"/>
      <c r="F78" s="138"/>
      <c r="G78" s="138"/>
      <c r="H78" s="138"/>
      <c r="I78" s="138"/>
      <c r="J78" s="138"/>
      <c r="K78" s="138"/>
      <c r="L78" s="143" t="str">
        <f t="shared" si="189"/>
        <v/>
      </c>
      <c r="M78" s="143" t="str">
        <f t="shared" ref="M78:N78" si="217">if(iserror(search(M$48,L78)),L78,trim(left(L78,search(M$48,L78)-1)))</f>
        <v/>
      </c>
      <c r="N78" s="143" t="str">
        <f t="shared" si="217"/>
        <v/>
      </c>
      <c r="O78" s="143" t="str">
        <f t="shared" si="191"/>
        <v/>
      </c>
      <c r="AW78" s="5"/>
      <c r="DU78" s="4"/>
    </row>
    <row r="79">
      <c r="A79" s="138"/>
      <c r="B79" s="138"/>
      <c r="C79" s="138"/>
      <c r="D79" s="138"/>
      <c r="E79" s="138"/>
      <c r="F79" s="138"/>
      <c r="G79" s="138"/>
      <c r="H79" s="138"/>
      <c r="I79" s="138"/>
      <c r="J79" s="138"/>
      <c r="K79" s="138"/>
      <c r="L79" s="143" t="str">
        <f t="shared" si="189"/>
        <v/>
      </c>
      <c r="M79" s="143" t="str">
        <f t="shared" ref="M79:N79" si="218">if(iserror(search(M$48,L79)),L79,trim(left(L79,search(M$48,L79)-1)))</f>
        <v/>
      </c>
      <c r="N79" s="143" t="str">
        <f t="shared" si="218"/>
        <v/>
      </c>
      <c r="O79" s="143" t="str">
        <f t="shared" si="191"/>
        <v/>
      </c>
      <c r="AW79" s="5"/>
      <c r="DU79" s="4"/>
    </row>
    <row r="80">
      <c r="A80" s="138"/>
      <c r="B80" s="138"/>
      <c r="C80" s="138"/>
      <c r="D80" s="138"/>
      <c r="E80" s="138"/>
      <c r="F80" s="138"/>
      <c r="G80" s="138"/>
      <c r="H80" s="138"/>
      <c r="I80" s="138"/>
      <c r="J80" s="138"/>
      <c r="K80" s="138"/>
      <c r="L80" s="143" t="str">
        <f t="shared" si="189"/>
        <v/>
      </c>
      <c r="M80" s="143" t="str">
        <f t="shared" ref="M80:N80" si="219">if(iserror(search(M$48,L80)),L80,trim(left(L80,search(M$48,L80)-1)))</f>
        <v/>
      </c>
      <c r="N80" s="143" t="str">
        <f t="shared" si="219"/>
        <v/>
      </c>
      <c r="O80" s="143" t="str">
        <f t="shared" si="191"/>
        <v/>
      </c>
      <c r="AW80" s="5"/>
      <c r="DU80" s="4"/>
    </row>
    <row r="81">
      <c r="A81" s="138"/>
      <c r="B81" s="138"/>
      <c r="C81" s="138"/>
      <c r="D81" s="138"/>
      <c r="E81" s="138"/>
      <c r="F81" s="138"/>
      <c r="G81" s="138"/>
      <c r="H81" s="138"/>
      <c r="I81" s="138"/>
      <c r="J81" s="138"/>
      <c r="K81" s="138"/>
      <c r="L81" s="143" t="str">
        <f t="shared" si="189"/>
        <v/>
      </c>
      <c r="M81" s="143" t="str">
        <f t="shared" ref="M81:N81" si="220">if(iserror(search(M$48,L81)),L81,trim(left(L81,search(M$48,L81)-1)))</f>
        <v/>
      </c>
      <c r="N81" s="143" t="str">
        <f t="shared" si="220"/>
        <v/>
      </c>
      <c r="O81" s="143" t="str">
        <f t="shared" si="191"/>
        <v/>
      </c>
      <c r="AW81" s="5"/>
      <c r="DU81" s="4"/>
    </row>
    <row r="82">
      <c r="AW82" s="5"/>
      <c r="DU82" s="4"/>
    </row>
    <row r="83">
      <c r="AW83" s="5"/>
      <c r="DU83" s="4"/>
    </row>
    <row r="84">
      <c r="AW84" s="5"/>
      <c r="DU84" s="4"/>
    </row>
    <row r="85">
      <c r="AW85" s="5"/>
      <c r="DU85" s="4"/>
    </row>
    <row r="86">
      <c r="AW86" s="5"/>
      <c r="DU86" s="4"/>
    </row>
    <row r="87">
      <c r="A87" s="61" t="s">
        <v>207</v>
      </c>
      <c r="I87" s="143">
        <v>109.52849999999997</v>
      </c>
      <c r="AW87" s="5"/>
      <c r="DU87" s="4"/>
    </row>
    <row r="88">
      <c r="A88" s="143"/>
      <c r="B88" s="143"/>
      <c r="C88" s="143"/>
      <c r="D88" s="143"/>
      <c r="E88" s="143"/>
      <c r="F88" s="143"/>
      <c r="G88" s="143"/>
      <c r="H88" s="143" t="s">
        <v>208</v>
      </c>
      <c r="I88" s="143"/>
      <c r="J88" s="143"/>
      <c r="K88" s="143"/>
      <c r="L88" s="143" t="s">
        <v>209</v>
      </c>
      <c r="M88" s="143"/>
      <c r="N88" s="143"/>
      <c r="O88" s="143"/>
      <c r="AW88" s="5"/>
      <c r="DU88" s="4"/>
    </row>
    <row r="89">
      <c r="A89" s="143" t="s">
        <v>76</v>
      </c>
      <c r="B89" s="143" t="s">
        <v>210</v>
      </c>
      <c r="C89" s="143" t="s">
        <v>211</v>
      </c>
      <c r="D89" s="143" t="s">
        <v>212</v>
      </c>
      <c r="E89" s="143" t="s">
        <v>213</v>
      </c>
      <c r="F89" s="143" t="s">
        <v>214</v>
      </c>
      <c r="G89" s="143" t="s">
        <v>215</v>
      </c>
      <c r="H89" s="143" t="s">
        <v>216</v>
      </c>
      <c r="I89" s="143" t="s">
        <v>217</v>
      </c>
      <c r="J89" s="143" t="s">
        <v>218</v>
      </c>
      <c r="K89" s="143" t="s">
        <v>219</v>
      </c>
      <c r="L89" s="143" t="s">
        <v>220</v>
      </c>
      <c r="M89" s="143" t="s">
        <v>221</v>
      </c>
      <c r="N89" s="143" t="s">
        <v>222</v>
      </c>
      <c r="O89" s="143" t="s">
        <v>223</v>
      </c>
      <c r="P89" s="61" t="s">
        <v>224</v>
      </c>
      <c r="Q89" s="61" t="s">
        <v>225</v>
      </c>
      <c r="AW89" s="5"/>
      <c r="DU89" s="4"/>
    </row>
    <row r="90">
      <c r="A90" s="143">
        <v>1.0</v>
      </c>
      <c r="B90" s="143" t="s">
        <v>226</v>
      </c>
      <c r="C90" s="143" t="s">
        <v>213</v>
      </c>
      <c r="D90" s="143" t="s">
        <v>227</v>
      </c>
      <c r="E90" s="143">
        <v>67.0</v>
      </c>
      <c r="F90" s="143">
        <v>15.0</v>
      </c>
      <c r="G90" s="143">
        <v>0.817</v>
      </c>
      <c r="H90" s="143">
        <v>11.63</v>
      </c>
      <c r="I90" s="143">
        <v>116.26</v>
      </c>
      <c r="J90" s="143">
        <v>104.57</v>
      </c>
      <c r="K90" s="143">
        <v>11.69</v>
      </c>
      <c r="L90" s="143">
        <v>11.35</v>
      </c>
      <c r="M90" s="143">
        <v>116.02</v>
      </c>
      <c r="N90" s="143">
        <v>104.61</v>
      </c>
      <c r="O90" s="4">
        <v>11.41</v>
      </c>
      <c r="P90" s="4">
        <f t="shared" ref="P90:P119" si="221">M90-$I$87</f>
        <v>6.4915</v>
      </c>
      <c r="Q90" s="4">
        <f t="shared" ref="Q90:Q119" si="222">$I$87-N90</f>
        <v>4.9185</v>
      </c>
      <c r="AW90" s="5"/>
      <c r="DU90" s="4"/>
    </row>
    <row r="91">
      <c r="A91" s="143">
        <v>2.0</v>
      </c>
      <c r="B91" s="143" t="s">
        <v>228</v>
      </c>
      <c r="C91" s="143" t="s">
        <v>213</v>
      </c>
      <c r="D91" s="143" t="s">
        <v>229</v>
      </c>
      <c r="E91" s="143">
        <v>61.0</v>
      </c>
      <c r="F91" s="143">
        <v>21.0</v>
      </c>
      <c r="G91" s="143">
        <v>0.744</v>
      </c>
      <c r="H91" s="143">
        <v>7.2</v>
      </c>
      <c r="I91" s="143">
        <v>111.81</v>
      </c>
      <c r="J91" s="143">
        <v>104.25</v>
      </c>
      <c r="K91" s="143">
        <v>7.56</v>
      </c>
      <c r="L91" s="143">
        <v>7.13</v>
      </c>
      <c r="M91" s="143">
        <v>111.62</v>
      </c>
      <c r="N91" s="143">
        <v>104.12</v>
      </c>
      <c r="O91" s="4">
        <v>7.49</v>
      </c>
      <c r="P91" s="4">
        <f t="shared" si="221"/>
        <v>2.0915</v>
      </c>
      <c r="Q91" s="4">
        <f t="shared" si="222"/>
        <v>5.4085</v>
      </c>
      <c r="AW91" s="5"/>
      <c r="DU91" s="4"/>
    </row>
    <row r="92">
      <c r="A92" s="143">
        <v>3.0</v>
      </c>
      <c r="B92" s="143" t="s">
        <v>230</v>
      </c>
      <c r="C92" s="143" t="s">
        <v>213</v>
      </c>
      <c r="D92" s="143" t="s">
        <v>229</v>
      </c>
      <c r="E92" s="143">
        <v>55.0</v>
      </c>
      <c r="F92" s="143">
        <v>27.0</v>
      </c>
      <c r="G92" s="143">
        <v>0.671</v>
      </c>
      <c r="H92" s="143">
        <v>5.77</v>
      </c>
      <c r="I92" s="143">
        <v>115.59</v>
      </c>
      <c r="J92" s="143">
        <v>109.96</v>
      </c>
      <c r="K92" s="143">
        <v>5.63</v>
      </c>
      <c r="L92" s="143">
        <v>5.84</v>
      </c>
      <c r="M92" s="143">
        <v>115.7</v>
      </c>
      <c r="N92" s="143">
        <v>109.98</v>
      </c>
      <c r="O92" s="4">
        <v>5.72</v>
      </c>
      <c r="P92" s="4">
        <f t="shared" si="221"/>
        <v>6.1715</v>
      </c>
      <c r="Q92" s="4">
        <f t="shared" si="222"/>
        <v>-0.4515</v>
      </c>
      <c r="AW92" s="5"/>
      <c r="DU92" s="4"/>
    </row>
    <row r="93">
      <c r="A93" s="143">
        <v>4.0</v>
      </c>
      <c r="B93" s="143" t="s">
        <v>231</v>
      </c>
      <c r="C93" s="143" t="s">
        <v>213</v>
      </c>
      <c r="D93" s="143" t="s">
        <v>227</v>
      </c>
      <c r="E93" s="143">
        <v>51.0</v>
      </c>
      <c r="F93" s="143">
        <v>31.0</v>
      </c>
      <c r="G93" s="143">
        <v>0.622</v>
      </c>
      <c r="H93" s="143">
        <v>4.29</v>
      </c>
      <c r="I93" s="143">
        <v>113.38</v>
      </c>
      <c r="J93" s="143">
        <v>108.88</v>
      </c>
      <c r="K93" s="143">
        <v>4.5</v>
      </c>
      <c r="L93" s="143">
        <v>4.42</v>
      </c>
      <c r="M93" s="143">
        <v>113.46</v>
      </c>
      <c r="N93" s="143">
        <v>108.82</v>
      </c>
      <c r="O93" s="4">
        <v>4.64</v>
      </c>
      <c r="P93" s="4">
        <f t="shared" si="221"/>
        <v>3.9315</v>
      </c>
      <c r="Q93" s="4">
        <f t="shared" si="222"/>
        <v>0.7085</v>
      </c>
      <c r="AW93" s="5"/>
      <c r="DU93" s="4"/>
    </row>
    <row r="94">
      <c r="A94" s="143">
        <v>5.0</v>
      </c>
      <c r="B94" s="143" t="s">
        <v>232</v>
      </c>
      <c r="C94" s="143" t="s">
        <v>213</v>
      </c>
      <c r="D94" s="143" t="s">
        <v>233</v>
      </c>
      <c r="E94" s="143">
        <v>51.0</v>
      </c>
      <c r="F94" s="143">
        <v>31.0</v>
      </c>
      <c r="G94" s="143">
        <v>0.622</v>
      </c>
      <c r="H94" s="143">
        <v>3.94</v>
      </c>
      <c r="I94" s="143">
        <v>110.46</v>
      </c>
      <c r="J94" s="143">
        <v>106.19</v>
      </c>
      <c r="K94" s="143">
        <v>4.27</v>
      </c>
      <c r="L94" s="143">
        <v>4.0</v>
      </c>
      <c r="M94" s="143">
        <v>110.31</v>
      </c>
      <c r="N94" s="143">
        <v>105.98</v>
      </c>
      <c r="O94" s="4">
        <v>4.33</v>
      </c>
      <c r="P94" s="4">
        <f t="shared" si="221"/>
        <v>0.7815</v>
      </c>
      <c r="Q94" s="4">
        <f t="shared" si="222"/>
        <v>3.5485</v>
      </c>
      <c r="AW94" s="5"/>
      <c r="DU94" s="4"/>
    </row>
    <row r="95">
      <c r="A95" s="143">
        <v>6.0</v>
      </c>
      <c r="B95" s="143" t="s">
        <v>234</v>
      </c>
      <c r="C95" s="143" t="s">
        <v>235</v>
      </c>
      <c r="D95" s="143" t="s">
        <v>236</v>
      </c>
      <c r="E95" s="143">
        <v>51.0</v>
      </c>
      <c r="F95" s="143">
        <v>31.0</v>
      </c>
      <c r="G95" s="143">
        <v>0.622</v>
      </c>
      <c r="H95" s="143">
        <v>4.21</v>
      </c>
      <c r="I95" s="143">
        <v>113.2</v>
      </c>
      <c r="J95" s="143">
        <v>108.68</v>
      </c>
      <c r="K95" s="143">
        <v>4.51</v>
      </c>
      <c r="L95" s="143">
        <v>3.65</v>
      </c>
      <c r="M95" s="143">
        <v>113.07</v>
      </c>
      <c r="N95" s="143">
        <v>109.14</v>
      </c>
      <c r="O95" s="4">
        <v>3.93</v>
      </c>
      <c r="P95" s="4">
        <f t="shared" si="221"/>
        <v>3.5415</v>
      </c>
      <c r="Q95" s="4">
        <f t="shared" si="222"/>
        <v>0.3885</v>
      </c>
      <c r="AW95" s="5"/>
      <c r="DU95" s="4"/>
    </row>
    <row r="96">
      <c r="A96" s="143">
        <v>7.0</v>
      </c>
      <c r="B96" s="143" t="s">
        <v>62</v>
      </c>
      <c r="C96" s="143" t="s">
        <v>235</v>
      </c>
      <c r="D96" s="143" t="s">
        <v>175</v>
      </c>
      <c r="E96" s="143">
        <v>51.0</v>
      </c>
      <c r="F96" s="143">
        <v>31.0</v>
      </c>
      <c r="G96" s="143">
        <v>0.622</v>
      </c>
      <c r="H96" s="143">
        <v>3.18</v>
      </c>
      <c r="I96" s="143">
        <v>114.25</v>
      </c>
      <c r="J96" s="143">
        <v>110.99</v>
      </c>
      <c r="K96" s="143">
        <v>3.27</v>
      </c>
      <c r="L96" s="143">
        <v>2.88</v>
      </c>
      <c r="M96" s="143">
        <v>114.33</v>
      </c>
      <c r="N96" s="143">
        <v>111.38</v>
      </c>
      <c r="O96" s="4">
        <v>2.95</v>
      </c>
      <c r="P96" s="4">
        <f t="shared" si="221"/>
        <v>4.8015</v>
      </c>
      <c r="Q96" s="4">
        <f t="shared" si="222"/>
        <v>-1.8515</v>
      </c>
      <c r="AW96" s="5"/>
      <c r="DU96" s="4"/>
    </row>
    <row r="97">
      <c r="A97" s="143">
        <v>8.0</v>
      </c>
      <c r="B97" s="143" t="s">
        <v>237</v>
      </c>
      <c r="C97" s="143" t="s">
        <v>235</v>
      </c>
      <c r="D97" s="143" t="s">
        <v>236</v>
      </c>
      <c r="E97" s="143">
        <v>53.0</v>
      </c>
      <c r="F97" s="143">
        <v>29.0</v>
      </c>
      <c r="G97" s="143">
        <v>0.646</v>
      </c>
      <c r="H97" s="143">
        <v>2.63</v>
      </c>
      <c r="I97" s="143">
        <v>111.88</v>
      </c>
      <c r="J97" s="143">
        <v>109.16</v>
      </c>
      <c r="K97" s="143">
        <v>2.72</v>
      </c>
      <c r="L97" s="143">
        <v>2.25</v>
      </c>
      <c r="M97" s="143">
        <v>111.81</v>
      </c>
      <c r="N97" s="143">
        <v>109.49</v>
      </c>
      <c r="O97" s="4">
        <v>2.33</v>
      </c>
      <c r="P97" s="4">
        <f t="shared" si="221"/>
        <v>2.2815</v>
      </c>
      <c r="Q97" s="4">
        <f t="shared" si="222"/>
        <v>0.0385</v>
      </c>
      <c r="AW97" s="5"/>
      <c r="DU97" s="4"/>
    </row>
    <row r="98">
      <c r="A98" s="143">
        <v>9.0</v>
      </c>
      <c r="B98" s="143" t="s">
        <v>238</v>
      </c>
      <c r="C98" s="143" t="s">
        <v>235</v>
      </c>
      <c r="D98" s="143" t="s">
        <v>239</v>
      </c>
      <c r="E98" s="143">
        <v>49.0</v>
      </c>
      <c r="F98" s="143">
        <v>33.0</v>
      </c>
      <c r="G98" s="143">
        <v>0.598</v>
      </c>
      <c r="H98" s="143">
        <v>1.8</v>
      </c>
      <c r="I98" s="143">
        <v>111.98</v>
      </c>
      <c r="J98" s="143">
        <v>110.06</v>
      </c>
      <c r="K98" s="143">
        <v>1.92</v>
      </c>
      <c r="L98" s="143">
        <v>1.36</v>
      </c>
      <c r="M98" s="143">
        <v>111.96</v>
      </c>
      <c r="N98" s="143">
        <v>110.49</v>
      </c>
      <c r="O98" s="4">
        <v>1.46</v>
      </c>
      <c r="P98" s="4">
        <f t="shared" si="221"/>
        <v>2.4315</v>
      </c>
      <c r="Q98" s="4">
        <f t="shared" si="222"/>
        <v>-0.9615</v>
      </c>
      <c r="AW98" s="5"/>
      <c r="DU98" s="4"/>
    </row>
    <row r="99">
      <c r="A99" s="143">
        <v>10.0</v>
      </c>
      <c r="B99" s="143" t="s">
        <v>240</v>
      </c>
      <c r="C99" s="143" t="s">
        <v>213</v>
      </c>
      <c r="D99" s="143" t="s">
        <v>233</v>
      </c>
      <c r="E99" s="143">
        <v>47.0</v>
      </c>
      <c r="F99" s="143">
        <v>35.0</v>
      </c>
      <c r="G99" s="143">
        <v>0.573</v>
      </c>
      <c r="H99" s="143">
        <v>0.76</v>
      </c>
      <c r="I99" s="143">
        <v>108.95</v>
      </c>
      <c r="J99" s="143">
        <v>108.17</v>
      </c>
      <c r="K99" s="143">
        <v>0.78</v>
      </c>
      <c r="L99" s="143">
        <v>1.15</v>
      </c>
      <c r="M99" s="143">
        <v>108.94</v>
      </c>
      <c r="N99" s="143">
        <v>107.75</v>
      </c>
      <c r="O99" s="4">
        <v>1.18</v>
      </c>
      <c r="P99" s="4">
        <f t="shared" si="221"/>
        <v>-0.5885</v>
      </c>
      <c r="Q99" s="4">
        <f t="shared" si="222"/>
        <v>1.7785</v>
      </c>
      <c r="AW99" s="5"/>
      <c r="DU99" s="4"/>
    </row>
    <row r="100">
      <c r="A100" s="143">
        <v>11.0</v>
      </c>
      <c r="B100" s="143" t="s">
        <v>241</v>
      </c>
      <c r="C100" s="143" t="s">
        <v>213</v>
      </c>
      <c r="D100" s="143" t="s">
        <v>229</v>
      </c>
      <c r="E100" s="143">
        <v>43.0</v>
      </c>
      <c r="F100" s="143">
        <v>39.0</v>
      </c>
      <c r="G100" s="143">
        <v>0.524</v>
      </c>
      <c r="H100" s="143">
        <v>0.49</v>
      </c>
      <c r="I100" s="143">
        <v>108.59</v>
      </c>
      <c r="J100" s="143">
        <v>107.89</v>
      </c>
      <c r="K100" s="143">
        <v>0.7</v>
      </c>
      <c r="L100" s="143">
        <v>0.96</v>
      </c>
      <c r="M100" s="143">
        <v>108.71</v>
      </c>
      <c r="N100" s="143">
        <v>107.55</v>
      </c>
      <c r="O100" s="4">
        <v>1.17</v>
      </c>
      <c r="P100" s="4">
        <f t="shared" si="221"/>
        <v>-0.8185</v>
      </c>
      <c r="Q100" s="4">
        <f t="shared" si="222"/>
        <v>1.9785</v>
      </c>
      <c r="AW100" s="5"/>
      <c r="DU100" s="4"/>
    </row>
    <row r="101">
      <c r="A101" s="143">
        <v>12.0</v>
      </c>
      <c r="B101" s="143" t="s">
        <v>242</v>
      </c>
      <c r="C101" s="143" t="s">
        <v>235</v>
      </c>
      <c r="D101" s="143" t="s">
        <v>239</v>
      </c>
      <c r="E101" s="143">
        <v>41.0</v>
      </c>
      <c r="F101" s="143">
        <v>41.0</v>
      </c>
      <c r="G101" s="143">
        <v>0.5</v>
      </c>
      <c r="H101" s="143">
        <v>1.06</v>
      </c>
      <c r="I101" s="143">
        <v>108.73</v>
      </c>
      <c r="J101" s="143">
        <v>107.65</v>
      </c>
      <c r="K101" s="143">
        <v>1.09</v>
      </c>
      <c r="L101" s="143">
        <v>0.78</v>
      </c>
      <c r="M101" s="143">
        <v>108.62</v>
      </c>
      <c r="N101" s="143">
        <v>107.84</v>
      </c>
      <c r="O101" s="4">
        <v>0.79</v>
      </c>
      <c r="P101" s="4">
        <f t="shared" si="221"/>
        <v>-0.9085</v>
      </c>
      <c r="Q101" s="4">
        <f t="shared" si="222"/>
        <v>1.6885</v>
      </c>
      <c r="AW101" s="5"/>
      <c r="DU101" s="4"/>
    </row>
    <row r="102">
      <c r="A102" s="143">
        <v>13.0</v>
      </c>
      <c r="B102" s="143" t="s">
        <v>243</v>
      </c>
      <c r="C102" s="143" t="s">
        <v>213</v>
      </c>
      <c r="D102" s="143" t="s">
        <v>233</v>
      </c>
      <c r="E102" s="143">
        <v>40.0</v>
      </c>
      <c r="F102" s="143">
        <v>42.0</v>
      </c>
      <c r="G102" s="143">
        <v>0.488</v>
      </c>
      <c r="H102" s="143">
        <v>0.51</v>
      </c>
      <c r="I102" s="143">
        <v>113.9</v>
      </c>
      <c r="J102" s="143">
        <v>113.43</v>
      </c>
      <c r="K102" s="143">
        <v>0.47</v>
      </c>
      <c r="L102" s="143">
        <v>0.7</v>
      </c>
      <c r="M102" s="143">
        <v>114.06</v>
      </c>
      <c r="N102" s="143">
        <v>113.39</v>
      </c>
      <c r="O102" s="4">
        <v>0.67</v>
      </c>
      <c r="P102" s="4">
        <f t="shared" si="221"/>
        <v>4.5315</v>
      </c>
      <c r="Q102" s="4">
        <f t="shared" si="222"/>
        <v>-3.8615</v>
      </c>
      <c r="AW102" s="5"/>
      <c r="DU102" s="4"/>
    </row>
    <row r="103">
      <c r="A103" s="143">
        <v>14.0</v>
      </c>
      <c r="B103" s="143" t="s">
        <v>244</v>
      </c>
      <c r="C103" s="143" t="s">
        <v>235</v>
      </c>
      <c r="D103" s="143" t="s">
        <v>239</v>
      </c>
      <c r="E103" s="143">
        <v>36.0</v>
      </c>
      <c r="F103" s="143">
        <v>46.0</v>
      </c>
      <c r="G103" s="143">
        <v>0.439</v>
      </c>
      <c r="H103" s="143">
        <v>0.2</v>
      </c>
      <c r="I103" s="143">
        <v>109.57</v>
      </c>
      <c r="J103" s="143">
        <v>109.31</v>
      </c>
      <c r="K103" s="143">
        <v>0.25</v>
      </c>
      <c r="L103" s="143">
        <v>-0.06</v>
      </c>
      <c r="M103" s="143">
        <v>109.53</v>
      </c>
      <c r="N103" s="143">
        <v>109.55</v>
      </c>
      <c r="O103" s="4">
        <v>-0.02</v>
      </c>
      <c r="P103" s="4">
        <f t="shared" si="221"/>
        <v>0.0015</v>
      </c>
      <c r="Q103" s="4">
        <f t="shared" si="222"/>
        <v>-0.0215</v>
      </c>
      <c r="AW103" s="5"/>
      <c r="DU103" s="4"/>
    </row>
    <row r="104">
      <c r="A104" s="143">
        <v>15.0</v>
      </c>
      <c r="B104" s="143" t="s">
        <v>245</v>
      </c>
      <c r="C104" s="143" t="s">
        <v>235</v>
      </c>
      <c r="D104" s="143" t="s">
        <v>175</v>
      </c>
      <c r="E104" s="143">
        <v>41.0</v>
      </c>
      <c r="F104" s="143">
        <v>41.0</v>
      </c>
      <c r="G104" s="143">
        <v>0.5</v>
      </c>
      <c r="H104" s="143">
        <v>0.43</v>
      </c>
      <c r="I104" s="143">
        <v>108.04</v>
      </c>
      <c r="J104" s="143">
        <v>107.72</v>
      </c>
      <c r="K104" s="143">
        <v>0.32</v>
      </c>
      <c r="L104" s="143">
        <v>0.03</v>
      </c>
      <c r="M104" s="143">
        <v>107.91</v>
      </c>
      <c r="N104" s="143">
        <v>107.98</v>
      </c>
      <c r="O104" s="4">
        <v>-0.08</v>
      </c>
      <c r="P104" s="4">
        <f t="shared" si="221"/>
        <v>-1.6185</v>
      </c>
      <c r="Q104" s="4">
        <f t="shared" si="222"/>
        <v>1.5485</v>
      </c>
      <c r="AW104" s="5"/>
      <c r="DU104" s="4"/>
    </row>
    <row r="105">
      <c r="A105" s="143">
        <v>16.0</v>
      </c>
      <c r="B105" s="143" t="s">
        <v>246</v>
      </c>
      <c r="C105" s="143" t="s">
        <v>213</v>
      </c>
      <c r="D105" s="143" t="s">
        <v>233</v>
      </c>
      <c r="E105" s="143">
        <v>41.0</v>
      </c>
      <c r="F105" s="143">
        <v>41.0</v>
      </c>
      <c r="G105" s="143">
        <v>0.5</v>
      </c>
      <c r="H105" s="143">
        <v>-0.52</v>
      </c>
      <c r="I105" s="143">
        <v>110.93</v>
      </c>
      <c r="J105" s="143">
        <v>111.46</v>
      </c>
      <c r="K105" s="143">
        <v>-0.53</v>
      </c>
      <c r="L105" s="143">
        <v>-0.23</v>
      </c>
      <c r="M105" s="143">
        <v>111.09</v>
      </c>
      <c r="N105" s="143">
        <v>111.31</v>
      </c>
      <c r="O105" s="4">
        <v>-0.22</v>
      </c>
      <c r="P105" s="4">
        <f t="shared" si="221"/>
        <v>1.5615</v>
      </c>
      <c r="Q105" s="4">
        <f t="shared" si="222"/>
        <v>-1.7815</v>
      </c>
      <c r="AW105" s="5"/>
      <c r="DU105" s="4"/>
    </row>
    <row r="106">
      <c r="A106" s="143">
        <v>17.0</v>
      </c>
      <c r="B106" s="143" t="s">
        <v>247</v>
      </c>
      <c r="C106" s="143" t="s">
        <v>235</v>
      </c>
      <c r="D106" s="143" t="s">
        <v>175</v>
      </c>
      <c r="E106" s="143">
        <v>42.0</v>
      </c>
      <c r="F106" s="143">
        <v>40.0</v>
      </c>
      <c r="G106" s="143">
        <v>0.512</v>
      </c>
      <c r="H106" s="143">
        <v>-0.18</v>
      </c>
      <c r="I106" s="143">
        <v>109.92</v>
      </c>
      <c r="J106" s="143">
        <v>110.16</v>
      </c>
      <c r="K106" s="143">
        <v>-0.23</v>
      </c>
      <c r="L106" s="143">
        <v>-0.44</v>
      </c>
      <c r="M106" s="143">
        <v>109.96</v>
      </c>
      <c r="N106" s="143">
        <v>110.46</v>
      </c>
      <c r="O106" s="4">
        <v>-0.5</v>
      </c>
      <c r="P106" s="4">
        <f t="shared" si="221"/>
        <v>0.4315</v>
      </c>
      <c r="Q106" s="4">
        <f t="shared" si="222"/>
        <v>-0.9315</v>
      </c>
      <c r="AW106" s="5"/>
      <c r="DU106" s="4"/>
    </row>
    <row r="107">
      <c r="A107" s="143">
        <v>18.0</v>
      </c>
      <c r="B107" s="143" t="s">
        <v>248</v>
      </c>
      <c r="C107" s="143" t="s">
        <v>235</v>
      </c>
      <c r="D107" s="143" t="s">
        <v>175</v>
      </c>
      <c r="E107" s="143">
        <v>42.0</v>
      </c>
      <c r="F107" s="143">
        <v>40.0</v>
      </c>
      <c r="G107" s="143">
        <v>0.512</v>
      </c>
      <c r="H107" s="143">
        <v>-0.22</v>
      </c>
      <c r="I107" s="143">
        <v>109.33</v>
      </c>
      <c r="J107" s="143">
        <v>109.49</v>
      </c>
      <c r="K107" s="143">
        <v>-0.16</v>
      </c>
      <c r="L107" s="143">
        <v>-0.64</v>
      </c>
      <c r="M107" s="143">
        <v>109.21</v>
      </c>
      <c r="N107" s="143">
        <v>109.81</v>
      </c>
      <c r="O107" s="4">
        <v>-0.6</v>
      </c>
      <c r="P107" s="4">
        <f t="shared" si="221"/>
        <v>-0.3185</v>
      </c>
      <c r="Q107" s="4">
        <f t="shared" si="222"/>
        <v>-0.2815</v>
      </c>
      <c r="AW107" s="5"/>
      <c r="DU107" s="4"/>
    </row>
    <row r="108">
      <c r="A108" s="143">
        <v>19.0</v>
      </c>
      <c r="B108" s="143" t="s">
        <v>249</v>
      </c>
      <c r="C108" s="143" t="s">
        <v>213</v>
      </c>
      <c r="D108" s="143" t="s">
        <v>233</v>
      </c>
      <c r="E108" s="143">
        <v>31.0</v>
      </c>
      <c r="F108" s="143">
        <v>51.0</v>
      </c>
      <c r="G108" s="143">
        <v>0.378</v>
      </c>
      <c r="H108" s="143">
        <v>-1.11</v>
      </c>
      <c r="I108" s="143">
        <v>111.54</v>
      </c>
      <c r="J108" s="143">
        <v>112.74</v>
      </c>
      <c r="K108" s="143">
        <v>-1.2</v>
      </c>
      <c r="L108" s="143">
        <v>-0.63</v>
      </c>
      <c r="M108" s="143">
        <v>111.75</v>
      </c>
      <c r="N108" s="143">
        <v>112.46</v>
      </c>
      <c r="O108" s="4">
        <v>-0.71</v>
      </c>
      <c r="P108" s="4">
        <f t="shared" si="221"/>
        <v>2.2215</v>
      </c>
      <c r="Q108" s="4">
        <f t="shared" si="222"/>
        <v>-2.9315</v>
      </c>
      <c r="AW108" s="5"/>
      <c r="DU108" s="4"/>
    </row>
    <row r="109">
      <c r="A109" s="143">
        <v>20.0</v>
      </c>
      <c r="B109" s="143" t="s">
        <v>250</v>
      </c>
      <c r="C109" s="143" t="s">
        <v>235</v>
      </c>
      <c r="D109" s="143" t="s">
        <v>239</v>
      </c>
      <c r="E109" s="143">
        <v>43.0</v>
      </c>
      <c r="F109" s="143">
        <v>39.0</v>
      </c>
      <c r="G109" s="143">
        <v>0.524</v>
      </c>
      <c r="H109" s="143">
        <v>-0.85</v>
      </c>
      <c r="I109" s="143">
        <v>105.55</v>
      </c>
      <c r="J109" s="143">
        <v>106.54</v>
      </c>
      <c r="K109" s="143">
        <v>-0.99</v>
      </c>
      <c r="L109" s="143">
        <v>-1.23</v>
      </c>
      <c r="M109" s="143">
        <v>105.32</v>
      </c>
      <c r="N109" s="143">
        <v>106.69</v>
      </c>
      <c r="O109" s="4">
        <v>-1.37</v>
      </c>
      <c r="P109" s="4">
        <f t="shared" si="221"/>
        <v>-4.2085</v>
      </c>
      <c r="Q109" s="4">
        <f t="shared" si="222"/>
        <v>2.8385</v>
      </c>
      <c r="AW109" s="5"/>
      <c r="DU109" s="4"/>
    </row>
    <row r="110">
      <c r="A110" s="143">
        <v>21.0</v>
      </c>
      <c r="B110" s="143" t="s">
        <v>251</v>
      </c>
      <c r="C110" s="143" t="s">
        <v>235</v>
      </c>
      <c r="D110" s="143" t="s">
        <v>175</v>
      </c>
      <c r="E110" s="143">
        <v>37.0</v>
      </c>
      <c r="F110" s="143">
        <v>45.0</v>
      </c>
      <c r="G110" s="143">
        <v>0.451</v>
      </c>
      <c r="H110" s="143">
        <v>-1.12</v>
      </c>
      <c r="I110" s="143">
        <v>106.53</v>
      </c>
      <c r="J110" s="143">
        <v>107.9</v>
      </c>
      <c r="K110" s="143">
        <v>-1.37</v>
      </c>
      <c r="L110" s="143">
        <v>-1.29</v>
      </c>
      <c r="M110" s="143">
        <v>106.39</v>
      </c>
      <c r="N110" s="143">
        <v>107.93</v>
      </c>
      <c r="O110" s="4">
        <v>-1.54</v>
      </c>
      <c r="P110" s="4">
        <f t="shared" si="221"/>
        <v>-3.1385</v>
      </c>
      <c r="Q110" s="4">
        <f t="shared" si="222"/>
        <v>1.5985</v>
      </c>
      <c r="AW110" s="5"/>
      <c r="DU110" s="4"/>
    </row>
    <row r="111">
      <c r="A111" s="143">
        <v>22.0</v>
      </c>
      <c r="B111" s="143" t="s">
        <v>252</v>
      </c>
      <c r="C111" s="143" t="s">
        <v>213</v>
      </c>
      <c r="D111" s="143" t="s">
        <v>229</v>
      </c>
      <c r="E111" s="143">
        <v>34.0</v>
      </c>
      <c r="F111" s="143">
        <v>48.0</v>
      </c>
      <c r="G111" s="143">
        <v>0.415</v>
      </c>
      <c r="H111" s="143">
        <v>-2.1</v>
      </c>
      <c r="I111" s="143">
        <v>105.81</v>
      </c>
      <c r="J111" s="143">
        <v>108.01</v>
      </c>
      <c r="K111" s="143">
        <v>-2.2</v>
      </c>
      <c r="L111" s="143">
        <v>-1.69</v>
      </c>
      <c r="M111" s="143">
        <v>105.79</v>
      </c>
      <c r="N111" s="143">
        <v>107.57</v>
      </c>
      <c r="O111" s="4">
        <v>-1.78</v>
      </c>
      <c r="P111" s="4">
        <f t="shared" si="221"/>
        <v>-3.7385</v>
      </c>
      <c r="Q111" s="4">
        <f t="shared" si="222"/>
        <v>1.9585</v>
      </c>
      <c r="AW111" s="5"/>
      <c r="DU111" s="4"/>
    </row>
    <row r="112">
      <c r="A112" s="143">
        <v>23.0</v>
      </c>
      <c r="B112" s="143" t="s">
        <v>253</v>
      </c>
      <c r="C112" s="143" t="s">
        <v>213</v>
      </c>
      <c r="D112" s="143" t="s">
        <v>229</v>
      </c>
      <c r="E112" s="143">
        <v>33.0</v>
      </c>
      <c r="F112" s="143">
        <v>49.0</v>
      </c>
      <c r="G112" s="143">
        <v>0.402</v>
      </c>
      <c r="H112" s="143">
        <v>-2.93</v>
      </c>
      <c r="I112" s="143">
        <v>106.28</v>
      </c>
      <c r="J112" s="143">
        <v>109.36</v>
      </c>
      <c r="K112" s="143">
        <v>-3.08</v>
      </c>
      <c r="L112" s="143">
        <v>-2.52</v>
      </c>
      <c r="M112" s="143">
        <v>106.31</v>
      </c>
      <c r="N112" s="143">
        <v>108.96</v>
      </c>
      <c r="O112" s="4">
        <v>-2.65</v>
      </c>
      <c r="P112" s="4">
        <f t="shared" si="221"/>
        <v>-3.2185</v>
      </c>
      <c r="Q112" s="4">
        <f t="shared" si="222"/>
        <v>0.5685</v>
      </c>
      <c r="AW112" s="5"/>
      <c r="DU112" s="4"/>
    </row>
    <row r="113">
      <c r="A113" s="143">
        <v>24.0</v>
      </c>
      <c r="B113" s="143" t="s">
        <v>254</v>
      </c>
      <c r="C113" s="143" t="s">
        <v>213</v>
      </c>
      <c r="D113" s="143" t="s">
        <v>227</v>
      </c>
      <c r="E113" s="143">
        <v>32.0</v>
      </c>
      <c r="F113" s="143">
        <v>50.0</v>
      </c>
      <c r="G113" s="143">
        <v>0.39</v>
      </c>
      <c r="H113" s="143">
        <v>-3.88</v>
      </c>
      <c r="I113" s="143">
        <v>107.98</v>
      </c>
      <c r="J113" s="143">
        <v>112.18</v>
      </c>
      <c r="K113" s="143">
        <v>-4.21</v>
      </c>
      <c r="L113" s="143">
        <v>-3.29</v>
      </c>
      <c r="M113" s="143">
        <v>108.12</v>
      </c>
      <c r="N113" s="143">
        <v>111.72</v>
      </c>
      <c r="O113" s="4">
        <v>-3.59</v>
      </c>
      <c r="P113" s="4">
        <f t="shared" si="221"/>
        <v>-1.4085</v>
      </c>
      <c r="Q113" s="4">
        <f t="shared" si="222"/>
        <v>-2.1915</v>
      </c>
      <c r="AW113" s="5"/>
      <c r="DU113" s="4"/>
    </row>
    <row r="114">
      <c r="A114" s="143">
        <v>25.0</v>
      </c>
      <c r="B114" s="143" t="s">
        <v>255</v>
      </c>
      <c r="C114" s="143" t="s">
        <v>235</v>
      </c>
      <c r="D114" s="143" t="s">
        <v>236</v>
      </c>
      <c r="E114" s="143">
        <v>31.0</v>
      </c>
      <c r="F114" s="143">
        <v>51.0</v>
      </c>
      <c r="G114" s="143">
        <v>0.378</v>
      </c>
      <c r="H114" s="143">
        <v>-3.67</v>
      </c>
      <c r="I114" s="143">
        <v>108.57</v>
      </c>
      <c r="J114" s="143">
        <v>112.35</v>
      </c>
      <c r="K114" s="143">
        <v>-3.77</v>
      </c>
      <c r="L114" s="143">
        <v>-3.87</v>
      </c>
      <c r="M114" s="143">
        <v>108.62</v>
      </c>
      <c r="N114" s="143">
        <v>112.6</v>
      </c>
      <c r="O114" s="4">
        <v>-3.98</v>
      </c>
      <c r="P114" s="4">
        <f t="shared" si="221"/>
        <v>-0.9085</v>
      </c>
      <c r="Q114" s="4">
        <f t="shared" si="222"/>
        <v>-3.0715</v>
      </c>
      <c r="AW114" s="5"/>
      <c r="DU114" s="4"/>
    </row>
    <row r="115">
      <c r="A115" s="143">
        <v>26.0</v>
      </c>
      <c r="B115" s="143" t="s">
        <v>256</v>
      </c>
      <c r="C115" s="143" t="s">
        <v>213</v>
      </c>
      <c r="D115" s="143" t="s">
        <v>227</v>
      </c>
      <c r="E115" s="143">
        <v>24.0</v>
      </c>
      <c r="F115" s="143">
        <v>58.0</v>
      </c>
      <c r="G115" s="143">
        <v>0.293</v>
      </c>
      <c r="H115" s="143">
        <v>-5.63</v>
      </c>
      <c r="I115" s="143">
        <v>107.32</v>
      </c>
      <c r="J115" s="143">
        <v>112.79</v>
      </c>
      <c r="K115" s="143">
        <v>-5.47</v>
      </c>
      <c r="L115" s="143">
        <v>-5.14</v>
      </c>
      <c r="M115" s="143">
        <v>107.43</v>
      </c>
      <c r="N115" s="143">
        <v>112.41</v>
      </c>
      <c r="O115" s="4">
        <v>-4.98</v>
      </c>
      <c r="P115" s="4">
        <f t="shared" si="221"/>
        <v>-2.0985</v>
      </c>
      <c r="Q115" s="4">
        <f t="shared" si="222"/>
        <v>-2.8815</v>
      </c>
      <c r="AW115" s="5"/>
      <c r="DU115" s="4"/>
    </row>
    <row r="116">
      <c r="A116" s="143">
        <v>27.0</v>
      </c>
      <c r="B116" s="143" t="s">
        <v>257</v>
      </c>
      <c r="C116" s="143" t="s">
        <v>235</v>
      </c>
      <c r="D116" s="143" t="s">
        <v>236</v>
      </c>
      <c r="E116" s="143">
        <v>28.0</v>
      </c>
      <c r="F116" s="143">
        <v>54.0</v>
      </c>
      <c r="G116" s="143">
        <v>0.341</v>
      </c>
      <c r="H116" s="143">
        <v>-5.7</v>
      </c>
      <c r="I116" s="143">
        <v>103.96</v>
      </c>
      <c r="J116" s="143">
        <v>109.81</v>
      </c>
      <c r="K116" s="143">
        <v>-5.85</v>
      </c>
      <c r="L116" s="143">
        <v>-5.83</v>
      </c>
      <c r="M116" s="143">
        <v>103.92</v>
      </c>
      <c r="N116" s="143">
        <v>109.91</v>
      </c>
      <c r="O116" s="4">
        <v>-5.99</v>
      </c>
      <c r="P116" s="4">
        <f t="shared" si="221"/>
        <v>-5.6085</v>
      </c>
      <c r="Q116" s="4">
        <f t="shared" si="222"/>
        <v>-0.3815</v>
      </c>
      <c r="AW116" s="5"/>
      <c r="DU116" s="4"/>
    </row>
    <row r="117">
      <c r="A117" s="143">
        <v>28.0</v>
      </c>
      <c r="B117" s="143" t="s">
        <v>258</v>
      </c>
      <c r="C117" s="143" t="s">
        <v>213</v>
      </c>
      <c r="D117" s="143" t="s">
        <v>227</v>
      </c>
      <c r="E117" s="143">
        <v>26.0</v>
      </c>
      <c r="F117" s="143">
        <v>56.0</v>
      </c>
      <c r="G117" s="143">
        <v>0.317</v>
      </c>
      <c r="H117" s="143">
        <v>-6.88</v>
      </c>
      <c r="I117" s="143">
        <v>106.69</v>
      </c>
      <c r="J117" s="143">
        <v>113.72</v>
      </c>
      <c r="K117" s="143">
        <v>-7.02</v>
      </c>
      <c r="L117" s="143">
        <v>-6.29</v>
      </c>
      <c r="M117" s="143">
        <v>106.96</v>
      </c>
      <c r="N117" s="143">
        <v>113.38</v>
      </c>
      <c r="O117" s="4">
        <v>-6.42</v>
      </c>
      <c r="P117" s="4">
        <f t="shared" si="221"/>
        <v>-2.5685</v>
      </c>
      <c r="Q117" s="4">
        <f t="shared" si="222"/>
        <v>-3.8515</v>
      </c>
      <c r="AW117" s="5"/>
      <c r="DU117" s="4"/>
    </row>
    <row r="118">
      <c r="A118" s="143">
        <v>29.0</v>
      </c>
      <c r="B118" s="143" t="s">
        <v>259</v>
      </c>
      <c r="C118" s="143" t="s">
        <v>235</v>
      </c>
      <c r="D118" s="143" t="s">
        <v>236</v>
      </c>
      <c r="E118" s="143">
        <v>20.0</v>
      </c>
      <c r="F118" s="143">
        <v>62.0</v>
      </c>
      <c r="G118" s="143">
        <v>0.244</v>
      </c>
      <c r="H118" s="143">
        <v>-6.73</v>
      </c>
      <c r="I118" s="143">
        <v>104.61</v>
      </c>
      <c r="J118" s="143">
        <v>111.34</v>
      </c>
      <c r="K118" s="143">
        <v>-6.73</v>
      </c>
      <c r="L118" s="143">
        <v>-6.74</v>
      </c>
      <c r="M118" s="143">
        <v>104.63</v>
      </c>
      <c r="N118" s="143">
        <v>111.37</v>
      </c>
      <c r="O118" s="4">
        <v>-6.74</v>
      </c>
      <c r="P118" s="4">
        <f t="shared" si="221"/>
        <v>-4.8985</v>
      </c>
      <c r="Q118" s="4">
        <f t="shared" si="222"/>
        <v>-1.8415</v>
      </c>
      <c r="AW118" s="5"/>
      <c r="DU118" s="4"/>
    </row>
    <row r="119">
      <c r="A119" s="143">
        <v>30.0</v>
      </c>
      <c r="B119" s="143" t="s">
        <v>260</v>
      </c>
      <c r="C119" s="143" t="s">
        <v>235</v>
      </c>
      <c r="D119" s="143" t="s">
        <v>239</v>
      </c>
      <c r="E119" s="143">
        <v>29.0</v>
      </c>
      <c r="F119" s="143">
        <v>53.0</v>
      </c>
      <c r="G119" s="143">
        <v>0.354</v>
      </c>
      <c r="H119" s="143">
        <v>-6.57</v>
      </c>
      <c r="I119" s="143">
        <v>104.23</v>
      </c>
      <c r="J119" s="143">
        <v>111.11</v>
      </c>
      <c r="K119" s="143">
        <v>-6.88</v>
      </c>
      <c r="L119" s="143">
        <v>-6.61</v>
      </c>
      <c r="M119" s="143">
        <v>104.3</v>
      </c>
      <c r="N119" s="143">
        <v>111.21</v>
      </c>
      <c r="O119" s="4">
        <v>-6.92</v>
      </c>
      <c r="P119" s="4">
        <f t="shared" si="221"/>
        <v>-5.2285</v>
      </c>
      <c r="Q119" s="4">
        <f t="shared" si="222"/>
        <v>-1.6815</v>
      </c>
      <c r="AW119" s="5"/>
      <c r="DU119" s="4"/>
    </row>
    <row r="120">
      <c r="AW120" s="5"/>
      <c r="DU120" s="4"/>
    </row>
    <row r="121">
      <c r="AW121" s="5"/>
      <c r="DU121" s="4"/>
    </row>
    <row r="122">
      <c r="AW122" s="5"/>
      <c r="DU122" s="4"/>
    </row>
    <row r="123">
      <c r="AW123" s="5"/>
      <c r="DU123" s="4"/>
    </row>
    <row r="124">
      <c r="AW124" s="5"/>
      <c r="DU124" s="4"/>
    </row>
    <row r="125">
      <c r="AW125" s="5"/>
      <c r="DU125" s="4"/>
    </row>
    <row r="126">
      <c r="AW126" s="5"/>
      <c r="DU126" s="4"/>
    </row>
    <row r="127">
      <c r="J127" s="144" t="s">
        <v>261</v>
      </c>
      <c r="K127" s="144">
        <v>2.3</v>
      </c>
      <c r="AW127" s="5"/>
      <c r="DU127" s="4"/>
    </row>
    <row r="128">
      <c r="N128" s="145" t="s">
        <v>209</v>
      </c>
      <c r="O128" s="79"/>
      <c r="AW128" s="5"/>
      <c r="DU128" s="4"/>
    </row>
    <row r="129">
      <c r="B129" s="144" t="s">
        <v>262</v>
      </c>
      <c r="C129" s="144" t="s">
        <v>51</v>
      </c>
      <c r="D129" s="145" t="s">
        <v>263</v>
      </c>
      <c r="E129" s="144" t="s">
        <v>264</v>
      </c>
      <c r="F129" s="144" t="s">
        <v>218</v>
      </c>
      <c r="G129" s="144" t="s">
        <v>265</v>
      </c>
      <c r="H129" s="144" t="s">
        <v>266</v>
      </c>
      <c r="I129" s="144" t="s">
        <v>267</v>
      </c>
      <c r="J129" s="144" t="s">
        <v>268</v>
      </c>
      <c r="K129" s="144" t="s">
        <v>269</v>
      </c>
      <c r="L129" s="144" t="s">
        <v>217</v>
      </c>
      <c r="M129" s="144" t="s">
        <v>218</v>
      </c>
      <c r="N129" s="145" t="s">
        <v>217</v>
      </c>
      <c r="O129" s="145" t="s">
        <v>218</v>
      </c>
      <c r="AW129" s="5"/>
      <c r="DU129" s="4"/>
    </row>
    <row r="130">
      <c r="B130" s="143" t="s">
        <v>341</v>
      </c>
      <c r="C130" s="143">
        <v>99.8</v>
      </c>
      <c r="D130" s="79">
        <v>11.372745490981963</v>
      </c>
      <c r="E130" s="143" t="s">
        <v>342</v>
      </c>
      <c r="F130" s="143" t="s">
        <v>343</v>
      </c>
      <c r="G130" s="143">
        <v>30.0</v>
      </c>
      <c r="H130" s="143">
        <v>1.0</v>
      </c>
      <c r="I130" s="143">
        <v>2.0</v>
      </c>
      <c r="J130" s="143">
        <v>2.128045231804598</v>
      </c>
      <c r="K130" s="143">
        <v>1.644853625133699</v>
      </c>
      <c r="L130" s="143">
        <v>4.894504033150575</v>
      </c>
      <c r="M130" s="143">
        <v>3.7831633378075074</v>
      </c>
      <c r="N130" s="79">
        <v>6.242043093162515</v>
      </c>
      <c r="O130" s="79">
        <v>5.130702397819447</v>
      </c>
      <c r="AW130" s="5"/>
      <c r="DU130" s="4"/>
    </row>
    <row r="131">
      <c r="H131" s="143" t="s">
        <v>344</v>
      </c>
      <c r="I131" s="143" t="s">
        <v>345</v>
      </c>
      <c r="AW131" s="5"/>
      <c r="DU131" s="4"/>
    </row>
    <row r="132">
      <c r="H132" s="143" t="e">
        <v>#VALUE!</v>
      </c>
      <c r="I132" s="143" t="e">
        <v>#VALUE!</v>
      </c>
      <c r="AW132" s="5"/>
      <c r="DU132" s="4"/>
    </row>
    <row r="133">
      <c r="AW133" s="5"/>
      <c r="DU133" s="4"/>
    </row>
    <row r="134">
      <c r="B134" s="145" t="s">
        <v>270</v>
      </c>
      <c r="AW134" s="5"/>
      <c r="DU134" s="4"/>
    </row>
    <row r="135">
      <c r="AW135" s="5"/>
      <c r="DU135" s="4"/>
    </row>
    <row r="136">
      <c r="B136" s="143" t="s">
        <v>271</v>
      </c>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c r="AW136" s="5"/>
      <c r="DU136" s="4"/>
    </row>
    <row r="137">
      <c r="B137" s="143" t="s">
        <v>272</v>
      </c>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c r="AW137" s="5"/>
      <c r="DU137" s="4"/>
    </row>
    <row r="138">
      <c r="B138" s="143" t="s">
        <v>273</v>
      </c>
      <c r="C138" s="143" t="s">
        <v>346</v>
      </c>
      <c r="D138" s="143" t="s">
        <v>275</v>
      </c>
      <c r="E138" s="143" t="s">
        <v>347</v>
      </c>
      <c r="F138" s="143"/>
      <c r="G138" s="143"/>
      <c r="H138" s="143"/>
      <c r="I138" s="143"/>
      <c r="J138" s="143"/>
      <c r="K138" s="143"/>
      <c r="L138" s="143"/>
      <c r="M138" s="143"/>
      <c r="N138" s="143"/>
      <c r="O138" s="143"/>
      <c r="P138" s="143"/>
      <c r="Q138" s="143"/>
      <c r="R138" s="143"/>
      <c r="S138" s="143"/>
      <c r="T138" s="143"/>
      <c r="U138" s="143"/>
      <c r="V138" s="143"/>
      <c r="W138" s="143"/>
      <c r="X138" s="143"/>
      <c r="Y138" s="143"/>
      <c r="Z138" s="143"/>
      <c r="AW138" s="5"/>
      <c r="DU138" s="4"/>
    </row>
    <row r="139">
      <c r="B139" s="143" t="s">
        <v>277</v>
      </c>
      <c r="C139" s="143" t="s">
        <v>348</v>
      </c>
      <c r="D139" s="143" t="s">
        <v>349</v>
      </c>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c r="AW139" s="5"/>
      <c r="DU139" s="4"/>
    </row>
    <row r="140">
      <c r="B140" s="143" t="s">
        <v>280</v>
      </c>
      <c r="C140" s="143" t="s">
        <v>350</v>
      </c>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c r="AW140" s="5"/>
      <c r="DU140" s="4"/>
    </row>
    <row r="141">
      <c r="B141" s="143" t="s">
        <v>282</v>
      </c>
      <c r="C141" s="143" t="s">
        <v>351</v>
      </c>
      <c r="D141" s="143" t="s">
        <v>284</v>
      </c>
      <c r="E141" s="143" t="s">
        <v>352</v>
      </c>
      <c r="F141" s="143"/>
      <c r="G141" s="143"/>
      <c r="H141" s="143"/>
      <c r="I141" s="143"/>
      <c r="J141" s="143"/>
      <c r="K141" s="143"/>
      <c r="L141" s="143"/>
      <c r="M141" s="143"/>
      <c r="N141" s="143"/>
      <c r="O141" s="143"/>
      <c r="P141" s="143"/>
      <c r="Q141" s="143"/>
      <c r="R141" s="143"/>
      <c r="S141" s="143"/>
      <c r="T141" s="143"/>
      <c r="U141" s="143"/>
      <c r="V141" s="143"/>
      <c r="W141" s="143"/>
      <c r="X141" s="143"/>
      <c r="Y141" s="143"/>
      <c r="Z141" s="143"/>
      <c r="AW141" s="5"/>
      <c r="DU141" s="4"/>
    </row>
    <row r="142">
      <c r="B142" s="143" t="s">
        <v>262</v>
      </c>
      <c r="C142" s="143" t="s">
        <v>353</v>
      </c>
      <c r="D142" s="143" t="s">
        <v>51</v>
      </c>
      <c r="E142" s="143" t="s">
        <v>354</v>
      </c>
      <c r="F142" s="143"/>
      <c r="G142" s="143"/>
      <c r="H142" s="143"/>
      <c r="I142" s="143"/>
      <c r="J142" s="143"/>
      <c r="K142" s="143"/>
      <c r="L142" s="143"/>
      <c r="M142" s="143"/>
      <c r="N142" s="143"/>
      <c r="O142" s="143"/>
      <c r="P142" s="143"/>
      <c r="Q142" s="143"/>
      <c r="R142" s="143"/>
      <c r="S142" s="143"/>
      <c r="T142" s="143"/>
      <c r="U142" s="143"/>
      <c r="V142" s="143"/>
      <c r="W142" s="143"/>
      <c r="X142" s="143"/>
      <c r="Y142" s="143"/>
      <c r="Z142" s="143"/>
      <c r="AW142" s="5"/>
      <c r="DU142" s="4"/>
    </row>
    <row r="143">
      <c r="B143" s="143" t="s">
        <v>288</v>
      </c>
      <c r="C143" s="143" t="s">
        <v>355</v>
      </c>
      <c r="D143" s="143" t="s">
        <v>290</v>
      </c>
      <c r="E143" s="143" t="s">
        <v>356</v>
      </c>
      <c r="F143" s="143"/>
      <c r="G143" s="143"/>
      <c r="H143" s="143"/>
      <c r="I143" s="143"/>
      <c r="J143" s="143"/>
      <c r="K143" s="143"/>
      <c r="L143" s="143"/>
      <c r="M143" s="143"/>
      <c r="N143" s="143"/>
      <c r="O143" s="143"/>
      <c r="P143" s="143"/>
      <c r="Q143" s="143"/>
      <c r="R143" s="143"/>
      <c r="S143" s="143"/>
      <c r="T143" s="143"/>
      <c r="U143" s="143"/>
      <c r="V143" s="143"/>
      <c r="W143" s="143"/>
      <c r="X143" s="143"/>
      <c r="Y143" s="143"/>
      <c r="Z143" s="143"/>
      <c r="AW143" s="5"/>
      <c r="DU143" s="4"/>
    </row>
    <row r="144">
      <c r="B144" s="143" t="s">
        <v>292</v>
      </c>
      <c r="C144" s="143" t="s">
        <v>357</v>
      </c>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c r="AW144" s="5"/>
      <c r="DU144" s="4"/>
    </row>
    <row r="145">
      <c r="B145" s="143" t="s">
        <v>294</v>
      </c>
      <c r="C145" s="143" t="s">
        <v>358</v>
      </c>
      <c r="D145" s="143" t="s">
        <v>296</v>
      </c>
      <c r="E145" s="143" t="s">
        <v>359</v>
      </c>
      <c r="F145" s="143"/>
      <c r="G145" s="143"/>
      <c r="H145" s="143"/>
      <c r="I145" s="143"/>
      <c r="J145" s="143"/>
      <c r="K145" s="143"/>
      <c r="L145" s="143"/>
      <c r="M145" s="143"/>
      <c r="N145" s="143"/>
      <c r="O145" s="143"/>
      <c r="P145" s="143"/>
      <c r="Q145" s="143"/>
      <c r="R145" s="143"/>
      <c r="S145" s="143"/>
      <c r="T145" s="143"/>
      <c r="U145" s="143"/>
      <c r="V145" s="143"/>
      <c r="W145" s="143"/>
      <c r="X145" s="143"/>
      <c r="Y145" s="143"/>
      <c r="Z145" s="143"/>
      <c r="AW145" s="5"/>
      <c r="DU145" s="4"/>
    </row>
    <row r="146">
      <c r="B146" s="143" t="s">
        <v>298</v>
      </c>
      <c r="C146" s="143" t="s">
        <v>360</v>
      </c>
      <c r="D146" s="143" t="s">
        <v>300</v>
      </c>
      <c r="E146" s="143" t="s">
        <v>361</v>
      </c>
      <c r="F146" s="143"/>
      <c r="G146" s="143"/>
      <c r="H146" s="143"/>
      <c r="I146" s="143"/>
      <c r="J146" s="143"/>
      <c r="K146" s="143"/>
      <c r="L146" s="143"/>
      <c r="M146" s="143"/>
      <c r="N146" s="143"/>
      <c r="O146" s="143"/>
      <c r="P146" s="143"/>
      <c r="Q146" s="143"/>
      <c r="R146" s="143"/>
      <c r="S146" s="143"/>
      <c r="T146" s="143"/>
      <c r="U146" s="143"/>
      <c r="V146" s="143"/>
      <c r="W146" s="143"/>
      <c r="X146" s="143"/>
      <c r="Y146" s="143"/>
      <c r="Z146" s="143"/>
      <c r="AW146" s="5"/>
      <c r="DU146" s="4"/>
    </row>
    <row r="147">
      <c r="B147" s="143" t="s">
        <v>302</v>
      </c>
      <c r="C147" s="143"/>
      <c r="D147" s="143" t="s">
        <v>362</v>
      </c>
      <c r="E147" s="143" t="s">
        <v>246</v>
      </c>
      <c r="F147" s="143" t="s">
        <v>304</v>
      </c>
      <c r="G147" s="143" t="s">
        <v>305</v>
      </c>
      <c r="H147" s="143" t="s">
        <v>306</v>
      </c>
      <c r="I147" s="143"/>
      <c r="J147" s="143" t="s">
        <v>363</v>
      </c>
      <c r="K147" s="143" t="s">
        <v>232</v>
      </c>
      <c r="L147" s="143" t="s">
        <v>304</v>
      </c>
      <c r="M147" s="143" t="s">
        <v>305</v>
      </c>
      <c r="N147" s="143" t="s">
        <v>306</v>
      </c>
      <c r="O147" s="143"/>
      <c r="P147" s="143" t="s">
        <v>364</v>
      </c>
      <c r="Q147" s="143" t="s">
        <v>228</v>
      </c>
      <c r="R147" s="143" t="s">
        <v>304</v>
      </c>
      <c r="S147" s="143" t="s">
        <v>305</v>
      </c>
      <c r="T147" s="143" t="s">
        <v>306</v>
      </c>
      <c r="U147" s="143"/>
      <c r="V147" s="143" t="s">
        <v>365</v>
      </c>
      <c r="W147" s="143" t="s">
        <v>62</v>
      </c>
      <c r="X147" s="143" t="s">
        <v>304</v>
      </c>
      <c r="Y147" s="143" t="s">
        <v>305</v>
      </c>
      <c r="Z147" s="143" t="s">
        <v>306</v>
      </c>
      <c r="AW147" s="5"/>
      <c r="DU147" s="4"/>
    </row>
    <row r="148">
      <c r="AW148" s="5"/>
      <c r="DU148" s="4"/>
    </row>
    <row r="149">
      <c r="AW149" s="5"/>
      <c r="DU149" s="4"/>
    </row>
    <row r="150">
      <c r="AW150" s="5"/>
      <c r="DU150" s="4"/>
    </row>
    <row r="151">
      <c r="AW151" s="5"/>
      <c r="DU151" s="4"/>
    </row>
    <row r="152">
      <c r="AW152" s="5"/>
      <c r="DU152" s="4"/>
    </row>
    <row r="153">
      <c r="AW153" s="5"/>
      <c r="DU153" s="4"/>
    </row>
    <row r="154" ht="15.75" customHeight="1">
      <c r="B154" s="143" t="s">
        <v>366</v>
      </c>
      <c r="AW154" s="5"/>
      <c r="DU154" s="4"/>
    </row>
    <row r="155">
      <c r="AW155" s="5"/>
      <c r="DU155" s="4"/>
    </row>
    <row r="156">
      <c r="AW156" s="5"/>
      <c r="DU156" s="4"/>
    </row>
    <row r="157">
      <c r="AW157" s="5"/>
      <c r="DU157" s="4"/>
    </row>
    <row r="158">
      <c r="AW158" s="5"/>
      <c r="DU158" s="4"/>
    </row>
    <row r="159">
      <c r="AW159" s="5"/>
      <c r="DU159" s="4"/>
    </row>
    <row r="160">
      <c r="AW160" s="5"/>
      <c r="DU160" s="4"/>
    </row>
    <row r="161">
      <c r="AW161" s="5"/>
      <c r="DU161" s="4"/>
    </row>
    <row r="162">
      <c r="AW162" s="5"/>
      <c r="DU162" s="4"/>
    </row>
    <row r="163">
      <c r="AW163" s="5"/>
      <c r="DU163" s="4"/>
    </row>
    <row r="164">
      <c r="AW164" s="5"/>
      <c r="DU164" s="4"/>
    </row>
    <row r="165">
      <c r="AW165" s="5"/>
      <c r="DU165" s="4"/>
    </row>
    <row r="166">
      <c r="AW166" s="5"/>
      <c r="DU166" s="4"/>
    </row>
    <row r="167">
      <c r="AW167" s="5"/>
      <c r="DU167" s="4"/>
    </row>
    <row r="168">
      <c r="AW168" s="5"/>
      <c r="DU168" s="4"/>
    </row>
    <row r="169">
      <c r="AW169" s="5"/>
      <c r="DU169" s="4"/>
    </row>
    <row r="170">
      <c r="AW170" s="5"/>
      <c r="DU170" s="4"/>
    </row>
    <row r="171">
      <c r="AW171" s="5"/>
      <c r="DU171" s="4"/>
    </row>
    <row r="172">
      <c r="AW172" s="5"/>
      <c r="DU172" s="4"/>
    </row>
    <row r="173">
      <c r="AW173" s="5"/>
      <c r="DU173" s="4"/>
    </row>
    <row r="174">
      <c r="AW174" s="5"/>
      <c r="DU174" s="4"/>
    </row>
    <row r="175">
      <c r="AW175" s="5"/>
      <c r="DU175" s="4"/>
    </row>
    <row r="176">
      <c r="AW176" s="5"/>
      <c r="DU176" s="4"/>
    </row>
    <row r="177">
      <c r="AW177" s="5"/>
      <c r="DU177" s="4"/>
    </row>
    <row r="178">
      <c r="AW178" s="5"/>
      <c r="DU178" s="4"/>
    </row>
    <row r="179">
      <c r="AW179" s="5"/>
      <c r="DU179" s="4"/>
    </row>
    <row r="180">
      <c r="AW180" s="5"/>
      <c r="DU180" s="4"/>
    </row>
    <row r="181">
      <c r="AW181" s="5"/>
      <c r="DU181" s="4"/>
    </row>
    <row r="182">
      <c r="AW182" s="5"/>
      <c r="DU182" s="4"/>
    </row>
    <row r="183">
      <c r="AW183" s="5"/>
      <c r="DU183" s="4"/>
    </row>
    <row r="184">
      <c r="AW184" s="5"/>
      <c r="DU184" s="4"/>
    </row>
    <row r="185">
      <c r="AW185" s="5"/>
      <c r="DU185" s="4"/>
    </row>
    <row r="186">
      <c r="AW186" s="5"/>
      <c r="DU186" s="4"/>
    </row>
    <row r="187">
      <c r="AW187" s="5"/>
      <c r="DU187" s="4"/>
    </row>
    <row r="188">
      <c r="AW188" s="5"/>
      <c r="DU188" s="4"/>
    </row>
    <row r="189">
      <c r="AW189" s="5"/>
      <c r="DU189" s="4"/>
    </row>
    <row r="190">
      <c r="AW190" s="5"/>
      <c r="DU190" s="4"/>
    </row>
    <row r="191">
      <c r="AW191" s="5"/>
      <c r="DU191" s="4"/>
    </row>
    <row r="192">
      <c r="AW192" s="5"/>
      <c r="DU192" s="4"/>
    </row>
    <row r="193">
      <c r="AW193" s="5"/>
      <c r="DU193" s="4"/>
    </row>
    <row r="194">
      <c r="AW194" s="5"/>
      <c r="DU194" s="4"/>
    </row>
    <row r="195">
      <c r="AW195" s="5"/>
      <c r="DU195" s="4"/>
    </row>
    <row r="196">
      <c r="AW196" s="5"/>
      <c r="DU196" s="4"/>
    </row>
    <row r="197">
      <c r="AW197" s="5"/>
      <c r="DU197" s="4"/>
    </row>
    <row r="198">
      <c r="AW198" s="5"/>
      <c r="DU198" s="4"/>
    </row>
    <row r="199">
      <c r="AW199" s="5"/>
      <c r="DU199" s="4"/>
    </row>
    <row r="200">
      <c r="AW200" s="5"/>
      <c r="DU200" s="4"/>
    </row>
    <row r="201">
      <c r="AW201" s="5"/>
      <c r="DU201" s="4"/>
    </row>
    <row r="202">
      <c r="AW202" s="5"/>
      <c r="DU202" s="4"/>
    </row>
    <row r="203">
      <c r="AW203" s="5"/>
      <c r="DU203" s="4"/>
    </row>
    <row r="204">
      <c r="AW204" s="5"/>
      <c r="DU204" s="4"/>
    </row>
    <row r="205">
      <c r="AW205" s="5"/>
      <c r="DU205" s="4"/>
    </row>
    <row r="206">
      <c r="AW206" s="5"/>
      <c r="DU206" s="4"/>
    </row>
    <row r="207">
      <c r="AW207" s="5"/>
      <c r="DU207" s="4"/>
    </row>
    <row r="208">
      <c r="AW208" s="5"/>
      <c r="DU208" s="4"/>
    </row>
    <row r="209">
      <c r="AW209" s="5"/>
      <c r="DU209" s="4"/>
    </row>
    <row r="210">
      <c r="AW210" s="5"/>
      <c r="DU210" s="4"/>
    </row>
    <row r="211">
      <c r="AW211" s="5"/>
      <c r="DU211" s="4"/>
    </row>
    <row r="212">
      <c r="AW212" s="5"/>
      <c r="DU212" s="4"/>
    </row>
    <row r="213">
      <c r="AW213" s="5"/>
      <c r="DU213" s="4"/>
    </row>
    <row r="214">
      <c r="AW214" s="5"/>
      <c r="DU214" s="4"/>
    </row>
    <row r="215">
      <c r="AW215" s="5"/>
      <c r="DU215" s="4"/>
    </row>
    <row r="216">
      <c r="AW216" s="5"/>
      <c r="DU216" s="4"/>
    </row>
    <row r="217">
      <c r="AW217" s="5"/>
      <c r="DU217" s="4"/>
    </row>
    <row r="218">
      <c r="AW218" s="5"/>
      <c r="DU218" s="4"/>
    </row>
    <row r="219">
      <c r="AW219" s="5"/>
      <c r="DU219" s="4"/>
    </row>
    <row r="220">
      <c r="AW220" s="5"/>
      <c r="DU220" s="4"/>
    </row>
    <row r="221">
      <c r="AW221" s="5"/>
      <c r="DU221" s="4"/>
    </row>
    <row r="222">
      <c r="AW222" s="5"/>
      <c r="DU222" s="4"/>
    </row>
    <row r="223">
      <c r="AW223" s="5"/>
      <c r="DU223" s="4"/>
    </row>
    <row r="224">
      <c r="AW224" s="5"/>
      <c r="DU224" s="4"/>
    </row>
    <row r="225">
      <c r="AW225" s="5"/>
      <c r="DU225" s="4"/>
    </row>
    <row r="226">
      <c r="AW226" s="5"/>
      <c r="DU226" s="4"/>
    </row>
    <row r="227">
      <c r="AW227" s="5"/>
      <c r="DU227" s="4"/>
    </row>
    <row r="228">
      <c r="AW228" s="5"/>
      <c r="DU228" s="4"/>
    </row>
    <row r="229">
      <c r="AW229" s="5"/>
      <c r="DU229" s="4"/>
    </row>
    <row r="230">
      <c r="AW230" s="5"/>
      <c r="DU230" s="4"/>
    </row>
    <row r="231">
      <c r="AW231" s="5"/>
      <c r="DU231" s="4"/>
    </row>
    <row r="232">
      <c r="AW232" s="5"/>
      <c r="DU232" s="4"/>
    </row>
    <row r="233">
      <c r="AW233" s="5"/>
      <c r="DU233" s="4"/>
    </row>
    <row r="234">
      <c r="AW234" s="5"/>
      <c r="DU234" s="4"/>
    </row>
    <row r="235">
      <c r="AW235" s="5"/>
      <c r="DU235" s="4"/>
    </row>
    <row r="236">
      <c r="AW236" s="5"/>
      <c r="DU236" s="4"/>
    </row>
    <row r="237">
      <c r="AW237" s="5"/>
      <c r="DU237" s="4"/>
    </row>
    <row r="238">
      <c r="AW238" s="5"/>
      <c r="DU238" s="4"/>
    </row>
    <row r="239">
      <c r="AW239" s="5"/>
      <c r="DU239" s="4"/>
    </row>
    <row r="240">
      <c r="AW240" s="5"/>
      <c r="DU240" s="4"/>
    </row>
    <row r="241">
      <c r="AW241" s="5"/>
      <c r="DU241" s="4"/>
    </row>
    <row r="242">
      <c r="AW242" s="5"/>
      <c r="DU242" s="4"/>
    </row>
    <row r="243">
      <c r="AW243" s="5"/>
      <c r="DU243" s="4"/>
    </row>
    <row r="244">
      <c r="AW244" s="5"/>
      <c r="DU244" s="4"/>
    </row>
    <row r="245">
      <c r="AW245" s="5"/>
      <c r="DU245" s="4"/>
    </row>
    <row r="246">
      <c r="AW246" s="5"/>
      <c r="DU246" s="4"/>
    </row>
    <row r="247">
      <c r="AW247" s="5"/>
      <c r="DU247" s="4"/>
    </row>
    <row r="248">
      <c r="AW248" s="5"/>
      <c r="DU248" s="4"/>
    </row>
    <row r="249">
      <c r="AW249" s="5"/>
      <c r="DU249" s="4"/>
    </row>
    <row r="250">
      <c r="AW250" s="5"/>
      <c r="DU250" s="4"/>
    </row>
    <row r="251">
      <c r="AW251" s="5"/>
      <c r="DU251" s="4"/>
    </row>
    <row r="252">
      <c r="AW252" s="5"/>
      <c r="DU252" s="4"/>
    </row>
    <row r="253">
      <c r="AW253" s="5"/>
      <c r="DU253" s="4"/>
    </row>
    <row r="254">
      <c r="AW254" s="5"/>
      <c r="DU254" s="4"/>
    </row>
    <row r="255">
      <c r="AW255" s="5"/>
      <c r="DU255" s="4"/>
    </row>
    <row r="256">
      <c r="AW256" s="5"/>
      <c r="DU256" s="4"/>
    </row>
    <row r="257">
      <c r="AW257" s="5"/>
      <c r="DU257" s="4"/>
    </row>
    <row r="258">
      <c r="AW258" s="5"/>
      <c r="DU258" s="4"/>
    </row>
    <row r="259">
      <c r="AW259" s="5"/>
      <c r="DU259" s="4"/>
    </row>
    <row r="260">
      <c r="AW260" s="5"/>
      <c r="DU260" s="4"/>
    </row>
    <row r="261">
      <c r="AW261" s="5"/>
      <c r="DU261" s="4"/>
    </row>
    <row r="262">
      <c r="AW262" s="5"/>
      <c r="DU262" s="4"/>
    </row>
    <row r="263">
      <c r="AW263" s="5"/>
      <c r="DU263" s="4"/>
    </row>
    <row r="264">
      <c r="AW264" s="5"/>
      <c r="DU264" s="4"/>
    </row>
    <row r="265">
      <c r="AW265" s="5"/>
      <c r="DU265" s="4"/>
    </row>
    <row r="266">
      <c r="AW266" s="5"/>
      <c r="DU266" s="4"/>
    </row>
    <row r="267">
      <c r="AW267" s="5"/>
      <c r="DU267" s="4"/>
    </row>
    <row r="268">
      <c r="AW268" s="5"/>
      <c r="DU268" s="4"/>
    </row>
    <row r="269">
      <c r="AW269" s="5"/>
      <c r="DU269" s="4"/>
    </row>
    <row r="270">
      <c r="AW270" s="5"/>
      <c r="DU270" s="4"/>
    </row>
    <row r="271">
      <c r="AW271" s="5"/>
      <c r="DU271" s="4"/>
    </row>
    <row r="272">
      <c r="AW272" s="5"/>
      <c r="DU272" s="4"/>
    </row>
    <row r="273">
      <c r="AW273" s="5"/>
      <c r="DU273" s="4"/>
    </row>
    <row r="274">
      <c r="AW274" s="5"/>
      <c r="DU274" s="4"/>
    </row>
    <row r="275">
      <c r="AW275" s="5"/>
      <c r="DU275" s="4"/>
    </row>
    <row r="276">
      <c r="AW276" s="5"/>
      <c r="DU276" s="4"/>
    </row>
    <row r="277">
      <c r="AW277" s="5"/>
      <c r="DU277" s="4"/>
    </row>
    <row r="278">
      <c r="AW278" s="5"/>
      <c r="DU278" s="4"/>
    </row>
    <row r="279">
      <c r="AW279" s="5"/>
      <c r="DU279" s="4"/>
    </row>
    <row r="280">
      <c r="AW280" s="5"/>
      <c r="DU280" s="4"/>
    </row>
    <row r="281">
      <c r="AW281" s="5"/>
      <c r="DU281" s="4"/>
    </row>
    <row r="282">
      <c r="AW282" s="5"/>
      <c r="DU282" s="4"/>
    </row>
    <row r="283">
      <c r="AW283" s="5"/>
      <c r="DU283" s="4"/>
    </row>
    <row r="284">
      <c r="AW284" s="5"/>
      <c r="DU284" s="4"/>
    </row>
    <row r="285">
      <c r="AW285" s="5"/>
      <c r="DU285" s="4"/>
    </row>
    <row r="286">
      <c r="AW286" s="5"/>
      <c r="DU286" s="4"/>
    </row>
    <row r="287">
      <c r="AW287" s="5"/>
      <c r="DU287" s="4"/>
    </row>
    <row r="288">
      <c r="AW288" s="5"/>
      <c r="DU288" s="4"/>
    </row>
    <row r="289">
      <c r="AW289" s="5"/>
      <c r="DU289" s="4"/>
    </row>
    <row r="290">
      <c r="AW290" s="5"/>
      <c r="DU290" s="4"/>
    </row>
    <row r="291">
      <c r="AW291" s="5"/>
      <c r="DU291" s="4"/>
    </row>
    <row r="292">
      <c r="AW292" s="5"/>
      <c r="DU292" s="4"/>
    </row>
    <row r="293">
      <c r="AW293" s="5"/>
      <c r="DU293" s="4"/>
    </row>
    <row r="294">
      <c r="AW294" s="5"/>
      <c r="DU294" s="4"/>
    </row>
    <row r="295">
      <c r="AW295" s="5"/>
      <c r="DU295" s="4"/>
    </row>
    <row r="296">
      <c r="AW296" s="5"/>
      <c r="DU296" s="4"/>
    </row>
    <row r="297">
      <c r="AW297" s="5"/>
      <c r="DU297" s="4"/>
    </row>
    <row r="298">
      <c r="AW298" s="5"/>
      <c r="DU298" s="4"/>
    </row>
    <row r="299">
      <c r="AW299" s="5"/>
      <c r="DU299" s="4"/>
    </row>
    <row r="300">
      <c r="AW300" s="5"/>
      <c r="DU300" s="4"/>
    </row>
    <row r="301">
      <c r="AW301" s="5"/>
      <c r="DU301" s="4"/>
    </row>
    <row r="302">
      <c r="AW302" s="5"/>
      <c r="DU302" s="4"/>
    </row>
    <row r="303">
      <c r="AW303" s="5"/>
      <c r="DU303" s="4"/>
    </row>
    <row r="304">
      <c r="AW304" s="5"/>
      <c r="DU304" s="4"/>
    </row>
    <row r="305">
      <c r="AW305" s="5"/>
      <c r="DU305" s="4"/>
    </row>
    <row r="306">
      <c r="AW306" s="5"/>
      <c r="DU306" s="4"/>
    </row>
    <row r="307">
      <c r="AW307" s="5"/>
      <c r="DU307" s="4"/>
    </row>
    <row r="308">
      <c r="AW308" s="5"/>
      <c r="DU308" s="4"/>
    </row>
    <row r="309">
      <c r="AW309" s="5"/>
      <c r="DU309" s="4"/>
    </row>
    <row r="310">
      <c r="AW310" s="5"/>
      <c r="DU310" s="4"/>
    </row>
    <row r="311">
      <c r="AW311" s="5"/>
      <c r="DU311" s="4"/>
    </row>
    <row r="312">
      <c r="AW312" s="5"/>
      <c r="DU312" s="4"/>
    </row>
    <row r="313">
      <c r="AW313" s="5"/>
      <c r="DU313" s="4"/>
    </row>
    <row r="314">
      <c r="AW314" s="5"/>
      <c r="DU314" s="4"/>
    </row>
    <row r="315">
      <c r="AW315" s="5"/>
      <c r="DU315" s="4"/>
    </row>
    <row r="316">
      <c r="AW316" s="5"/>
      <c r="DU316" s="4"/>
    </row>
    <row r="317">
      <c r="AW317" s="5"/>
      <c r="DU317" s="4"/>
    </row>
    <row r="318">
      <c r="AW318" s="5"/>
      <c r="DU318" s="4"/>
    </row>
    <row r="319">
      <c r="AW319" s="5"/>
      <c r="DU319" s="4"/>
    </row>
    <row r="320">
      <c r="AW320" s="5"/>
      <c r="DU320" s="4"/>
    </row>
    <row r="321">
      <c r="AW321" s="5"/>
      <c r="DU321" s="4"/>
    </row>
    <row r="322">
      <c r="AW322" s="5"/>
      <c r="DU322" s="4"/>
    </row>
    <row r="323">
      <c r="AW323" s="5"/>
      <c r="DU323" s="4"/>
    </row>
    <row r="324">
      <c r="AW324" s="5"/>
      <c r="DU324" s="4"/>
    </row>
    <row r="325">
      <c r="AW325" s="5"/>
      <c r="DU325" s="4"/>
    </row>
    <row r="326">
      <c r="AW326" s="5"/>
      <c r="DU326" s="4"/>
    </row>
    <row r="327">
      <c r="AW327" s="5"/>
      <c r="DU327" s="4"/>
    </row>
    <row r="328">
      <c r="AW328" s="5"/>
      <c r="DU328" s="4"/>
    </row>
    <row r="329">
      <c r="AW329" s="5"/>
      <c r="DU329" s="4"/>
    </row>
    <row r="330">
      <c r="AW330" s="5"/>
      <c r="DU330" s="4"/>
    </row>
    <row r="331">
      <c r="AW331" s="5"/>
      <c r="DU331" s="4"/>
    </row>
    <row r="332">
      <c r="AW332" s="5"/>
      <c r="DU332" s="4"/>
    </row>
    <row r="333">
      <c r="AW333" s="5"/>
      <c r="DU333" s="4"/>
    </row>
    <row r="334">
      <c r="AW334" s="5"/>
      <c r="DU334" s="4"/>
    </row>
    <row r="335">
      <c r="AW335" s="5"/>
      <c r="DU335" s="4"/>
    </row>
    <row r="336">
      <c r="AW336" s="5"/>
      <c r="DU336" s="4"/>
    </row>
    <row r="337">
      <c r="AW337" s="5"/>
      <c r="DU337" s="4"/>
    </row>
    <row r="338">
      <c r="AW338" s="5"/>
      <c r="DU338" s="4"/>
    </row>
    <row r="339">
      <c r="AW339" s="5"/>
      <c r="DU339" s="4"/>
    </row>
    <row r="340">
      <c r="AW340" s="5"/>
      <c r="DU340" s="4"/>
    </row>
    <row r="341">
      <c r="AW341" s="5"/>
      <c r="DU341" s="4"/>
    </row>
    <row r="342">
      <c r="AW342" s="5"/>
      <c r="DU342" s="4"/>
    </row>
    <row r="343">
      <c r="AW343" s="5"/>
      <c r="DU343" s="4"/>
    </row>
    <row r="344">
      <c r="AW344" s="5"/>
      <c r="DU344" s="4"/>
    </row>
    <row r="345">
      <c r="AW345" s="5"/>
      <c r="DU345" s="4"/>
    </row>
    <row r="346">
      <c r="AW346" s="5"/>
      <c r="DU346" s="4"/>
    </row>
    <row r="347">
      <c r="AW347" s="5"/>
      <c r="DU347" s="4"/>
    </row>
    <row r="348">
      <c r="AW348" s="5"/>
      <c r="DU348" s="4"/>
    </row>
    <row r="349">
      <c r="AW349" s="5"/>
      <c r="DU349" s="4"/>
    </row>
    <row r="350">
      <c r="AW350" s="5"/>
      <c r="DU350" s="4"/>
    </row>
    <row r="351">
      <c r="AW351" s="5"/>
      <c r="DU351" s="4"/>
    </row>
    <row r="352">
      <c r="AW352" s="5"/>
      <c r="DU352" s="4"/>
    </row>
    <row r="353">
      <c r="AW353" s="5"/>
      <c r="DU353" s="4"/>
    </row>
    <row r="354">
      <c r="AW354" s="5"/>
      <c r="DU354" s="4"/>
    </row>
    <row r="355">
      <c r="AW355" s="5"/>
      <c r="DU355" s="4"/>
    </row>
    <row r="356">
      <c r="AW356" s="5"/>
      <c r="DU356" s="4"/>
    </row>
    <row r="357">
      <c r="AW357" s="5"/>
      <c r="DU357" s="4"/>
    </row>
    <row r="358">
      <c r="AW358" s="5"/>
      <c r="DU358" s="4"/>
    </row>
    <row r="359">
      <c r="AW359" s="5"/>
      <c r="DU359" s="4"/>
    </row>
    <row r="360">
      <c r="AW360" s="5"/>
      <c r="DU360" s="4"/>
    </row>
    <row r="361">
      <c r="AW361" s="5"/>
      <c r="DU361" s="4"/>
    </row>
    <row r="362">
      <c r="AW362" s="5"/>
      <c r="DU362" s="4"/>
    </row>
    <row r="363">
      <c r="AW363" s="5"/>
      <c r="DU363" s="4"/>
    </row>
    <row r="364">
      <c r="AW364" s="5"/>
      <c r="DU364" s="4"/>
    </row>
    <row r="365">
      <c r="AW365" s="5"/>
      <c r="DU365" s="4"/>
    </row>
    <row r="366">
      <c r="AW366" s="5"/>
      <c r="DU366" s="4"/>
    </row>
    <row r="367">
      <c r="AW367" s="5"/>
      <c r="DU367" s="4"/>
    </row>
    <row r="368">
      <c r="AW368" s="5"/>
      <c r="DU368" s="4"/>
    </row>
    <row r="369">
      <c r="AW369" s="5"/>
      <c r="DU369" s="4"/>
    </row>
    <row r="370">
      <c r="AW370" s="5"/>
      <c r="DU370" s="4"/>
    </row>
    <row r="371">
      <c r="AW371" s="5"/>
      <c r="DU371" s="4"/>
    </row>
    <row r="372">
      <c r="AW372" s="5"/>
      <c r="DU372" s="4"/>
    </row>
    <row r="373">
      <c r="AW373" s="5"/>
      <c r="DU373" s="4"/>
    </row>
    <row r="374">
      <c r="AW374" s="5"/>
      <c r="DU374" s="4"/>
    </row>
    <row r="375">
      <c r="AW375" s="5"/>
      <c r="DU375" s="4"/>
    </row>
    <row r="376">
      <c r="AW376" s="5"/>
      <c r="DU376" s="4"/>
    </row>
    <row r="377">
      <c r="AW377" s="5"/>
      <c r="DU377" s="4"/>
    </row>
    <row r="378">
      <c r="AW378" s="5"/>
      <c r="DU378" s="4"/>
    </row>
    <row r="379">
      <c r="AW379" s="5"/>
      <c r="DU379" s="4"/>
    </row>
    <row r="380">
      <c r="AW380" s="5"/>
      <c r="DU380" s="4"/>
    </row>
    <row r="381">
      <c r="AW381" s="5"/>
      <c r="DU381" s="4"/>
    </row>
    <row r="382">
      <c r="AW382" s="5"/>
      <c r="DU382" s="4"/>
    </row>
    <row r="383">
      <c r="AW383" s="5"/>
      <c r="DU383" s="4"/>
    </row>
    <row r="384">
      <c r="AW384" s="5"/>
      <c r="DU384" s="4"/>
    </row>
    <row r="385">
      <c r="AW385" s="5"/>
      <c r="DU385" s="4"/>
    </row>
    <row r="386">
      <c r="AW386" s="5"/>
      <c r="DU386" s="4"/>
    </row>
    <row r="387">
      <c r="AW387" s="5"/>
      <c r="DU387" s="4"/>
    </row>
    <row r="388">
      <c r="AW388" s="5"/>
      <c r="DU388" s="4"/>
    </row>
    <row r="389">
      <c r="AW389" s="5"/>
      <c r="DU389" s="4"/>
    </row>
    <row r="390">
      <c r="AW390" s="5"/>
      <c r="DU390" s="4"/>
    </row>
    <row r="391">
      <c r="AW391" s="5"/>
      <c r="DU391" s="4"/>
    </row>
    <row r="392">
      <c r="AW392" s="5"/>
      <c r="DU392" s="4"/>
    </row>
    <row r="393">
      <c r="AW393" s="5"/>
      <c r="DU393" s="4"/>
    </row>
    <row r="394">
      <c r="AW394" s="5"/>
      <c r="DU394" s="4"/>
    </row>
    <row r="395">
      <c r="AW395" s="5"/>
      <c r="DU395" s="4"/>
    </row>
    <row r="396">
      <c r="AW396" s="5"/>
      <c r="DU396" s="4"/>
    </row>
    <row r="397">
      <c r="AW397" s="5"/>
      <c r="DU397" s="4"/>
    </row>
    <row r="398">
      <c r="AW398" s="5"/>
      <c r="DU398" s="4"/>
    </row>
    <row r="399">
      <c r="AW399" s="5"/>
      <c r="DU399" s="4"/>
    </row>
    <row r="400">
      <c r="AW400" s="5"/>
      <c r="DU400" s="4"/>
    </row>
    <row r="401">
      <c r="AW401" s="5"/>
      <c r="DU401" s="4"/>
    </row>
    <row r="402">
      <c r="AW402" s="5"/>
      <c r="DU402" s="4"/>
    </row>
    <row r="403">
      <c r="AW403" s="5"/>
      <c r="DU403" s="4"/>
    </row>
    <row r="404">
      <c r="AW404" s="5"/>
      <c r="DU404" s="4"/>
    </row>
    <row r="405">
      <c r="AW405" s="5"/>
      <c r="DU405" s="4"/>
    </row>
    <row r="406">
      <c r="AW406" s="5"/>
      <c r="DU406" s="4"/>
    </row>
    <row r="407">
      <c r="AW407" s="5"/>
      <c r="DU407" s="4"/>
    </row>
    <row r="408">
      <c r="AW408" s="5"/>
      <c r="DU408" s="4"/>
    </row>
    <row r="409">
      <c r="AW409" s="5"/>
      <c r="DU409" s="4"/>
    </row>
    <row r="410">
      <c r="AW410" s="5"/>
      <c r="DU410" s="4"/>
    </row>
    <row r="411">
      <c r="AW411" s="5"/>
      <c r="DU411" s="4"/>
    </row>
    <row r="412">
      <c r="AW412" s="5"/>
      <c r="DU412" s="4"/>
    </row>
    <row r="413">
      <c r="AW413" s="5"/>
      <c r="DU413" s="4"/>
    </row>
    <row r="414">
      <c r="AW414" s="5"/>
      <c r="DU414" s="4"/>
    </row>
    <row r="415">
      <c r="AW415" s="5"/>
      <c r="DU415" s="4"/>
    </row>
    <row r="416">
      <c r="AW416" s="5"/>
      <c r="DU416" s="4"/>
    </row>
    <row r="417">
      <c r="AW417" s="5"/>
      <c r="DU417" s="4"/>
    </row>
    <row r="418">
      <c r="AW418" s="5"/>
      <c r="DU418" s="4"/>
    </row>
    <row r="419">
      <c r="AW419" s="5"/>
      <c r="DU419" s="4"/>
    </row>
    <row r="420">
      <c r="AW420" s="5"/>
      <c r="DU420" s="4"/>
    </row>
    <row r="421">
      <c r="AW421" s="5"/>
      <c r="DU421" s="4"/>
    </row>
    <row r="422">
      <c r="AW422" s="5"/>
      <c r="DU422" s="4"/>
    </row>
    <row r="423">
      <c r="AW423" s="5"/>
      <c r="DU423" s="4"/>
    </row>
    <row r="424">
      <c r="AW424" s="5"/>
      <c r="DU424" s="4"/>
    </row>
    <row r="425">
      <c r="AW425" s="5"/>
      <c r="DU425" s="4"/>
    </row>
    <row r="426">
      <c r="AW426" s="5"/>
      <c r="DU426" s="4"/>
    </row>
    <row r="427">
      <c r="AW427" s="5"/>
      <c r="DU427" s="4"/>
    </row>
    <row r="428">
      <c r="AW428" s="5"/>
      <c r="DU428" s="4"/>
    </row>
    <row r="429">
      <c r="AW429" s="5"/>
      <c r="DU429" s="4"/>
    </row>
    <row r="430">
      <c r="AW430" s="5"/>
      <c r="DU430" s="4"/>
    </row>
    <row r="431">
      <c r="AW431" s="5"/>
      <c r="DU431" s="4"/>
    </row>
    <row r="432">
      <c r="AW432" s="5"/>
      <c r="DU432" s="4"/>
    </row>
    <row r="433">
      <c r="AW433" s="5"/>
      <c r="DU433" s="4"/>
    </row>
    <row r="434">
      <c r="AW434" s="5"/>
      <c r="DU434" s="4"/>
    </row>
    <row r="435">
      <c r="AW435" s="5"/>
      <c r="DU435" s="4"/>
    </row>
    <row r="436">
      <c r="AW436" s="5"/>
      <c r="DU436" s="4"/>
    </row>
    <row r="437">
      <c r="AW437" s="5"/>
      <c r="DU437" s="4"/>
    </row>
    <row r="438">
      <c r="AW438" s="5"/>
      <c r="DU438" s="4"/>
    </row>
    <row r="439">
      <c r="AW439" s="5"/>
      <c r="DU439" s="4"/>
    </row>
    <row r="440">
      <c r="AW440" s="5"/>
      <c r="DU440" s="4"/>
    </row>
    <row r="441">
      <c r="AW441" s="5"/>
      <c r="DU441" s="4"/>
    </row>
    <row r="442">
      <c r="AW442" s="5"/>
      <c r="DU442" s="4"/>
    </row>
    <row r="443">
      <c r="AW443" s="5"/>
      <c r="DU443" s="4"/>
    </row>
    <row r="444">
      <c r="AW444" s="5"/>
      <c r="DU444" s="4"/>
    </row>
    <row r="445">
      <c r="AW445" s="5"/>
      <c r="DU445" s="4"/>
    </row>
    <row r="446">
      <c r="AW446" s="5"/>
      <c r="DU446" s="4"/>
    </row>
    <row r="447">
      <c r="AW447" s="5"/>
      <c r="DU447" s="4"/>
    </row>
    <row r="448">
      <c r="AW448" s="5"/>
      <c r="DU448" s="4"/>
    </row>
    <row r="449">
      <c r="AW449" s="5"/>
      <c r="DU449" s="4"/>
    </row>
    <row r="450">
      <c r="AW450" s="5"/>
      <c r="DU450" s="4"/>
    </row>
    <row r="451">
      <c r="AW451" s="5"/>
      <c r="DU451" s="4"/>
    </row>
    <row r="452">
      <c r="AW452" s="5"/>
      <c r="DU452" s="4"/>
    </row>
    <row r="453">
      <c r="AW453" s="5"/>
      <c r="DU453" s="4"/>
    </row>
    <row r="454">
      <c r="AW454" s="5"/>
      <c r="DU454" s="4"/>
    </row>
    <row r="455">
      <c r="AW455" s="5"/>
      <c r="DU455" s="4"/>
    </row>
    <row r="456">
      <c r="AW456" s="5"/>
      <c r="DU456" s="4"/>
    </row>
    <row r="457">
      <c r="AW457" s="5"/>
      <c r="DU457" s="4"/>
    </row>
    <row r="458">
      <c r="AW458" s="5"/>
      <c r="DU458" s="4"/>
    </row>
    <row r="459">
      <c r="AW459" s="5"/>
      <c r="DU459" s="4"/>
    </row>
    <row r="460">
      <c r="AW460" s="5"/>
      <c r="DU460" s="4"/>
    </row>
    <row r="461">
      <c r="AW461" s="5"/>
      <c r="DU461" s="4"/>
    </row>
    <row r="462">
      <c r="AW462" s="5"/>
      <c r="DU462" s="4"/>
    </row>
    <row r="463">
      <c r="AW463" s="5"/>
      <c r="DU463" s="4"/>
    </row>
    <row r="464">
      <c r="AW464" s="5"/>
      <c r="DU464" s="4"/>
    </row>
    <row r="465">
      <c r="AW465" s="5"/>
      <c r="DU465" s="4"/>
    </row>
    <row r="466">
      <c r="AW466" s="5"/>
      <c r="DU466" s="4"/>
    </row>
    <row r="467">
      <c r="AW467" s="5"/>
      <c r="DU467" s="4"/>
    </row>
    <row r="468">
      <c r="AW468" s="5"/>
      <c r="DU468" s="4"/>
    </row>
    <row r="469">
      <c r="AW469" s="5"/>
      <c r="DU469" s="4"/>
    </row>
    <row r="470">
      <c r="AW470" s="5"/>
      <c r="DU470" s="4"/>
    </row>
    <row r="471">
      <c r="AW471" s="5"/>
      <c r="DU471" s="4"/>
    </row>
    <row r="472">
      <c r="AW472" s="5"/>
      <c r="DU472" s="4"/>
    </row>
    <row r="473">
      <c r="AW473" s="5"/>
      <c r="DU473" s="4"/>
    </row>
    <row r="474">
      <c r="AW474" s="5"/>
      <c r="DU474" s="4"/>
    </row>
    <row r="475">
      <c r="AW475" s="5"/>
      <c r="DU475" s="4"/>
    </row>
    <row r="476">
      <c r="AW476" s="5"/>
      <c r="DU476" s="4"/>
    </row>
    <row r="477">
      <c r="AW477" s="5"/>
      <c r="DU477" s="4"/>
    </row>
    <row r="478">
      <c r="AW478" s="5"/>
      <c r="DU478" s="4"/>
    </row>
    <row r="479">
      <c r="AW479" s="5"/>
      <c r="DU479" s="4"/>
    </row>
    <row r="480">
      <c r="AW480" s="5"/>
      <c r="DU480" s="4"/>
    </row>
    <row r="481">
      <c r="AW481" s="5"/>
      <c r="DU481" s="4"/>
    </row>
    <row r="482">
      <c r="AW482" s="5"/>
      <c r="DU482" s="4"/>
    </row>
    <row r="483">
      <c r="AW483" s="5"/>
      <c r="DU483" s="4"/>
    </row>
    <row r="484">
      <c r="AW484" s="5"/>
      <c r="DU484" s="4"/>
    </row>
    <row r="485">
      <c r="AW485" s="5"/>
      <c r="DU485" s="4"/>
    </row>
    <row r="486">
      <c r="AW486" s="5"/>
      <c r="DU486" s="4"/>
    </row>
    <row r="487">
      <c r="AW487" s="5"/>
      <c r="DU487" s="4"/>
    </row>
    <row r="488">
      <c r="AW488" s="5"/>
      <c r="DU488" s="4"/>
    </row>
    <row r="489">
      <c r="AW489" s="5"/>
      <c r="DU489" s="4"/>
    </row>
    <row r="490">
      <c r="AW490" s="5"/>
      <c r="DU490" s="4"/>
    </row>
    <row r="491">
      <c r="AW491" s="5"/>
      <c r="DU491" s="4"/>
    </row>
    <row r="492">
      <c r="AW492" s="5"/>
      <c r="DU492" s="4"/>
    </row>
    <row r="493">
      <c r="AW493" s="5"/>
      <c r="DU493" s="4"/>
    </row>
    <row r="494">
      <c r="AW494" s="5"/>
      <c r="DU494" s="4"/>
    </row>
    <row r="495">
      <c r="AW495" s="5"/>
      <c r="DU495" s="4"/>
    </row>
    <row r="496">
      <c r="AW496" s="5"/>
      <c r="DU496" s="4"/>
    </row>
    <row r="497">
      <c r="AW497" s="5"/>
      <c r="DU497" s="4"/>
    </row>
    <row r="498">
      <c r="AW498" s="5"/>
      <c r="DU498" s="4"/>
    </row>
    <row r="499">
      <c r="AW499" s="5"/>
      <c r="DU499" s="4"/>
    </row>
    <row r="500">
      <c r="AW500" s="5"/>
      <c r="DU500" s="4"/>
    </row>
    <row r="501">
      <c r="AW501" s="5"/>
      <c r="DU501" s="4"/>
    </row>
    <row r="502">
      <c r="AW502" s="5"/>
      <c r="DU502" s="4"/>
    </row>
    <row r="503">
      <c r="AW503" s="5"/>
      <c r="DU503" s="4"/>
    </row>
    <row r="504">
      <c r="AW504" s="5"/>
      <c r="DU504" s="4"/>
    </row>
    <row r="505">
      <c r="AW505" s="5"/>
      <c r="DU505" s="4"/>
    </row>
    <row r="506">
      <c r="AW506" s="5"/>
      <c r="DU506" s="4"/>
    </row>
    <row r="507">
      <c r="AW507" s="5"/>
      <c r="DU507" s="4"/>
    </row>
    <row r="508">
      <c r="AW508" s="5"/>
      <c r="DU508" s="4"/>
    </row>
    <row r="509">
      <c r="AW509" s="5"/>
      <c r="DU509" s="4"/>
    </row>
    <row r="510">
      <c r="AW510" s="5"/>
      <c r="DU510" s="4"/>
    </row>
    <row r="511">
      <c r="AW511" s="5"/>
      <c r="DU511" s="4"/>
    </row>
    <row r="512">
      <c r="AW512" s="5"/>
      <c r="DU512" s="4"/>
    </row>
    <row r="513">
      <c r="AW513" s="5"/>
      <c r="DU513" s="4"/>
    </row>
    <row r="514">
      <c r="AW514" s="5"/>
      <c r="DU514" s="4"/>
    </row>
    <row r="515">
      <c r="AW515" s="5"/>
      <c r="DU515" s="4"/>
    </row>
    <row r="516">
      <c r="AW516" s="5"/>
      <c r="DU516" s="4"/>
    </row>
    <row r="517">
      <c r="AW517" s="5"/>
      <c r="DU517" s="4"/>
    </row>
    <row r="518">
      <c r="AW518" s="5"/>
      <c r="DU518" s="4"/>
    </row>
    <row r="519">
      <c r="AW519" s="5"/>
      <c r="DU519" s="4"/>
    </row>
    <row r="520">
      <c r="AW520" s="5"/>
      <c r="DU520" s="4"/>
    </row>
    <row r="521">
      <c r="AW521" s="5"/>
      <c r="DU521" s="4"/>
    </row>
    <row r="522">
      <c r="AW522" s="5"/>
      <c r="DU522" s="4"/>
    </row>
    <row r="523">
      <c r="AW523" s="5"/>
      <c r="DU523" s="4"/>
    </row>
    <row r="524">
      <c r="AW524" s="5"/>
      <c r="DU524" s="4"/>
    </row>
    <row r="525">
      <c r="AW525" s="5"/>
      <c r="DU525" s="4"/>
    </row>
    <row r="526">
      <c r="AW526" s="5"/>
      <c r="DU526" s="4"/>
    </row>
    <row r="527">
      <c r="AW527" s="5"/>
      <c r="DU527" s="4"/>
    </row>
    <row r="528">
      <c r="AW528" s="5"/>
      <c r="DU528" s="4"/>
    </row>
    <row r="529">
      <c r="AW529" s="5"/>
      <c r="DU529" s="4"/>
    </row>
    <row r="530">
      <c r="AW530" s="5"/>
      <c r="DU530" s="4"/>
    </row>
    <row r="531">
      <c r="AW531" s="5"/>
      <c r="DU531" s="4"/>
    </row>
    <row r="532">
      <c r="AW532" s="5"/>
      <c r="DU532" s="4"/>
    </row>
    <row r="533">
      <c r="AW533" s="5"/>
      <c r="DU533" s="4"/>
    </row>
    <row r="534">
      <c r="AW534" s="5"/>
      <c r="DU534" s="4"/>
    </row>
    <row r="535">
      <c r="AW535" s="5"/>
      <c r="DU535" s="4"/>
    </row>
    <row r="536">
      <c r="AW536" s="5"/>
      <c r="DU536" s="4"/>
    </row>
    <row r="537">
      <c r="AW537" s="5"/>
      <c r="DU537" s="4"/>
    </row>
    <row r="538">
      <c r="AW538" s="5"/>
      <c r="DU538" s="4"/>
    </row>
    <row r="539">
      <c r="AW539" s="5"/>
      <c r="DU539" s="4"/>
    </row>
    <row r="540">
      <c r="AW540" s="5"/>
      <c r="DU540" s="4"/>
    </row>
    <row r="541">
      <c r="AW541" s="5"/>
      <c r="DU541" s="4"/>
    </row>
    <row r="542">
      <c r="AW542" s="5"/>
      <c r="DU542" s="4"/>
    </row>
    <row r="543">
      <c r="AW543" s="5"/>
      <c r="DU543" s="4"/>
    </row>
    <row r="544">
      <c r="AW544" s="5"/>
      <c r="DU544" s="4"/>
    </row>
    <row r="545">
      <c r="AW545" s="5"/>
      <c r="DU545" s="4"/>
    </row>
    <row r="546">
      <c r="AW546" s="5"/>
      <c r="DU546" s="4"/>
    </row>
    <row r="547">
      <c r="AW547" s="5"/>
      <c r="DU547" s="4"/>
    </row>
    <row r="548">
      <c r="AW548" s="5"/>
      <c r="DU548" s="4"/>
    </row>
    <row r="549">
      <c r="AW549" s="5"/>
      <c r="DU549" s="4"/>
    </row>
    <row r="550">
      <c r="AW550" s="5"/>
      <c r="DU550" s="4"/>
    </row>
    <row r="551">
      <c r="AW551" s="5"/>
      <c r="DU551" s="4"/>
    </row>
    <row r="552">
      <c r="AW552" s="5"/>
      <c r="DU552" s="4"/>
    </row>
    <row r="553">
      <c r="AW553" s="5"/>
      <c r="DU553" s="4"/>
    </row>
    <row r="554">
      <c r="AW554" s="5"/>
      <c r="DU554" s="4"/>
    </row>
    <row r="555">
      <c r="AW555" s="5"/>
      <c r="DU555" s="4"/>
    </row>
    <row r="556">
      <c r="AW556" s="5"/>
      <c r="DU556" s="4"/>
    </row>
    <row r="557">
      <c r="AW557" s="5"/>
      <c r="DU557" s="4"/>
    </row>
    <row r="558">
      <c r="AW558" s="5"/>
      <c r="DU558" s="4"/>
    </row>
    <row r="559">
      <c r="AW559" s="5"/>
      <c r="DU559" s="4"/>
    </row>
    <row r="560">
      <c r="AW560" s="5"/>
      <c r="DU560" s="4"/>
    </row>
    <row r="561">
      <c r="AW561" s="5"/>
      <c r="DU561" s="4"/>
    </row>
    <row r="562">
      <c r="AW562" s="5"/>
      <c r="DU562" s="4"/>
    </row>
    <row r="563">
      <c r="AW563" s="5"/>
      <c r="DU563" s="4"/>
    </row>
    <row r="564">
      <c r="AW564" s="5"/>
      <c r="DU564" s="4"/>
    </row>
    <row r="565">
      <c r="AW565" s="5"/>
      <c r="DU565" s="4"/>
    </row>
    <row r="566">
      <c r="AW566" s="5"/>
      <c r="DU566" s="4"/>
    </row>
    <row r="567">
      <c r="AW567" s="5"/>
      <c r="DU567" s="4"/>
    </row>
    <row r="568">
      <c r="AW568" s="5"/>
      <c r="DU568" s="4"/>
    </row>
    <row r="569">
      <c r="AW569" s="5"/>
      <c r="DU569" s="4"/>
    </row>
    <row r="570">
      <c r="AW570" s="5"/>
      <c r="DU570" s="4"/>
    </row>
    <row r="571">
      <c r="AW571" s="5"/>
      <c r="DU571" s="4"/>
    </row>
    <row r="572">
      <c r="AW572" s="5"/>
      <c r="DU572" s="4"/>
    </row>
    <row r="573">
      <c r="AW573" s="5"/>
      <c r="DU573" s="4"/>
    </row>
    <row r="574">
      <c r="AW574" s="5"/>
      <c r="DU574" s="4"/>
    </row>
    <row r="575">
      <c r="AW575" s="5"/>
      <c r="DU575" s="4"/>
    </row>
    <row r="576">
      <c r="AW576" s="5"/>
      <c r="DU576" s="4"/>
    </row>
    <row r="577">
      <c r="AW577" s="5"/>
      <c r="DU577" s="4"/>
    </row>
    <row r="578">
      <c r="AW578" s="5"/>
      <c r="DU578" s="4"/>
    </row>
    <row r="579">
      <c r="AW579" s="5"/>
      <c r="DU579" s="4"/>
    </row>
    <row r="580">
      <c r="AW580" s="5"/>
      <c r="DU580" s="4"/>
    </row>
    <row r="581">
      <c r="AW581" s="5"/>
      <c r="DU581" s="4"/>
    </row>
    <row r="582">
      <c r="AW582" s="5"/>
      <c r="DU582" s="4"/>
    </row>
    <row r="583">
      <c r="AW583" s="5"/>
      <c r="DU583" s="4"/>
    </row>
    <row r="584">
      <c r="AW584" s="5"/>
      <c r="DU584" s="4"/>
    </row>
    <row r="585">
      <c r="AW585" s="5"/>
      <c r="DU585" s="4"/>
    </row>
    <row r="586">
      <c r="AW586" s="5"/>
      <c r="DU586" s="4"/>
    </row>
    <row r="587">
      <c r="AW587" s="5"/>
      <c r="DU587" s="4"/>
    </row>
    <row r="588">
      <c r="AW588" s="5"/>
      <c r="DU588" s="4"/>
    </row>
    <row r="589">
      <c r="AW589" s="5"/>
      <c r="DU589" s="4"/>
    </row>
    <row r="590">
      <c r="AW590" s="5"/>
      <c r="DU590" s="4"/>
    </row>
    <row r="591">
      <c r="AW591" s="5"/>
      <c r="DU591" s="4"/>
    </row>
    <row r="592">
      <c r="AW592" s="5"/>
      <c r="DU592" s="4"/>
    </row>
    <row r="593">
      <c r="AW593" s="5"/>
      <c r="DU593" s="4"/>
    </row>
    <row r="594">
      <c r="AW594" s="5"/>
      <c r="DU594" s="4"/>
    </row>
    <row r="595">
      <c r="AW595" s="5"/>
      <c r="DU595" s="4"/>
    </row>
    <row r="596">
      <c r="AW596" s="5"/>
      <c r="DU596" s="4"/>
    </row>
    <row r="597">
      <c r="AW597" s="5"/>
      <c r="DU597" s="4"/>
    </row>
    <row r="598">
      <c r="AW598" s="5"/>
      <c r="DU598" s="4"/>
    </row>
    <row r="599">
      <c r="AW599" s="5"/>
      <c r="DU599" s="4"/>
    </row>
    <row r="600">
      <c r="AW600" s="5"/>
      <c r="DU600" s="4"/>
    </row>
    <row r="601">
      <c r="AW601" s="5"/>
      <c r="DU601" s="4"/>
    </row>
    <row r="602">
      <c r="AW602" s="5"/>
      <c r="DU602" s="4"/>
    </row>
    <row r="603">
      <c r="AW603" s="5"/>
      <c r="DU603" s="4"/>
    </row>
    <row r="604">
      <c r="AW604" s="5"/>
      <c r="DU604" s="4"/>
    </row>
    <row r="605">
      <c r="AW605" s="5"/>
      <c r="DU605" s="4"/>
    </row>
    <row r="606">
      <c r="AW606" s="5"/>
      <c r="DU606" s="4"/>
    </row>
    <row r="607">
      <c r="AW607" s="5"/>
      <c r="DU607" s="4"/>
    </row>
    <row r="608">
      <c r="AW608" s="5"/>
      <c r="DU608" s="4"/>
    </row>
    <row r="609">
      <c r="AW609" s="5"/>
      <c r="DU609" s="4"/>
    </row>
    <row r="610">
      <c r="AW610" s="5"/>
      <c r="DU610" s="4"/>
    </row>
    <row r="611">
      <c r="AW611" s="5"/>
      <c r="DU611" s="4"/>
    </row>
    <row r="612">
      <c r="AW612" s="5"/>
      <c r="DU612" s="4"/>
    </row>
    <row r="613">
      <c r="AW613" s="5"/>
      <c r="DU613" s="4"/>
    </row>
    <row r="614">
      <c r="AW614" s="5"/>
      <c r="DU614" s="4"/>
    </row>
    <row r="615">
      <c r="AW615" s="5"/>
      <c r="DU615" s="4"/>
    </row>
    <row r="616">
      <c r="AW616" s="5"/>
      <c r="DU616" s="4"/>
    </row>
    <row r="617">
      <c r="AW617" s="5"/>
      <c r="DU617" s="4"/>
    </row>
    <row r="618">
      <c r="AW618" s="5"/>
      <c r="DU618" s="4"/>
    </row>
    <row r="619">
      <c r="AW619" s="5"/>
      <c r="DU619" s="4"/>
    </row>
    <row r="620">
      <c r="AW620" s="5"/>
      <c r="DU620" s="4"/>
    </row>
    <row r="621">
      <c r="AW621" s="5"/>
      <c r="DU621" s="4"/>
    </row>
    <row r="622">
      <c r="AW622" s="5"/>
      <c r="DU622" s="4"/>
    </row>
    <row r="623">
      <c r="AW623" s="5"/>
      <c r="DU623" s="4"/>
    </row>
    <row r="624">
      <c r="AW624" s="5"/>
      <c r="DU624" s="4"/>
    </row>
    <row r="625">
      <c r="AW625" s="5"/>
      <c r="DU625" s="4"/>
    </row>
    <row r="626">
      <c r="AW626" s="5"/>
      <c r="DU626" s="4"/>
    </row>
    <row r="627">
      <c r="AW627" s="5"/>
      <c r="DU627" s="4"/>
    </row>
    <row r="628">
      <c r="AW628" s="5"/>
      <c r="DU628" s="4"/>
    </row>
    <row r="629">
      <c r="AW629" s="5"/>
      <c r="DU629" s="4"/>
    </row>
    <row r="630">
      <c r="AW630" s="5"/>
      <c r="DU630" s="4"/>
    </row>
    <row r="631">
      <c r="AW631" s="5"/>
      <c r="DU631" s="4"/>
    </row>
    <row r="632">
      <c r="AW632" s="5"/>
      <c r="DU632" s="4"/>
    </row>
    <row r="633">
      <c r="AW633" s="5"/>
      <c r="DU633" s="4"/>
    </row>
    <row r="634">
      <c r="AW634" s="5"/>
      <c r="DU634" s="4"/>
    </row>
    <row r="635">
      <c r="AW635" s="5"/>
      <c r="DU635" s="4"/>
    </row>
    <row r="636">
      <c r="AW636" s="5"/>
      <c r="DU636" s="4"/>
    </row>
    <row r="637">
      <c r="AW637" s="5"/>
      <c r="DU637" s="4"/>
    </row>
    <row r="638">
      <c r="AW638" s="5"/>
      <c r="DU638" s="4"/>
    </row>
    <row r="639">
      <c r="AW639" s="5"/>
      <c r="DU639" s="4"/>
    </row>
    <row r="640">
      <c r="AW640" s="5"/>
      <c r="DU640" s="4"/>
    </row>
    <row r="641">
      <c r="AW641" s="5"/>
      <c r="DU641" s="4"/>
    </row>
    <row r="642">
      <c r="AW642" s="5"/>
      <c r="DU642" s="4"/>
    </row>
    <row r="643">
      <c r="AW643" s="5"/>
      <c r="DU643" s="4"/>
    </row>
    <row r="644">
      <c r="AW644" s="5"/>
      <c r="DU644" s="4"/>
    </row>
    <row r="645">
      <c r="AW645" s="5"/>
      <c r="DU645" s="4"/>
    </row>
    <row r="646">
      <c r="AW646" s="5"/>
      <c r="DU646" s="4"/>
    </row>
    <row r="647">
      <c r="AW647" s="5"/>
      <c r="DU647" s="4"/>
    </row>
    <row r="648">
      <c r="AW648" s="5"/>
      <c r="DU648" s="4"/>
    </row>
    <row r="649">
      <c r="AW649" s="5"/>
      <c r="DU649" s="4"/>
    </row>
    <row r="650">
      <c r="AW650" s="5"/>
      <c r="DU650" s="4"/>
    </row>
    <row r="651">
      <c r="AW651" s="5"/>
      <c r="DU651" s="4"/>
    </row>
    <row r="652">
      <c r="AW652" s="5"/>
      <c r="DU652" s="4"/>
    </row>
    <row r="653">
      <c r="AW653" s="5"/>
      <c r="DU653" s="4"/>
    </row>
    <row r="654">
      <c r="AW654" s="5"/>
      <c r="DU654" s="4"/>
    </row>
    <row r="655">
      <c r="AW655" s="5"/>
      <c r="DU655" s="4"/>
    </row>
    <row r="656">
      <c r="AW656" s="5"/>
      <c r="DU656" s="4"/>
    </row>
    <row r="657">
      <c r="AW657" s="5"/>
      <c r="DU657" s="4"/>
    </row>
    <row r="658">
      <c r="AW658" s="5"/>
      <c r="DU658" s="4"/>
    </row>
    <row r="659">
      <c r="AW659" s="5"/>
      <c r="DU659" s="4"/>
    </row>
    <row r="660">
      <c r="AW660" s="5"/>
      <c r="DU660" s="4"/>
    </row>
    <row r="661">
      <c r="AW661" s="5"/>
      <c r="DU661" s="4"/>
    </row>
    <row r="662">
      <c r="AW662" s="5"/>
      <c r="DU662" s="4"/>
    </row>
    <row r="663">
      <c r="AW663" s="5"/>
      <c r="DU663" s="4"/>
    </row>
    <row r="664">
      <c r="AW664" s="5"/>
      <c r="DU664" s="4"/>
    </row>
    <row r="665">
      <c r="AW665" s="5"/>
      <c r="DU665" s="4"/>
    </row>
    <row r="666">
      <c r="AW666" s="5"/>
      <c r="DU666" s="4"/>
    </row>
    <row r="667">
      <c r="AW667" s="5"/>
      <c r="DU667" s="4"/>
    </row>
    <row r="668">
      <c r="AW668" s="5"/>
      <c r="DU668" s="4"/>
    </row>
    <row r="669">
      <c r="AW669" s="5"/>
      <c r="DU669" s="4"/>
    </row>
    <row r="670">
      <c r="AW670" s="5"/>
      <c r="DU670" s="4"/>
    </row>
    <row r="671">
      <c r="AW671" s="5"/>
      <c r="DU671" s="4"/>
    </row>
    <row r="672">
      <c r="AW672" s="5"/>
      <c r="DU672" s="4"/>
    </row>
    <row r="673">
      <c r="AW673" s="5"/>
      <c r="DU673" s="4"/>
    </row>
    <row r="674">
      <c r="AW674" s="5"/>
      <c r="DU674" s="4"/>
    </row>
    <row r="675">
      <c r="AW675" s="5"/>
      <c r="DU675" s="4"/>
    </row>
    <row r="676">
      <c r="AW676" s="5"/>
      <c r="DU676" s="4"/>
    </row>
    <row r="677">
      <c r="AW677" s="5"/>
      <c r="DU677" s="4"/>
    </row>
    <row r="678">
      <c r="AW678" s="5"/>
      <c r="DU678" s="4"/>
    </row>
    <row r="679">
      <c r="AW679" s="5"/>
      <c r="DU679" s="4"/>
    </row>
    <row r="680">
      <c r="AW680" s="5"/>
      <c r="DU680" s="4"/>
    </row>
    <row r="681">
      <c r="AW681" s="5"/>
      <c r="DU681" s="4"/>
    </row>
    <row r="682">
      <c r="AW682" s="5"/>
      <c r="DU682" s="4"/>
    </row>
    <row r="683">
      <c r="AW683" s="5"/>
      <c r="DU683" s="4"/>
    </row>
    <row r="684">
      <c r="AW684" s="5"/>
      <c r="DU684" s="4"/>
    </row>
    <row r="685">
      <c r="AW685" s="5"/>
      <c r="DU685" s="4"/>
    </row>
    <row r="686">
      <c r="AW686" s="5"/>
      <c r="DU686" s="4"/>
    </row>
    <row r="687">
      <c r="AW687" s="5"/>
      <c r="DU687" s="4"/>
    </row>
    <row r="688">
      <c r="AW688" s="5"/>
      <c r="DU688" s="4"/>
    </row>
    <row r="689">
      <c r="AW689" s="5"/>
      <c r="DU689" s="4"/>
    </row>
    <row r="690">
      <c r="AW690" s="5"/>
      <c r="DU690" s="4"/>
    </row>
    <row r="691">
      <c r="AW691" s="5"/>
      <c r="DU691" s="4"/>
    </row>
    <row r="692">
      <c r="AW692" s="5"/>
      <c r="DU692" s="4"/>
    </row>
    <row r="693">
      <c r="AW693" s="5"/>
      <c r="DU693" s="4"/>
    </row>
    <row r="694">
      <c r="AW694" s="5"/>
      <c r="DU694" s="4"/>
    </row>
    <row r="695">
      <c r="AW695" s="5"/>
      <c r="DU695" s="4"/>
    </row>
    <row r="696">
      <c r="AW696" s="5"/>
      <c r="DU696" s="4"/>
    </row>
    <row r="697">
      <c r="AW697" s="5"/>
      <c r="DU697" s="4"/>
    </row>
    <row r="698">
      <c r="AW698" s="5"/>
      <c r="DU698" s="4"/>
    </row>
    <row r="699">
      <c r="AW699" s="5"/>
      <c r="DU699" s="4"/>
    </row>
    <row r="700">
      <c r="AW700" s="5"/>
      <c r="DU700" s="4"/>
    </row>
    <row r="701">
      <c r="AW701" s="5"/>
      <c r="DU701" s="4"/>
    </row>
    <row r="702">
      <c r="AW702" s="5"/>
      <c r="DU702" s="4"/>
    </row>
    <row r="703">
      <c r="AW703" s="5"/>
      <c r="DU703" s="4"/>
    </row>
    <row r="704">
      <c r="AW704" s="5"/>
      <c r="DU704" s="4"/>
    </row>
    <row r="705">
      <c r="AW705" s="5"/>
      <c r="DU705" s="4"/>
    </row>
    <row r="706">
      <c r="AW706" s="5"/>
      <c r="DU706" s="4"/>
    </row>
    <row r="707">
      <c r="AW707" s="5"/>
      <c r="DU707" s="4"/>
    </row>
    <row r="708">
      <c r="AW708" s="5"/>
      <c r="DU708" s="4"/>
    </row>
    <row r="709">
      <c r="AW709" s="5"/>
      <c r="DU709" s="4"/>
    </row>
    <row r="710">
      <c r="AW710" s="5"/>
      <c r="DU710" s="4"/>
    </row>
    <row r="711">
      <c r="AW711" s="5"/>
      <c r="DU711" s="4"/>
    </row>
    <row r="712">
      <c r="AW712" s="5"/>
      <c r="DU712" s="4"/>
    </row>
    <row r="713">
      <c r="AW713" s="5"/>
      <c r="DU713" s="4"/>
    </row>
    <row r="714">
      <c r="AW714" s="5"/>
      <c r="DU714" s="4"/>
    </row>
    <row r="715">
      <c r="AW715" s="5"/>
      <c r="DU715" s="4"/>
    </row>
    <row r="716">
      <c r="AW716" s="5"/>
      <c r="DU716" s="4"/>
    </row>
    <row r="717">
      <c r="AW717" s="5"/>
      <c r="DU717" s="4"/>
    </row>
    <row r="718">
      <c r="AW718" s="5"/>
      <c r="DU718" s="4"/>
    </row>
    <row r="719">
      <c r="AW719" s="5"/>
      <c r="DU719" s="4"/>
    </row>
    <row r="720">
      <c r="AW720" s="5"/>
      <c r="DU720" s="4"/>
    </row>
    <row r="721">
      <c r="AW721" s="5"/>
      <c r="DU721" s="4"/>
    </row>
    <row r="722">
      <c r="AW722" s="5"/>
      <c r="DU722" s="4"/>
    </row>
    <row r="723">
      <c r="AW723" s="5"/>
      <c r="DU723" s="4"/>
    </row>
    <row r="724">
      <c r="AW724" s="5"/>
      <c r="DU724" s="4"/>
    </row>
    <row r="725">
      <c r="AW725" s="5"/>
      <c r="DU725" s="4"/>
    </row>
    <row r="726">
      <c r="AW726" s="5"/>
      <c r="DU726" s="4"/>
    </row>
    <row r="727">
      <c r="AW727" s="5"/>
      <c r="DU727" s="4"/>
    </row>
    <row r="728">
      <c r="AW728" s="5"/>
      <c r="DU728" s="4"/>
    </row>
    <row r="729">
      <c r="AW729" s="5"/>
      <c r="DU729" s="4"/>
    </row>
    <row r="730">
      <c r="AW730" s="5"/>
      <c r="DU730" s="4"/>
    </row>
    <row r="731">
      <c r="AW731" s="5"/>
      <c r="DU731" s="4"/>
    </row>
    <row r="732">
      <c r="AW732" s="5"/>
      <c r="DU732" s="4"/>
    </row>
    <row r="733">
      <c r="AW733" s="5"/>
      <c r="DU733" s="4"/>
    </row>
    <row r="734">
      <c r="AW734" s="5"/>
      <c r="DU734" s="4"/>
    </row>
    <row r="735">
      <c r="AW735" s="5"/>
      <c r="DU735" s="4"/>
    </row>
    <row r="736">
      <c r="AW736" s="5"/>
      <c r="DU736" s="4"/>
    </row>
    <row r="737">
      <c r="AW737" s="5"/>
      <c r="DU737" s="4"/>
    </row>
    <row r="738">
      <c r="AW738" s="5"/>
      <c r="DU738" s="4"/>
    </row>
    <row r="739">
      <c r="AW739" s="5"/>
      <c r="DU739" s="4"/>
    </row>
    <row r="740">
      <c r="AW740" s="5"/>
      <c r="DU740" s="4"/>
    </row>
    <row r="741">
      <c r="AW741" s="5"/>
      <c r="DU741" s="4"/>
    </row>
    <row r="742">
      <c r="AW742" s="5"/>
      <c r="DU742" s="4"/>
    </row>
    <row r="743">
      <c r="AW743" s="5"/>
      <c r="DU743" s="4"/>
    </row>
    <row r="744">
      <c r="AW744" s="5"/>
      <c r="DU744" s="4"/>
    </row>
    <row r="745">
      <c r="AW745" s="5"/>
      <c r="DU745" s="4"/>
    </row>
    <row r="746">
      <c r="AW746" s="5"/>
      <c r="DU746" s="4"/>
    </row>
    <row r="747">
      <c r="AW747" s="5"/>
      <c r="DU747" s="4"/>
    </row>
    <row r="748">
      <c r="AW748" s="5"/>
      <c r="DU748" s="4"/>
    </row>
    <row r="749">
      <c r="AW749" s="5"/>
      <c r="DU749" s="4"/>
    </row>
    <row r="750">
      <c r="AW750" s="5"/>
      <c r="DU750" s="4"/>
    </row>
    <row r="751">
      <c r="AW751" s="5"/>
      <c r="DU751" s="4"/>
    </row>
    <row r="752">
      <c r="AW752" s="5"/>
      <c r="DU752" s="4"/>
    </row>
    <row r="753">
      <c r="AW753" s="5"/>
      <c r="DU753" s="4"/>
    </row>
    <row r="754">
      <c r="AW754" s="5"/>
      <c r="DU754" s="4"/>
    </row>
    <row r="755">
      <c r="AW755" s="5"/>
      <c r="DU755" s="4"/>
    </row>
    <row r="756">
      <c r="AW756" s="5"/>
      <c r="DU756" s="4"/>
    </row>
    <row r="757">
      <c r="AW757" s="5"/>
      <c r="DU757" s="4"/>
    </row>
    <row r="758">
      <c r="AW758" s="5"/>
      <c r="DU758" s="4"/>
    </row>
    <row r="759">
      <c r="AW759" s="5"/>
      <c r="DU759" s="4"/>
    </row>
    <row r="760">
      <c r="AW760" s="5"/>
      <c r="DU760" s="4"/>
    </row>
    <row r="761">
      <c r="AW761" s="5"/>
      <c r="DU761" s="4"/>
    </row>
    <row r="762">
      <c r="AW762" s="5"/>
      <c r="DU762" s="4"/>
    </row>
    <row r="763">
      <c r="AW763" s="5"/>
      <c r="DU763" s="4"/>
    </row>
    <row r="764">
      <c r="AW764" s="5"/>
      <c r="DU764" s="4"/>
    </row>
    <row r="765">
      <c r="AW765" s="5"/>
      <c r="DU765" s="4"/>
    </row>
    <row r="766">
      <c r="AW766" s="5"/>
      <c r="DU766" s="4"/>
    </row>
    <row r="767">
      <c r="AW767" s="5"/>
      <c r="DU767" s="4"/>
    </row>
    <row r="768">
      <c r="AW768" s="5"/>
      <c r="DU768" s="4"/>
    </row>
    <row r="769">
      <c r="AW769" s="5"/>
      <c r="DU769" s="4"/>
    </row>
    <row r="770">
      <c r="AW770" s="5"/>
      <c r="DU770" s="4"/>
    </row>
    <row r="771">
      <c r="AW771" s="5"/>
      <c r="DU771" s="4"/>
    </row>
    <row r="772">
      <c r="AW772" s="5"/>
      <c r="DU772" s="4"/>
    </row>
    <row r="773">
      <c r="AW773" s="5"/>
      <c r="DU773" s="4"/>
    </row>
    <row r="774">
      <c r="AW774" s="5"/>
      <c r="DU774" s="4"/>
    </row>
    <row r="775">
      <c r="AW775" s="5"/>
      <c r="DU775" s="4"/>
    </row>
    <row r="776">
      <c r="AW776" s="5"/>
      <c r="DU776" s="4"/>
    </row>
    <row r="777">
      <c r="AW777" s="5"/>
      <c r="DU777" s="4"/>
    </row>
    <row r="778">
      <c r="AW778" s="5"/>
      <c r="DU778" s="4"/>
    </row>
    <row r="779">
      <c r="AW779" s="5"/>
      <c r="DU779" s="4"/>
    </row>
    <row r="780">
      <c r="AW780" s="5"/>
      <c r="DU780" s="4"/>
    </row>
    <row r="781">
      <c r="AW781" s="5"/>
      <c r="DU781" s="4"/>
    </row>
    <row r="782">
      <c r="AW782" s="5"/>
      <c r="DU782" s="4"/>
    </row>
    <row r="783">
      <c r="AW783" s="5"/>
      <c r="DU783" s="4"/>
    </row>
    <row r="784">
      <c r="AW784" s="5"/>
      <c r="DU784" s="4"/>
    </row>
    <row r="785">
      <c r="AW785" s="5"/>
      <c r="DU785" s="4"/>
    </row>
    <row r="786">
      <c r="AW786" s="5"/>
      <c r="DU786" s="4"/>
    </row>
    <row r="787">
      <c r="AW787" s="5"/>
      <c r="DU787" s="4"/>
    </row>
    <row r="788">
      <c r="AW788" s="5"/>
      <c r="DU788" s="4"/>
    </row>
    <row r="789">
      <c r="AW789" s="5"/>
      <c r="DU789" s="4"/>
    </row>
    <row r="790">
      <c r="AW790" s="5"/>
      <c r="DU790" s="4"/>
    </row>
    <row r="791">
      <c r="AW791" s="5"/>
      <c r="DU791" s="4"/>
    </row>
    <row r="792">
      <c r="AW792" s="5"/>
      <c r="DU792" s="4"/>
    </row>
    <row r="793">
      <c r="AW793" s="5"/>
      <c r="DU793" s="4"/>
    </row>
    <row r="794">
      <c r="AW794" s="5"/>
      <c r="DU794" s="4"/>
    </row>
    <row r="795">
      <c r="AW795" s="5"/>
      <c r="DU795" s="4"/>
    </row>
    <row r="796">
      <c r="AW796" s="5"/>
      <c r="DU796" s="4"/>
    </row>
    <row r="797">
      <c r="AW797" s="5"/>
      <c r="DU797" s="4"/>
    </row>
    <row r="798">
      <c r="AW798" s="5"/>
      <c r="DU798" s="4"/>
    </row>
    <row r="799">
      <c r="AW799" s="5"/>
      <c r="DU799" s="4"/>
    </row>
    <row r="800">
      <c r="AW800" s="5"/>
      <c r="DU800" s="4"/>
    </row>
    <row r="801">
      <c r="AW801" s="5"/>
      <c r="DU801" s="4"/>
    </row>
    <row r="802">
      <c r="AW802" s="5"/>
      <c r="DU802" s="4"/>
    </row>
    <row r="803">
      <c r="AW803" s="5"/>
      <c r="DU803" s="4"/>
    </row>
    <row r="804">
      <c r="AW804" s="5"/>
      <c r="DU804" s="4"/>
    </row>
    <row r="805">
      <c r="AW805" s="5"/>
      <c r="DU805" s="4"/>
    </row>
    <row r="806">
      <c r="AW806" s="5"/>
      <c r="DU806" s="4"/>
    </row>
    <row r="807">
      <c r="AW807" s="5"/>
      <c r="DU807" s="4"/>
    </row>
    <row r="808">
      <c r="AW808" s="5"/>
      <c r="DU808" s="4"/>
    </row>
    <row r="809">
      <c r="AW809" s="5"/>
      <c r="DU809" s="4"/>
    </row>
    <row r="810">
      <c r="AW810" s="5"/>
      <c r="DU810" s="4"/>
    </row>
    <row r="811">
      <c r="AW811" s="5"/>
      <c r="DU811" s="4"/>
    </row>
    <row r="812">
      <c r="AW812" s="5"/>
      <c r="DU812" s="4"/>
    </row>
    <row r="813">
      <c r="AW813" s="5"/>
      <c r="DU813" s="4"/>
    </row>
    <row r="814">
      <c r="AW814" s="5"/>
      <c r="DU814" s="4"/>
    </row>
    <row r="815">
      <c r="AW815" s="5"/>
      <c r="DU815" s="4"/>
    </row>
    <row r="816">
      <c r="AW816" s="5"/>
      <c r="DU816" s="4"/>
    </row>
    <row r="817">
      <c r="AW817" s="5"/>
      <c r="DU817" s="4"/>
    </row>
    <row r="818">
      <c r="AW818" s="5"/>
      <c r="DU818" s="4"/>
    </row>
    <row r="819">
      <c r="AW819" s="5"/>
      <c r="DU819" s="4"/>
    </row>
    <row r="820">
      <c r="AW820" s="5"/>
      <c r="DU820" s="4"/>
    </row>
    <row r="821">
      <c r="AW821" s="5"/>
      <c r="DU821" s="4"/>
    </row>
    <row r="822">
      <c r="AW822" s="5"/>
      <c r="DU822" s="4"/>
    </row>
    <row r="823">
      <c r="AW823" s="5"/>
      <c r="DU823" s="4"/>
    </row>
    <row r="824">
      <c r="AW824" s="5"/>
      <c r="DU824" s="4"/>
    </row>
    <row r="825">
      <c r="AW825" s="5"/>
      <c r="DU825" s="4"/>
    </row>
    <row r="826">
      <c r="AW826" s="5"/>
      <c r="DU826" s="4"/>
    </row>
    <row r="827">
      <c r="AW827" s="5"/>
      <c r="DU827" s="4"/>
    </row>
    <row r="828">
      <c r="AW828" s="5"/>
      <c r="DU828" s="4"/>
    </row>
    <row r="829">
      <c r="AW829" s="5"/>
      <c r="DU829" s="4"/>
    </row>
    <row r="830">
      <c r="AW830" s="5"/>
      <c r="DU830" s="4"/>
    </row>
    <row r="831">
      <c r="AW831" s="5"/>
      <c r="DU831" s="4"/>
    </row>
    <row r="832">
      <c r="AW832" s="5"/>
      <c r="DU832" s="4"/>
    </row>
    <row r="833">
      <c r="AW833" s="5"/>
      <c r="DU833" s="4"/>
    </row>
    <row r="834">
      <c r="AW834" s="5"/>
      <c r="DU834" s="4"/>
    </row>
    <row r="835">
      <c r="AW835" s="5"/>
      <c r="DU835" s="4"/>
    </row>
    <row r="836">
      <c r="AW836" s="5"/>
      <c r="DU836" s="4"/>
    </row>
    <row r="837">
      <c r="AW837" s="5"/>
      <c r="DU837" s="4"/>
    </row>
    <row r="838">
      <c r="AW838" s="5"/>
      <c r="DU838" s="4"/>
    </row>
    <row r="839">
      <c r="AW839" s="5"/>
      <c r="DU839" s="4"/>
    </row>
    <row r="840">
      <c r="AW840" s="5"/>
      <c r="DU840" s="4"/>
    </row>
    <row r="841">
      <c r="AW841" s="5"/>
      <c r="DU841" s="4"/>
    </row>
    <row r="842">
      <c r="AW842" s="5"/>
      <c r="DU842" s="4"/>
    </row>
    <row r="843">
      <c r="AW843" s="5"/>
      <c r="DU843" s="4"/>
    </row>
    <row r="844">
      <c r="AW844" s="5"/>
      <c r="DU844" s="4"/>
    </row>
    <row r="845">
      <c r="AW845" s="5"/>
      <c r="DU845" s="4"/>
    </row>
    <row r="846">
      <c r="AW846" s="5"/>
      <c r="DU846" s="4"/>
    </row>
    <row r="847">
      <c r="AW847" s="5"/>
      <c r="DU847" s="4"/>
    </row>
    <row r="848">
      <c r="AW848" s="5"/>
      <c r="DU848" s="4"/>
    </row>
    <row r="849">
      <c r="AW849" s="5"/>
      <c r="DU849" s="4"/>
    </row>
    <row r="850">
      <c r="AW850" s="5"/>
      <c r="DU850" s="4"/>
    </row>
    <row r="851">
      <c r="AW851" s="5"/>
      <c r="DU851" s="4"/>
    </row>
    <row r="852">
      <c r="AW852" s="5"/>
      <c r="DU852" s="4"/>
    </row>
    <row r="853">
      <c r="AW853" s="5"/>
      <c r="DU853" s="4"/>
    </row>
    <row r="854">
      <c r="AW854" s="5"/>
      <c r="DU854" s="4"/>
    </row>
    <row r="855">
      <c r="AW855" s="5"/>
      <c r="DU855" s="4"/>
    </row>
    <row r="856">
      <c r="AW856" s="5"/>
      <c r="DU856" s="4"/>
    </row>
    <row r="857">
      <c r="AW857" s="5"/>
      <c r="DU857" s="4"/>
    </row>
    <row r="858">
      <c r="AW858" s="5"/>
      <c r="DU858" s="4"/>
    </row>
    <row r="859">
      <c r="AW859" s="5"/>
      <c r="DU859" s="4"/>
    </row>
    <row r="860">
      <c r="AW860" s="5"/>
      <c r="DU860" s="4"/>
    </row>
    <row r="861">
      <c r="AW861" s="5"/>
      <c r="DU861" s="4"/>
    </row>
    <row r="862">
      <c r="AW862" s="5"/>
      <c r="DU862" s="4"/>
    </row>
    <row r="863">
      <c r="AW863" s="5"/>
      <c r="DU863" s="4"/>
    </row>
    <row r="864">
      <c r="AW864" s="5"/>
      <c r="DU864" s="4"/>
    </row>
    <row r="865">
      <c r="AW865" s="5"/>
      <c r="DU865" s="4"/>
    </row>
    <row r="866">
      <c r="AW866" s="5"/>
      <c r="DU866" s="4"/>
    </row>
    <row r="867">
      <c r="AW867" s="5"/>
      <c r="DU867" s="4"/>
    </row>
    <row r="868">
      <c r="AW868" s="5"/>
      <c r="DU868" s="4"/>
    </row>
    <row r="869">
      <c r="AW869" s="5"/>
      <c r="DU869" s="4"/>
    </row>
    <row r="870">
      <c r="AW870" s="5"/>
      <c r="DU870" s="4"/>
    </row>
    <row r="871">
      <c r="AW871" s="5"/>
      <c r="DU871" s="4"/>
    </row>
    <row r="872">
      <c r="AW872" s="5"/>
      <c r="DU872" s="4"/>
    </row>
    <row r="873">
      <c r="AW873" s="5"/>
      <c r="DU873" s="4"/>
    </row>
    <row r="874">
      <c r="AW874" s="5"/>
      <c r="DU874" s="4"/>
    </row>
    <row r="875">
      <c r="AW875" s="5"/>
      <c r="DU875" s="4"/>
    </row>
    <row r="876">
      <c r="AW876" s="5"/>
      <c r="DU876" s="4"/>
    </row>
    <row r="877">
      <c r="AW877" s="5"/>
      <c r="DU877" s="4"/>
    </row>
    <row r="878">
      <c r="AW878" s="5"/>
      <c r="DU878" s="4"/>
    </row>
    <row r="879">
      <c r="AW879" s="5"/>
      <c r="DU879" s="4"/>
    </row>
    <row r="880">
      <c r="AW880" s="5"/>
      <c r="DU880" s="4"/>
    </row>
    <row r="881">
      <c r="AW881" s="5"/>
      <c r="DU881" s="4"/>
    </row>
    <row r="882">
      <c r="AW882" s="5"/>
      <c r="DU882" s="4"/>
    </row>
    <row r="883">
      <c r="AW883" s="5"/>
      <c r="DU883" s="4"/>
    </row>
    <row r="884">
      <c r="AW884" s="5"/>
      <c r="DU884" s="4"/>
    </row>
    <row r="885">
      <c r="AW885" s="5"/>
      <c r="DU885" s="4"/>
    </row>
    <row r="886">
      <c r="AW886" s="5"/>
      <c r="DU886" s="4"/>
    </row>
    <row r="887">
      <c r="AW887" s="5"/>
      <c r="DU887" s="4"/>
    </row>
    <row r="888">
      <c r="AW888" s="5"/>
      <c r="DU888" s="4"/>
    </row>
    <row r="889">
      <c r="AW889" s="5"/>
      <c r="DU889" s="4"/>
    </row>
    <row r="890">
      <c r="AW890" s="5"/>
      <c r="DU890" s="4"/>
    </row>
    <row r="891">
      <c r="AW891" s="5"/>
      <c r="DU891" s="4"/>
    </row>
    <row r="892">
      <c r="AW892" s="5"/>
      <c r="DU892" s="4"/>
    </row>
    <row r="893">
      <c r="AW893" s="5"/>
      <c r="DU893" s="4"/>
    </row>
    <row r="894">
      <c r="AW894" s="5"/>
      <c r="DU894" s="4"/>
    </row>
    <row r="895">
      <c r="AW895" s="5"/>
      <c r="DU895" s="4"/>
    </row>
    <row r="896">
      <c r="AW896" s="5"/>
      <c r="DU896" s="4"/>
    </row>
    <row r="897">
      <c r="AW897" s="5"/>
      <c r="DU897" s="4"/>
    </row>
    <row r="898">
      <c r="AW898" s="5"/>
      <c r="DU898" s="4"/>
    </row>
    <row r="899">
      <c r="AW899" s="5"/>
      <c r="DU899" s="4"/>
    </row>
    <row r="900">
      <c r="AW900" s="5"/>
      <c r="DU900" s="4"/>
    </row>
    <row r="901">
      <c r="AW901" s="5"/>
      <c r="DU901" s="4"/>
    </row>
    <row r="902">
      <c r="AW902" s="5"/>
      <c r="DU902" s="4"/>
    </row>
    <row r="903">
      <c r="AW903" s="5"/>
      <c r="DU903" s="4"/>
    </row>
    <row r="904">
      <c r="AW904" s="5"/>
      <c r="DU904" s="4"/>
    </row>
    <row r="905">
      <c r="AW905" s="5"/>
      <c r="DU905" s="4"/>
    </row>
    <row r="906">
      <c r="AW906" s="5"/>
      <c r="DU906" s="4"/>
    </row>
    <row r="907">
      <c r="AW907" s="5"/>
      <c r="DU907" s="4"/>
    </row>
    <row r="908">
      <c r="AW908" s="5"/>
      <c r="DU908" s="4"/>
    </row>
    <row r="909">
      <c r="AW909" s="5"/>
      <c r="DU909" s="4"/>
    </row>
    <row r="910">
      <c r="AW910" s="5"/>
      <c r="DU910" s="4"/>
    </row>
    <row r="911">
      <c r="AW911" s="5"/>
      <c r="DU911" s="4"/>
    </row>
    <row r="912">
      <c r="AW912" s="5"/>
      <c r="DU912" s="4"/>
    </row>
    <row r="913">
      <c r="AW913" s="5"/>
      <c r="DU913" s="4"/>
    </row>
    <row r="914">
      <c r="AW914" s="5"/>
      <c r="DU914" s="4"/>
    </row>
    <row r="915">
      <c r="AW915" s="5"/>
      <c r="DU915" s="4"/>
    </row>
    <row r="916">
      <c r="AW916" s="5"/>
      <c r="DU916" s="4"/>
    </row>
    <row r="917">
      <c r="AW917" s="5"/>
      <c r="DU917" s="4"/>
    </row>
    <row r="918">
      <c r="AW918" s="5"/>
      <c r="DU918" s="4"/>
    </row>
    <row r="919">
      <c r="AW919" s="5"/>
      <c r="DU919" s="4"/>
    </row>
    <row r="920">
      <c r="AW920" s="5"/>
      <c r="DU920" s="4"/>
    </row>
    <row r="921">
      <c r="AW921" s="5"/>
      <c r="DU921" s="4"/>
    </row>
    <row r="922">
      <c r="AW922" s="5"/>
      <c r="DU922" s="4"/>
    </row>
    <row r="923">
      <c r="AW923" s="5"/>
      <c r="DU923" s="4"/>
    </row>
    <row r="924">
      <c r="AW924" s="5"/>
      <c r="DU924" s="4"/>
    </row>
    <row r="925">
      <c r="AW925" s="5"/>
      <c r="DU925" s="4"/>
    </row>
    <row r="926">
      <c r="AW926" s="5"/>
      <c r="DU926" s="4"/>
    </row>
    <row r="927">
      <c r="AW927" s="5"/>
      <c r="DU927" s="4"/>
    </row>
    <row r="928">
      <c r="AW928" s="5"/>
      <c r="DU928" s="4"/>
    </row>
    <row r="929">
      <c r="AW929" s="5"/>
      <c r="DU929" s="4"/>
    </row>
    <row r="930">
      <c r="AW930" s="5"/>
      <c r="DU930" s="4"/>
    </row>
    <row r="931">
      <c r="AW931" s="5"/>
      <c r="DU931" s="4"/>
    </row>
    <row r="932">
      <c r="AW932" s="5"/>
      <c r="DU932" s="4"/>
    </row>
    <row r="933">
      <c r="AW933" s="5"/>
      <c r="DU933" s="4"/>
    </row>
    <row r="934">
      <c r="AW934" s="5"/>
      <c r="DU934" s="4"/>
    </row>
    <row r="935">
      <c r="AW935" s="5"/>
      <c r="DU935" s="4"/>
    </row>
    <row r="936">
      <c r="AW936" s="5"/>
      <c r="DU936" s="4"/>
    </row>
    <row r="937">
      <c r="AW937" s="5"/>
      <c r="DU937" s="4"/>
    </row>
    <row r="938">
      <c r="AW938" s="5"/>
      <c r="DU938" s="4"/>
    </row>
    <row r="939">
      <c r="AW939" s="5"/>
      <c r="DU939" s="4"/>
    </row>
    <row r="940">
      <c r="AW940" s="5"/>
      <c r="DU940" s="4"/>
    </row>
    <row r="941">
      <c r="AW941" s="5"/>
      <c r="DU941" s="4"/>
    </row>
    <row r="942">
      <c r="AW942" s="5"/>
      <c r="DU942" s="4"/>
    </row>
    <row r="943">
      <c r="AW943" s="5"/>
      <c r="DU943" s="4"/>
    </row>
    <row r="944">
      <c r="AW944" s="5"/>
      <c r="DU944" s="4"/>
    </row>
    <row r="945">
      <c r="AW945" s="5"/>
      <c r="DU945" s="4"/>
    </row>
    <row r="946">
      <c r="AW946" s="5"/>
      <c r="DU946" s="4"/>
    </row>
    <row r="947">
      <c r="AW947" s="5"/>
      <c r="DU947" s="4"/>
    </row>
    <row r="948">
      <c r="AW948" s="5"/>
      <c r="DU948" s="4"/>
    </row>
    <row r="949">
      <c r="AW949" s="5"/>
      <c r="DU949" s="4"/>
    </row>
    <row r="950">
      <c r="AW950" s="5"/>
      <c r="DU950" s="4"/>
    </row>
    <row r="951">
      <c r="AW951" s="5"/>
      <c r="DU951" s="4"/>
    </row>
    <row r="952">
      <c r="AW952" s="5"/>
      <c r="DU952" s="4"/>
    </row>
    <row r="953">
      <c r="AW953" s="5"/>
      <c r="DU953" s="4"/>
    </row>
    <row r="954">
      <c r="AW954" s="5"/>
      <c r="DU954" s="4"/>
    </row>
    <row r="955">
      <c r="AW955" s="5"/>
      <c r="DU955" s="4"/>
    </row>
    <row r="956">
      <c r="AW956" s="5"/>
      <c r="DU956" s="4"/>
    </row>
    <row r="957">
      <c r="AW957" s="5"/>
      <c r="DU957" s="4"/>
    </row>
    <row r="958">
      <c r="AW958" s="5"/>
      <c r="DU958" s="4"/>
    </row>
    <row r="959">
      <c r="AW959" s="5"/>
      <c r="DU959" s="4"/>
    </row>
    <row r="960">
      <c r="AW960" s="5"/>
      <c r="DU960" s="4"/>
    </row>
    <row r="961">
      <c r="AW961" s="5"/>
      <c r="DU961" s="4"/>
    </row>
    <row r="962">
      <c r="AW962" s="5"/>
      <c r="DU962" s="4"/>
    </row>
    <row r="963">
      <c r="AW963" s="5"/>
      <c r="DU963" s="4"/>
    </row>
    <row r="964">
      <c r="AW964" s="5"/>
      <c r="DU964" s="4"/>
    </row>
    <row r="965">
      <c r="AW965" s="5"/>
      <c r="DU965" s="4"/>
    </row>
    <row r="966">
      <c r="AW966" s="5"/>
      <c r="DU966" s="4"/>
    </row>
    <row r="967">
      <c r="AW967" s="5"/>
      <c r="DU967" s="4"/>
    </row>
    <row r="968">
      <c r="AW968" s="5"/>
      <c r="DU968" s="4"/>
    </row>
    <row r="969">
      <c r="AW969" s="5"/>
      <c r="DU969" s="4"/>
    </row>
    <row r="970">
      <c r="AW970" s="5"/>
      <c r="DU970" s="4"/>
    </row>
    <row r="971">
      <c r="AW971" s="5"/>
      <c r="DU971" s="4"/>
    </row>
    <row r="972">
      <c r="AW972" s="5"/>
      <c r="DU972" s="4"/>
    </row>
    <row r="973">
      <c r="AW973" s="5"/>
      <c r="DU973" s="4"/>
    </row>
    <row r="974">
      <c r="AW974" s="5"/>
      <c r="DU974" s="4"/>
    </row>
    <row r="975">
      <c r="AW975" s="5"/>
      <c r="DU975" s="4"/>
    </row>
    <row r="976">
      <c r="AW976" s="5"/>
      <c r="DU976" s="4"/>
    </row>
    <row r="977">
      <c r="AW977" s="5"/>
      <c r="DU977" s="4"/>
    </row>
    <row r="978">
      <c r="AW978" s="5"/>
      <c r="DU978" s="4"/>
    </row>
    <row r="979">
      <c r="AW979" s="5"/>
      <c r="DU979" s="4"/>
    </row>
    <row r="980">
      <c r="AW980" s="5"/>
      <c r="DU980" s="4"/>
    </row>
    <row r="981">
      <c r="AW981" s="5"/>
      <c r="DU981" s="4"/>
    </row>
    <row r="982">
      <c r="AW982" s="5"/>
      <c r="DU982" s="4"/>
    </row>
    <row r="983">
      <c r="AW983" s="5"/>
      <c r="DU983" s="4"/>
    </row>
    <row r="984">
      <c r="AW984" s="5"/>
      <c r="DU984" s="4"/>
    </row>
    <row r="985">
      <c r="AW985" s="5"/>
      <c r="DU985" s="4"/>
    </row>
    <row r="986">
      <c r="AW986" s="5"/>
      <c r="DU986" s="4"/>
    </row>
    <row r="987">
      <c r="AW987" s="5"/>
      <c r="DU987" s="4"/>
    </row>
    <row r="988">
      <c r="AW988" s="5"/>
      <c r="DU988" s="4"/>
    </row>
    <row r="989">
      <c r="AW989" s="5"/>
      <c r="DU989" s="4"/>
    </row>
    <row r="990">
      <c r="AW990" s="5"/>
      <c r="DU990" s="4"/>
    </row>
    <row r="991">
      <c r="AW991" s="5"/>
      <c r="DU991" s="4"/>
    </row>
    <row r="992">
      <c r="AW992" s="5"/>
      <c r="DU992" s="4"/>
    </row>
    <row r="993">
      <c r="AW993" s="5"/>
      <c r="DU993" s="4"/>
    </row>
    <row r="994">
      <c r="AW994" s="5"/>
      <c r="DU994" s="4"/>
    </row>
    <row r="995">
      <c r="AW995" s="5"/>
      <c r="DU995" s="4"/>
    </row>
    <row r="996">
      <c r="AW996" s="5"/>
      <c r="DU996" s="4"/>
    </row>
    <row r="997">
      <c r="AW997" s="5"/>
      <c r="DU997" s="4"/>
    </row>
    <row r="998">
      <c r="AW998" s="5"/>
      <c r="DU998" s="4"/>
    </row>
    <row r="999">
      <c r="AW999" s="5"/>
      <c r="DU999" s="4"/>
    </row>
    <row r="1000">
      <c r="AW1000" s="5"/>
      <c r="DU1000" s="4"/>
    </row>
    <row r="1001">
      <c r="AW1001" s="5"/>
      <c r="DU1001" s="4"/>
    </row>
    <row r="1002">
      <c r="AW1002" s="5"/>
      <c r="DU1002" s="4"/>
    </row>
    <row r="1003">
      <c r="AW1003" s="5"/>
      <c r="DU1003" s="4"/>
    </row>
    <row r="1004">
      <c r="AW1004" s="5"/>
      <c r="DU1004" s="4"/>
    </row>
    <row r="1005">
      <c r="AW1005" s="5"/>
      <c r="DU1005" s="4"/>
    </row>
    <row r="1006">
      <c r="AW1006" s="5"/>
      <c r="DU1006" s="4"/>
    </row>
    <row r="1007">
      <c r="AW1007" s="5"/>
      <c r="DU1007" s="4"/>
    </row>
  </sheetData>
  <mergeCells count="26">
    <mergeCell ref="AM67:AM68"/>
    <mergeCell ref="AN68:AN69"/>
    <mergeCell ref="AL69:AL70"/>
    <mergeCell ref="AO69:AO70"/>
    <mergeCell ref="AN71:AN72"/>
    <mergeCell ref="AQ71:AQ72"/>
    <mergeCell ref="CO2:CQ2"/>
    <mergeCell ref="CO6:CQ6"/>
    <mergeCell ref="AJ67:AJ68"/>
    <mergeCell ref="AP67:AP68"/>
    <mergeCell ref="AV67:AV68"/>
    <mergeCell ref="AK68:AK69"/>
    <mergeCell ref="AQ68:AQ69"/>
    <mergeCell ref="AW68:AW69"/>
    <mergeCell ref="AS67:AS68"/>
    <mergeCell ref="AS76:AS77"/>
    <mergeCell ref="AV76:AV77"/>
    <mergeCell ref="AZ76:AZ77"/>
    <mergeCell ref="BC76:BC77"/>
    <mergeCell ref="AT68:AT69"/>
    <mergeCell ref="AR69:AR70"/>
    <mergeCell ref="AU69:AU70"/>
    <mergeCell ref="AX69:AX70"/>
    <mergeCell ref="AT71:AT72"/>
    <mergeCell ref="AW71:AW72"/>
    <mergeCell ref="BA71:BA72"/>
  </mergeCells>
  <conditionalFormatting sqref="EC14:EE34">
    <cfRule type="colorScale" priority="1">
      <colorScale>
        <cfvo type="min"/>
        <cfvo type="formula" val="0"/>
        <cfvo type="max"/>
        <color rgb="FFF8962E"/>
        <color rgb="FFEFEFEF"/>
        <color rgb="FF4E9DFF"/>
      </colorScale>
    </cfRule>
  </conditionalFormatting>
  <conditionalFormatting sqref="BM14:BM40 BY14:BY34">
    <cfRule type="colorScale" priority="2">
      <colorScale>
        <cfvo type="min"/>
        <cfvo type="percentile" val="50"/>
        <cfvo type="max"/>
        <color rgb="FF57BB8A"/>
        <color rgb="FFFFD666"/>
        <color rgb="FFE67C73"/>
      </colorScale>
    </cfRule>
  </conditionalFormatting>
  <conditionalFormatting sqref="DU14:DU40">
    <cfRule type="expression" dxfId="0" priority="3">
      <formula>DS14&lt;50</formula>
    </cfRule>
  </conditionalFormatting>
  <conditionalFormatting sqref="DV14:DV40">
    <cfRule type="expression" dxfId="0" priority="4">
      <formula>DS14&lt;50</formula>
    </cfRule>
  </conditionalFormatting>
  <conditionalFormatting sqref="DW14:DW40">
    <cfRule type="expression" dxfId="0" priority="5">
      <formula>DS14&lt;50</formula>
    </cfRule>
  </conditionalFormatting>
  <conditionalFormatting sqref="DU14:DW40">
    <cfRule type="colorScale" priority="6">
      <colorScale>
        <cfvo type="formula" val="-5"/>
        <cfvo type="formula" val="0"/>
        <cfvo type="formula" val="10"/>
        <color rgb="FFF8962E"/>
        <color rgb="FFEFEFEF"/>
        <color rgb="FF4E9DFF"/>
      </colorScale>
    </cfRule>
  </conditionalFormatting>
  <conditionalFormatting sqref="DY14:DY40">
    <cfRule type="colorScale" priority="7">
      <colorScale>
        <cfvo type="formula" val="-0.5"/>
        <cfvo type="formula" val="0"/>
        <cfvo type="max"/>
        <color rgb="FF999999"/>
        <color rgb="FFFFFFFF"/>
        <color rgb="FF57BB8A"/>
      </colorScale>
    </cfRule>
  </conditionalFormatting>
  <conditionalFormatting sqref="O90:Q119">
    <cfRule type="colorScale" priority="8">
      <colorScale>
        <cfvo type="min"/>
        <cfvo type="percentile" val="50"/>
        <cfvo type="max"/>
        <color rgb="FFE67C73"/>
        <color rgb="FFFFFFFF"/>
        <color rgb="FF57BB8A"/>
      </colorScale>
    </cfRule>
  </conditionalFormatting>
  <conditionalFormatting sqref="DX14:DX40">
    <cfRule type="colorScale" priority="9">
      <colorScale>
        <cfvo type="formula" val="-4"/>
        <cfvo type="formula" val="0"/>
        <cfvo type="formula" val="8"/>
        <color rgb="FFCC0000"/>
        <color rgb="FFFFFFFF"/>
        <color rgb="FF57BB8A"/>
      </colorScale>
    </cfRule>
  </conditionalFormatting>
  <conditionalFormatting sqref="DQ14:DQ40 DR14:DR34">
    <cfRule type="colorScale" priority="10">
      <colorScale>
        <cfvo type="formula" val="1"/>
        <cfvo type="formula" val="5"/>
        <color rgb="FFFFFFFF"/>
        <color rgb="FF57BB8A"/>
      </colorScale>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15.0"/>
    <col customWidth="1" min="3" max="3" width="5.29"/>
    <col customWidth="1" min="4" max="15" width="6.43"/>
    <col customWidth="1" min="16" max="16" width="6.29"/>
    <col customWidth="1" min="17" max="17" width="4.71"/>
    <col customWidth="1" min="18" max="18" width="5.71"/>
    <col customWidth="1" min="19" max="19" width="5.14"/>
    <col customWidth="1" min="20" max="20" width="5.0"/>
    <col customWidth="1" min="21" max="21" width="4.86"/>
    <col customWidth="1" min="22" max="22" width="5.71"/>
    <col customWidth="1" min="23" max="24" width="8.14"/>
    <col customWidth="1" min="25" max="25" width="4.86"/>
    <col customWidth="1" min="26" max="26" width="7.29"/>
    <col customWidth="1" min="27" max="27" width="8.0"/>
    <col customWidth="1" min="28" max="28" width="11.86"/>
    <col customWidth="1" min="29" max="29" width="10.0"/>
    <col customWidth="1" min="30" max="30" width="6.29"/>
    <col customWidth="1" min="31" max="31" width="8.71"/>
    <col customWidth="1" min="32" max="40" width="6.29"/>
    <col customWidth="1" min="41" max="41" width="6.57"/>
    <col customWidth="1" min="42" max="42" width="9.0"/>
    <col customWidth="1" min="43" max="43" width="14.29"/>
    <col customWidth="1" min="44" max="44" width="15.0"/>
    <col customWidth="1" min="45" max="45" width="16.43"/>
    <col customWidth="1" min="46" max="46" width="16.29"/>
    <col customWidth="1" min="47" max="47" width="18.86"/>
    <col customWidth="1" min="48" max="50" width="9.0"/>
    <col customWidth="1" min="51" max="52" width="9.57"/>
    <col customWidth="1" min="53" max="53" width="8.57"/>
    <col customWidth="1" min="54" max="54" width="8.14"/>
    <col customWidth="1" min="55" max="55" width="14.57"/>
    <col customWidth="1" min="56" max="56" width="8.14"/>
    <col customWidth="1" min="57" max="57" width="9.14"/>
    <col customWidth="1" min="58" max="66" width="9.57"/>
    <col customWidth="1" min="67" max="67" width="9.86"/>
    <col customWidth="1" min="68" max="68" width="20.57"/>
    <col customWidth="1" min="69" max="69" width="10.71"/>
    <col customWidth="1" min="70" max="70" width="8.57"/>
    <col customWidth="1" min="71" max="81" width="7.71"/>
    <col customWidth="1" min="82" max="82" width="12.71"/>
    <col customWidth="1" min="83" max="83" width="12.14"/>
    <col customWidth="1" min="84" max="84" width="8.43"/>
    <col customWidth="1" min="85" max="85" width="10.57"/>
    <col customWidth="1" min="86" max="86" width="11.29"/>
    <col customWidth="1" min="87" max="87" width="8.14"/>
    <col customWidth="1" min="88" max="88" width="8.71"/>
    <col customWidth="1" min="89" max="89" width="20.43"/>
    <col customWidth="1" min="90" max="95" width="9.0"/>
    <col customWidth="1" min="96" max="98" width="9.57"/>
    <col customWidth="1" min="99" max="99" width="9.0"/>
    <col customWidth="1" min="100" max="100" width="12.71"/>
    <col customWidth="1" min="101" max="102" width="8.14"/>
  </cols>
  <sheetData>
    <row r="1">
      <c r="AR1" s="3"/>
      <c r="AS1" s="3"/>
      <c r="AT1" s="3"/>
      <c r="AU1" s="3" t="s">
        <v>0</v>
      </c>
      <c r="AV1" s="1"/>
      <c r="AW1" s="1"/>
      <c r="AX1" s="1"/>
      <c r="AY1" s="1"/>
      <c r="AZ1" s="1"/>
      <c r="BA1" s="1"/>
      <c r="BB1" s="1"/>
      <c r="BC1" s="1"/>
      <c r="BD1" s="1"/>
      <c r="BE1" s="1"/>
      <c r="BF1" s="1"/>
      <c r="BG1" s="1"/>
    </row>
    <row r="2">
      <c r="A2" s="7" t="s">
        <v>367</v>
      </c>
      <c r="D2" s="6"/>
      <c r="E2" s="6"/>
      <c r="I2" s="70" t="s">
        <v>174</v>
      </c>
      <c r="N2" s="6"/>
      <c r="O2" s="6"/>
      <c r="P2" s="6"/>
      <c r="Q2" s="6"/>
      <c r="R2" s="6"/>
      <c r="S2" s="6"/>
      <c r="T2" s="6"/>
      <c r="U2" s="6"/>
      <c r="V2" s="6"/>
      <c r="W2" s="6"/>
      <c r="X2" s="6"/>
      <c r="Y2" s="6"/>
      <c r="Z2" s="6"/>
      <c r="AA2" s="6"/>
      <c r="AB2" s="6"/>
      <c r="AG2" s="6"/>
      <c r="AR2" s="11"/>
      <c r="AS2" s="11"/>
      <c r="AT2" s="11"/>
      <c r="AU2" s="12" t="s">
        <v>11</v>
      </c>
      <c r="AV2" s="12" t="s">
        <v>12</v>
      </c>
      <c r="AW2" s="13" t="s">
        <v>13</v>
      </c>
      <c r="AX2" s="13" t="s">
        <v>14</v>
      </c>
      <c r="AY2" s="12" t="s">
        <v>15</v>
      </c>
      <c r="AZ2" s="12" t="s">
        <v>16</v>
      </c>
      <c r="BA2" s="12" t="s">
        <v>17</v>
      </c>
      <c r="BB2" s="12" t="s">
        <v>18</v>
      </c>
      <c r="BC2" s="12" t="s">
        <v>19</v>
      </c>
      <c r="BD2" s="12" t="s">
        <v>20</v>
      </c>
      <c r="BE2" s="12" t="s">
        <v>21</v>
      </c>
      <c r="BF2" s="12" t="s">
        <v>22</v>
      </c>
      <c r="BG2" s="12" t="s">
        <v>23</v>
      </c>
      <c r="BH2" s="6"/>
      <c r="BI2" s="14"/>
      <c r="BJ2" s="15" t="s">
        <v>24</v>
      </c>
      <c r="BK2" s="16"/>
      <c r="BL2" s="17"/>
      <c r="BM2" s="18"/>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row>
    <row r="3">
      <c r="A3" s="146" t="s">
        <v>368</v>
      </c>
      <c r="B3" s="6"/>
      <c r="C3" s="6"/>
      <c r="D3" s="6"/>
      <c r="E3" s="6"/>
      <c r="F3" s="6"/>
      <c r="G3" s="6"/>
      <c r="I3" s="6">
        <f>mid(A3,48,4)+round(mid(A3,52,2)/12-0.2,0)</f>
        <v>2017</v>
      </c>
      <c r="R3" s="6"/>
      <c r="S3" s="6"/>
      <c r="T3" s="6"/>
      <c r="U3" s="6"/>
      <c r="V3" s="6"/>
      <c r="W3" s="23"/>
      <c r="X3" s="23"/>
      <c r="Y3" s="6"/>
      <c r="Z3" s="6"/>
      <c r="AA3" s="6"/>
      <c r="AB3" s="6"/>
      <c r="AG3" s="6"/>
      <c r="AR3" s="26"/>
      <c r="AS3" s="26"/>
      <c r="AT3" s="26"/>
      <c r="AU3" s="27" t="s">
        <v>27</v>
      </c>
      <c r="AV3" s="43">
        <v>0.86</v>
      </c>
      <c r="AW3" s="43">
        <v>-0.56</v>
      </c>
      <c r="AX3" s="147">
        <f t="shared" ref="AX3:AX4" si="1">0.44*AW3</f>
        <v>-0.2464</v>
      </c>
      <c r="AY3" s="43">
        <v>0.389</v>
      </c>
      <c r="AZ3" s="43">
        <v>0.58</v>
      </c>
      <c r="BA3" s="43">
        <v>-0.964</v>
      </c>
      <c r="BB3" s="42">
        <v>0.613</v>
      </c>
      <c r="BC3" s="43">
        <v>0.116</v>
      </c>
      <c r="BD3" s="42">
        <v>0.0</v>
      </c>
      <c r="BE3" s="43">
        <v>1.369</v>
      </c>
      <c r="BF3" s="43">
        <v>1.327</v>
      </c>
      <c r="BG3" s="43">
        <v>-0.367</v>
      </c>
      <c r="BH3" s="6"/>
      <c r="BI3" s="30"/>
      <c r="BJ3" s="27" t="s">
        <v>27</v>
      </c>
      <c r="BK3" s="27" t="s">
        <v>28</v>
      </c>
      <c r="BL3" s="27" t="s">
        <v>29</v>
      </c>
      <c r="BM3" s="13" t="s">
        <v>30</v>
      </c>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1"/>
      <c r="CV3" s="31"/>
      <c r="CW3" s="31"/>
      <c r="CX3" s="31"/>
    </row>
    <row r="4">
      <c r="A4" s="71" t="str">
        <f>IFERROR(__xludf.DUMMYFUNCTION("importxml(A3,""//h1"")"),"#N/A")</f>
        <v>#N/A</v>
      </c>
      <c r="B4" s="72"/>
      <c r="I4" s="6"/>
      <c r="Z4" s="6"/>
      <c r="AA4" s="6"/>
      <c r="AB4" s="6"/>
      <c r="AG4" s="6"/>
      <c r="AH4" s="6"/>
      <c r="AI4" s="6"/>
      <c r="AJ4" s="6"/>
      <c r="AK4" s="31"/>
      <c r="AL4" s="31"/>
      <c r="AM4" s="6"/>
      <c r="AN4" s="6"/>
      <c r="AR4" s="26"/>
      <c r="AS4" s="26"/>
      <c r="AT4" s="26"/>
      <c r="AU4" s="27" t="s">
        <v>29</v>
      </c>
      <c r="AV4" s="147">
        <f>AV3</f>
        <v>0.86</v>
      </c>
      <c r="AW4" s="43">
        <v>-0.78</v>
      </c>
      <c r="AX4" s="147">
        <f t="shared" si="1"/>
        <v>-0.3432</v>
      </c>
      <c r="AY4" s="147">
        <f>AY3</f>
        <v>0.389</v>
      </c>
      <c r="AZ4" s="43">
        <v>1.034</v>
      </c>
      <c r="BA4" s="147">
        <f>BA3</f>
        <v>-0.964</v>
      </c>
      <c r="BB4" s="148">
        <v>0.181</v>
      </c>
      <c r="BC4" s="147">
        <f>BB4</f>
        <v>0.181</v>
      </c>
      <c r="BD4" s="42">
        <v>0.0</v>
      </c>
      <c r="BE4" s="43">
        <v>1.008</v>
      </c>
      <c r="BF4" s="42">
        <v>0.703</v>
      </c>
      <c r="BG4" s="147">
        <f>BG3</f>
        <v>-0.367</v>
      </c>
      <c r="BH4" s="6"/>
      <c r="BI4" s="41" t="s">
        <v>24</v>
      </c>
      <c r="BJ4" s="42">
        <f>-0.409*2</f>
        <v>-0.818</v>
      </c>
      <c r="BK4" s="43">
        <v>0.0</v>
      </c>
      <c r="BL4" s="43">
        <v>0.0</v>
      </c>
      <c r="BM4" s="44">
        <v>1.387</v>
      </c>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row>
    <row r="5">
      <c r="A5" s="33" t="s">
        <v>369</v>
      </c>
      <c r="B5" s="6"/>
      <c r="C5" s="6"/>
      <c r="D5" s="6"/>
      <c r="E5" s="6"/>
      <c r="F5" s="6"/>
      <c r="G5" s="6"/>
      <c r="I5" s="6"/>
      <c r="S5" s="35" t="s">
        <v>59</v>
      </c>
      <c r="T5" s="149">
        <f>max($B14:$B33)</f>
        <v>240</v>
      </c>
      <c r="Z5" s="6"/>
      <c r="AA5" s="6"/>
      <c r="AB5" s="6"/>
      <c r="AG5" s="6"/>
      <c r="AH5" s="6"/>
      <c r="AI5" s="6"/>
      <c r="AJ5" s="6"/>
      <c r="AK5" s="46"/>
      <c r="AL5" s="46"/>
      <c r="AM5" s="46"/>
      <c r="AN5" s="46"/>
      <c r="AR5" s="48"/>
      <c r="AS5" s="48"/>
      <c r="AT5" s="48"/>
      <c r="AU5" s="48" t="s">
        <v>41</v>
      </c>
      <c r="AV5" s="47"/>
      <c r="AW5" s="47"/>
      <c r="AX5" s="47"/>
      <c r="AY5" s="47"/>
      <c r="AZ5" s="47"/>
      <c r="BA5" s="47"/>
      <c r="BB5" s="47"/>
      <c r="BC5" s="47"/>
      <c r="BD5" s="47"/>
      <c r="BE5" s="47"/>
      <c r="BF5" s="47"/>
      <c r="BG5" s="47"/>
      <c r="BH5" s="46"/>
      <c r="BI5" s="46"/>
      <c r="BJ5" s="46"/>
      <c r="BK5" s="46"/>
      <c r="BL5" s="46"/>
      <c r="BM5" s="50"/>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row>
    <row r="6">
      <c r="A6" s="150"/>
      <c r="C6" s="151" t="s">
        <v>370</v>
      </c>
      <c r="G6" s="150"/>
      <c r="I6" s="61" t="s">
        <v>371</v>
      </c>
      <c r="J6" s="143">
        <f>$I$129</f>
        <v>109.5285</v>
      </c>
      <c r="L6" s="61" t="s">
        <v>372</v>
      </c>
      <c r="M6" s="61" t="s">
        <v>373</v>
      </c>
      <c r="N6" s="61" t="s">
        <v>374</v>
      </c>
      <c r="O6" s="61" t="s">
        <v>375</v>
      </c>
      <c r="S6" s="35" t="s">
        <v>33</v>
      </c>
      <c r="T6" s="6">
        <f>max($T15:$T32)</f>
        <v>108</v>
      </c>
      <c r="U6" s="6"/>
      <c r="V6" s="6"/>
      <c r="Z6" s="6"/>
      <c r="AA6" s="6"/>
      <c r="AB6" s="6"/>
      <c r="AG6" s="6"/>
      <c r="AH6" s="6"/>
      <c r="AI6" s="6"/>
      <c r="AJ6" s="6"/>
      <c r="AK6" s="31"/>
      <c r="AL6" s="31"/>
      <c r="AM6" s="31"/>
      <c r="AN6" s="31"/>
      <c r="AR6" s="11"/>
      <c r="AS6" s="11"/>
      <c r="AT6" s="11"/>
      <c r="AU6" s="12" t="s">
        <v>11</v>
      </c>
      <c r="AV6" s="12" t="s">
        <v>12</v>
      </c>
      <c r="AW6" s="13" t="s">
        <v>13</v>
      </c>
      <c r="AX6" s="13" t="s">
        <v>14</v>
      </c>
      <c r="AY6" s="12" t="s">
        <v>15</v>
      </c>
      <c r="AZ6" s="12" t="s">
        <v>16</v>
      </c>
      <c r="BA6" s="12" t="s">
        <v>17</v>
      </c>
      <c r="BB6" s="12" t="s">
        <v>18</v>
      </c>
      <c r="BC6" s="12" t="s">
        <v>19</v>
      </c>
      <c r="BD6" s="12" t="s">
        <v>20</v>
      </c>
      <c r="BE6" s="12" t="s">
        <v>21</v>
      </c>
      <c r="BF6" s="12" t="s">
        <v>22</v>
      </c>
      <c r="BG6" s="12" t="s">
        <v>23</v>
      </c>
      <c r="BH6" s="31"/>
      <c r="BI6" s="14"/>
      <c r="BJ6" s="15" t="s">
        <v>24</v>
      </c>
      <c r="BK6" s="16"/>
      <c r="BL6" s="17"/>
      <c r="BM6" s="58"/>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row>
    <row r="7">
      <c r="A7" s="150"/>
      <c r="B7" s="151" t="s">
        <v>51</v>
      </c>
      <c r="C7" s="151" t="s">
        <v>89</v>
      </c>
      <c r="D7" s="151" t="s">
        <v>376</v>
      </c>
      <c r="E7" s="151" t="s">
        <v>377</v>
      </c>
      <c r="F7" s="151" t="s">
        <v>378</v>
      </c>
      <c r="G7" s="151" t="s">
        <v>217</v>
      </c>
      <c r="H7" s="45" t="s">
        <v>210</v>
      </c>
      <c r="I7" s="61" t="s">
        <v>217</v>
      </c>
      <c r="J7" s="61" t="s">
        <v>218</v>
      </c>
      <c r="K7" s="61" t="s">
        <v>379</v>
      </c>
      <c r="L7" s="61" t="s">
        <v>373</v>
      </c>
      <c r="M7" s="61" t="s">
        <v>380</v>
      </c>
      <c r="N7" s="61" t="s">
        <v>217</v>
      </c>
      <c r="O7" s="70" t="s">
        <v>217</v>
      </c>
      <c r="P7" s="70" t="s">
        <v>218</v>
      </c>
      <c r="S7" s="35" t="s">
        <v>39</v>
      </c>
      <c r="T7" s="6">
        <f>max($D15:$D33)</f>
        <v>77</v>
      </c>
      <c r="U7" s="6"/>
      <c r="V7" s="6"/>
      <c r="Z7" s="6"/>
      <c r="AA7" s="6"/>
      <c r="AB7" s="6"/>
      <c r="AG7" s="6"/>
      <c r="AH7" s="6"/>
      <c r="AI7" s="6"/>
      <c r="AJ7" s="6"/>
      <c r="AK7" s="31"/>
      <c r="AL7" s="31"/>
      <c r="AM7" s="31"/>
      <c r="AN7" s="31"/>
      <c r="AR7" s="26"/>
      <c r="AS7" s="26"/>
      <c r="AT7" s="26"/>
      <c r="AU7" s="27" t="s">
        <v>27</v>
      </c>
      <c r="AV7" s="43">
        <v>0.605</v>
      </c>
      <c r="AW7" s="43">
        <v>-0.33</v>
      </c>
      <c r="AX7" s="147">
        <f t="shared" ref="AX7:AX8" si="4">0.44*AW7</f>
        <v>-0.1452</v>
      </c>
      <c r="AY7" s="43">
        <v>0.477</v>
      </c>
      <c r="AZ7" s="43">
        <v>0.476</v>
      </c>
      <c r="BA7" s="43">
        <v>-0.579</v>
      </c>
      <c r="BB7" s="42">
        <v>0.606</v>
      </c>
      <c r="BC7" s="42">
        <v>-0.112</v>
      </c>
      <c r="BD7" s="42">
        <v>0.0</v>
      </c>
      <c r="BE7" s="43">
        <v>0.177</v>
      </c>
      <c r="BF7" s="43">
        <v>0.725</v>
      </c>
      <c r="BG7" s="43">
        <v>-0.439</v>
      </c>
      <c r="BH7" s="31"/>
      <c r="BI7" s="30"/>
      <c r="BJ7" s="27" t="s">
        <v>27</v>
      </c>
      <c r="BK7" s="27" t="s">
        <v>28</v>
      </c>
      <c r="BL7" s="27" t="s">
        <v>29</v>
      </c>
      <c r="BM7" s="13" t="s">
        <v>30</v>
      </c>
      <c r="BU7" s="31"/>
      <c r="BV7" s="31"/>
      <c r="BW7" s="31"/>
      <c r="BX7" s="31"/>
      <c r="BY7" s="31"/>
      <c r="BZ7" s="31"/>
      <c r="CA7" s="31"/>
      <c r="CB7" s="31"/>
      <c r="CC7" s="31"/>
      <c r="CD7" s="31"/>
      <c r="CE7" s="31"/>
      <c r="CF7" s="31"/>
      <c r="CG7" s="31"/>
      <c r="CH7" s="31"/>
      <c r="CI7" s="31"/>
      <c r="CJ7" s="31"/>
      <c r="CK7" s="31"/>
      <c r="CL7" s="46"/>
      <c r="CM7" s="46"/>
      <c r="CN7" s="46"/>
      <c r="CO7" s="46"/>
      <c r="CP7" s="46"/>
      <c r="CQ7" s="31"/>
      <c r="CR7" s="31"/>
      <c r="CS7" s="31"/>
      <c r="CT7" s="31"/>
      <c r="CU7" s="31"/>
      <c r="CV7" s="31"/>
      <c r="CW7" s="31"/>
      <c r="CX7" s="31"/>
    </row>
    <row r="8">
      <c r="A8" s="152" t="str">
        <f t="shared" ref="A8:G8" si="2">trim(M69)</f>
        <v>GSW</v>
      </c>
      <c r="B8" s="152" t="str">
        <f t="shared" si="2"/>
        <v>100.1</v>
      </c>
      <c r="C8" s="152" t="str">
        <f t="shared" si="2"/>
        <v>0.539</v>
      </c>
      <c r="D8" s="152" t="str">
        <f t="shared" si="2"/>
        <v>17.5</v>
      </c>
      <c r="E8" s="152" t="str">
        <f t="shared" si="2"/>
        <v>16.1</v>
      </c>
      <c r="F8" s="152" t="str">
        <f t="shared" si="2"/>
        <v>0.325</v>
      </c>
      <c r="G8" s="152" t="str">
        <f t="shared" si="2"/>
        <v>107.9</v>
      </c>
      <c r="H8" s="143" t="str">
        <f>trim(left(A4,search(" at",A4)))</f>
        <v>#N/A</v>
      </c>
      <c r="I8" s="153">
        <f t="shared" ref="I8:J8" si="3">AS11</f>
        <v>11.39597208</v>
      </c>
      <c r="J8" s="153">
        <f t="shared" si="3"/>
        <v>5.869774234</v>
      </c>
      <c r="K8" s="153">
        <f t="shared" ref="K8:K9" si="8">J8+I8</f>
        <v>17.26574631</v>
      </c>
      <c r="L8" s="4">
        <f>(T6-T35)/2</f>
        <v>-0.5</v>
      </c>
      <c r="M8" s="111">
        <f>0.35/2*L8</f>
        <v>-0.0875</v>
      </c>
      <c r="N8" s="69">
        <f t="shared" ref="N8:N9" si="10">G8+M8</f>
        <v>107.8125</v>
      </c>
      <c r="O8" s="69">
        <f>(N8-$J$6)/2+average($I$8,$J$9)</f>
        <v>4.440039176</v>
      </c>
      <c r="P8" s="69">
        <f>($J$6-N9)/2+average($I$9,$J$8)</f>
        <v>6.851132505</v>
      </c>
      <c r="S8" s="35" t="s">
        <v>44</v>
      </c>
      <c r="T8" s="6">
        <f>max($J15:$J33)</f>
        <v>29</v>
      </c>
      <c r="U8" s="6">
        <f>$AX$3/$AW$3</f>
        <v>0.44</v>
      </c>
      <c r="V8" s="6"/>
      <c r="Z8" s="6"/>
      <c r="AA8" s="6"/>
      <c r="AB8" s="6"/>
      <c r="AG8" s="6"/>
      <c r="AH8" s="6"/>
      <c r="AI8" s="6"/>
      <c r="AJ8" s="6"/>
      <c r="AK8" s="46"/>
      <c r="AL8" s="46"/>
      <c r="AM8" s="46"/>
      <c r="AN8" s="46"/>
      <c r="AR8" s="26"/>
      <c r="AS8" s="26"/>
      <c r="AT8" s="26"/>
      <c r="AU8" s="27" t="s">
        <v>29</v>
      </c>
      <c r="AV8" s="147">
        <f>AV7</f>
        <v>0.605</v>
      </c>
      <c r="AW8" s="43">
        <v>-0.472</v>
      </c>
      <c r="AX8" s="147">
        <f t="shared" si="4"/>
        <v>-0.20768</v>
      </c>
      <c r="AY8" s="147">
        <f t="shared" ref="AY8:AZ8" si="5">AY7</f>
        <v>0.477</v>
      </c>
      <c r="AZ8" s="147">
        <f t="shared" si="5"/>
        <v>0.476</v>
      </c>
      <c r="BA8" s="43">
        <v>-0.882</v>
      </c>
      <c r="BB8" s="148">
        <v>0.422</v>
      </c>
      <c r="BC8" s="148">
        <v>0.103</v>
      </c>
      <c r="BD8" s="42">
        <v>0.0</v>
      </c>
      <c r="BE8" s="43">
        <v>0.294</v>
      </c>
      <c r="BF8" s="43">
        <v>0.097</v>
      </c>
      <c r="BG8" s="154">
        <f>BG7</f>
        <v>-0.439</v>
      </c>
      <c r="BH8" s="46"/>
      <c r="BI8" s="41" t="s">
        <v>24</v>
      </c>
      <c r="BJ8" s="43">
        <f>-0.849*2</f>
        <v>-1.698</v>
      </c>
      <c r="BK8" s="43">
        <v>0.0</v>
      </c>
      <c r="BL8" s="43">
        <f>0</f>
        <v>0</v>
      </c>
      <c r="BM8" s="44">
        <v>0.43</v>
      </c>
      <c r="BU8" s="31"/>
      <c r="BV8" s="46"/>
      <c r="BX8" s="46"/>
      <c r="BZ8" s="46"/>
      <c r="CA8" s="46"/>
      <c r="CB8" s="46"/>
      <c r="CC8" s="46"/>
      <c r="CD8" s="46"/>
      <c r="CE8" s="46"/>
      <c r="CF8" s="46"/>
      <c r="CG8" s="46"/>
      <c r="CH8" s="46"/>
      <c r="CI8" s="46"/>
      <c r="CJ8" s="46"/>
      <c r="CK8" s="46"/>
      <c r="CL8" s="31"/>
      <c r="CM8" s="31"/>
      <c r="CN8" s="31"/>
      <c r="CO8" s="31"/>
      <c r="CP8" s="31"/>
      <c r="CQ8" s="46"/>
      <c r="CR8" s="46"/>
      <c r="CV8" s="46"/>
      <c r="CW8" s="46"/>
    </row>
    <row r="9">
      <c r="A9" s="152" t="str">
        <f t="shared" ref="A9:G9" si="6">trim(T69)</f>
        <v>CLE</v>
      </c>
      <c r="B9" s="152" t="str">
        <f t="shared" si="6"/>
        <v>100.1</v>
      </c>
      <c r="C9" s="152" t="str">
        <f t="shared" si="6"/>
        <v>0.453</v>
      </c>
      <c r="D9" s="152" t="str">
        <f t="shared" si="6"/>
        <v>9.9</v>
      </c>
      <c r="E9" s="152" t="str">
        <f t="shared" si="6"/>
        <v>32.7</v>
      </c>
      <c r="F9" s="152" t="str">
        <f t="shared" si="6"/>
        <v>0.242</v>
      </c>
      <c r="G9" s="152" t="str">
        <f t="shared" si="6"/>
        <v>108.9</v>
      </c>
      <c r="H9" s="143" t="str">
        <f>trim(mid(A4,search(" at",A4)+4,search(" box",A4)-search(" at",A4)-4))</f>
        <v>#N/A</v>
      </c>
      <c r="I9" s="153">
        <f t="shared" ref="I9:J9" si="7">AS40</f>
        <v>7.291490777</v>
      </c>
      <c r="J9" s="153">
        <f t="shared" si="7"/>
        <v>-0.7998937284</v>
      </c>
      <c r="K9" s="153">
        <f t="shared" si="8"/>
        <v>6.491597049</v>
      </c>
      <c r="L9" s="4">
        <f t="shared" ref="L9:M9" si="9">-L8</f>
        <v>0.5</v>
      </c>
      <c r="M9" s="111">
        <f t="shared" si="9"/>
        <v>0.0875</v>
      </c>
      <c r="N9" s="69">
        <f t="shared" si="10"/>
        <v>108.9875</v>
      </c>
      <c r="O9" s="69">
        <f>(N9-$J$6)/2+average($I$9,$J$8)</f>
        <v>6.310132505</v>
      </c>
      <c r="P9" s="69">
        <f>($J$6-N8)/2+average($I$8,$J$9)</f>
        <v>6.156039176</v>
      </c>
      <c r="S9" s="35" t="s">
        <v>53</v>
      </c>
      <c r="T9" s="36">
        <f>T6/(T7+T8*U8)</f>
        <v>1.203208556</v>
      </c>
      <c r="U9" s="6"/>
      <c r="V9" s="6"/>
      <c r="Z9" s="6"/>
      <c r="AA9" s="6"/>
      <c r="AB9" s="6"/>
      <c r="AG9" s="6"/>
      <c r="AH9" s="6"/>
      <c r="AI9" s="6"/>
      <c r="AJ9" s="6"/>
      <c r="AK9" s="31"/>
      <c r="AL9" s="31"/>
      <c r="AM9" s="31"/>
      <c r="AN9" s="31"/>
      <c r="AO9" s="31"/>
      <c r="AP9" s="31"/>
      <c r="AQ9" s="31"/>
      <c r="AR9" s="31"/>
      <c r="AS9" s="31"/>
      <c r="AT9" s="31"/>
      <c r="AU9" s="31"/>
      <c r="AV9" s="31"/>
      <c r="AW9" s="60"/>
      <c r="AX9" s="60"/>
      <c r="AY9" s="60"/>
      <c r="AZ9" s="60"/>
      <c r="BA9" s="60"/>
      <c r="BB9" s="60"/>
      <c r="BC9" s="67"/>
      <c r="BD9" s="1"/>
      <c r="BE9" s="1"/>
      <c r="BF9" s="1"/>
      <c r="BG9" s="60"/>
      <c r="BH9" s="60"/>
      <c r="BI9" s="60"/>
      <c r="BJ9" s="60"/>
      <c r="BK9" s="60"/>
      <c r="BL9" s="60"/>
      <c r="BM9" s="60"/>
      <c r="BN9" s="60"/>
      <c r="BO9" s="60"/>
      <c r="BP9" s="60"/>
      <c r="BQ9" s="60"/>
      <c r="BR9" s="68"/>
      <c r="BU9" s="31"/>
      <c r="BV9" s="31"/>
      <c r="BW9" s="31"/>
      <c r="BX9" s="31"/>
      <c r="BZ9" s="31"/>
      <c r="CA9" s="31"/>
      <c r="CB9" s="31"/>
      <c r="CC9" s="31"/>
      <c r="CD9" s="31"/>
      <c r="CE9" s="31"/>
      <c r="CF9" s="31"/>
      <c r="CG9" s="31"/>
      <c r="CH9" s="31"/>
      <c r="CI9" s="31"/>
      <c r="CJ9" s="31"/>
      <c r="CK9" s="31"/>
      <c r="CL9" s="46"/>
      <c r="CM9" s="46"/>
      <c r="CN9" s="46"/>
      <c r="CO9" s="46"/>
      <c r="CP9" s="46"/>
      <c r="CQ9" s="31"/>
      <c r="CR9" s="31"/>
      <c r="CS9" s="31"/>
      <c r="CT9" s="31"/>
      <c r="CU9" s="31"/>
      <c r="CV9" s="31"/>
      <c r="CW9" s="31"/>
    </row>
    <row r="10">
      <c r="A10" s="66" t="str">
        <f t="shared" ref="A10:A11" si="11">concatenate("https://www.basketball-reference.com/teams/",A8,"/",$I$3,".html")</f>
        <v>https://www.basketball-reference.com/teams/GSW/2017.html</v>
      </c>
      <c r="B10" s="155"/>
      <c r="R10" s="6"/>
      <c r="S10" s="35" t="s">
        <v>56</v>
      </c>
      <c r="T10" s="156">
        <v>1.0</v>
      </c>
      <c r="U10" s="6"/>
      <c r="V10" s="6"/>
      <c r="AP10" s="1"/>
      <c r="AQ10" s="157"/>
      <c r="AR10" s="157"/>
      <c r="AS10" s="158" t="s">
        <v>381</v>
      </c>
      <c r="AT10" s="158" t="s">
        <v>382</v>
      </c>
      <c r="AU10" s="1"/>
      <c r="AV10" s="1"/>
      <c r="AW10" s="1"/>
      <c r="AX10" s="1"/>
      <c r="AY10" s="1"/>
      <c r="AZ10" s="1"/>
      <c r="BA10" s="1"/>
      <c r="BB10" s="1"/>
      <c r="BC10" s="1"/>
      <c r="BD10" s="1"/>
      <c r="BU10" s="31"/>
      <c r="CL10" s="31"/>
      <c r="CM10" s="31"/>
      <c r="CN10" s="31"/>
      <c r="CO10" s="31"/>
      <c r="CP10" s="31"/>
    </row>
    <row r="11">
      <c r="A11" s="66" t="str">
        <f t="shared" si="11"/>
        <v>https://www.basketball-reference.com/teams/CLE/2017.html</v>
      </c>
      <c r="B11" s="155"/>
      <c r="AP11" s="1"/>
      <c r="AQ11" s="158" t="s">
        <v>383</v>
      </c>
      <c r="AR11" s="159">
        <f t="shared" ref="AR11:AT11" si="12">sumproduct($AO15:$AO32,AR15:AR32)</f>
        <v>17.26574631</v>
      </c>
      <c r="AS11" s="159">
        <f t="shared" si="12"/>
        <v>11.39597208</v>
      </c>
      <c r="AT11" s="159">
        <f t="shared" si="12"/>
        <v>5.869774234</v>
      </c>
      <c r="AU11" s="1"/>
      <c r="AV11" s="1"/>
      <c r="AW11" s="1"/>
      <c r="AX11" s="1"/>
      <c r="AY11" s="1"/>
      <c r="AZ11" s="1"/>
      <c r="BA11" s="1"/>
      <c r="BB11" s="1"/>
      <c r="BC11" s="1"/>
      <c r="BD11" s="1"/>
      <c r="BN11" s="70" t="s">
        <v>384</v>
      </c>
      <c r="BO11" s="69">
        <f>sum(BO15:BO32)</f>
        <v>35.00994498</v>
      </c>
      <c r="BU11" s="31"/>
      <c r="CI11" s="70" t="s">
        <v>384</v>
      </c>
      <c r="CJ11" s="69">
        <f>sum(CJ15:CJ32)</f>
        <v>16.38238343</v>
      </c>
      <c r="CK11" s="160" t="str">
        <f>A4</f>
        <v>#N/A</v>
      </c>
      <c r="CL11" s="161"/>
      <c r="CM11" s="161"/>
      <c r="CN11" s="161"/>
      <c r="CO11" s="161"/>
      <c r="CP11" s="161"/>
      <c r="CQ11" s="162"/>
      <c r="CR11" s="162"/>
      <c r="CS11" s="162"/>
      <c r="CT11" s="162"/>
      <c r="CU11" s="162"/>
      <c r="CV11" s="163"/>
    </row>
    <row r="12">
      <c r="A12" s="164" t="s">
        <v>63</v>
      </c>
      <c r="B12" s="155"/>
      <c r="C12" s="79"/>
      <c r="D12" s="79"/>
      <c r="E12" s="79"/>
      <c r="F12" s="79"/>
      <c r="G12" s="79"/>
      <c r="H12" s="79"/>
      <c r="I12" s="79"/>
      <c r="J12" s="79"/>
      <c r="K12" s="79"/>
      <c r="L12" s="79"/>
      <c r="M12" s="79"/>
      <c r="N12" s="79"/>
      <c r="O12" s="79"/>
      <c r="P12" s="79"/>
      <c r="Q12" s="79"/>
      <c r="R12" s="79"/>
      <c r="S12" s="79"/>
      <c r="T12" s="79"/>
      <c r="U12" s="165"/>
      <c r="V12" s="79"/>
      <c r="W12" s="79"/>
      <c r="X12" s="79"/>
      <c r="Y12" s="79"/>
      <c r="Z12" s="79"/>
      <c r="AA12" s="79"/>
      <c r="AB12" s="79"/>
      <c r="AC12" s="79"/>
      <c r="BN12" s="70" t="s">
        <v>385</v>
      </c>
      <c r="BO12" s="166">
        <f>(sum($O$8:$P$8)-$BO$11)/5</f>
        <v>-4.74375466</v>
      </c>
      <c r="CI12" s="70" t="s">
        <v>385</v>
      </c>
      <c r="CJ12" s="166">
        <f>($O$8-$CJ$11)/5</f>
        <v>-2.388468851</v>
      </c>
      <c r="CK12" s="167" t="s">
        <v>386</v>
      </c>
      <c r="CL12" s="168"/>
      <c r="CM12" s="168"/>
      <c r="CN12" s="168" t="str">
        <f>B8</f>
        <v>100.1</v>
      </c>
      <c r="CV12" s="169"/>
    </row>
    <row r="13">
      <c r="A13" s="170"/>
      <c r="B13" s="171" t="s">
        <v>387</v>
      </c>
      <c r="C13" s="172"/>
      <c r="D13" s="172"/>
      <c r="E13" s="172"/>
      <c r="F13" s="172"/>
      <c r="G13" s="172"/>
      <c r="H13" s="172"/>
      <c r="I13" s="172"/>
      <c r="J13" s="172"/>
      <c r="K13" s="172"/>
      <c r="L13" s="172"/>
      <c r="M13" s="172"/>
      <c r="N13" s="172"/>
      <c r="O13" s="172"/>
      <c r="P13" s="172"/>
      <c r="Q13" s="172"/>
      <c r="R13" s="172"/>
      <c r="S13" s="172"/>
      <c r="T13" s="172"/>
      <c r="U13" s="173"/>
      <c r="V13" s="174"/>
      <c r="W13" s="174"/>
      <c r="X13" s="174"/>
      <c r="Y13" s="174"/>
      <c r="Z13" s="174"/>
      <c r="AA13" s="174"/>
      <c r="AB13" s="174"/>
      <c r="AC13" s="175" t="s">
        <v>65</v>
      </c>
      <c r="AD13" s="176"/>
      <c r="AE13" s="176"/>
      <c r="AF13" s="176"/>
      <c r="AG13" s="176"/>
      <c r="AH13" s="176"/>
      <c r="AI13" s="176"/>
      <c r="AJ13" s="176"/>
      <c r="AK13" s="176"/>
      <c r="AL13" s="176"/>
      <c r="AM13" s="176"/>
      <c r="AN13" s="176"/>
      <c r="AO13" s="175" t="s">
        <v>66</v>
      </c>
      <c r="AP13" s="177"/>
      <c r="AQ13" s="177"/>
      <c r="AR13" s="178"/>
      <c r="AS13" s="178"/>
      <c r="AT13" s="178"/>
      <c r="AU13" s="178" t="s">
        <v>69</v>
      </c>
      <c r="AV13" s="179"/>
      <c r="AW13" s="179"/>
      <c r="AX13" s="179"/>
      <c r="AY13" s="179"/>
      <c r="AZ13" s="179"/>
      <c r="BA13" s="179"/>
      <c r="BB13" s="179"/>
      <c r="BC13" s="179"/>
      <c r="BD13" s="179"/>
      <c r="BE13" s="179"/>
      <c r="BF13" s="179"/>
      <c r="BG13" s="179"/>
      <c r="BH13" s="180" t="s">
        <v>70</v>
      </c>
      <c r="BI13" s="176"/>
      <c r="BJ13" s="176"/>
      <c r="BK13" s="176"/>
      <c r="BL13" s="176"/>
      <c r="BM13" s="176"/>
      <c r="BN13" s="176"/>
      <c r="BO13" s="176"/>
      <c r="BP13" s="178" t="s">
        <v>71</v>
      </c>
      <c r="BQ13" s="179"/>
      <c r="BR13" s="179"/>
      <c r="BS13" s="179"/>
      <c r="BT13" s="179"/>
      <c r="BU13" s="179"/>
      <c r="BV13" s="179"/>
      <c r="BW13" s="179"/>
      <c r="BX13" s="179"/>
      <c r="BY13" s="179"/>
      <c r="BZ13" s="179"/>
      <c r="CA13" s="179"/>
      <c r="CB13" s="179"/>
      <c r="CC13" s="180" t="s">
        <v>72</v>
      </c>
      <c r="CD13" s="176"/>
      <c r="CE13" s="176"/>
      <c r="CF13" s="176"/>
      <c r="CG13" s="176"/>
      <c r="CH13" s="176"/>
      <c r="CI13" s="176"/>
      <c r="CJ13" s="176"/>
      <c r="CK13" s="181" t="str">
        <f>H8</f>
        <v>#N/A</v>
      </c>
      <c r="CO13" s="182" t="s">
        <v>388</v>
      </c>
      <c r="CP13" s="177" t="str">
        <f>G8</f>
        <v>107.9</v>
      </c>
      <c r="CQ13" s="176"/>
      <c r="CR13" s="176"/>
      <c r="CS13" s="176"/>
      <c r="CT13" s="176"/>
      <c r="CU13" s="175" t="s">
        <v>389</v>
      </c>
      <c r="CV13" s="183">
        <f>T6</f>
        <v>108</v>
      </c>
    </row>
    <row r="14">
      <c r="A14" s="184" t="s">
        <v>390</v>
      </c>
      <c r="B14" s="185" t="s">
        <v>80</v>
      </c>
      <c r="C14" s="186" t="s">
        <v>81</v>
      </c>
      <c r="D14" s="186" t="s">
        <v>13</v>
      </c>
      <c r="E14" s="186" t="s">
        <v>82</v>
      </c>
      <c r="F14" s="186" t="s">
        <v>83</v>
      </c>
      <c r="G14" s="186" t="s">
        <v>84</v>
      </c>
      <c r="H14" s="186" t="s">
        <v>85</v>
      </c>
      <c r="I14" s="186" t="s">
        <v>90</v>
      </c>
      <c r="J14" s="186" t="s">
        <v>14</v>
      </c>
      <c r="K14" s="186" t="s">
        <v>91</v>
      </c>
      <c r="L14" s="186" t="s">
        <v>18</v>
      </c>
      <c r="M14" s="186" t="s">
        <v>19</v>
      </c>
      <c r="N14" s="186" t="s">
        <v>20</v>
      </c>
      <c r="O14" s="186" t="s">
        <v>16</v>
      </c>
      <c r="P14" s="186" t="s">
        <v>21</v>
      </c>
      <c r="Q14" s="186" t="s">
        <v>22</v>
      </c>
      <c r="R14" s="186" t="s">
        <v>92</v>
      </c>
      <c r="S14" s="186" t="s">
        <v>23</v>
      </c>
      <c r="T14" s="186" t="s">
        <v>93</v>
      </c>
      <c r="U14" s="185" t="s">
        <v>391</v>
      </c>
      <c r="V14" s="187" t="s">
        <v>392</v>
      </c>
      <c r="W14" s="188" t="s">
        <v>391</v>
      </c>
      <c r="X14" s="189" t="s">
        <v>393</v>
      </c>
      <c r="Y14" s="190" t="s">
        <v>94</v>
      </c>
      <c r="Z14" s="190" t="s">
        <v>95</v>
      </c>
      <c r="AA14" s="190" t="s">
        <v>96</v>
      </c>
      <c r="AB14" s="190" t="s">
        <v>97</v>
      </c>
      <c r="AC14" s="191" t="s">
        <v>99</v>
      </c>
      <c r="AD14" s="191" t="s">
        <v>13</v>
      </c>
      <c r="AE14" s="191" t="s">
        <v>14</v>
      </c>
      <c r="AF14" s="191" t="s">
        <v>100</v>
      </c>
      <c r="AG14" s="192" t="s">
        <v>16</v>
      </c>
      <c r="AH14" s="192" t="s">
        <v>17</v>
      </c>
      <c r="AI14" s="191" t="s">
        <v>18</v>
      </c>
      <c r="AJ14" s="191" t="s">
        <v>19</v>
      </c>
      <c r="AK14" s="191" t="s">
        <v>20</v>
      </c>
      <c r="AL14" s="191" t="s">
        <v>21</v>
      </c>
      <c r="AM14" s="191" t="s">
        <v>22</v>
      </c>
      <c r="AN14" s="191" t="s">
        <v>23</v>
      </c>
      <c r="AO14" s="193" t="s">
        <v>394</v>
      </c>
      <c r="AP14" s="104" t="s">
        <v>102</v>
      </c>
      <c r="AQ14" s="104" t="s">
        <v>68</v>
      </c>
      <c r="AR14" s="194" t="s">
        <v>395</v>
      </c>
      <c r="AS14" s="194" t="s">
        <v>396</v>
      </c>
      <c r="AT14" s="194" t="s">
        <v>397</v>
      </c>
      <c r="AU14" s="195" t="s">
        <v>119</v>
      </c>
      <c r="AV14" s="196" t="s">
        <v>12</v>
      </c>
      <c r="AW14" s="197" t="s">
        <v>13</v>
      </c>
      <c r="AX14" s="197" t="s">
        <v>14</v>
      </c>
      <c r="AY14" s="196" t="s">
        <v>100</v>
      </c>
      <c r="AZ14" s="196" t="s">
        <v>16</v>
      </c>
      <c r="BA14" s="196" t="s">
        <v>17</v>
      </c>
      <c r="BB14" s="196" t="s">
        <v>18</v>
      </c>
      <c r="BC14" s="196" t="s">
        <v>19</v>
      </c>
      <c r="BD14" s="198" t="s">
        <v>20</v>
      </c>
      <c r="BE14" s="196" t="s">
        <v>21</v>
      </c>
      <c r="BF14" s="196" t="s">
        <v>22</v>
      </c>
      <c r="BG14" s="199" t="s">
        <v>23</v>
      </c>
      <c r="BH14" s="104" t="s">
        <v>120</v>
      </c>
      <c r="BI14" s="104" t="s">
        <v>121</v>
      </c>
      <c r="BJ14" s="104" t="s">
        <v>122</v>
      </c>
      <c r="BK14" s="104" t="s">
        <v>123</v>
      </c>
      <c r="BL14" s="104" t="s">
        <v>124</v>
      </c>
      <c r="BM14" s="104" t="s">
        <v>125</v>
      </c>
      <c r="BN14" s="104" t="s">
        <v>126</v>
      </c>
      <c r="BO14" s="104" t="s">
        <v>127</v>
      </c>
      <c r="BP14" s="195" t="s">
        <v>119</v>
      </c>
      <c r="BQ14" s="196" t="s">
        <v>12</v>
      </c>
      <c r="BR14" s="197" t="s">
        <v>13</v>
      </c>
      <c r="BS14" s="197" t="s">
        <v>14</v>
      </c>
      <c r="BT14" s="196" t="s">
        <v>100</v>
      </c>
      <c r="BU14" s="196" t="s">
        <v>16</v>
      </c>
      <c r="BV14" s="196" t="s">
        <v>17</v>
      </c>
      <c r="BW14" s="196" t="s">
        <v>18</v>
      </c>
      <c r="BX14" s="196" t="s">
        <v>19</v>
      </c>
      <c r="BY14" s="198" t="s">
        <v>20</v>
      </c>
      <c r="BZ14" s="196" t="s">
        <v>21</v>
      </c>
      <c r="CA14" s="196" t="s">
        <v>22</v>
      </c>
      <c r="CB14" s="199" t="s">
        <v>23</v>
      </c>
      <c r="CC14" s="104" t="s">
        <v>120</v>
      </c>
      <c r="CD14" s="104" t="s">
        <v>121</v>
      </c>
      <c r="CE14" s="104" t="s">
        <v>122</v>
      </c>
      <c r="CF14" s="104" t="s">
        <v>123</v>
      </c>
      <c r="CG14" s="104" t="s">
        <v>124</v>
      </c>
      <c r="CH14" s="104" t="s">
        <v>128</v>
      </c>
      <c r="CI14" s="104" t="s">
        <v>126</v>
      </c>
      <c r="CJ14" s="104" t="s">
        <v>127</v>
      </c>
      <c r="CK14" s="104" t="s">
        <v>119</v>
      </c>
      <c r="CL14" s="103" t="s">
        <v>129</v>
      </c>
      <c r="CM14" s="103" t="s">
        <v>130</v>
      </c>
      <c r="CN14" s="103" t="s">
        <v>131</v>
      </c>
      <c r="CO14" s="104" t="s">
        <v>133</v>
      </c>
      <c r="CP14" s="104" t="s">
        <v>134</v>
      </c>
      <c r="CQ14" s="104" t="s">
        <v>135</v>
      </c>
      <c r="CR14" s="104" t="s">
        <v>127</v>
      </c>
      <c r="CS14" s="104" t="s">
        <v>398</v>
      </c>
      <c r="CT14" s="104" t="s">
        <v>399</v>
      </c>
      <c r="CU14" s="106" t="s">
        <v>136</v>
      </c>
      <c r="CV14" s="93" t="s">
        <v>400</v>
      </c>
      <c r="CW14" s="200" t="s">
        <v>401</v>
      </c>
      <c r="CX14" s="201" t="s">
        <v>402</v>
      </c>
    </row>
    <row r="15">
      <c r="A15" s="202" t="s">
        <v>313</v>
      </c>
      <c r="B15" s="203">
        <v>1.6923611111111112</v>
      </c>
      <c r="C15" s="204">
        <v>9.0</v>
      </c>
      <c r="D15" s="204">
        <v>16.0</v>
      </c>
      <c r="E15" s="204">
        <v>0.563</v>
      </c>
      <c r="F15" s="204">
        <v>5.0</v>
      </c>
      <c r="G15" s="204">
        <v>11.0</v>
      </c>
      <c r="H15" s="204">
        <v>0.455</v>
      </c>
      <c r="I15" s="204">
        <v>1.0</v>
      </c>
      <c r="J15" s="204">
        <v>2.0</v>
      </c>
      <c r="K15" s="204">
        <v>0.5</v>
      </c>
      <c r="L15" s="204">
        <v>0.0</v>
      </c>
      <c r="M15" s="204">
        <v>2.0</v>
      </c>
      <c r="N15" s="204">
        <v>2.0</v>
      </c>
      <c r="O15" s="204">
        <v>1.0</v>
      </c>
      <c r="P15" s="204">
        <v>1.0</v>
      </c>
      <c r="Q15" s="204">
        <v>1.0</v>
      </c>
      <c r="R15" s="204">
        <v>2.0</v>
      </c>
      <c r="S15" s="204">
        <v>1.0</v>
      </c>
      <c r="T15" s="204">
        <v>24.0</v>
      </c>
      <c r="U15" s="203" t="s">
        <v>403</v>
      </c>
      <c r="V15" s="205">
        <f t="shared" ref="V15:V32" si="20">if(X15,B15*24,"")</f>
        <v>40.61666667</v>
      </c>
      <c r="W15" s="206">
        <f t="shared" ref="W15:W32" si="21">if(X15,value(if(iserror(search("+",U15)),U15,right(U15,len(U15)-1))),"")</f>
        <v>1</v>
      </c>
      <c r="X15" s="207" t="b">
        <f t="shared" ref="X15:X32" si="22">if(and(B15&gt;0,B15&lt;3),TRUE,FALSE)</f>
        <v>1</v>
      </c>
      <c r="Y15" s="208">
        <f t="shared" ref="Y15:Y32" si="23">if(X15,D15+$U$8*J15,"")</f>
        <v>16.88</v>
      </c>
      <c r="Z15" s="209">
        <f t="shared" ref="Z15:Z32" si="24">if(X15,if(Y15=0,0,T15/Y15),"")</f>
        <v>1.421800948</v>
      </c>
      <c r="AA15" s="209">
        <f t="shared" ref="AA15:AA32" si="25">if(X15,T15+($T$10-$T$9)*Y15,"")</f>
        <v>20.56983957</v>
      </c>
      <c r="AB15" s="208">
        <f t="shared" ref="AB15:AB32" si="26">if(X15,V15*$B$8/48,"")</f>
        <v>84.70267361</v>
      </c>
      <c r="AC15" s="113">
        <f t="shared" ref="AC15:AC32" si="27">if($X15,AA15/AB15*100,"")</f>
        <v>24.28475831</v>
      </c>
      <c r="AD15" s="113">
        <f t="shared" ref="AD15:AD32" si="28">if($X15,D15/$AB15*100,"")</f>
        <v>18.88960445</v>
      </c>
      <c r="AE15" s="113">
        <f t="shared" ref="AE15:AE32" si="29">if($X15,J15/$AB15*100,"")</f>
        <v>2.361200556</v>
      </c>
      <c r="AF15" s="113">
        <f t="shared" ref="AF15:AF32" si="30">if($X15,F15/$AB15*100,"")</f>
        <v>5.903001389</v>
      </c>
      <c r="AG15" s="113">
        <f t="shared" ref="AG15:AG32" si="31">if($X15,O15/$AB15*100,"")</f>
        <v>1.180600278</v>
      </c>
      <c r="AH15" s="113">
        <f t="shared" ref="AH15:AH32" si="32">if($X15,R15/$AB15*100,"")</f>
        <v>2.361200556</v>
      </c>
      <c r="AI15" s="113">
        <f t="shared" ref="AI15:AK15" si="13">if($X15,L15/$AB15*100,"")</f>
        <v>0</v>
      </c>
      <c r="AJ15" s="113">
        <f t="shared" si="13"/>
        <v>2.361200556</v>
      </c>
      <c r="AK15" s="113">
        <f t="shared" si="13"/>
        <v>2.361200556</v>
      </c>
      <c r="AL15" s="113">
        <f t="shared" ref="AL15:AM15" si="14">if($X15,P15/$AB15*100,"")</f>
        <v>1.180600278</v>
      </c>
      <c r="AM15" s="113">
        <f t="shared" si="14"/>
        <v>1.180600278</v>
      </c>
      <c r="AN15" s="113">
        <f t="shared" ref="AN15:AN32" si="35">if($X15,S15/$AB15*100,"")</f>
        <v>1.180600278</v>
      </c>
      <c r="AO15" s="114">
        <f t="shared" ref="AO15:AO32" si="36">if(X15,V15/($T$5/5),"")</f>
        <v>0.8461805556</v>
      </c>
      <c r="AP15" s="118">
        <f t="array" ref="AP15">if($X15,index('BPM 2.0 Season GSW 2017'!$BM$14:$BM$31,match($A15,'BPM 2.0 Season GSW 2017'!$B$14:$B$31,false)),"")</f>
        <v>2.643574551</v>
      </c>
      <c r="AQ15" s="118">
        <f t="array" ref="AQ15">if($X15,index('BPM 2.0 Season GSW 2017'!$BY$14:$BY$31,match($A15,'BPM 2.0 Season GSW 2017'!$B$14:$B$31,false)),"")</f>
        <v>3.118247599</v>
      </c>
      <c r="AR15" s="210">
        <f t="array" ref="AR15">if($X15,index('BPM 2.0 Season GSW 2017'!$EC$14:$EC$36,(match(AU15,'BPM 2.0 Season GSW 2017'!$CU$14:$CU$36,false))),"")</f>
        <v>0.6983822416</v>
      </c>
      <c r="AS15" s="210">
        <f t="array" ref="AS15">if($X15,index('BPM 2.0 Season GSW 2017'!$ED$14:$ED$36,(match(AU15,'BPM 2.0 Season GSW 2017'!$CU$14:$CU$36,false))),"")</f>
        <v>2.292503688</v>
      </c>
      <c r="AT15" s="210">
        <f t="shared" ref="AT15:AT32" si="37">if($X15,AR15-AS15,"")</f>
        <v>-1.594121446</v>
      </c>
      <c r="AU15" s="61" t="str">
        <f t="shared" ref="AU15:AU32" si="38">A15</f>
        <v>Klay Thompson</v>
      </c>
      <c r="AV15" s="121">
        <f t="shared" ref="AV15:AV32" si="39">if($X15,(5-$AP15)/4*AV$3+($AP15-1)/4*AV$4,"")</f>
        <v>0.86</v>
      </c>
      <c r="AW15" s="122">
        <f t="shared" ref="AW15:AX15" si="15">if($X15,(5-$AQ15)/4*AW$3+($AQ15-1)/4*AW$4,"")</f>
        <v>-0.6765036179</v>
      </c>
      <c r="AX15" s="122">
        <f t="shared" si="15"/>
        <v>-0.2976615919</v>
      </c>
      <c r="AY15" s="121">
        <f t="shared" ref="AY15:BG15" si="16">if($X15,(5-$AP15)/4*AY$3+($AP15-1)/4*AY$4,"")</f>
        <v>0.389</v>
      </c>
      <c r="AZ15" s="121">
        <f t="shared" si="16"/>
        <v>0.7665457115</v>
      </c>
      <c r="BA15" s="121">
        <f t="shared" si="16"/>
        <v>-0.964</v>
      </c>
      <c r="BB15" s="121">
        <f t="shared" si="16"/>
        <v>0.4354939485</v>
      </c>
      <c r="BC15" s="121">
        <f t="shared" si="16"/>
        <v>0.1427080865</v>
      </c>
      <c r="BD15" s="121">
        <f t="shared" si="16"/>
        <v>0</v>
      </c>
      <c r="BE15" s="121">
        <f t="shared" si="16"/>
        <v>1.220667397</v>
      </c>
      <c r="BF15" s="121">
        <f t="shared" si="16"/>
        <v>1.07060237</v>
      </c>
      <c r="BG15" s="121">
        <f t="shared" si="16"/>
        <v>-0.367</v>
      </c>
      <c r="BH15" s="118">
        <f t="shared" ref="BH15:BH32" si="42">sumproduct(AV15:AY15,AC15:AF15)</f>
        <v>9.699435226</v>
      </c>
      <c r="BI15" s="118">
        <f t="shared" ref="BI15:BI32" si="43">sumproduct(AZ15:BA15,AG15:AH15)</f>
        <v>-1.371213256</v>
      </c>
      <c r="BJ15" s="118">
        <f t="shared" ref="BJ15:BJ32" si="44">sumproduct(BB15:BD15,AI15:AK15)</f>
        <v>0.336962413</v>
      </c>
      <c r="BK15" s="118">
        <f t="shared" ref="BK15:BK32" si="45">SUMPRODUCT(BE15:BG15,AL15:AN15)</f>
        <v>2.271793421</v>
      </c>
      <c r="BL15" s="118">
        <f t="shared" ref="BL15:BL32" si="46">if(AP15&lt;3,(AP15-1)/2*$BK$4+(3-AP15)/2*$BJ$4,(AP15-3)/2*$BL$4+(5-AP15)/2*$BK$4)+$BM$4*(AQ15-3)</f>
        <v>0.01823141109</v>
      </c>
      <c r="BM15" s="124">
        <f t="shared" ref="BM15:BM32" si="47">sum(BH15:BL15)</f>
        <v>10.95520922</v>
      </c>
      <c r="BN15" s="114">
        <f t="shared" ref="BN15:BN32" si="48">AO15</f>
        <v>0.8461805556</v>
      </c>
      <c r="BO15" s="118">
        <f t="shared" ref="BO15:BO32" si="49">BN15*BM15</f>
        <v>9.27008502</v>
      </c>
      <c r="BP15" s="125" t="str">
        <f t="shared" ref="BP15:BP32" si="50">AU15</f>
        <v>Klay Thompson</v>
      </c>
      <c r="BQ15" s="121">
        <f t="shared" ref="BQ15:BQ32" si="51">if($X15,(5-$AP15)/4*AV$7+($AP15-1)/4*AV$8,"")</f>
        <v>0.605</v>
      </c>
      <c r="BR15" s="122">
        <f t="shared" ref="BR15:BS15" si="17">if($X15,(5-$AQ15)/4*AW$7+($AQ15-1)/4*AW$8,"")</f>
        <v>-0.4051977898</v>
      </c>
      <c r="BS15" s="122">
        <f t="shared" si="17"/>
        <v>-0.1782870275</v>
      </c>
      <c r="BT15" s="121">
        <f t="shared" ref="BT15:CB15" si="18">if($X15,(5-$AP15)/4*AY$7+($AP15-1)/4*AY$8,"")</f>
        <v>0.477</v>
      </c>
      <c r="BU15" s="121">
        <f t="shared" si="18"/>
        <v>0.476</v>
      </c>
      <c r="BV15" s="121">
        <f t="shared" si="18"/>
        <v>-0.7035007722</v>
      </c>
      <c r="BW15" s="121">
        <f t="shared" si="18"/>
        <v>0.5303955707</v>
      </c>
      <c r="BX15" s="121">
        <f t="shared" si="18"/>
        <v>-0.02365786789</v>
      </c>
      <c r="BY15" s="121">
        <f t="shared" si="18"/>
        <v>0</v>
      </c>
      <c r="BZ15" s="121">
        <f t="shared" si="18"/>
        <v>0.2250745556</v>
      </c>
      <c r="CA15" s="121">
        <f t="shared" si="18"/>
        <v>0.4669587955</v>
      </c>
      <c r="CB15" s="121">
        <f t="shared" si="18"/>
        <v>-0.439</v>
      </c>
      <c r="CC15" s="118">
        <f t="shared" ref="CC15:CC32" si="54">sumproduct(BQ15:BT15,AC15:AF15)</f>
        <v>9.433013044</v>
      </c>
      <c r="CD15" s="118">
        <f t="shared" ref="CD15:CD32" si="55">sumproduct(BU15:BV15,AG15:AH15)</f>
        <v>-1.099140682</v>
      </c>
      <c r="CE15" s="118">
        <f t="shared" ref="CE15:CE32" si="56">sumproduct(BW15:BY15,AI15:AK15)</f>
        <v>-0.05586097082</v>
      </c>
      <c r="CF15" s="118">
        <f t="shared" ref="CF15:CF32" si="57">SUMPRODUCT(BZ15:CB15,AL15:AN15)</f>
        <v>0.2987312447</v>
      </c>
      <c r="CG15" s="118">
        <f t="shared" ref="CG15:CG32" si="58">if(AP15&lt;3,(AP15-1)/2*$BK$8+(3-AP15)/2*$BJ$8,(AP15-3)/2*$BL$8+(5-AP15)/2*$BK$8)+$BM$8*(AQ15-3)</f>
        <v>-0.2517587388</v>
      </c>
      <c r="CH15" s="124">
        <f t="shared" ref="CH15:CH32" si="59">sum(CC15:CG15)</f>
        <v>8.324983897</v>
      </c>
      <c r="CI15" s="114">
        <f t="shared" ref="CI15:CI32" si="60">BN15</f>
        <v>0.8461805556</v>
      </c>
      <c r="CJ15" s="118">
        <f t="shared" ref="CJ15:CJ32" si="61">CI15*CH15</f>
        <v>7.044439499</v>
      </c>
      <c r="CK15" s="126" t="str">
        <f t="shared" ref="CK15:CK32" si="62">if($X15,A15,"")</f>
        <v>Klay Thompson</v>
      </c>
      <c r="CL15" s="127">
        <f t="shared" ref="CL15:CL32" si="63">if(X15,AP15,"")</f>
        <v>2.643574551</v>
      </c>
      <c r="CM15" s="127">
        <f t="shared" ref="CM15:CM32" si="64">if($X15,AQ15,"")</f>
        <v>3.118247599</v>
      </c>
      <c r="CN15" s="128">
        <f t="shared" ref="CN15:CN32" si="65">if($X15,V15,"")</f>
        <v>40.61666667</v>
      </c>
      <c r="CO15" s="127">
        <f t="shared" ref="CO15:CO32" si="66">if(X15,BM15+$BO$12,"")</f>
        <v>6.211454556</v>
      </c>
      <c r="CP15" s="127">
        <f t="shared" ref="CP15:CP32" si="67">if(X15,CH15+$CJ$12,"")</f>
        <v>5.936515045</v>
      </c>
      <c r="CQ15" s="127">
        <f t="shared" ref="CQ15:CQ32" si="68">if($X15,CO15-CP15,"")</f>
        <v>0.2749395104</v>
      </c>
      <c r="CR15" s="127">
        <f t="shared" ref="CR15:CT15" si="19">if($X15,CO15*$BN15,"")</f>
        <v>5.256012067</v>
      </c>
      <c r="CS15" s="127">
        <f t="shared" si="19"/>
        <v>5.023363599</v>
      </c>
      <c r="CT15" s="127">
        <f t="shared" si="19"/>
        <v>0.2326484677</v>
      </c>
      <c r="CU15" s="211">
        <f t="shared" ref="CU15:CU32" si="70">if($X15,(CO15+2)*BN15/82,"")</f>
        <v>0.08473625827</v>
      </c>
      <c r="CV15" s="212">
        <f t="shared" ref="CV15:CV32" si="71">if($X15,(CO15-$M$8/5-average($K$8:$K$9)/5)*$BN15*$B$8/100*($T$5/5/48),"")</f>
        <v>3.263780546</v>
      </c>
      <c r="CW15" s="213" t="str">
        <f t="shared" ref="CW15:CW28" si="72">concatenate($I$3," ",$A$8," @ ",$A$9,", ",right($CK$11,len($CK$11)-search(",",$CK$11)))</f>
        <v>#N/A</v>
      </c>
      <c r="CX15" s="212">
        <f t="shared" ref="CX15:CX32" si="73">if($X15,W15/10,"")</f>
        <v>0.1</v>
      </c>
    </row>
    <row r="16">
      <c r="A16" s="202" t="s">
        <v>316</v>
      </c>
      <c r="B16" s="203">
        <v>1.5902777777777777</v>
      </c>
      <c r="C16" s="204">
        <v>11.0</v>
      </c>
      <c r="D16" s="204">
        <v>23.0</v>
      </c>
      <c r="E16" s="204">
        <v>0.478</v>
      </c>
      <c r="F16" s="204">
        <v>2.0</v>
      </c>
      <c r="G16" s="204">
        <v>8.0</v>
      </c>
      <c r="H16" s="204">
        <v>0.25</v>
      </c>
      <c r="I16" s="204">
        <v>12.0</v>
      </c>
      <c r="J16" s="204">
        <v>12.0</v>
      </c>
      <c r="K16" s="204">
        <v>1.0</v>
      </c>
      <c r="L16" s="204">
        <v>0.0</v>
      </c>
      <c r="M16" s="204">
        <v>15.0</v>
      </c>
      <c r="N16" s="204">
        <v>15.0</v>
      </c>
      <c r="O16" s="204">
        <v>3.0</v>
      </c>
      <c r="P16" s="204">
        <v>1.0</v>
      </c>
      <c r="Q16" s="204">
        <v>1.0</v>
      </c>
      <c r="R16" s="204">
        <v>0.0</v>
      </c>
      <c r="S16" s="204">
        <v>2.0</v>
      </c>
      <c r="T16" s="204">
        <v>36.0</v>
      </c>
      <c r="U16" s="203">
        <v>0.0</v>
      </c>
      <c r="V16" s="205">
        <f t="shared" si="20"/>
        <v>38.16666667</v>
      </c>
      <c r="W16" s="206">
        <f t="shared" si="21"/>
        <v>0</v>
      </c>
      <c r="X16" s="207" t="b">
        <f t="shared" si="22"/>
        <v>1</v>
      </c>
      <c r="Y16" s="208">
        <f t="shared" si="23"/>
        <v>28.28</v>
      </c>
      <c r="Z16" s="209">
        <f t="shared" si="24"/>
        <v>1.272984441</v>
      </c>
      <c r="AA16" s="209">
        <f t="shared" si="25"/>
        <v>30.25326203</v>
      </c>
      <c r="AB16" s="208">
        <f t="shared" si="26"/>
        <v>79.59340278</v>
      </c>
      <c r="AC16" s="113">
        <f t="shared" si="27"/>
        <v>38.00976083</v>
      </c>
      <c r="AD16" s="113">
        <f t="shared" si="28"/>
        <v>28.89686732</v>
      </c>
      <c r="AE16" s="113">
        <f t="shared" si="29"/>
        <v>15.07662643</v>
      </c>
      <c r="AF16" s="113">
        <f t="shared" si="30"/>
        <v>2.512771072</v>
      </c>
      <c r="AG16" s="113">
        <f t="shared" si="31"/>
        <v>3.769156608</v>
      </c>
      <c r="AH16" s="113">
        <f t="shared" si="32"/>
        <v>0</v>
      </c>
      <c r="AI16" s="113">
        <f t="shared" ref="AI16:AK16" si="33">if($X16,L16/$AB16*100,"")</f>
        <v>0</v>
      </c>
      <c r="AJ16" s="113">
        <f t="shared" si="33"/>
        <v>18.84578304</v>
      </c>
      <c r="AK16" s="113">
        <f t="shared" si="33"/>
        <v>18.84578304</v>
      </c>
      <c r="AL16" s="113">
        <f t="shared" ref="AL16:AM16" si="34">if($X16,P16/$AB16*100,"")</f>
        <v>1.256385536</v>
      </c>
      <c r="AM16" s="113">
        <f t="shared" si="34"/>
        <v>1.256385536</v>
      </c>
      <c r="AN16" s="113">
        <f t="shared" si="35"/>
        <v>2.512771072</v>
      </c>
      <c r="AO16" s="114">
        <f t="shared" si="36"/>
        <v>0.7951388889</v>
      </c>
      <c r="AP16" s="118">
        <f t="array" ref="AP16">if($X16,index('BPM 2.0 Season GSW 2017'!$BM$14:$BM$31,match($A16,'BPM 2.0 Season GSW 2017'!$B$14:$B$31,false)),"")</f>
        <v>3.816242623</v>
      </c>
      <c r="AQ16" s="118">
        <f t="array" ref="AQ16">if($X16,index('BPM 2.0 Season GSW 2017'!$BY$14:$BY$31,match($A16,'BPM 2.0 Season GSW 2017'!$B$14:$B$31,false)),"")</f>
        <v>1.310574729</v>
      </c>
      <c r="AR16" s="214">
        <f t="array" ref="AR16">if($X16,index('BPM 2.0 Season GSW 2017'!$EC$14:$EC$36,(match(AU16,'BPM 2.0 Season GSW 2017'!$CU$14:$CU$36,false))),"")</f>
        <v>8.951482676</v>
      </c>
      <c r="AS16" s="214">
        <f t="array" ref="AS16">if($X16,index('BPM 2.0 Season GSW 2017'!$ED$14:$ED$36,(match(AU16,'BPM 2.0 Season GSW 2017'!$CU$14:$CU$36,false))),"")</f>
        <v>6.633352899</v>
      </c>
      <c r="AT16" s="214">
        <f t="shared" si="37"/>
        <v>2.318129776</v>
      </c>
      <c r="AU16" s="61" t="str">
        <f t="shared" si="38"/>
        <v>Kevin Durant</v>
      </c>
      <c r="AV16" s="121">
        <f t="shared" si="39"/>
        <v>0.86</v>
      </c>
      <c r="AW16" s="122">
        <f t="shared" ref="AW16:AX16" si="40">if($X16,(5-$AQ16)/4*AW$3+($AQ16-1)/4*AW$4,"")</f>
        <v>-0.5770816101</v>
      </c>
      <c r="AX16" s="122">
        <f t="shared" si="40"/>
        <v>-0.2539159084</v>
      </c>
      <c r="AY16" s="121">
        <f t="shared" ref="AY16:BG16" si="41">if($X16,(5-$AP16)/4*AY$3+($AP16-1)/4*AY$4,"")</f>
        <v>0.389</v>
      </c>
      <c r="AZ16" s="121">
        <f t="shared" si="41"/>
        <v>0.8996435377</v>
      </c>
      <c r="BA16" s="121">
        <f t="shared" si="41"/>
        <v>-0.964</v>
      </c>
      <c r="BB16" s="121">
        <f t="shared" si="41"/>
        <v>0.3088457967</v>
      </c>
      <c r="BC16" s="121">
        <f t="shared" si="41"/>
        <v>0.1617639426</v>
      </c>
      <c r="BD16" s="121">
        <f t="shared" si="41"/>
        <v>0</v>
      </c>
      <c r="BE16" s="121">
        <f t="shared" si="41"/>
        <v>1.114834103</v>
      </c>
      <c r="BF16" s="121">
        <f t="shared" si="41"/>
        <v>0.8876661508</v>
      </c>
      <c r="BG16" s="121">
        <f t="shared" si="41"/>
        <v>-0.367</v>
      </c>
      <c r="BH16" s="118">
        <f t="shared" si="42"/>
        <v>13.16181624</v>
      </c>
      <c r="BI16" s="118">
        <f t="shared" si="43"/>
        <v>3.390897385</v>
      </c>
      <c r="BJ16" s="118">
        <f t="shared" si="44"/>
        <v>3.048568166</v>
      </c>
      <c r="BK16" s="118">
        <f t="shared" si="45"/>
        <v>1.593725372</v>
      </c>
      <c r="BL16" s="118">
        <f t="shared" si="46"/>
        <v>-2.343232851</v>
      </c>
      <c r="BM16" s="124">
        <f t="shared" si="47"/>
        <v>18.85177431</v>
      </c>
      <c r="BN16" s="114">
        <f t="shared" si="48"/>
        <v>0.7951388889</v>
      </c>
      <c r="BO16" s="118">
        <f t="shared" si="49"/>
        <v>14.98977888</v>
      </c>
      <c r="BP16" s="125" t="str">
        <f t="shared" si="50"/>
        <v>Kevin Durant</v>
      </c>
      <c r="BQ16" s="121">
        <f t="shared" si="51"/>
        <v>0.605</v>
      </c>
      <c r="BR16" s="122">
        <f t="shared" ref="BR16:BS16" si="52">if($X16,(5-$AQ16)/4*AW$7+($AQ16-1)/4*AW$8,"")</f>
        <v>-0.3410254029</v>
      </c>
      <c r="BS16" s="122">
        <f t="shared" si="52"/>
        <v>-0.1500511773</v>
      </c>
      <c r="BT16" s="121">
        <f t="shared" ref="BT16:CB16" si="53">if($X16,(5-$AP16)/4*AY$7+($AP16-1)/4*AY$8,"")</f>
        <v>0.477</v>
      </c>
      <c r="BU16" s="121">
        <f t="shared" si="53"/>
        <v>0.476</v>
      </c>
      <c r="BV16" s="121">
        <f t="shared" si="53"/>
        <v>-0.7923303787</v>
      </c>
      <c r="BW16" s="121">
        <f t="shared" si="53"/>
        <v>0.4764528394</v>
      </c>
      <c r="BX16" s="121">
        <f t="shared" si="53"/>
        <v>0.03937304097</v>
      </c>
      <c r="BY16" s="121">
        <f t="shared" si="53"/>
        <v>0</v>
      </c>
      <c r="BZ16" s="121">
        <f t="shared" si="53"/>
        <v>0.2593750967</v>
      </c>
      <c r="CA16" s="121">
        <f t="shared" si="53"/>
        <v>0.2828499082</v>
      </c>
      <c r="CB16" s="121">
        <f t="shared" si="53"/>
        <v>-0.439</v>
      </c>
      <c r="CC16" s="118">
        <f t="shared" si="54"/>
        <v>12.07766574</v>
      </c>
      <c r="CD16" s="118">
        <f t="shared" si="55"/>
        <v>1.794118545</v>
      </c>
      <c r="CE16" s="118">
        <f t="shared" si="56"/>
        <v>0.7420157877</v>
      </c>
      <c r="CF16" s="118">
        <f t="shared" si="57"/>
        <v>-0.4218628471</v>
      </c>
      <c r="CG16" s="118">
        <f t="shared" si="58"/>
        <v>-0.7264528666</v>
      </c>
      <c r="CH16" s="124">
        <f t="shared" si="59"/>
        <v>13.46548436</v>
      </c>
      <c r="CI16" s="114">
        <f t="shared" si="60"/>
        <v>0.7951388889</v>
      </c>
      <c r="CJ16" s="118">
        <f t="shared" si="61"/>
        <v>10.70693027</v>
      </c>
      <c r="CK16" s="126" t="str">
        <f t="shared" si="62"/>
        <v>Kevin Durant</v>
      </c>
      <c r="CL16" s="127">
        <f t="shared" si="63"/>
        <v>3.816242623</v>
      </c>
      <c r="CM16" s="127">
        <f t="shared" si="64"/>
        <v>1.310574729</v>
      </c>
      <c r="CN16" s="128">
        <f t="shared" si="65"/>
        <v>38.16666667</v>
      </c>
      <c r="CO16" s="127">
        <f t="shared" si="66"/>
        <v>14.10801965</v>
      </c>
      <c r="CP16" s="127">
        <f t="shared" si="67"/>
        <v>11.07701551</v>
      </c>
      <c r="CQ16" s="127">
        <f t="shared" si="68"/>
        <v>3.031004148</v>
      </c>
      <c r="CR16" s="127">
        <f t="shared" ref="CR16:CT16" si="69">if($X16,CO16*$BN16,"")</f>
        <v>11.21783507</v>
      </c>
      <c r="CS16" s="127">
        <f t="shared" si="69"/>
        <v>8.807765801</v>
      </c>
      <c r="CT16" s="127">
        <f t="shared" si="69"/>
        <v>2.410069271</v>
      </c>
      <c r="CU16" s="211">
        <f t="shared" si="70"/>
        <v>0.1561964982</v>
      </c>
      <c r="CV16" s="212">
        <f t="shared" si="71"/>
        <v>9.352053953</v>
      </c>
      <c r="CW16" s="213" t="str">
        <f t="shared" si="72"/>
        <v>#N/A</v>
      </c>
      <c r="CX16" s="212">
        <f t="shared" si="73"/>
        <v>0</v>
      </c>
    </row>
    <row r="17">
      <c r="A17" s="202" t="s">
        <v>314</v>
      </c>
      <c r="B17" s="203">
        <v>1.5555555555555556</v>
      </c>
      <c r="C17" s="204">
        <v>4.0</v>
      </c>
      <c r="D17" s="204">
        <v>11.0</v>
      </c>
      <c r="E17" s="204">
        <v>0.364</v>
      </c>
      <c r="F17" s="204">
        <v>2.0</v>
      </c>
      <c r="G17" s="204">
        <v>7.0</v>
      </c>
      <c r="H17" s="204">
        <v>0.286</v>
      </c>
      <c r="I17" s="204">
        <v>5.0</v>
      </c>
      <c r="J17" s="204">
        <v>6.0</v>
      </c>
      <c r="K17" s="204">
        <v>0.833</v>
      </c>
      <c r="L17" s="204">
        <v>0.0</v>
      </c>
      <c r="M17" s="204">
        <v>3.0</v>
      </c>
      <c r="N17" s="204">
        <v>3.0</v>
      </c>
      <c r="O17" s="204">
        <v>3.0</v>
      </c>
      <c r="P17" s="204">
        <v>3.0</v>
      </c>
      <c r="Q17" s="204">
        <v>0.0</v>
      </c>
      <c r="R17" s="204">
        <v>3.0</v>
      </c>
      <c r="S17" s="204">
        <v>4.0</v>
      </c>
      <c r="T17" s="204">
        <v>15.0</v>
      </c>
      <c r="U17" s="203">
        <v>-1.0</v>
      </c>
      <c r="V17" s="205">
        <f t="shared" si="20"/>
        <v>37.33333333</v>
      </c>
      <c r="W17" s="206">
        <f t="shared" si="21"/>
        <v>-1</v>
      </c>
      <c r="X17" s="207" t="b">
        <f t="shared" si="22"/>
        <v>1</v>
      </c>
      <c r="Y17" s="208">
        <f t="shared" si="23"/>
        <v>13.64</v>
      </c>
      <c r="Z17" s="209">
        <f t="shared" si="24"/>
        <v>1.099706745</v>
      </c>
      <c r="AA17" s="209">
        <f t="shared" si="25"/>
        <v>12.22823529</v>
      </c>
      <c r="AB17" s="208">
        <f t="shared" si="26"/>
        <v>77.85555556</v>
      </c>
      <c r="AC17" s="113">
        <f t="shared" si="27"/>
        <v>15.7063105</v>
      </c>
      <c r="AD17" s="113">
        <f t="shared" si="28"/>
        <v>14.12872841</v>
      </c>
      <c r="AE17" s="113">
        <f t="shared" si="29"/>
        <v>7.706579135</v>
      </c>
      <c r="AF17" s="113">
        <f t="shared" si="30"/>
        <v>2.568859712</v>
      </c>
      <c r="AG17" s="113">
        <f t="shared" si="31"/>
        <v>3.853289568</v>
      </c>
      <c r="AH17" s="113">
        <f t="shared" si="32"/>
        <v>3.853289568</v>
      </c>
      <c r="AI17" s="113">
        <f t="shared" ref="AI17:AK17" si="74">if($X17,L17/$AB17*100,"")</f>
        <v>0</v>
      </c>
      <c r="AJ17" s="113">
        <f t="shared" si="74"/>
        <v>3.853289568</v>
      </c>
      <c r="AK17" s="113">
        <f t="shared" si="74"/>
        <v>3.853289568</v>
      </c>
      <c r="AL17" s="113">
        <f t="shared" ref="AL17:AM17" si="75">if($X17,P17/$AB17*100,"")</f>
        <v>3.853289568</v>
      </c>
      <c r="AM17" s="113">
        <f t="shared" si="75"/>
        <v>0</v>
      </c>
      <c r="AN17" s="113">
        <f t="shared" si="35"/>
        <v>5.137719423</v>
      </c>
      <c r="AO17" s="114">
        <f t="shared" si="36"/>
        <v>0.7777777778</v>
      </c>
      <c r="AP17" s="118">
        <f t="array" ref="AP17">if($X17,index('BPM 2.0 Season GSW 2017'!$BM$14:$BM$31,match($A17,'BPM 2.0 Season GSW 2017'!$B$14:$B$31,false)),"")</f>
        <v>1.689931259</v>
      </c>
      <c r="AQ17" s="118">
        <f t="array" ref="AQ17">if($X17,index('BPM 2.0 Season GSW 2017'!$BY$14:$BY$31,match($A17,'BPM 2.0 Season GSW 2017'!$B$14:$B$31,false)),"")</f>
        <v>1</v>
      </c>
      <c r="AR17" s="214">
        <f t="array" ref="AR17">if($X17,index('BPM 2.0 Season GSW 2017'!$EC$14:$EC$36,(match(AU17,'BPM 2.0 Season GSW 2017'!$CU$14:$CU$36,false))),"")</f>
        <v>6.823677646</v>
      </c>
      <c r="AS17" s="214">
        <f t="array" ref="AS17">if($X17,index('BPM 2.0 Season GSW 2017'!$ED$14:$ED$36,(match(AU17,'BPM 2.0 Season GSW 2017'!$CU$14:$CU$36,false))),"")</f>
        <v>6.532994512</v>
      </c>
      <c r="AT17" s="214">
        <f t="shared" si="37"/>
        <v>0.2906831335</v>
      </c>
      <c r="AU17" s="61" t="str">
        <f t="shared" si="38"/>
        <v>Stephen Curry</v>
      </c>
      <c r="AV17" s="121">
        <f t="shared" si="39"/>
        <v>0.86</v>
      </c>
      <c r="AW17" s="122">
        <f t="shared" ref="AW17:AX17" si="76">if($X17,(5-$AQ17)/4*AW$3+($AQ17-1)/4*AW$4,"")</f>
        <v>-0.56</v>
      </c>
      <c r="AX17" s="122">
        <f t="shared" si="76"/>
        <v>-0.2464</v>
      </c>
      <c r="AY17" s="121">
        <f t="shared" ref="AY17:BG17" si="77">if($X17,(5-$AP17)/4*AY$3+($AP17-1)/4*AY$4,"")</f>
        <v>0.389</v>
      </c>
      <c r="AZ17" s="121">
        <f t="shared" si="77"/>
        <v>0.6583071979</v>
      </c>
      <c r="BA17" s="121">
        <f t="shared" si="77"/>
        <v>-0.964</v>
      </c>
      <c r="BB17" s="121">
        <f t="shared" si="77"/>
        <v>0.538487424</v>
      </c>
      <c r="BC17" s="121">
        <f t="shared" si="77"/>
        <v>0.127211383</v>
      </c>
      <c r="BD17" s="121">
        <f t="shared" si="77"/>
        <v>0</v>
      </c>
      <c r="BE17" s="121">
        <f t="shared" si="77"/>
        <v>1.306733704</v>
      </c>
      <c r="BF17" s="121">
        <f t="shared" si="77"/>
        <v>1.219370724</v>
      </c>
      <c r="BG17" s="121">
        <f t="shared" si="77"/>
        <v>-0.367</v>
      </c>
      <c r="BH17" s="118">
        <f t="shared" si="42"/>
        <v>4.695724444</v>
      </c>
      <c r="BI17" s="118">
        <f t="shared" si="43"/>
        <v>-1.177922885</v>
      </c>
      <c r="BJ17" s="118">
        <f t="shared" si="44"/>
        <v>0.4901822948</v>
      </c>
      <c r="BK17" s="118">
        <f t="shared" si="45"/>
        <v>3.14968032</v>
      </c>
      <c r="BL17" s="118">
        <f t="shared" si="46"/>
        <v>-3.309818115</v>
      </c>
      <c r="BM17" s="124">
        <f t="shared" si="47"/>
        <v>3.847846059</v>
      </c>
      <c r="BN17" s="114">
        <f t="shared" si="48"/>
        <v>0.7777777778</v>
      </c>
      <c r="BO17" s="118">
        <f t="shared" si="49"/>
        <v>2.992769157</v>
      </c>
      <c r="BP17" s="125" t="str">
        <f t="shared" si="50"/>
        <v>Stephen Curry</v>
      </c>
      <c r="BQ17" s="121">
        <f t="shared" si="51"/>
        <v>0.605</v>
      </c>
      <c r="BR17" s="122">
        <f t="shared" ref="BR17:BS17" si="78">if($X17,(5-$AQ17)/4*AW$7+($AQ17-1)/4*AW$8,"")</f>
        <v>-0.33</v>
      </c>
      <c r="BS17" s="122">
        <f t="shared" si="78"/>
        <v>-0.1452</v>
      </c>
      <c r="BT17" s="121">
        <f t="shared" ref="BT17:CB17" si="79">if($X17,(5-$AP17)/4*AY$7+($AP17-1)/4*AY$8,"")</f>
        <v>0.477</v>
      </c>
      <c r="BU17" s="121">
        <f t="shared" si="79"/>
        <v>0.476</v>
      </c>
      <c r="BV17" s="121">
        <f t="shared" si="79"/>
        <v>-0.6312622929</v>
      </c>
      <c r="BW17" s="121">
        <f t="shared" si="79"/>
        <v>0.5742631621</v>
      </c>
      <c r="BX17" s="121">
        <f t="shared" si="79"/>
        <v>-0.07491619482</v>
      </c>
      <c r="BY17" s="121">
        <f t="shared" si="79"/>
        <v>0</v>
      </c>
      <c r="BZ17" s="121">
        <f t="shared" si="79"/>
        <v>0.1971804893</v>
      </c>
      <c r="CA17" s="121">
        <f t="shared" si="79"/>
        <v>0.6166807923</v>
      </c>
      <c r="CB17" s="121">
        <f t="shared" si="79"/>
        <v>-0.439</v>
      </c>
      <c r="CC17" s="118">
        <f t="shared" si="54"/>
        <v>4.946188266</v>
      </c>
      <c r="CD17" s="118">
        <f t="shared" si="55"/>
        <v>-0.5982705734</v>
      </c>
      <c r="CE17" s="118">
        <f t="shared" si="56"/>
        <v>-0.2886737919</v>
      </c>
      <c r="CF17" s="118">
        <f t="shared" si="57"/>
        <v>-1.495665304</v>
      </c>
      <c r="CG17" s="118">
        <f t="shared" si="58"/>
        <v>-1.972248361</v>
      </c>
      <c r="CH17" s="124">
        <f t="shared" si="59"/>
        <v>0.5913302348</v>
      </c>
      <c r="CI17" s="114">
        <f t="shared" si="60"/>
        <v>0.7777777778</v>
      </c>
      <c r="CJ17" s="118">
        <f t="shared" si="61"/>
        <v>0.459923516</v>
      </c>
      <c r="CK17" s="126" t="str">
        <f t="shared" si="62"/>
        <v>Stephen Curry</v>
      </c>
      <c r="CL17" s="127">
        <f t="shared" si="63"/>
        <v>1.689931259</v>
      </c>
      <c r="CM17" s="127">
        <f t="shared" si="64"/>
        <v>1</v>
      </c>
      <c r="CN17" s="128">
        <f t="shared" si="65"/>
        <v>37.33333333</v>
      </c>
      <c r="CO17" s="127">
        <f t="shared" si="66"/>
        <v>-0.8959086011</v>
      </c>
      <c r="CP17" s="127">
        <f t="shared" si="67"/>
        <v>-1.797138616</v>
      </c>
      <c r="CQ17" s="127">
        <f t="shared" si="68"/>
        <v>0.9012300154</v>
      </c>
      <c r="CR17" s="127">
        <f t="shared" ref="CR17:CT17" si="80">if($X17,CO17*$BN17,"")</f>
        <v>-0.6968178008</v>
      </c>
      <c r="CS17" s="127">
        <f t="shared" si="80"/>
        <v>-1.397774479</v>
      </c>
      <c r="CT17" s="127">
        <f t="shared" si="80"/>
        <v>0.7009566786</v>
      </c>
      <c r="CU17" s="211">
        <f t="shared" si="70"/>
        <v>0.01047241164</v>
      </c>
      <c r="CV17" s="212">
        <f t="shared" si="71"/>
        <v>-2.533531062</v>
      </c>
      <c r="CW17" s="213" t="str">
        <f t="shared" si="72"/>
        <v>#N/A</v>
      </c>
      <c r="CX17" s="212">
        <f t="shared" si="73"/>
        <v>-0.1</v>
      </c>
    </row>
    <row r="18">
      <c r="A18" s="202" t="s">
        <v>315</v>
      </c>
      <c r="B18" s="203">
        <v>1.323611111111111</v>
      </c>
      <c r="C18" s="204">
        <v>7.0</v>
      </c>
      <c r="D18" s="204">
        <v>9.0</v>
      </c>
      <c r="E18" s="204">
        <v>0.778</v>
      </c>
      <c r="F18" s="204">
        <v>0.0</v>
      </c>
      <c r="G18" s="204">
        <v>2.0</v>
      </c>
      <c r="H18" s="204">
        <v>0.0</v>
      </c>
      <c r="I18" s="204">
        <v>2.0</v>
      </c>
      <c r="J18" s="204">
        <v>2.0</v>
      </c>
      <c r="K18" s="204">
        <v>1.0</v>
      </c>
      <c r="L18" s="204">
        <v>0.0</v>
      </c>
      <c r="M18" s="204">
        <v>4.0</v>
      </c>
      <c r="N18" s="204">
        <v>4.0</v>
      </c>
      <c r="O18" s="204">
        <v>4.0</v>
      </c>
      <c r="P18" s="204">
        <v>1.0</v>
      </c>
      <c r="Q18" s="204">
        <v>0.0</v>
      </c>
      <c r="R18" s="204">
        <v>6.0</v>
      </c>
      <c r="S18" s="204">
        <v>5.0</v>
      </c>
      <c r="T18" s="204">
        <v>16.0</v>
      </c>
      <c r="U18" s="203">
        <v>-1.0</v>
      </c>
      <c r="V18" s="205">
        <f t="shared" si="20"/>
        <v>31.76666667</v>
      </c>
      <c r="W18" s="206">
        <f t="shared" si="21"/>
        <v>-1</v>
      </c>
      <c r="X18" s="207" t="b">
        <f t="shared" si="22"/>
        <v>1</v>
      </c>
      <c r="Y18" s="208">
        <f t="shared" si="23"/>
        <v>9.88</v>
      </c>
      <c r="Z18" s="209">
        <f t="shared" si="24"/>
        <v>1.619433198</v>
      </c>
      <c r="AA18" s="209">
        <f t="shared" si="25"/>
        <v>13.99229947</v>
      </c>
      <c r="AB18" s="208">
        <f t="shared" si="26"/>
        <v>66.24673611</v>
      </c>
      <c r="AC18" s="113">
        <f t="shared" si="27"/>
        <v>21.1214926</v>
      </c>
      <c r="AD18" s="113">
        <f t="shared" si="28"/>
        <v>13.58557497</v>
      </c>
      <c r="AE18" s="113">
        <f t="shared" si="29"/>
        <v>3.01901666</v>
      </c>
      <c r="AF18" s="113">
        <f t="shared" si="30"/>
        <v>0</v>
      </c>
      <c r="AG18" s="113">
        <f t="shared" si="31"/>
        <v>6.03803332</v>
      </c>
      <c r="AH18" s="113">
        <f t="shared" si="32"/>
        <v>9.05704998</v>
      </c>
      <c r="AI18" s="113">
        <f t="shared" ref="AI18:AK18" si="81">if($X18,L18/$AB18*100,"")</f>
        <v>0</v>
      </c>
      <c r="AJ18" s="113">
        <f t="shared" si="81"/>
        <v>6.03803332</v>
      </c>
      <c r="AK18" s="113">
        <f t="shared" si="81"/>
        <v>6.03803332</v>
      </c>
      <c r="AL18" s="113">
        <f t="shared" ref="AL18:AM18" si="82">if($X18,P18/$AB18*100,"")</f>
        <v>1.50950833</v>
      </c>
      <c r="AM18" s="113">
        <f t="shared" si="82"/>
        <v>0</v>
      </c>
      <c r="AN18" s="113">
        <f t="shared" si="35"/>
        <v>7.54754165</v>
      </c>
      <c r="AO18" s="114">
        <f t="shared" si="36"/>
        <v>0.6618055556</v>
      </c>
      <c r="AP18" s="118">
        <f t="array" ref="AP18">if($X18,index('BPM 2.0 Season GSW 2017'!$BM$14:$BM$31,match($A18,'BPM 2.0 Season GSW 2017'!$B$14:$B$31,false)),"")</f>
        <v>3.021324365</v>
      </c>
      <c r="AQ18" s="118">
        <f t="array" ref="AQ18">if($X18,index('BPM 2.0 Season GSW 2017'!$BY$14:$BY$31,match($A18,'BPM 2.0 Season GSW 2017'!$B$14:$B$31,false)),"")</f>
        <v>3.070615828</v>
      </c>
      <c r="AR18" s="214">
        <f t="array" ref="AR18">if($X18,index('BPM 2.0 Season GSW 2017'!$EC$14:$EC$36,(match(AU18,'BPM 2.0 Season GSW 2017'!$CU$14:$CU$36,false))),"")</f>
        <v>4.60712603</v>
      </c>
      <c r="AS18" s="214">
        <f t="array" ref="AS18">if($X18,index('BPM 2.0 Season GSW 2017'!$ED$14:$ED$36,(match(AU18,'BPM 2.0 Season GSW 2017'!$CU$14:$CU$36,false))),"")</f>
        <v>0.7768062944</v>
      </c>
      <c r="AT18" s="214">
        <f t="shared" si="37"/>
        <v>3.830319735</v>
      </c>
      <c r="AU18" s="61" t="str">
        <f t="shared" si="38"/>
        <v>Draymond Green</v>
      </c>
      <c r="AV18" s="121">
        <f t="shared" si="39"/>
        <v>0.86</v>
      </c>
      <c r="AW18" s="122">
        <f t="shared" ref="AW18:AX18" si="83">if($X18,(5-$AQ18)/4*AW$3+($AQ18-1)/4*AW$4,"")</f>
        <v>-0.6738838705</v>
      </c>
      <c r="AX18" s="122">
        <f t="shared" si="83"/>
        <v>-0.296508903</v>
      </c>
      <c r="AY18" s="121">
        <f t="shared" ref="AY18:BG18" si="84">if($X18,(5-$AP18)/4*AY$3+($AP18-1)/4*AY$4,"")</f>
        <v>0.389</v>
      </c>
      <c r="AZ18" s="121">
        <f t="shared" si="84"/>
        <v>0.8094203155</v>
      </c>
      <c r="BA18" s="121">
        <f t="shared" si="84"/>
        <v>-0.964</v>
      </c>
      <c r="BB18" s="121">
        <f t="shared" si="84"/>
        <v>0.3946969685</v>
      </c>
      <c r="BC18" s="121">
        <f t="shared" si="84"/>
        <v>0.1488465209</v>
      </c>
      <c r="BD18" s="121">
        <f t="shared" si="84"/>
        <v>0</v>
      </c>
      <c r="BE18" s="121">
        <f t="shared" si="84"/>
        <v>1.186575476</v>
      </c>
      <c r="BF18" s="121">
        <f t="shared" si="84"/>
        <v>1.011673399</v>
      </c>
      <c r="BG18" s="121">
        <f t="shared" si="84"/>
        <v>-0.367</v>
      </c>
      <c r="BH18" s="118">
        <f t="shared" si="42"/>
        <v>8.114218473</v>
      </c>
      <c r="BI18" s="118">
        <f t="shared" si="43"/>
        <v>-3.843689346</v>
      </c>
      <c r="BJ18" s="118">
        <f t="shared" si="44"/>
        <v>0.898740253</v>
      </c>
      <c r="BK18" s="118">
        <f t="shared" si="45"/>
        <v>-0.9788022204</v>
      </c>
      <c r="BL18" s="118">
        <f t="shared" si="46"/>
        <v>0.09794415364</v>
      </c>
      <c r="BM18" s="124">
        <f t="shared" si="47"/>
        <v>4.288411313</v>
      </c>
      <c r="BN18" s="114">
        <f t="shared" si="48"/>
        <v>0.6618055556</v>
      </c>
      <c r="BO18" s="118">
        <f t="shared" si="49"/>
        <v>2.838094431</v>
      </c>
      <c r="BP18" s="125" t="str">
        <f t="shared" si="50"/>
        <v>Draymond Green</v>
      </c>
      <c r="BQ18" s="121">
        <f t="shared" si="51"/>
        <v>0.605</v>
      </c>
      <c r="BR18" s="122">
        <f t="shared" ref="BR18:BS18" si="85">if($X18,(5-$AQ18)/4*AW$7+($AQ18-1)/4*AW$8,"")</f>
        <v>-0.4035068619</v>
      </c>
      <c r="BS18" s="122">
        <f t="shared" si="85"/>
        <v>-0.1775430192</v>
      </c>
      <c r="BT18" s="121">
        <f t="shared" ref="BT18:CB18" si="86">if($X18,(5-$AP18)/4*AY$7+($AP18-1)/4*AY$8,"")</f>
        <v>0.477</v>
      </c>
      <c r="BU18" s="121">
        <f t="shared" si="86"/>
        <v>0.476</v>
      </c>
      <c r="BV18" s="121">
        <f t="shared" si="86"/>
        <v>-0.7321153207</v>
      </c>
      <c r="BW18" s="121">
        <f t="shared" si="86"/>
        <v>0.5130190792</v>
      </c>
      <c r="BX18" s="121">
        <f t="shared" si="86"/>
        <v>-0.003353815364</v>
      </c>
      <c r="BY18" s="121">
        <f t="shared" si="86"/>
        <v>0</v>
      </c>
      <c r="BZ18" s="121">
        <f t="shared" si="86"/>
        <v>0.2361237377</v>
      </c>
      <c r="CA18" s="121">
        <f t="shared" si="86"/>
        <v>0.4076520746</v>
      </c>
      <c r="CB18" s="121">
        <f t="shared" si="86"/>
        <v>-0.439</v>
      </c>
      <c r="CC18" s="118">
        <f t="shared" si="54"/>
        <v>6.760624966</v>
      </c>
      <c r="CD18" s="118">
        <f t="shared" si="55"/>
        <v>-3.75670119</v>
      </c>
      <c r="CE18" s="118">
        <f t="shared" si="56"/>
        <v>-0.02025044892</v>
      </c>
      <c r="CF18" s="118">
        <f t="shared" si="57"/>
        <v>-2.956940036</v>
      </c>
      <c r="CG18" s="118">
        <f t="shared" si="58"/>
        <v>0.0303648061</v>
      </c>
      <c r="CH18" s="124">
        <f t="shared" si="59"/>
        <v>0.05709809764</v>
      </c>
      <c r="CI18" s="114">
        <f t="shared" si="60"/>
        <v>0.6618055556</v>
      </c>
      <c r="CJ18" s="118">
        <f t="shared" si="61"/>
        <v>0.03778783823</v>
      </c>
      <c r="CK18" s="126" t="str">
        <f t="shared" si="62"/>
        <v>Draymond Green</v>
      </c>
      <c r="CL18" s="127">
        <f t="shared" si="63"/>
        <v>3.021324365</v>
      </c>
      <c r="CM18" s="127">
        <f t="shared" si="64"/>
        <v>3.070615828</v>
      </c>
      <c r="CN18" s="128">
        <f t="shared" si="65"/>
        <v>31.76666667</v>
      </c>
      <c r="CO18" s="127">
        <f t="shared" si="66"/>
        <v>-0.4553433469</v>
      </c>
      <c r="CP18" s="127">
        <f t="shared" si="67"/>
        <v>-2.331370754</v>
      </c>
      <c r="CQ18" s="127">
        <f t="shared" si="68"/>
        <v>1.876027407</v>
      </c>
      <c r="CR18" s="127">
        <f t="shared" ref="CR18:CT18" si="87">if($X18,CO18*$BN18,"")</f>
        <v>-0.3013487567</v>
      </c>
      <c r="CS18" s="127">
        <f t="shared" si="87"/>
        <v>-1.542914117</v>
      </c>
      <c r="CT18" s="127">
        <f t="shared" si="87"/>
        <v>1.24156536</v>
      </c>
      <c r="CU18" s="211">
        <f t="shared" si="70"/>
        <v>0.01246661408</v>
      </c>
      <c r="CV18" s="212">
        <f t="shared" si="71"/>
        <v>-1.863903383</v>
      </c>
      <c r="CW18" s="213" t="str">
        <f t="shared" si="72"/>
        <v>#N/A</v>
      </c>
      <c r="CX18" s="212">
        <f t="shared" si="73"/>
        <v>-0.1</v>
      </c>
    </row>
    <row r="19">
      <c r="A19" s="202" t="s">
        <v>319</v>
      </c>
      <c r="B19" s="203">
        <v>0.5354166666666667</v>
      </c>
      <c r="C19" s="204">
        <v>2.0</v>
      </c>
      <c r="D19" s="204">
        <v>3.0</v>
      </c>
      <c r="E19" s="204">
        <v>0.667</v>
      </c>
      <c r="F19" s="204">
        <v>0.0</v>
      </c>
      <c r="G19" s="204">
        <v>0.0</v>
      </c>
      <c r="H19" s="204"/>
      <c r="I19" s="204">
        <v>0.0</v>
      </c>
      <c r="J19" s="204">
        <v>0.0</v>
      </c>
      <c r="K19" s="204"/>
      <c r="L19" s="204">
        <v>1.0</v>
      </c>
      <c r="M19" s="204">
        <v>4.0</v>
      </c>
      <c r="N19" s="204">
        <v>5.0</v>
      </c>
      <c r="O19" s="204">
        <v>1.0</v>
      </c>
      <c r="P19" s="204">
        <v>0.0</v>
      </c>
      <c r="Q19" s="204">
        <v>0.0</v>
      </c>
      <c r="R19" s="204">
        <v>3.0</v>
      </c>
      <c r="S19" s="204">
        <v>4.0</v>
      </c>
      <c r="T19" s="204">
        <v>4.0</v>
      </c>
      <c r="U19" s="203" t="s">
        <v>404</v>
      </c>
      <c r="V19" s="205">
        <f t="shared" si="20"/>
        <v>12.85</v>
      </c>
      <c r="W19" s="206">
        <f t="shared" si="21"/>
        <v>2</v>
      </c>
      <c r="X19" s="207" t="b">
        <f t="shared" si="22"/>
        <v>1</v>
      </c>
      <c r="Y19" s="208">
        <f t="shared" si="23"/>
        <v>3</v>
      </c>
      <c r="Z19" s="209">
        <f t="shared" si="24"/>
        <v>1.333333333</v>
      </c>
      <c r="AA19" s="209">
        <f t="shared" si="25"/>
        <v>3.390374332</v>
      </c>
      <c r="AB19" s="208">
        <f t="shared" si="26"/>
        <v>26.79760417</v>
      </c>
      <c r="AC19" s="113">
        <f t="shared" si="27"/>
        <v>12.65178152</v>
      </c>
      <c r="AD19" s="113">
        <f t="shared" si="28"/>
        <v>11.19503065</v>
      </c>
      <c r="AE19" s="113">
        <f t="shared" si="29"/>
        <v>0</v>
      </c>
      <c r="AF19" s="113">
        <f t="shared" si="30"/>
        <v>0</v>
      </c>
      <c r="AG19" s="113">
        <f t="shared" si="31"/>
        <v>3.731676883</v>
      </c>
      <c r="AH19" s="113">
        <f t="shared" si="32"/>
        <v>11.19503065</v>
      </c>
      <c r="AI19" s="113">
        <f t="shared" ref="AI19:AK19" si="88">if($X19,L19/$AB19*100,"")</f>
        <v>3.731676883</v>
      </c>
      <c r="AJ19" s="113">
        <f t="shared" si="88"/>
        <v>14.92670753</v>
      </c>
      <c r="AK19" s="113">
        <f t="shared" si="88"/>
        <v>18.65838442</v>
      </c>
      <c r="AL19" s="113">
        <f t="shared" ref="AL19:AM19" si="89">if($X19,P19/$AB19*100,"")</f>
        <v>0</v>
      </c>
      <c r="AM19" s="113">
        <f t="shared" si="89"/>
        <v>0</v>
      </c>
      <c r="AN19" s="113">
        <f t="shared" si="35"/>
        <v>14.92670753</v>
      </c>
      <c r="AO19" s="114">
        <f t="shared" si="36"/>
        <v>0.2677083333</v>
      </c>
      <c r="AP19" s="118">
        <f t="array" ref="AP19">if($X19,index('BPM 2.0 Season GSW 2017'!$BM$14:$BM$31,match($A19,'BPM 2.0 Season GSW 2017'!$B$14:$B$31,false)),"")</f>
        <v>4.510670778</v>
      </c>
      <c r="AQ19" s="118">
        <f t="array" ref="AQ19">if($X19,index('BPM 2.0 Season GSW 2017'!$BY$14:$BY$31,match($A19,'BPM 2.0 Season GSW 2017'!$B$14:$B$31,false)),"")</f>
        <v>3.786820949</v>
      </c>
      <c r="AR19" s="214">
        <f t="array" ref="AR19">if($X19,index('BPM 2.0 Season GSW 2017'!$EC$14:$EC$36,(match(AU19,'BPM 2.0 Season GSW 2017'!$CU$14:$CU$36,false))),"")</f>
        <v>0.4732145665</v>
      </c>
      <c r="AS19" s="214">
        <f t="array" ref="AS19">if($X19,index('BPM 2.0 Season GSW 2017'!$ED$14:$ED$36,(match(AU19,'BPM 2.0 Season GSW 2017'!$CU$14:$CU$36,false))),"")</f>
        <v>-1.135711664</v>
      </c>
      <c r="AT19" s="214">
        <f t="shared" si="37"/>
        <v>1.608926231</v>
      </c>
      <c r="AU19" s="61" t="str">
        <f t="shared" si="38"/>
        <v>Zaza Pachulia</v>
      </c>
      <c r="AV19" s="121">
        <f t="shared" si="39"/>
        <v>0.86</v>
      </c>
      <c r="AW19" s="122">
        <f t="shared" ref="AW19:AX19" si="90">if($X19,(5-$AQ19)/4*AW$3+($AQ19-1)/4*AW$4,"")</f>
        <v>-0.7132751522</v>
      </c>
      <c r="AX19" s="122">
        <f t="shared" si="90"/>
        <v>-0.313841067</v>
      </c>
      <c r="AY19" s="121">
        <f t="shared" ref="AY19:BG19" si="91">if($X19,(5-$AP19)/4*AY$3+($AP19-1)/4*AY$4,"")</f>
        <v>0.389</v>
      </c>
      <c r="AZ19" s="121">
        <f t="shared" si="91"/>
        <v>0.9784611333</v>
      </c>
      <c r="BA19" s="121">
        <f t="shared" si="91"/>
        <v>-0.964</v>
      </c>
      <c r="BB19" s="121">
        <f t="shared" si="91"/>
        <v>0.233847556</v>
      </c>
      <c r="BC19" s="121">
        <f t="shared" si="91"/>
        <v>0.1730484001</v>
      </c>
      <c r="BD19" s="121">
        <f t="shared" si="91"/>
        <v>0</v>
      </c>
      <c r="BE19" s="121">
        <f t="shared" si="91"/>
        <v>1.052161962</v>
      </c>
      <c r="BF19" s="121">
        <f t="shared" si="91"/>
        <v>0.7793353587</v>
      </c>
      <c r="BG19" s="121">
        <f t="shared" si="91"/>
        <v>-0.367</v>
      </c>
      <c r="BH19" s="118">
        <f t="shared" si="42"/>
        <v>2.895394916</v>
      </c>
      <c r="BI19" s="118">
        <f t="shared" si="43"/>
        <v>-7.140708755</v>
      </c>
      <c r="BJ19" s="118">
        <f t="shared" si="44"/>
        <v>3.455686377</v>
      </c>
      <c r="BK19" s="118">
        <f t="shared" si="45"/>
        <v>-5.478101665</v>
      </c>
      <c r="BL19" s="118">
        <f t="shared" si="46"/>
        <v>1.091320656</v>
      </c>
      <c r="BM19" s="124">
        <f t="shared" si="47"/>
        <v>-5.176408471</v>
      </c>
      <c r="BN19" s="114">
        <f t="shared" si="48"/>
        <v>0.2677083333</v>
      </c>
      <c r="BO19" s="118">
        <f t="shared" si="49"/>
        <v>-1.385767684</v>
      </c>
      <c r="BP19" s="125" t="str">
        <f t="shared" si="50"/>
        <v>Zaza Pachulia</v>
      </c>
      <c r="BQ19" s="121">
        <f t="shared" si="51"/>
        <v>0.605</v>
      </c>
      <c r="BR19" s="122">
        <f t="shared" ref="BR19:BS19" si="92">if($X19,(5-$AQ19)/4*AW$7+($AQ19-1)/4*AW$8,"")</f>
        <v>-0.4289321437</v>
      </c>
      <c r="BS19" s="122">
        <f t="shared" si="92"/>
        <v>-0.1887301432</v>
      </c>
      <c r="BT19" s="121">
        <f t="shared" ref="BT19:CB19" si="93">if($X19,(5-$AP19)/4*AY$7+($AP19-1)/4*AY$8,"")</f>
        <v>0.477</v>
      </c>
      <c r="BU19" s="121">
        <f t="shared" si="93"/>
        <v>0.476</v>
      </c>
      <c r="BV19" s="121">
        <f t="shared" si="93"/>
        <v>-0.8449333114</v>
      </c>
      <c r="BW19" s="121">
        <f t="shared" si="93"/>
        <v>0.4445091442</v>
      </c>
      <c r="BX19" s="121">
        <f t="shared" si="93"/>
        <v>0.0766985543</v>
      </c>
      <c r="BY19" s="121">
        <f t="shared" si="93"/>
        <v>0</v>
      </c>
      <c r="BZ19" s="121">
        <f t="shared" si="93"/>
        <v>0.2796871202</v>
      </c>
      <c r="CA19" s="121">
        <f t="shared" si="93"/>
        <v>0.1738246879</v>
      </c>
      <c r="CB19" s="121">
        <f t="shared" si="93"/>
        <v>-0.439</v>
      </c>
      <c r="CC19" s="118">
        <f t="shared" si="54"/>
        <v>2.852419324</v>
      </c>
      <c r="CD19" s="118">
        <f t="shared" si="55"/>
        <v>-7.682776122</v>
      </c>
      <c r="CE19" s="118">
        <f t="shared" si="56"/>
        <v>2.803621386</v>
      </c>
      <c r="CF19" s="118">
        <f t="shared" si="57"/>
        <v>-6.552824607</v>
      </c>
      <c r="CG19" s="118">
        <f t="shared" si="58"/>
        <v>0.338333008</v>
      </c>
      <c r="CH19" s="124">
        <f t="shared" si="59"/>
        <v>-8.241227011</v>
      </c>
      <c r="CI19" s="114">
        <f t="shared" si="60"/>
        <v>0.2677083333</v>
      </c>
      <c r="CJ19" s="118">
        <f t="shared" si="61"/>
        <v>-2.206245148</v>
      </c>
      <c r="CK19" s="126" t="str">
        <f t="shared" si="62"/>
        <v>Zaza Pachulia</v>
      </c>
      <c r="CL19" s="127">
        <f t="shared" si="63"/>
        <v>4.510670778</v>
      </c>
      <c r="CM19" s="127">
        <f t="shared" si="64"/>
        <v>3.786820949</v>
      </c>
      <c r="CN19" s="128">
        <f t="shared" si="65"/>
        <v>12.85</v>
      </c>
      <c r="CO19" s="127">
        <f t="shared" si="66"/>
        <v>-9.92016313</v>
      </c>
      <c r="CP19" s="127">
        <f t="shared" si="67"/>
        <v>-10.62969586</v>
      </c>
      <c r="CQ19" s="127">
        <f t="shared" si="68"/>
        <v>0.7095327324</v>
      </c>
      <c r="CR19" s="127">
        <f t="shared" ref="CR19:CT19" si="94">if($X19,CO19*$BN19,"")</f>
        <v>-2.655710338</v>
      </c>
      <c r="CS19" s="127">
        <f t="shared" si="94"/>
        <v>-2.845658163</v>
      </c>
      <c r="CT19" s="127">
        <f t="shared" si="94"/>
        <v>0.1899478252</v>
      </c>
      <c r="CU19" s="211">
        <f t="shared" si="70"/>
        <v>-0.02585723989</v>
      </c>
      <c r="CV19" s="212">
        <f t="shared" si="71"/>
        <v>-3.290316351</v>
      </c>
      <c r="CW19" s="213" t="str">
        <f t="shared" si="72"/>
        <v>#N/A</v>
      </c>
      <c r="CX19" s="212">
        <f t="shared" si="73"/>
        <v>0.2</v>
      </c>
    </row>
    <row r="20">
      <c r="A20" s="202" t="s">
        <v>405</v>
      </c>
      <c r="B20" s="215" t="s">
        <v>80</v>
      </c>
      <c r="C20" s="216" t="s">
        <v>81</v>
      </c>
      <c r="D20" s="216" t="s">
        <v>13</v>
      </c>
      <c r="E20" s="216" t="s">
        <v>82</v>
      </c>
      <c r="F20" s="216" t="s">
        <v>83</v>
      </c>
      <c r="G20" s="216" t="s">
        <v>84</v>
      </c>
      <c r="H20" s="216" t="s">
        <v>85</v>
      </c>
      <c r="I20" s="216" t="s">
        <v>90</v>
      </c>
      <c r="J20" s="216" t="s">
        <v>14</v>
      </c>
      <c r="K20" s="216" t="s">
        <v>91</v>
      </c>
      <c r="L20" s="216" t="s">
        <v>18</v>
      </c>
      <c r="M20" s="216" t="s">
        <v>19</v>
      </c>
      <c r="N20" s="216" t="s">
        <v>20</v>
      </c>
      <c r="O20" s="216" t="s">
        <v>16</v>
      </c>
      <c r="P20" s="216" t="s">
        <v>21</v>
      </c>
      <c r="Q20" s="216" t="s">
        <v>22</v>
      </c>
      <c r="R20" s="216" t="s">
        <v>92</v>
      </c>
      <c r="S20" s="216" t="s">
        <v>23</v>
      </c>
      <c r="T20" s="216" t="s">
        <v>93</v>
      </c>
      <c r="U20" s="215" t="s">
        <v>391</v>
      </c>
      <c r="V20" s="205" t="str">
        <f t="shared" si="20"/>
        <v/>
      </c>
      <c r="W20" s="206" t="str">
        <f t="shared" si="21"/>
        <v/>
      </c>
      <c r="X20" s="207" t="b">
        <f t="shared" si="22"/>
        <v>0</v>
      </c>
      <c r="Y20" s="208" t="str">
        <f t="shared" si="23"/>
        <v/>
      </c>
      <c r="Z20" s="209" t="str">
        <f t="shared" si="24"/>
        <v/>
      </c>
      <c r="AA20" s="209" t="str">
        <f t="shared" si="25"/>
        <v/>
      </c>
      <c r="AB20" s="208" t="str">
        <f t="shared" si="26"/>
        <v/>
      </c>
      <c r="AC20" s="113" t="str">
        <f t="shared" si="27"/>
        <v/>
      </c>
      <c r="AD20" s="113" t="str">
        <f t="shared" si="28"/>
        <v/>
      </c>
      <c r="AE20" s="113" t="str">
        <f t="shared" si="29"/>
        <v/>
      </c>
      <c r="AF20" s="113" t="str">
        <f t="shared" si="30"/>
        <v/>
      </c>
      <c r="AG20" s="113" t="str">
        <f t="shared" si="31"/>
        <v/>
      </c>
      <c r="AH20" s="113" t="str">
        <f t="shared" si="32"/>
        <v/>
      </c>
      <c r="AI20" s="113" t="str">
        <f t="shared" ref="AI20:AK20" si="95">if($X20,L20/$AB20*100,"")</f>
        <v/>
      </c>
      <c r="AJ20" s="113" t="str">
        <f t="shared" si="95"/>
        <v/>
      </c>
      <c r="AK20" s="113" t="str">
        <f t="shared" si="95"/>
        <v/>
      </c>
      <c r="AL20" s="113" t="str">
        <f t="shared" ref="AL20:AM20" si="96">if($X20,P20/$AB20*100,"")</f>
        <v/>
      </c>
      <c r="AM20" s="113" t="str">
        <f t="shared" si="96"/>
        <v/>
      </c>
      <c r="AN20" s="113" t="str">
        <f t="shared" si="35"/>
        <v/>
      </c>
      <c r="AO20" s="114" t="str">
        <f t="shared" si="36"/>
        <v/>
      </c>
      <c r="AP20" s="118" t="str">
        <f t="array" ref="AP20">if($X20,index('BPM 2.0 Season GSW 2017'!$BM$14:$BM$31,match($A20,'BPM 2.0 Season GSW 2017'!$B$14:$B$31,false)),"")</f>
        <v/>
      </c>
      <c r="AQ20" s="118" t="str">
        <f t="array" ref="AQ20">if($X20,index('BPM 2.0 Season GSW 2017'!$BY$14:$BY$31,match($A20,'BPM 2.0 Season GSW 2017'!$B$14:$B$31,false)),"")</f>
        <v/>
      </c>
      <c r="AR20" s="214" t="str">
        <f t="array" ref="AR20">if($X20,index('BPM 2.0 Season GSW 2017'!$EC$14:$EC$36,(match(AU20,'BPM 2.0 Season GSW 2017'!$CU$14:$CU$36,false))),"")</f>
        <v/>
      </c>
      <c r="AS20" s="214" t="str">
        <f t="array" ref="AS20">if($X20,index('BPM 2.0 Season GSW 2017'!$ED$14:$ED$36,(match(AU20,'BPM 2.0 Season GSW 2017'!$CU$14:$CU$36,false))),"")</f>
        <v/>
      </c>
      <c r="AT20" s="214" t="str">
        <f t="shared" si="37"/>
        <v/>
      </c>
      <c r="AU20" s="61" t="str">
        <f t="shared" si="38"/>
        <v>Reserves</v>
      </c>
      <c r="AV20" s="121" t="str">
        <f t="shared" si="39"/>
        <v/>
      </c>
      <c r="AW20" s="122" t="str">
        <f t="shared" ref="AW20:AX20" si="97">if($X20,(5-$AQ20)/4*AW$3+($AQ20-1)/4*AW$4,"")</f>
        <v/>
      </c>
      <c r="AX20" s="122" t="str">
        <f t="shared" si="97"/>
        <v/>
      </c>
      <c r="AY20" s="121" t="str">
        <f t="shared" ref="AY20:BG20" si="98">if($X20,(5-$AP20)/4*AY$3+($AP20-1)/4*AY$4,"")</f>
        <v/>
      </c>
      <c r="AZ20" s="121" t="str">
        <f t="shared" si="98"/>
        <v/>
      </c>
      <c r="BA20" s="121" t="str">
        <f t="shared" si="98"/>
        <v/>
      </c>
      <c r="BB20" s="121" t="str">
        <f t="shared" si="98"/>
        <v/>
      </c>
      <c r="BC20" s="121" t="str">
        <f t="shared" si="98"/>
        <v/>
      </c>
      <c r="BD20" s="121" t="str">
        <f t="shared" si="98"/>
        <v/>
      </c>
      <c r="BE20" s="121" t="str">
        <f t="shared" si="98"/>
        <v/>
      </c>
      <c r="BF20" s="121" t="str">
        <f t="shared" si="98"/>
        <v/>
      </c>
      <c r="BG20" s="121" t="str">
        <f t="shared" si="98"/>
        <v/>
      </c>
      <c r="BH20" s="118">
        <f t="shared" si="42"/>
        <v>0</v>
      </c>
      <c r="BI20" s="118">
        <f t="shared" si="43"/>
        <v>0</v>
      </c>
      <c r="BJ20" s="118">
        <f t="shared" si="44"/>
        <v>0</v>
      </c>
      <c r="BK20" s="118">
        <f t="shared" si="45"/>
        <v>0</v>
      </c>
      <c r="BL20" s="118">
        <f t="shared" si="46"/>
        <v>-4.161</v>
      </c>
      <c r="BM20" s="124">
        <f t="shared" si="47"/>
        <v>-4.161</v>
      </c>
      <c r="BN20" s="114" t="str">
        <f t="shared" si="48"/>
        <v/>
      </c>
      <c r="BO20" s="118">
        <f t="shared" si="49"/>
        <v>0</v>
      </c>
      <c r="BP20" s="125" t="str">
        <f t="shared" si="50"/>
        <v>Reserves</v>
      </c>
      <c r="BQ20" s="121" t="str">
        <f t="shared" si="51"/>
        <v/>
      </c>
      <c r="BR20" s="122" t="str">
        <f t="shared" ref="BR20:BS20" si="99">if($X20,(5-$AQ20)/4*AW$7+($AQ20-1)/4*AW$8,"")</f>
        <v/>
      </c>
      <c r="BS20" s="122" t="str">
        <f t="shared" si="99"/>
        <v/>
      </c>
      <c r="BT20" s="121" t="str">
        <f t="shared" ref="BT20:CB20" si="100">if($X20,(5-$AP20)/4*AY$7+($AP20-1)/4*AY$8,"")</f>
        <v/>
      </c>
      <c r="BU20" s="121" t="str">
        <f t="shared" si="100"/>
        <v/>
      </c>
      <c r="BV20" s="121" t="str">
        <f t="shared" si="100"/>
        <v/>
      </c>
      <c r="BW20" s="121" t="str">
        <f t="shared" si="100"/>
        <v/>
      </c>
      <c r="BX20" s="121" t="str">
        <f t="shared" si="100"/>
        <v/>
      </c>
      <c r="BY20" s="121" t="str">
        <f t="shared" si="100"/>
        <v/>
      </c>
      <c r="BZ20" s="121" t="str">
        <f t="shared" si="100"/>
        <v/>
      </c>
      <c r="CA20" s="121" t="str">
        <f t="shared" si="100"/>
        <v/>
      </c>
      <c r="CB20" s="121" t="str">
        <f t="shared" si="100"/>
        <v/>
      </c>
      <c r="CC20" s="118">
        <f t="shared" si="54"/>
        <v>0</v>
      </c>
      <c r="CD20" s="118">
        <f t="shared" si="55"/>
        <v>0</v>
      </c>
      <c r="CE20" s="118">
        <f t="shared" si="56"/>
        <v>0</v>
      </c>
      <c r="CF20" s="118">
        <f t="shared" si="57"/>
        <v>0</v>
      </c>
      <c r="CG20" s="118">
        <f t="shared" si="58"/>
        <v>-1.29</v>
      </c>
      <c r="CH20" s="124">
        <f t="shared" si="59"/>
        <v>-1.29</v>
      </c>
      <c r="CI20" s="114" t="str">
        <f t="shared" si="60"/>
        <v/>
      </c>
      <c r="CJ20" s="118">
        <f t="shared" si="61"/>
        <v>0</v>
      </c>
      <c r="CK20" s="126" t="str">
        <f t="shared" si="62"/>
        <v/>
      </c>
      <c r="CL20" s="127" t="str">
        <f t="shared" si="63"/>
        <v/>
      </c>
      <c r="CM20" s="127" t="str">
        <f t="shared" si="64"/>
        <v/>
      </c>
      <c r="CN20" s="128" t="str">
        <f t="shared" si="65"/>
        <v/>
      </c>
      <c r="CO20" s="217" t="str">
        <f t="shared" si="66"/>
        <v/>
      </c>
      <c r="CP20" s="127" t="str">
        <f t="shared" si="67"/>
        <v/>
      </c>
      <c r="CQ20" s="127" t="str">
        <f t="shared" si="68"/>
        <v/>
      </c>
      <c r="CR20" s="127" t="str">
        <f t="shared" ref="CR20:CT20" si="101">if($X20,CO20*$BN20,"")</f>
        <v/>
      </c>
      <c r="CS20" s="127" t="str">
        <f t="shared" si="101"/>
        <v/>
      </c>
      <c r="CT20" s="127" t="str">
        <f t="shared" si="101"/>
        <v/>
      </c>
      <c r="CU20" s="211" t="str">
        <f t="shared" si="70"/>
        <v/>
      </c>
      <c r="CV20" s="212" t="str">
        <f t="shared" si="71"/>
        <v/>
      </c>
      <c r="CW20" s="213" t="str">
        <f t="shared" si="72"/>
        <v>#N/A</v>
      </c>
      <c r="CX20" s="212" t="str">
        <f t="shared" si="73"/>
        <v/>
      </c>
    </row>
    <row r="21">
      <c r="A21" s="202" t="s">
        <v>317</v>
      </c>
      <c r="B21" s="203">
        <v>1.0368055555555555</v>
      </c>
      <c r="C21" s="204">
        <v>0.0</v>
      </c>
      <c r="D21" s="204">
        <v>4.0</v>
      </c>
      <c r="E21" s="204">
        <v>0.0</v>
      </c>
      <c r="F21" s="204">
        <v>0.0</v>
      </c>
      <c r="G21" s="204">
        <v>2.0</v>
      </c>
      <c r="H21" s="204">
        <v>0.0</v>
      </c>
      <c r="I21" s="204">
        <v>0.0</v>
      </c>
      <c r="J21" s="204">
        <v>0.0</v>
      </c>
      <c r="K21" s="204"/>
      <c r="L21" s="204">
        <v>1.0</v>
      </c>
      <c r="M21" s="204">
        <v>3.0</v>
      </c>
      <c r="N21" s="204">
        <v>4.0</v>
      </c>
      <c r="O21" s="204">
        <v>4.0</v>
      </c>
      <c r="P21" s="204">
        <v>0.0</v>
      </c>
      <c r="Q21" s="204">
        <v>1.0</v>
      </c>
      <c r="R21" s="204">
        <v>2.0</v>
      </c>
      <c r="S21" s="204">
        <v>3.0</v>
      </c>
      <c r="T21" s="204">
        <v>0.0</v>
      </c>
      <c r="U21" s="203">
        <v>0.0</v>
      </c>
      <c r="V21" s="205">
        <f t="shared" si="20"/>
        <v>24.88333333</v>
      </c>
      <c r="W21" s="206">
        <f t="shared" si="21"/>
        <v>0</v>
      </c>
      <c r="X21" s="207" t="b">
        <f t="shared" si="22"/>
        <v>1</v>
      </c>
      <c r="Y21" s="208">
        <f t="shared" si="23"/>
        <v>4</v>
      </c>
      <c r="Z21" s="209">
        <f t="shared" si="24"/>
        <v>0</v>
      </c>
      <c r="AA21" s="209">
        <f t="shared" si="25"/>
        <v>-0.8128342246</v>
      </c>
      <c r="AB21" s="208">
        <f t="shared" si="26"/>
        <v>51.89211806</v>
      </c>
      <c r="AC21" s="113">
        <f t="shared" si="27"/>
        <v>-1.56639246</v>
      </c>
      <c r="AD21" s="113">
        <f t="shared" si="28"/>
        <v>7.708299738</v>
      </c>
      <c r="AE21" s="113">
        <f t="shared" si="29"/>
        <v>0</v>
      </c>
      <c r="AF21" s="113">
        <f t="shared" si="30"/>
        <v>0</v>
      </c>
      <c r="AG21" s="113">
        <f t="shared" si="31"/>
        <v>7.708299738</v>
      </c>
      <c r="AH21" s="113">
        <f t="shared" si="32"/>
        <v>3.854149869</v>
      </c>
      <c r="AI21" s="113">
        <f t="shared" ref="AI21:AK21" si="102">if($X21,L21/$AB21*100,"")</f>
        <v>1.927074934</v>
      </c>
      <c r="AJ21" s="113">
        <f t="shared" si="102"/>
        <v>5.781224803</v>
      </c>
      <c r="AK21" s="113">
        <f t="shared" si="102"/>
        <v>7.708299738</v>
      </c>
      <c r="AL21" s="113">
        <f t="shared" ref="AL21:AM21" si="103">if($X21,P21/$AB21*100,"")</f>
        <v>0</v>
      </c>
      <c r="AM21" s="113">
        <f t="shared" si="103"/>
        <v>1.927074934</v>
      </c>
      <c r="AN21" s="113">
        <f t="shared" si="35"/>
        <v>5.781224803</v>
      </c>
      <c r="AO21" s="114">
        <f t="shared" si="36"/>
        <v>0.5184027778</v>
      </c>
      <c r="AP21" s="118">
        <f t="array" ref="AP21">if($X21,index('BPM 2.0 Season GSW 2017'!$BM$14:$BM$31,match($A21,'BPM 2.0 Season GSW 2017'!$B$14:$B$31,false)),"")</f>
        <v>2.569072064</v>
      </c>
      <c r="AQ21" s="118">
        <f t="array" ref="AQ21">if($X21,index('BPM 2.0 Season GSW 2017'!$BY$14:$BY$31,match($A21,'BPM 2.0 Season GSW 2017'!$B$14:$B$31,false)),"")</f>
        <v>3.517324246</v>
      </c>
      <c r="AR21" s="214">
        <f t="array" ref="AR21">if($X21,index('BPM 2.0 Season GSW 2017'!$EC$14:$EC$36,(match(AU21,'BPM 2.0 Season GSW 2017'!$CU$14:$CU$36,false))),"")</f>
        <v>2.507942955</v>
      </c>
      <c r="AS21" s="214">
        <f t="array" ref="AS21">if($X21,index('BPM 2.0 Season GSW 2017'!$ED$14:$ED$36,(match(AU21,'BPM 2.0 Season GSW 2017'!$CU$14:$CU$36,false))),"")</f>
        <v>0.7857750691</v>
      </c>
      <c r="AT21" s="214">
        <f t="shared" si="37"/>
        <v>1.722167886</v>
      </c>
      <c r="AU21" s="61" t="str">
        <f t="shared" si="38"/>
        <v>Andre Iguodala</v>
      </c>
      <c r="AV21" s="121">
        <f t="shared" si="39"/>
        <v>0.86</v>
      </c>
      <c r="AW21" s="122">
        <f t="shared" ref="AW21:AX21" si="104">if($X21,(5-$AQ21)/4*AW$3+($AQ21-1)/4*AW$4,"")</f>
        <v>-0.6984528335</v>
      </c>
      <c r="AX21" s="122">
        <f t="shared" si="104"/>
        <v>-0.3073192468</v>
      </c>
      <c r="AY21" s="121">
        <f t="shared" ref="AY21:BG21" si="105">if($X21,(5-$AP21)/4*AY$3+($AP21-1)/4*AY$4,"")</f>
        <v>0.389</v>
      </c>
      <c r="AZ21" s="121">
        <f t="shared" si="105"/>
        <v>0.7580896793</v>
      </c>
      <c r="BA21" s="121">
        <f t="shared" si="105"/>
        <v>-0.964</v>
      </c>
      <c r="BB21" s="121">
        <f t="shared" si="105"/>
        <v>0.4435402171</v>
      </c>
      <c r="BC21" s="121">
        <f t="shared" si="105"/>
        <v>0.141497421</v>
      </c>
      <c r="BD21" s="121">
        <f t="shared" si="105"/>
        <v>0</v>
      </c>
      <c r="BE21" s="121">
        <f t="shared" si="105"/>
        <v>1.227391246</v>
      </c>
      <c r="BF21" s="121">
        <f t="shared" si="105"/>
        <v>1.082224758</v>
      </c>
      <c r="BG21" s="121">
        <f t="shared" si="105"/>
        <v>-0.367</v>
      </c>
      <c r="BH21" s="118">
        <f t="shared" si="42"/>
        <v>-6.730981309</v>
      </c>
      <c r="BI21" s="118">
        <f t="shared" si="43"/>
        <v>2.128182003</v>
      </c>
      <c r="BJ21" s="118">
        <f t="shared" si="44"/>
        <v>1.672763635</v>
      </c>
      <c r="BK21" s="118">
        <f t="shared" si="45"/>
        <v>-0.0361812983</v>
      </c>
      <c r="BL21" s="118">
        <f t="shared" si="46"/>
        <v>0.5412792037</v>
      </c>
      <c r="BM21" s="124">
        <f t="shared" si="47"/>
        <v>-2.424937766</v>
      </c>
      <c r="BN21" s="114">
        <f t="shared" si="48"/>
        <v>0.5184027778</v>
      </c>
      <c r="BO21" s="118">
        <f t="shared" si="49"/>
        <v>-1.257094474</v>
      </c>
      <c r="BP21" s="125" t="str">
        <f t="shared" si="50"/>
        <v>Andre Iguodala</v>
      </c>
      <c r="BQ21" s="121">
        <f t="shared" si="51"/>
        <v>0.605</v>
      </c>
      <c r="BR21" s="122">
        <f t="shared" ref="BR21:BS21" si="106">if($X21,(5-$AQ21)/4*AW$7+($AQ21-1)/4*AW$8,"")</f>
        <v>-0.4193650107</v>
      </c>
      <c r="BS21" s="122">
        <f t="shared" si="106"/>
        <v>-0.1845206047</v>
      </c>
      <c r="BT21" s="121">
        <f t="shared" ref="BT21:CB21" si="107">if($X21,(5-$AP21)/4*AY$7+($AP21-1)/4*AY$8,"")</f>
        <v>0.477</v>
      </c>
      <c r="BU21" s="121">
        <f t="shared" si="107"/>
        <v>0.476</v>
      </c>
      <c r="BV21" s="121">
        <f t="shared" si="107"/>
        <v>-0.6978572089</v>
      </c>
      <c r="BW21" s="121">
        <f t="shared" si="107"/>
        <v>0.533822685</v>
      </c>
      <c r="BX21" s="121">
        <f t="shared" si="107"/>
        <v>-0.02766237655</v>
      </c>
      <c r="BY21" s="121">
        <f t="shared" si="107"/>
        <v>0</v>
      </c>
      <c r="BZ21" s="121">
        <f t="shared" si="107"/>
        <v>0.2228953579</v>
      </c>
      <c r="CA21" s="121">
        <f t="shared" si="107"/>
        <v>0.4786556859</v>
      </c>
      <c r="CB21" s="121">
        <f t="shared" si="107"/>
        <v>-0.439</v>
      </c>
      <c r="CC21" s="118">
        <f t="shared" si="54"/>
        <v>-4.180258641</v>
      </c>
      <c r="CD21" s="118">
        <f t="shared" si="55"/>
        <v>0.9795044051</v>
      </c>
      <c r="CE21" s="118">
        <f t="shared" si="56"/>
        <v>0.8687938984</v>
      </c>
      <c r="CF21" s="118">
        <f t="shared" si="57"/>
        <v>-1.615552314</v>
      </c>
      <c r="CG21" s="118">
        <f t="shared" si="58"/>
        <v>-0.1434083916</v>
      </c>
      <c r="CH21" s="124">
        <f t="shared" si="59"/>
        <v>-4.090921043</v>
      </c>
      <c r="CI21" s="114">
        <f t="shared" si="60"/>
        <v>0.5184027778</v>
      </c>
      <c r="CJ21" s="118">
        <f t="shared" si="61"/>
        <v>-2.120744832</v>
      </c>
      <c r="CK21" s="126" t="str">
        <f t="shared" si="62"/>
        <v>Andre Iguodala</v>
      </c>
      <c r="CL21" s="127">
        <f t="shared" si="63"/>
        <v>2.569072064</v>
      </c>
      <c r="CM21" s="127">
        <f t="shared" si="64"/>
        <v>3.517324246</v>
      </c>
      <c r="CN21" s="128">
        <f t="shared" si="65"/>
        <v>24.88333333</v>
      </c>
      <c r="CO21" s="127">
        <f t="shared" si="66"/>
        <v>-7.168692426</v>
      </c>
      <c r="CP21" s="127">
        <f t="shared" si="67"/>
        <v>-6.479389894</v>
      </c>
      <c r="CQ21" s="127">
        <f t="shared" si="68"/>
        <v>-0.689302532</v>
      </c>
      <c r="CR21" s="127">
        <f t="shared" ref="CR21:CT21" si="108">if($X21,CO21*$BN21,"")</f>
        <v>-3.716270067</v>
      </c>
      <c r="CS21" s="127">
        <f t="shared" si="108"/>
        <v>-3.358933719</v>
      </c>
      <c r="CT21" s="127">
        <f t="shared" si="108"/>
        <v>-0.3573363473</v>
      </c>
      <c r="CU21" s="211">
        <f t="shared" si="70"/>
        <v>-0.03267639648</v>
      </c>
      <c r="CV21" s="212">
        <f t="shared" si="71"/>
        <v>-4.943724083</v>
      </c>
      <c r="CW21" s="213" t="str">
        <f t="shared" si="72"/>
        <v>#N/A</v>
      </c>
      <c r="CX21" s="212">
        <f t="shared" si="73"/>
        <v>0</v>
      </c>
    </row>
    <row r="22">
      <c r="A22" s="202" t="s">
        <v>318</v>
      </c>
      <c r="B22" s="203">
        <v>0.7326388888888888</v>
      </c>
      <c r="C22" s="204">
        <v>0.0</v>
      </c>
      <c r="D22" s="204">
        <v>2.0</v>
      </c>
      <c r="E22" s="204">
        <v>0.0</v>
      </c>
      <c r="F22" s="204">
        <v>0.0</v>
      </c>
      <c r="G22" s="204">
        <v>0.0</v>
      </c>
      <c r="H22" s="204"/>
      <c r="I22" s="204">
        <v>2.0</v>
      </c>
      <c r="J22" s="204">
        <v>2.0</v>
      </c>
      <c r="K22" s="204">
        <v>1.0</v>
      </c>
      <c r="L22" s="204">
        <v>0.0</v>
      </c>
      <c r="M22" s="204">
        <v>3.0</v>
      </c>
      <c r="N22" s="204">
        <v>3.0</v>
      </c>
      <c r="O22" s="204">
        <v>3.0</v>
      </c>
      <c r="P22" s="204">
        <v>0.0</v>
      </c>
      <c r="Q22" s="204">
        <v>1.0</v>
      </c>
      <c r="R22" s="204">
        <v>1.0</v>
      </c>
      <c r="S22" s="204">
        <v>1.0</v>
      </c>
      <c r="T22" s="204">
        <v>2.0</v>
      </c>
      <c r="U22" s="203">
        <v>-2.0</v>
      </c>
      <c r="V22" s="205">
        <f t="shared" si="20"/>
        <v>17.58333333</v>
      </c>
      <c r="W22" s="206">
        <f t="shared" si="21"/>
        <v>-2</v>
      </c>
      <c r="X22" s="207" t="b">
        <f t="shared" si="22"/>
        <v>1</v>
      </c>
      <c r="Y22" s="208">
        <f t="shared" si="23"/>
        <v>2.88</v>
      </c>
      <c r="Z22" s="209">
        <f t="shared" si="24"/>
        <v>0.6944444444</v>
      </c>
      <c r="AA22" s="209">
        <f t="shared" si="25"/>
        <v>1.414759358</v>
      </c>
      <c r="AB22" s="208">
        <f t="shared" si="26"/>
        <v>36.66857639</v>
      </c>
      <c r="AC22" s="113">
        <f t="shared" si="27"/>
        <v>3.858233664</v>
      </c>
      <c r="AD22" s="113">
        <f t="shared" si="28"/>
        <v>5.454261378</v>
      </c>
      <c r="AE22" s="113">
        <f t="shared" si="29"/>
        <v>5.454261378</v>
      </c>
      <c r="AF22" s="113">
        <f t="shared" si="30"/>
        <v>0</v>
      </c>
      <c r="AG22" s="113">
        <f t="shared" si="31"/>
        <v>8.181392068</v>
      </c>
      <c r="AH22" s="113">
        <f t="shared" si="32"/>
        <v>2.727130689</v>
      </c>
      <c r="AI22" s="113">
        <f t="shared" ref="AI22:AK22" si="109">if($X22,L22/$AB22*100,"")</f>
        <v>0</v>
      </c>
      <c r="AJ22" s="113">
        <f t="shared" si="109"/>
        <v>8.181392068</v>
      </c>
      <c r="AK22" s="113">
        <f t="shared" si="109"/>
        <v>8.181392068</v>
      </c>
      <c r="AL22" s="113">
        <f t="shared" ref="AL22:AM22" si="110">if($X22,P22/$AB22*100,"")</f>
        <v>0</v>
      </c>
      <c r="AM22" s="113">
        <f t="shared" si="110"/>
        <v>2.727130689</v>
      </c>
      <c r="AN22" s="113">
        <f t="shared" si="35"/>
        <v>2.727130689</v>
      </c>
      <c r="AO22" s="114">
        <f t="shared" si="36"/>
        <v>0.3663194444</v>
      </c>
      <c r="AP22" s="118">
        <f t="array" ref="AP22">if($X22,index('BPM 2.0 Season GSW 2017'!$BM$14:$BM$31,match($A22,'BPM 2.0 Season GSW 2017'!$B$14:$B$31,false)),"")</f>
        <v>2.448583626</v>
      </c>
      <c r="AQ22" s="118">
        <f t="array" ref="AQ22">if($X22,index('BPM 2.0 Season GSW 2017'!$BY$14:$BY$31,match($A22,'BPM 2.0 Season GSW 2017'!$B$14:$B$31,false)),"")</f>
        <v>4.038683081</v>
      </c>
      <c r="AR22" s="214">
        <f t="array" ref="AR22">if($X22,index('BPM 2.0 Season GSW 2017'!$EC$14:$EC$36,(match(AU22,'BPM 2.0 Season GSW 2017'!$CU$14:$CU$36,false))),"")</f>
        <v>-2.389988742</v>
      </c>
      <c r="AS22" s="214">
        <f t="array" ref="AS22">if($X22,index('BPM 2.0 Season GSW 2017'!$ED$14:$ED$36,(match(AU22,'BPM 2.0 Season GSW 2017'!$CU$14:$CU$36,false))),"")</f>
        <v>-2.947242421</v>
      </c>
      <c r="AT22" s="214">
        <f t="shared" si="37"/>
        <v>0.5572536797</v>
      </c>
      <c r="AU22" s="61" t="str">
        <f t="shared" si="38"/>
        <v>Shaun Livingston</v>
      </c>
      <c r="AV22" s="121">
        <f t="shared" si="39"/>
        <v>0.86</v>
      </c>
      <c r="AW22" s="122">
        <f t="shared" ref="AW22:AX22" si="111">if($X22,(5-$AQ22)/4*AW$3+($AQ22-1)/4*AW$4,"")</f>
        <v>-0.7271275695</v>
      </c>
      <c r="AX22" s="122">
        <f t="shared" si="111"/>
        <v>-0.3199361306</v>
      </c>
      <c r="AY22" s="121">
        <f t="shared" ref="AY22:BG22" si="112">if($X22,(5-$AP22)/4*AY$3+($AP22-1)/4*AY$4,"")</f>
        <v>0.389</v>
      </c>
      <c r="AZ22" s="121">
        <f t="shared" si="112"/>
        <v>0.7444142416</v>
      </c>
      <c r="BA22" s="121">
        <f t="shared" si="112"/>
        <v>-0.964</v>
      </c>
      <c r="BB22" s="121">
        <f t="shared" si="112"/>
        <v>0.4565529684</v>
      </c>
      <c r="BC22" s="121">
        <f t="shared" si="112"/>
        <v>0.1395394839</v>
      </c>
      <c r="BD22" s="121">
        <f t="shared" si="112"/>
        <v>0</v>
      </c>
      <c r="BE22" s="121">
        <f t="shared" si="112"/>
        <v>1.238265328</v>
      </c>
      <c r="BF22" s="121">
        <f t="shared" si="112"/>
        <v>1.101020954</v>
      </c>
      <c r="BG22" s="121">
        <f t="shared" si="112"/>
        <v>-0.367</v>
      </c>
      <c r="BH22" s="118">
        <f t="shared" si="42"/>
        <v>-2.392878149</v>
      </c>
      <c r="BI22" s="118">
        <f t="shared" si="43"/>
        <v>3.461390787</v>
      </c>
      <c r="BJ22" s="118">
        <f t="shared" si="44"/>
        <v>1.141627227</v>
      </c>
      <c r="BK22" s="118">
        <f t="shared" si="45"/>
        <v>2.001771071</v>
      </c>
      <c r="BL22" s="118">
        <f t="shared" si="46"/>
        <v>1.215124137</v>
      </c>
      <c r="BM22" s="124">
        <f t="shared" si="47"/>
        <v>5.427035073</v>
      </c>
      <c r="BN22" s="114">
        <f t="shared" si="48"/>
        <v>0.3663194444</v>
      </c>
      <c r="BO22" s="118">
        <f t="shared" si="49"/>
        <v>1.988028473</v>
      </c>
      <c r="BP22" s="125" t="str">
        <f t="shared" si="50"/>
        <v>Shaun Livingston</v>
      </c>
      <c r="BQ22" s="121">
        <f t="shared" si="51"/>
        <v>0.605</v>
      </c>
      <c r="BR22" s="122">
        <f t="shared" ref="BR22:BS22" si="113">if($X22,(5-$AQ22)/4*AW$7+($AQ22-1)/4*AW$8,"")</f>
        <v>-0.4378732494</v>
      </c>
      <c r="BS22" s="122">
        <f t="shared" si="113"/>
        <v>-0.1926642297</v>
      </c>
      <c r="BT22" s="121">
        <f t="shared" ref="BT22:CB22" si="114">if($X22,(5-$AP22)/4*AY$7+($AP22-1)/4*AY$8,"")</f>
        <v>0.477</v>
      </c>
      <c r="BU22" s="121">
        <f t="shared" si="114"/>
        <v>0.476</v>
      </c>
      <c r="BV22" s="121">
        <f t="shared" si="114"/>
        <v>-0.6887302097</v>
      </c>
      <c r="BW22" s="121">
        <f t="shared" si="114"/>
        <v>0.5393651532</v>
      </c>
      <c r="BX22" s="121">
        <f t="shared" si="114"/>
        <v>-0.03413863009</v>
      </c>
      <c r="BY22" s="121">
        <f t="shared" si="114"/>
        <v>0</v>
      </c>
      <c r="BZ22" s="121">
        <f t="shared" si="114"/>
        <v>0.2193710711</v>
      </c>
      <c r="CA22" s="121">
        <f t="shared" si="114"/>
        <v>0.4975723707</v>
      </c>
      <c r="CB22" s="121">
        <f t="shared" si="114"/>
        <v>-0.439</v>
      </c>
      <c r="CC22" s="118">
        <f t="shared" si="54"/>
        <v>-1.104884853</v>
      </c>
      <c r="CD22" s="118">
        <f t="shared" si="55"/>
        <v>2.016085333</v>
      </c>
      <c r="CE22" s="118">
        <f t="shared" si="56"/>
        <v>-0.2793015174</v>
      </c>
      <c r="CF22" s="118">
        <f t="shared" si="57"/>
        <v>0.1597345096</v>
      </c>
      <c r="CG22" s="118">
        <f t="shared" si="58"/>
        <v>-0.02151877636</v>
      </c>
      <c r="CH22" s="124">
        <f t="shared" si="59"/>
        <v>0.7701146953</v>
      </c>
      <c r="CI22" s="114">
        <f t="shared" si="60"/>
        <v>0.3663194444</v>
      </c>
      <c r="CJ22" s="118">
        <f t="shared" si="61"/>
        <v>0.2821079873</v>
      </c>
      <c r="CK22" s="126" t="str">
        <f t="shared" si="62"/>
        <v>Shaun Livingston</v>
      </c>
      <c r="CL22" s="127">
        <f t="shared" si="63"/>
        <v>2.448583626</v>
      </c>
      <c r="CM22" s="127">
        <f t="shared" si="64"/>
        <v>4.038683081</v>
      </c>
      <c r="CN22" s="128">
        <f t="shared" si="65"/>
        <v>17.58333333</v>
      </c>
      <c r="CO22" s="127">
        <f t="shared" si="66"/>
        <v>0.6832804129</v>
      </c>
      <c r="CP22" s="127">
        <f t="shared" si="67"/>
        <v>-1.618354156</v>
      </c>
      <c r="CQ22" s="127">
        <f t="shared" si="68"/>
        <v>2.301634569</v>
      </c>
      <c r="CR22" s="127">
        <f t="shared" ref="CR22:CT22" si="115">if($X22,CO22*$BN22,"")</f>
        <v>0.2502989012</v>
      </c>
      <c r="CS22" s="127">
        <f t="shared" si="115"/>
        <v>-0.5928345953</v>
      </c>
      <c r="CT22" s="127">
        <f t="shared" si="115"/>
        <v>0.8431334966</v>
      </c>
      <c r="CU22" s="211">
        <f t="shared" si="70"/>
        <v>0.01198704622</v>
      </c>
      <c r="CV22" s="212">
        <f t="shared" si="71"/>
        <v>-0.6141817589</v>
      </c>
      <c r="CW22" s="213" t="str">
        <f t="shared" si="72"/>
        <v>#N/A</v>
      </c>
      <c r="CX22" s="212">
        <f t="shared" si="73"/>
        <v>-0.2</v>
      </c>
    </row>
    <row r="23">
      <c r="A23" s="202" t="s">
        <v>322</v>
      </c>
      <c r="B23" s="203">
        <v>0.5888888888888889</v>
      </c>
      <c r="C23" s="204">
        <v>1.0</v>
      </c>
      <c r="D23" s="204">
        <v>3.0</v>
      </c>
      <c r="E23" s="204">
        <v>0.333</v>
      </c>
      <c r="F23" s="204">
        <v>0.0</v>
      </c>
      <c r="G23" s="204">
        <v>0.0</v>
      </c>
      <c r="H23" s="204"/>
      <c r="I23" s="204">
        <v>3.0</v>
      </c>
      <c r="J23" s="204">
        <v>3.0</v>
      </c>
      <c r="K23" s="204">
        <v>1.0</v>
      </c>
      <c r="L23" s="204">
        <v>1.0</v>
      </c>
      <c r="M23" s="204">
        <v>1.0</v>
      </c>
      <c r="N23" s="204">
        <v>2.0</v>
      </c>
      <c r="O23" s="204">
        <v>5.0</v>
      </c>
      <c r="P23" s="204">
        <v>1.0</v>
      </c>
      <c r="Q23" s="204">
        <v>0.0</v>
      </c>
      <c r="R23" s="204">
        <v>1.0</v>
      </c>
      <c r="S23" s="204">
        <v>1.0</v>
      </c>
      <c r="T23" s="204">
        <v>5.0</v>
      </c>
      <c r="U23" s="203">
        <v>-2.0</v>
      </c>
      <c r="V23" s="205">
        <f t="shared" si="20"/>
        <v>14.13333333</v>
      </c>
      <c r="W23" s="206">
        <f t="shared" si="21"/>
        <v>-2</v>
      </c>
      <c r="X23" s="207" t="b">
        <f t="shared" si="22"/>
        <v>1</v>
      </c>
      <c r="Y23" s="208">
        <f t="shared" si="23"/>
        <v>4.32</v>
      </c>
      <c r="Z23" s="209">
        <f t="shared" si="24"/>
        <v>1.157407407</v>
      </c>
      <c r="AA23" s="209">
        <f t="shared" si="25"/>
        <v>4.122139037</v>
      </c>
      <c r="AB23" s="208">
        <f t="shared" si="26"/>
        <v>29.47388889</v>
      </c>
      <c r="AC23" s="113">
        <f t="shared" si="27"/>
        <v>13.98573175</v>
      </c>
      <c r="AD23" s="113">
        <f t="shared" si="28"/>
        <v>10.17850074</v>
      </c>
      <c r="AE23" s="113">
        <f t="shared" si="29"/>
        <v>10.17850074</v>
      </c>
      <c r="AF23" s="113">
        <f t="shared" si="30"/>
        <v>0</v>
      </c>
      <c r="AG23" s="113">
        <f t="shared" si="31"/>
        <v>16.96416791</v>
      </c>
      <c r="AH23" s="113">
        <f t="shared" si="32"/>
        <v>3.392833582</v>
      </c>
      <c r="AI23" s="113">
        <f t="shared" ref="AI23:AK23" si="116">if($X23,L23/$AB23*100,"")</f>
        <v>3.392833582</v>
      </c>
      <c r="AJ23" s="113">
        <f t="shared" si="116"/>
        <v>3.392833582</v>
      </c>
      <c r="AK23" s="113">
        <f t="shared" si="116"/>
        <v>6.785667163</v>
      </c>
      <c r="AL23" s="113">
        <f t="shared" ref="AL23:AM23" si="117">if($X23,P23/$AB23*100,"")</f>
        <v>3.392833582</v>
      </c>
      <c r="AM23" s="113">
        <f t="shared" si="117"/>
        <v>0</v>
      </c>
      <c r="AN23" s="113">
        <f t="shared" si="35"/>
        <v>3.392833582</v>
      </c>
      <c r="AO23" s="114">
        <f t="shared" si="36"/>
        <v>0.2944444444</v>
      </c>
      <c r="AP23" s="118">
        <f t="array" ref="AP23">if($X23,index('BPM 2.0 Season GSW 2017'!$BM$14:$BM$31,match($A23,'BPM 2.0 Season GSW 2017'!$B$14:$B$31,false)),"")</f>
        <v>3.658476027</v>
      </c>
      <c r="AQ23" s="118">
        <f t="array" ref="AQ23">if($X23,index('BPM 2.0 Season GSW 2017'!$BY$14:$BY$31,match($A23,'BPM 2.0 Season GSW 2017'!$B$14:$B$31,false)),"")</f>
        <v>3.052898969</v>
      </c>
      <c r="AR23" s="214">
        <f t="array" ref="AR23">if($X23,index('BPM 2.0 Season GSW 2017'!$EC$14:$EC$36,(match(AU23,'BPM 2.0 Season GSW 2017'!$CU$14:$CU$36,false))),"")</f>
        <v>2.68524059</v>
      </c>
      <c r="AS23" s="214">
        <f t="array" ref="AS23">if($X23,index('BPM 2.0 Season GSW 2017'!$ED$14:$ED$36,(match(AU23,'BPM 2.0 Season GSW 2017'!$CU$14:$CU$36,false))),"")</f>
        <v>-0.7859941471</v>
      </c>
      <c r="AT23" s="214">
        <f t="shared" si="37"/>
        <v>3.471234737</v>
      </c>
      <c r="AU23" s="61" t="str">
        <f t="shared" si="38"/>
        <v>David West</v>
      </c>
      <c r="AV23" s="121">
        <f t="shared" si="39"/>
        <v>0.86</v>
      </c>
      <c r="AW23" s="122">
        <f t="shared" ref="AW23:AX23" si="118">if($X23,(5-$AQ23)/4*AW$3+($AQ23-1)/4*AW$4,"")</f>
        <v>-0.6729094433</v>
      </c>
      <c r="AX23" s="122">
        <f t="shared" si="118"/>
        <v>-0.2960801551</v>
      </c>
      <c r="AY23" s="121">
        <f t="shared" ref="AY23:BG23" si="119">if($X23,(5-$AP23)/4*AY$3+($AP23-1)/4*AY$4,"")</f>
        <v>0.389</v>
      </c>
      <c r="AZ23" s="121">
        <f t="shared" si="119"/>
        <v>0.8817370291</v>
      </c>
      <c r="BA23" s="121">
        <f t="shared" si="119"/>
        <v>-0.964</v>
      </c>
      <c r="BB23" s="121">
        <f t="shared" si="119"/>
        <v>0.3258845891</v>
      </c>
      <c r="BC23" s="121">
        <f t="shared" si="119"/>
        <v>0.1592002354</v>
      </c>
      <c r="BD23" s="121">
        <f t="shared" si="119"/>
        <v>0</v>
      </c>
      <c r="BE23" s="121">
        <f t="shared" si="119"/>
        <v>1.129072539</v>
      </c>
      <c r="BF23" s="121">
        <f t="shared" si="119"/>
        <v>0.9122777398</v>
      </c>
      <c r="BG23" s="121">
        <f t="shared" si="119"/>
        <v>-0.367</v>
      </c>
      <c r="BH23" s="118">
        <f t="shared" si="42"/>
        <v>2.16486796</v>
      </c>
      <c r="BI23" s="118">
        <f t="shared" si="43"/>
        <v>11.68724344</v>
      </c>
      <c r="BJ23" s="118">
        <f t="shared" si="44"/>
        <v>1.645812083</v>
      </c>
      <c r="BK23" s="118">
        <f t="shared" si="45"/>
        <v>2.5855853</v>
      </c>
      <c r="BL23" s="118">
        <f t="shared" si="46"/>
        <v>0.07337087024</v>
      </c>
      <c r="BM23" s="124">
        <f t="shared" si="47"/>
        <v>18.15687965</v>
      </c>
      <c r="BN23" s="114">
        <f t="shared" si="48"/>
        <v>0.2944444444</v>
      </c>
      <c r="BO23" s="118">
        <f t="shared" si="49"/>
        <v>5.346192342</v>
      </c>
      <c r="BP23" s="125" t="str">
        <f t="shared" si="50"/>
        <v>David West</v>
      </c>
      <c r="BQ23" s="121">
        <f t="shared" si="51"/>
        <v>0.605</v>
      </c>
      <c r="BR23" s="122">
        <f t="shared" ref="BR23:BS23" si="120">if($X23,(5-$AQ23)/4*AW$7+($AQ23-1)/4*AW$8,"")</f>
        <v>-0.4028779134</v>
      </c>
      <c r="BS23" s="122">
        <f t="shared" si="120"/>
        <v>-0.1772662819</v>
      </c>
      <c r="BT23" s="121">
        <f t="shared" ref="BT23:CB23" si="121">if($X23,(5-$AP23)/4*AY$7+($AP23-1)/4*AY$8,"")</f>
        <v>0.477</v>
      </c>
      <c r="BU23" s="121">
        <f t="shared" si="121"/>
        <v>0.476</v>
      </c>
      <c r="BV23" s="121">
        <f t="shared" si="121"/>
        <v>-0.780379559</v>
      </c>
      <c r="BW23" s="121">
        <f t="shared" si="121"/>
        <v>0.4837101028</v>
      </c>
      <c r="BX23" s="121">
        <f t="shared" si="121"/>
        <v>0.03089308645</v>
      </c>
      <c r="BY23" s="121">
        <f t="shared" si="121"/>
        <v>0</v>
      </c>
      <c r="BZ23" s="121">
        <f t="shared" si="121"/>
        <v>0.2547604238</v>
      </c>
      <c r="CA23" s="121">
        <f t="shared" si="121"/>
        <v>0.3076192638</v>
      </c>
      <c r="CB23" s="121">
        <f t="shared" si="121"/>
        <v>-0.439</v>
      </c>
      <c r="CC23" s="118">
        <f t="shared" si="54"/>
        <v>2.556369587</v>
      </c>
      <c r="CD23" s="118">
        <f t="shared" si="55"/>
        <v>5.42724595</v>
      </c>
      <c r="CE23" s="118">
        <f t="shared" si="56"/>
        <v>1.745962982</v>
      </c>
      <c r="CF23" s="118">
        <f t="shared" si="57"/>
        <v>-0.6250942212</v>
      </c>
      <c r="CG23" s="118">
        <f t="shared" si="58"/>
        <v>0.02274655674</v>
      </c>
      <c r="CH23" s="124">
        <f t="shared" si="59"/>
        <v>9.127230854</v>
      </c>
      <c r="CI23" s="114">
        <f t="shared" si="60"/>
        <v>0.2944444444</v>
      </c>
      <c r="CJ23" s="118">
        <f t="shared" si="61"/>
        <v>2.687462418</v>
      </c>
      <c r="CK23" s="126" t="str">
        <f t="shared" si="62"/>
        <v>David West</v>
      </c>
      <c r="CL23" s="127">
        <f t="shared" si="63"/>
        <v>3.658476027</v>
      </c>
      <c r="CM23" s="127">
        <f t="shared" si="64"/>
        <v>3.052898969</v>
      </c>
      <c r="CN23" s="128">
        <f t="shared" si="65"/>
        <v>14.13333333</v>
      </c>
      <c r="CO23" s="127">
        <f t="shared" si="66"/>
        <v>13.41312499</v>
      </c>
      <c r="CP23" s="127">
        <f t="shared" si="67"/>
        <v>6.738762003</v>
      </c>
      <c r="CQ23" s="127">
        <f t="shared" si="68"/>
        <v>6.674362989</v>
      </c>
      <c r="CR23" s="127">
        <f t="shared" ref="CR23:CT23" si="122">if($X23,CO23*$BN23,"")</f>
        <v>3.949420137</v>
      </c>
      <c r="CS23" s="127">
        <f t="shared" si="122"/>
        <v>1.984191034</v>
      </c>
      <c r="CT23" s="127">
        <f t="shared" si="122"/>
        <v>1.965229102</v>
      </c>
      <c r="CU23" s="211">
        <f t="shared" si="70"/>
        <v>0.05534523202</v>
      </c>
      <c r="CV23" s="212">
        <f t="shared" si="71"/>
        <v>3.258306189</v>
      </c>
      <c r="CW23" s="213" t="str">
        <f t="shared" si="72"/>
        <v>#N/A</v>
      </c>
      <c r="CX23" s="212">
        <f t="shared" si="73"/>
        <v>-0.2</v>
      </c>
    </row>
    <row r="24">
      <c r="A24" s="202" t="s">
        <v>323</v>
      </c>
      <c r="B24" s="203">
        <v>0.3590277777777778</v>
      </c>
      <c r="C24" s="204">
        <v>1.0</v>
      </c>
      <c r="D24" s="204">
        <v>3.0</v>
      </c>
      <c r="E24" s="204">
        <v>0.333</v>
      </c>
      <c r="F24" s="204">
        <v>0.0</v>
      </c>
      <c r="G24" s="204">
        <v>0.0</v>
      </c>
      <c r="H24" s="204"/>
      <c r="I24" s="204">
        <v>0.0</v>
      </c>
      <c r="J24" s="204">
        <v>2.0</v>
      </c>
      <c r="K24" s="204">
        <v>0.0</v>
      </c>
      <c r="L24" s="204">
        <v>2.0</v>
      </c>
      <c r="M24" s="204">
        <v>1.0</v>
      </c>
      <c r="N24" s="204">
        <v>3.0</v>
      </c>
      <c r="O24" s="204">
        <v>0.0</v>
      </c>
      <c r="P24" s="204">
        <v>0.0</v>
      </c>
      <c r="Q24" s="204">
        <v>0.0</v>
      </c>
      <c r="R24" s="204">
        <v>1.0</v>
      </c>
      <c r="S24" s="204">
        <v>2.0</v>
      </c>
      <c r="T24" s="204">
        <v>2.0</v>
      </c>
      <c r="U24" s="203">
        <v>0.0</v>
      </c>
      <c r="V24" s="205">
        <f t="shared" si="20"/>
        <v>8.616666667</v>
      </c>
      <c r="W24" s="206">
        <f t="shared" si="21"/>
        <v>0</v>
      </c>
      <c r="X24" s="207" t="b">
        <f t="shared" si="22"/>
        <v>1</v>
      </c>
      <c r="Y24" s="208">
        <f t="shared" si="23"/>
        <v>3.88</v>
      </c>
      <c r="Z24" s="209">
        <f t="shared" si="24"/>
        <v>0.5154639175</v>
      </c>
      <c r="AA24" s="209">
        <f t="shared" si="25"/>
        <v>1.211550802</v>
      </c>
      <c r="AB24" s="208">
        <f t="shared" si="26"/>
        <v>17.96934028</v>
      </c>
      <c r="AC24" s="113">
        <f t="shared" si="27"/>
        <v>6.742322108</v>
      </c>
      <c r="AD24" s="113">
        <f t="shared" si="28"/>
        <v>16.69510374</v>
      </c>
      <c r="AE24" s="113">
        <f t="shared" si="29"/>
        <v>11.13006916</v>
      </c>
      <c r="AF24" s="113">
        <f t="shared" si="30"/>
        <v>0</v>
      </c>
      <c r="AG24" s="113">
        <f t="shared" si="31"/>
        <v>0</v>
      </c>
      <c r="AH24" s="113">
        <f t="shared" si="32"/>
        <v>5.565034579</v>
      </c>
      <c r="AI24" s="113">
        <f t="shared" ref="AI24:AK24" si="123">if($X24,L24/$AB24*100,"")</f>
        <v>11.13006916</v>
      </c>
      <c r="AJ24" s="113">
        <f t="shared" si="123"/>
        <v>5.565034579</v>
      </c>
      <c r="AK24" s="113">
        <f t="shared" si="123"/>
        <v>16.69510374</v>
      </c>
      <c r="AL24" s="113">
        <f t="shared" ref="AL24:AM24" si="124">if($X24,P24/$AB24*100,"")</f>
        <v>0</v>
      </c>
      <c r="AM24" s="113">
        <f t="shared" si="124"/>
        <v>0</v>
      </c>
      <c r="AN24" s="113">
        <f t="shared" si="35"/>
        <v>11.13006916</v>
      </c>
      <c r="AO24" s="114">
        <f t="shared" si="36"/>
        <v>0.1795138889</v>
      </c>
      <c r="AP24" s="118">
        <f t="array" ref="AP24">if($X24,index('BPM 2.0 Season GSW 2017'!$BM$14:$BM$31,match($A24,'BPM 2.0 Season GSW 2017'!$B$14:$B$31,false)),"")</f>
        <v>5</v>
      </c>
      <c r="AQ24" s="118">
        <f t="array" ref="AQ24">if($X24,index('BPM 2.0 Season GSW 2017'!$BY$14:$BY$31,match($A24,'BPM 2.0 Season GSW 2017'!$B$14:$B$31,false)),"")</f>
        <v>3.153013106</v>
      </c>
      <c r="AR24" s="214">
        <f t="array" ref="AR24">if($X24,index('BPM 2.0 Season GSW 2017'!$EC$14:$EC$36,(match(AU24,'BPM 2.0 Season GSW 2017'!$CU$14:$CU$36,false))),"")</f>
        <v>1.439667681</v>
      </c>
      <c r="AS24" s="214">
        <f t="array" ref="AS24">if($X24,index('BPM 2.0 Season GSW 2017'!$ED$14:$ED$36,(match(AU24,'BPM 2.0 Season GSW 2017'!$CU$14:$CU$36,false))),"")</f>
        <v>1.16108895</v>
      </c>
      <c r="AT24" s="214">
        <f t="shared" si="37"/>
        <v>0.2785787317</v>
      </c>
      <c r="AU24" s="61" t="str">
        <f t="shared" si="38"/>
        <v>JaVale McGee</v>
      </c>
      <c r="AV24" s="121">
        <f t="shared" si="39"/>
        <v>0.86</v>
      </c>
      <c r="AW24" s="122">
        <f t="shared" ref="AW24:AX24" si="125">if($X24,(5-$AQ24)/4*AW$3+($AQ24-1)/4*AW$4,"")</f>
        <v>-0.6784157208</v>
      </c>
      <c r="AX24" s="122">
        <f t="shared" si="125"/>
        <v>-0.2985029172</v>
      </c>
      <c r="AY24" s="121">
        <f t="shared" ref="AY24:BG24" si="126">if($X24,(5-$AP24)/4*AY$3+($AP24-1)/4*AY$4,"")</f>
        <v>0.389</v>
      </c>
      <c r="AZ24" s="121">
        <f t="shared" si="126"/>
        <v>1.034</v>
      </c>
      <c r="BA24" s="121">
        <f t="shared" si="126"/>
        <v>-0.964</v>
      </c>
      <c r="BB24" s="121">
        <f t="shared" si="126"/>
        <v>0.181</v>
      </c>
      <c r="BC24" s="121">
        <f t="shared" si="126"/>
        <v>0.181</v>
      </c>
      <c r="BD24" s="121">
        <f t="shared" si="126"/>
        <v>0</v>
      </c>
      <c r="BE24" s="121">
        <f t="shared" si="126"/>
        <v>1.008</v>
      </c>
      <c r="BF24" s="121">
        <f t="shared" si="126"/>
        <v>0.703</v>
      </c>
      <c r="BG24" s="121">
        <f t="shared" si="126"/>
        <v>-0.367</v>
      </c>
      <c r="BH24" s="118">
        <f t="shared" si="42"/>
        <v>-8.850181935</v>
      </c>
      <c r="BI24" s="118">
        <f t="shared" si="43"/>
        <v>-5.364693334</v>
      </c>
      <c r="BJ24" s="118">
        <f t="shared" si="44"/>
        <v>3.021813776</v>
      </c>
      <c r="BK24" s="118">
        <f t="shared" si="45"/>
        <v>-4.084735381</v>
      </c>
      <c r="BL24" s="118">
        <f t="shared" si="46"/>
        <v>0.2122291783</v>
      </c>
      <c r="BM24" s="124">
        <f t="shared" si="47"/>
        <v>-15.06556769</v>
      </c>
      <c r="BN24" s="114">
        <f t="shared" si="48"/>
        <v>0.1795138889</v>
      </c>
      <c r="BO24" s="118">
        <f t="shared" si="49"/>
        <v>-2.704478645</v>
      </c>
      <c r="BP24" s="125" t="str">
        <f t="shared" si="50"/>
        <v>JaVale McGee</v>
      </c>
      <c r="BQ24" s="121">
        <f t="shared" si="51"/>
        <v>0.605</v>
      </c>
      <c r="BR24" s="122">
        <f t="shared" ref="BR24:BS24" si="127">if($X24,(5-$AQ24)/4*AW$7+($AQ24-1)/4*AW$8,"")</f>
        <v>-0.4064319653</v>
      </c>
      <c r="BS24" s="122">
        <f t="shared" si="127"/>
        <v>-0.1788300647</v>
      </c>
      <c r="BT24" s="121">
        <f t="shared" ref="BT24:CB24" si="128">if($X24,(5-$AP24)/4*AY$7+($AP24-1)/4*AY$8,"")</f>
        <v>0.477</v>
      </c>
      <c r="BU24" s="121">
        <f t="shared" si="128"/>
        <v>0.476</v>
      </c>
      <c r="BV24" s="121">
        <f t="shared" si="128"/>
        <v>-0.882</v>
      </c>
      <c r="BW24" s="121">
        <f t="shared" si="128"/>
        <v>0.422</v>
      </c>
      <c r="BX24" s="121">
        <f t="shared" si="128"/>
        <v>0.103</v>
      </c>
      <c r="BY24" s="121">
        <f t="shared" si="128"/>
        <v>0</v>
      </c>
      <c r="BZ24" s="121">
        <f t="shared" si="128"/>
        <v>0.294</v>
      </c>
      <c r="CA24" s="121">
        <f t="shared" si="128"/>
        <v>0.097</v>
      </c>
      <c r="CB24" s="121">
        <f t="shared" si="128"/>
        <v>-0.439</v>
      </c>
      <c r="CC24" s="118">
        <f t="shared" si="54"/>
        <v>-4.696709934</v>
      </c>
      <c r="CD24" s="118">
        <f t="shared" si="55"/>
        <v>-4.908360498</v>
      </c>
      <c r="CE24" s="118">
        <f t="shared" si="56"/>
        <v>5.270087746</v>
      </c>
      <c r="CF24" s="118">
        <f t="shared" si="57"/>
        <v>-4.88610036</v>
      </c>
      <c r="CG24" s="118">
        <f t="shared" si="58"/>
        <v>0.06579563567</v>
      </c>
      <c r="CH24" s="124">
        <f t="shared" si="59"/>
        <v>-9.155287411</v>
      </c>
      <c r="CI24" s="114">
        <f t="shared" si="60"/>
        <v>0.1795138889</v>
      </c>
      <c r="CJ24" s="118">
        <f t="shared" si="61"/>
        <v>-1.643501247</v>
      </c>
      <c r="CK24" s="126" t="str">
        <f t="shared" si="62"/>
        <v>JaVale McGee</v>
      </c>
      <c r="CL24" s="127">
        <f t="shared" si="63"/>
        <v>5</v>
      </c>
      <c r="CM24" s="127">
        <f t="shared" si="64"/>
        <v>3.153013106</v>
      </c>
      <c r="CN24" s="128">
        <f t="shared" si="65"/>
        <v>8.616666667</v>
      </c>
      <c r="CO24" s="127">
        <f t="shared" si="66"/>
        <v>-19.80932235</v>
      </c>
      <c r="CP24" s="127">
        <f t="shared" si="67"/>
        <v>-11.54375626</v>
      </c>
      <c r="CQ24" s="127">
        <f t="shared" si="68"/>
        <v>-8.265566092</v>
      </c>
      <c r="CR24" s="127">
        <f t="shared" ref="CR24:CT24" si="129">if($X24,CO24*$BN24,"")</f>
        <v>-3.556048492</v>
      </c>
      <c r="CS24" s="127">
        <f t="shared" si="129"/>
        <v>-2.072264579</v>
      </c>
      <c r="CT24" s="127">
        <f t="shared" si="129"/>
        <v>-1.483783913</v>
      </c>
      <c r="CU24" s="211">
        <f t="shared" si="70"/>
        <v>-0.03898805749</v>
      </c>
      <c r="CV24" s="212">
        <f t="shared" si="71"/>
        <v>-3.983363693</v>
      </c>
      <c r="CW24" s="213" t="str">
        <f t="shared" si="72"/>
        <v>#N/A</v>
      </c>
      <c r="CX24" s="212">
        <f t="shared" si="73"/>
        <v>0</v>
      </c>
    </row>
    <row r="25">
      <c r="A25" s="202" t="s">
        <v>320</v>
      </c>
      <c r="B25" s="203">
        <v>0.35555555555555557</v>
      </c>
      <c r="C25" s="204">
        <v>2.0</v>
      </c>
      <c r="D25" s="204">
        <v>3.0</v>
      </c>
      <c r="E25" s="204">
        <v>0.667</v>
      </c>
      <c r="F25" s="204">
        <v>0.0</v>
      </c>
      <c r="G25" s="204">
        <v>0.0</v>
      </c>
      <c r="H25" s="204"/>
      <c r="I25" s="204">
        <v>0.0</v>
      </c>
      <c r="J25" s="204">
        <v>0.0</v>
      </c>
      <c r="K25" s="204"/>
      <c r="L25" s="204">
        <v>0.0</v>
      </c>
      <c r="M25" s="204">
        <v>0.0</v>
      </c>
      <c r="N25" s="204">
        <v>0.0</v>
      </c>
      <c r="O25" s="204">
        <v>1.0</v>
      </c>
      <c r="P25" s="204">
        <v>1.0</v>
      </c>
      <c r="Q25" s="204">
        <v>0.0</v>
      </c>
      <c r="R25" s="204">
        <v>0.0</v>
      </c>
      <c r="S25" s="204">
        <v>0.0</v>
      </c>
      <c r="T25" s="204">
        <v>4.0</v>
      </c>
      <c r="U25" s="203">
        <v>-2.0</v>
      </c>
      <c r="V25" s="205">
        <f t="shared" si="20"/>
        <v>8.533333333</v>
      </c>
      <c r="W25" s="206">
        <f t="shared" si="21"/>
        <v>-2</v>
      </c>
      <c r="X25" s="207" t="b">
        <f t="shared" si="22"/>
        <v>1</v>
      </c>
      <c r="Y25" s="208">
        <f t="shared" si="23"/>
        <v>3</v>
      </c>
      <c r="Z25" s="209">
        <f t="shared" si="24"/>
        <v>1.333333333</v>
      </c>
      <c r="AA25" s="209">
        <f t="shared" si="25"/>
        <v>3.390374332</v>
      </c>
      <c r="AB25" s="208">
        <f t="shared" si="26"/>
        <v>17.79555556</v>
      </c>
      <c r="AC25" s="113">
        <f t="shared" si="27"/>
        <v>19.05180381</v>
      </c>
      <c r="AD25" s="113">
        <f t="shared" si="28"/>
        <v>16.85814186</v>
      </c>
      <c r="AE25" s="113">
        <f t="shared" si="29"/>
        <v>0</v>
      </c>
      <c r="AF25" s="113">
        <f t="shared" si="30"/>
        <v>0</v>
      </c>
      <c r="AG25" s="113">
        <f t="shared" si="31"/>
        <v>5.619380619</v>
      </c>
      <c r="AH25" s="113">
        <f t="shared" si="32"/>
        <v>0</v>
      </c>
      <c r="AI25" s="113">
        <f t="shared" ref="AI25:AK25" si="130">if($X25,L25/$AB25*100,"")</f>
        <v>0</v>
      </c>
      <c r="AJ25" s="113">
        <f t="shared" si="130"/>
        <v>0</v>
      </c>
      <c r="AK25" s="113">
        <f t="shared" si="130"/>
        <v>0</v>
      </c>
      <c r="AL25" s="113">
        <f t="shared" ref="AL25:AM25" si="131">if($X25,P25/$AB25*100,"")</f>
        <v>5.619380619</v>
      </c>
      <c r="AM25" s="113">
        <f t="shared" si="131"/>
        <v>0</v>
      </c>
      <c r="AN25" s="113">
        <f t="shared" si="35"/>
        <v>0</v>
      </c>
      <c r="AO25" s="114">
        <f t="shared" si="36"/>
        <v>0.1777777778</v>
      </c>
      <c r="AP25" s="118">
        <f t="array" ref="AP25">if($X25,index('BPM 2.0 Season GSW 2017'!$BM$14:$BM$31,match($A25,'BPM 2.0 Season GSW 2017'!$B$14:$B$31,false)),"")</f>
        <v>2.345028726</v>
      </c>
      <c r="AQ25" s="118">
        <f t="array" ref="AQ25">if($X25,index('BPM 2.0 Season GSW 2017'!$BY$14:$BY$31,match($A25,'BPM 2.0 Season GSW 2017'!$B$14:$B$31,false)),"")</f>
        <v>3.71932576</v>
      </c>
      <c r="AR25" s="214">
        <f t="array" ref="AR25">if($X25,index('BPM 2.0 Season GSW 2017'!$EC$14:$EC$36,(match(AU25,'BPM 2.0 Season GSW 2017'!$CU$14:$CU$36,false))),"")</f>
        <v>-1.463093299</v>
      </c>
      <c r="AS25" s="214">
        <f t="array" ref="AS25">if($X25,index('BPM 2.0 Season GSW 2017'!$ED$14:$ED$36,(match(AU25,'BPM 2.0 Season GSW 2017'!$CU$14:$CU$36,false))),"")</f>
        <v>-0.9717992624</v>
      </c>
      <c r="AT25" s="214">
        <f t="shared" si="37"/>
        <v>-0.4912940369</v>
      </c>
      <c r="AU25" s="61" t="str">
        <f t="shared" si="38"/>
        <v>Ian Clark</v>
      </c>
      <c r="AV25" s="121">
        <f t="shared" si="39"/>
        <v>0.86</v>
      </c>
      <c r="AW25" s="122">
        <f t="shared" ref="AW25:AX25" si="132">if($X25,(5-$AQ25)/4*AW$3+($AQ25-1)/4*AW$4,"")</f>
        <v>-0.7095629168</v>
      </c>
      <c r="AX25" s="122">
        <f t="shared" si="132"/>
        <v>-0.3122076834</v>
      </c>
      <c r="AY25" s="121">
        <f t="shared" ref="AY25:BG25" si="133">if($X25,(5-$AP25)/4*AY$3+($AP25-1)/4*AY$4,"")</f>
        <v>0.389</v>
      </c>
      <c r="AZ25" s="121">
        <f t="shared" si="133"/>
        <v>0.7326607604</v>
      </c>
      <c r="BA25" s="121">
        <f t="shared" si="133"/>
        <v>-0.964</v>
      </c>
      <c r="BB25" s="121">
        <f t="shared" si="133"/>
        <v>0.4677368976</v>
      </c>
      <c r="BC25" s="121">
        <f t="shared" si="133"/>
        <v>0.1378567168</v>
      </c>
      <c r="BD25" s="121">
        <f t="shared" si="133"/>
        <v>0</v>
      </c>
      <c r="BE25" s="121">
        <f t="shared" si="133"/>
        <v>1.247611157</v>
      </c>
      <c r="BF25" s="121">
        <f t="shared" si="133"/>
        <v>1.117175519</v>
      </c>
      <c r="BG25" s="121">
        <f t="shared" si="133"/>
        <v>-0.367</v>
      </c>
      <c r="BH25" s="118">
        <f t="shared" si="42"/>
        <v>4.422638969</v>
      </c>
      <c r="BI25" s="118">
        <f t="shared" si="43"/>
        <v>4.117099678</v>
      </c>
      <c r="BJ25" s="118">
        <f t="shared" si="44"/>
        <v>0</v>
      </c>
      <c r="BK25" s="118">
        <f t="shared" si="45"/>
        <v>7.010801959</v>
      </c>
      <c r="BL25" s="118">
        <f t="shared" si="46"/>
        <v>0.7298215786</v>
      </c>
      <c r="BM25" s="124">
        <f t="shared" si="47"/>
        <v>16.28036218</v>
      </c>
      <c r="BN25" s="114">
        <f t="shared" si="48"/>
        <v>0.1777777778</v>
      </c>
      <c r="BO25" s="118">
        <f t="shared" si="49"/>
        <v>2.89428661</v>
      </c>
      <c r="BP25" s="125" t="str">
        <f t="shared" si="50"/>
        <v>Ian Clark</v>
      </c>
      <c r="BQ25" s="121">
        <f t="shared" si="51"/>
        <v>0.605</v>
      </c>
      <c r="BR25" s="122">
        <f t="shared" ref="BR25:BS25" si="134">if($X25,(5-$AQ25)/4*AW$7+($AQ25-1)/4*AW$8,"")</f>
        <v>-0.4265360645</v>
      </c>
      <c r="BS25" s="122">
        <f t="shared" si="134"/>
        <v>-0.1876758684</v>
      </c>
      <c r="BT25" s="121">
        <f t="shared" ref="BT25:CB25" si="135">if($X25,(5-$AP25)/4*AY$7+($AP25-1)/4*AY$8,"")</f>
        <v>0.477</v>
      </c>
      <c r="BU25" s="121">
        <f t="shared" si="135"/>
        <v>0.476</v>
      </c>
      <c r="BV25" s="121">
        <f t="shared" si="135"/>
        <v>-0.680885926</v>
      </c>
      <c r="BW25" s="121">
        <f t="shared" si="135"/>
        <v>0.5441286786</v>
      </c>
      <c r="BX25" s="121">
        <f t="shared" si="135"/>
        <v>-0.03970470596</v>
      </c>
      <c r="BY25" s="121">
        <f t="shared" si="135"/>
        <v>0</v>
      </c>
      <c r="BZ25" s="121">
        <f t="shared" si="135"/>
        <v>0.2163420902</v>
      </c>
      <c r="CA25" s="121">
        <f t="shared" si="135"/>
        <v>0.51383049</v>
      </c>
      <c r="CB25" s="121">
        <f t="shared" si="135"/>
        <v>-0.439</v>
      </c>
      <c r="CC25" s="118">
        <f t="shared" si="54"/>
        <v>4.335735823</v>
      </c>
      <c r="CD25" s="118">
        <f t="shared" si="55"/>
        <v>2.674825175</v>
      </c>
      <c r="CE25" s="118">
        <f t="shared" si="56"/>
        <v>0</v>
      </c>
      <c r="CF25" s="118">
        <f t="shared" si="57"/>
        <v>1.215708549</v>
      </c>
      <c r="CG25" s="118">
        <f t="shared" si="58"/>
        <v>-0.2467605344</v>
      </c>
      <c r="CH25" s="124">
        <f t="shared" si="59"/>
        <v>7.979509012</v>
      </c>
      <c r="CI25" s="114">
        <f t="shared" si="60"/>
        <v>0.1777777778</v>
      </c>
      <c r="CJ25" s="118">
        <f t="shared" si="61"/>
        <v>1.41857938</v>
      </c>
      <c r="CK25" s="126" t="str">
        <f t="shared" si="62"/>
        <v>Ian Clark</v>
      </c>
      <c r="CL25" s="127">
        <f t="shared" si="63"/>
        <v>2.345028726</v>
      </c>
      <c r="CM25" s="127">
        <f t="shared" si="64"/>
        <v>3.71932576</v>
      </c>
      <c r="CN25" s="128">
        <f t="shared" si="65"/>
        <v>8.533333333</v>
      </c>
      <c r="CO25" s="127">
        <f t="shared" si="66"/>
        <v>11.53660752</v>
      </c>
      <c r="CP25" s="127">
        <f t="shared" si="67"/>
        <v>5.591040161</v>
      </c>
      <c r="CQ25" s="127">
        <f t="shared" si="68"/>
        <v>5.945567363</v>
      </c>
      <c r="CR25" s="127">
        <f t="shared" ref="CR25:CT25" si="136">if($X25,CO25*$BN25,"")</f>
        <v>2.050952449</v>
      </c>
      <c r="CS25" s="127">
        <f t="shared" si="136"/>
        <v>0.9939626953</v>
      </c>
      <c r="CT25" s="127">
        <f t="shared" si="136"/>
        <v>1.056989753</v>
      </c>
      <c r="CU25" s="211">
        <f t="shared" si="70"/>
        <v>0.02934765859</v>
      </c>
      <c r="CV25" s="212">
        <f t="shared" si="71"/>
        <v>1.6333425</v>
      </c>
      <c r="CW25" s="213" t="str">
        <f t="shared" si="72"/>
        <v>#N/A</v>
      </c>
      <c r="CX25" s="212">
        <f t="shared" si="73"/>
        <v>-0.2</v>
      </c>
    </row>
    <row r="26">
      <c r="A26" s="202" t="s">
        <v>325</v>
      </c>
      <c r="B26" s="203">
        <v>0.22708333333333333</v>
      </c>
      <c r="C26" s="204">
        <v>0.0</v>
      </c>
      <c r="D26" s="204">
        <v>0.0</v>
      </c>
      <c r="E26" s="204"/>
      <c r="F26" s="204">
        <v>0.0</v>
      </c>
      <c r="G26" s="204">
        <v>0.0</v>
      </c>
      <c r="H26" s="204"/>
      <c r="I26" s="204">
        <v>0.0</v>
      </c>
      <c r="J26" s="204">
        <v>0.0</v>
      </c>
      <c r="K26" s="204"/>
      <c r="L26" s="204">
        <v>0.0</v>
      </c>
      <c r="M26" s="204">
        <v>1.0</v>
      </c>
      <c r="N26" s="204">
        <v>1.0</v>
      </c>
      <c r="O26" s="204">
        <v>0.0</v>
      </c>
      <c r="P26" s="204">
        <v>0.0</v>
      </c>
      <c r="Q26" s="204">
        <v>0.0</v>
      </c>
      <c r="R26" s="204">
        <v>0.0</v>
      </c>
      <c r="S26" s="204">
        <v>1.0</v>
      </c>
      <c r="T26" s="204">
        <v>0.0</v>
      </c>
      <c r="U26" s="203" t="s">
        <v>403</v>
      </c>
      <c r="V26" s="205">
        <f t="shared" si="20"/>
        <v>5.45</v>
      </c>
      <c r="W26" s="206">
        <f t="shared" si="21"/>
        <v>1</v>
      </c>
      <c r="X26" s="207" t="b">
        <f t="shared" si="22"/>
        <v>1</v>
      </c>
      <c r="Y26" s="208">
        <f t="shared" si="23"/>
        <v>0</v>
      </c>
      <c r="Z26" s="209">
        <f t="shared" si="24"/>
        <v>0</v>
      </c>
      <c r="AA26" s="209">
        <f t="shared" si="25"/>
        <v>0</v>
      </c>
      <c r="AB26" s="208">
        <f t="shared" si="26"/>
        <v>11.36552083</v>
      </c>
      <c r="AC26" s="113">
        <f t="shared" si="27"/>
        <v>0</v>
      </c>
      <c r="AD26" s="113">
        <f t="shared" si="28"/>
        <v>0</v>
      </c>
      <c r="AE26" s="113">
        <f t="shared" si="29"/>
        <v>0</v>
      </c>
      <c r="AF26" s="113">
        <f t="shared" si="30"/>
        <v>0</v>
      </c>
      <c r="AG26" s="113">
        <f t="shared" si="31"/>
        <v>0</v>
      </c>
      <c r="AH26" s="113">
        <f t="shared" si="32"/>
        <v>0</v>
      </c>
      <c r="AI26" s="113">
        <f t="shared" ref="AI26:AK26" si="137">if($X26,L26/$AB26*100,"")</f>
        <v>0</v>
      </c>
      <c r="AJ26" s="113">
        <f t="shared" si="137"/>
        <v>8.798540909</v>
      </c>
      <c r="AK26" s="113">
        <f t="shared" si="137"/>
        <v>8.798540909</v>
      </c>
      <c r="AL26" s="113">
        <f t="shared" ref="AL26:AM26" si="138">if($X26,P26/$AB26*100,"")</f>
        <v>0</v>
      </c>
      <c r="AM26" s="113">
        <f t="shared" si="138"/>
        <v>0</v>
      </c>
      <c r="AN26" s="113">
        <f t="shared" si="35"/>
        <v>8.798540909</v>
      </c>
      <c r="AO26" s="114">
        <f t="shared" si="36"/>
        <v>0.1135416667</v>
      </c>
      <c r="AP26" s="118">
        <f t="array" ref="AP26">if($X26,index('BPM 2.0 Season GSW 2017'!$BM$14:$BM$31,match($A26,'BPM 2.0 Season GSW 2017'!$B$14:$B$31,false)),"")</f>
        <v>4.644313605</v>
      </c>
      <c r="AQ26" s="118">
        <f t="array" ref="AQ26">if($X26,index('BPM 2.0 Season GSW 2017'!$BY$14:$BY$31,match($A26,'BPM 2.0 Season GSW 2017'!$B$14:$B$31,false)),"")</f>
        <v>4.437083878</v>
      </c>
      <c r="AR26" s="214">
        <f t="array" ref="AR26">if($X26,index('BPM 2.0 Season GSW 2017'!$EC$14:$EC$36,(match(AU26,'BPM 2.0 Season GSW 2017'!$CU$14:$CU$36,false))),"")</f>
        <v>-1.197312948</v>
      </c>
      <c r="AS26" s="214">
        <f t="array" ref="AS26">if($X26,index('BPM 2.0 Season GSW 2017'!$ED$14:$ED$36,(match(AU26,'BPM 2.0 Season GSW 2017'!$CU$14:$CU$36,false))),"")</f>
        <v>-2.09284469</v>
      </c>
      <c r="AT26" s="214">
        <f t="shared" si="37"/>
        <v>0.8955317415</v>
      </c>
      <c r="AU26" s="61" t="str">
        <f t="shared" si="38"/>
        <v>Kevon Looney</v>
      </c>
      <c r="AV26" s="121">
        <f t="shared" si="39"/>
        <v>0.86</v>
      </c>
      <c r="AW26" s="122">
        <f t="shared" ref="AW26:AX26" si="139">if($X26,(5-$AQ26)/4*AW$3+($AQ26-1)/4*AW$4,"")</f>
        <v>-0.7490396133</v>
      </c>
      <c r="AX26" s="122">
        <f t="shared" si="139"/>
        <v>-0.3295774298</v>
      </c>
      <c r="AY26" s="121">
        <f t="shared" ref="AY26:BG26" si="140">if($X26,(5-$AP26)/4*AY$3+($AP26-1)/4*AY$4,"")</f>
        <v>0.389</v>
      </c>
      <c r="AZ26" s="121">
        <f t="shared" si="140"/>
        <v>0.9936295942</v>
      </c>
      <c r="BA26" s="121">
        <f t="shared" si="140"/>
        <v>-0.964</v>
      </c>
      <c r="BB26" s="121">
        <f t="shared" si="140"/>
        <v>0.2194141306</v>
      </c>
      <c r="BC26" s="121">
        <f t="shared" si="140"/>
        <v>0.1752200961</v>
      </c>
      <c r="BD26" s="121">
        <f t="shared" si="140"/>
        <v>0</v>
      </c>
      <c r="BE26" s="121">
        <f t="shared" si="140"/>
        <v>1.040100697</v>
      </c>
      <c r="BF26" s="121">
        <f t="shared" si="140"/>
        <v>0.7584870776</v>
      </c>
      <c r="BG26" s="121">
        <f t="shared" si="140"/>
        <v>-0.367</v>
      </c>
      <c r="BH26" s="118">
        <f t="shared" si="42"/>
        <v>0</v>
      </c>
      <c r="BI26" s="118">
        <f t="shared" si="43"/>
        <v>0</v>
      </c>
      <c r="BJ26" s="118">
        <f t="shared" si="44"/>
        <v>1.541681183</v>
      </c>
      <c r="BK26" s="118">
        <f t="shared" si="45"/>
        <v>-3.229064513</v>
      </c>
      <c r="BL26" s="118">
        <f t="shared" si="46"/>
        <v>1.993235339</v>
      </c>
      <c r="BM26" s="124">
        <f t="shared" si="47"/>
        <v>0.3058520086</v>
      </c>
      <c r="BN26" s="114">
        <f t="shared" si="48"/>
        <v>0.1135416667</v>
      </c>
      <c r="BO26" s="118">
        <f t="shared" si="49"/>
        <v>0.03472694681</v>
      </c>
      <c r="BP26" s="125" t="str">
        <f t="shared" si="50"/>
        <v>Kevon Looney</v>
      </c>
      <c r="BQ26" s="121">
        <f t="shared" si="51"/>
        <v>0.605</v>
      </c>
      <c r="BR26" s="122">
        <f t="shared" ref="BR26:BS26" si="141">if($X26,(5-$AQ26)/4*AW$7+($AQ26-1)/4*AW$8,"")</f>
        <v>-0.4520164777</v>
      </c>
      <c r="BS26" s="122">
        <f t="shared" si="141"/>
        <v>-0.1988872502</v>
      </c>
      <c r="BT26" s="121">
        <f t="shared" ref="BT26:CB26" si="142">if($X26,(5-$AP26)/4*AY$7+($AP26-1)/4*AY$8,"")</f>
        <v>0.477</v>
      </c>
      <c r="BU26" s="121">
        <f t="shared" si="142"/>
        <v>0.476</v>
      </c>
      <c r="BV26" s="121">
        <f t="shared" si="142"/>
        <v>-0.8550567556</v>
      </c>
      <c r="BW26" s="121">
        <f t="shared" si="142"/>
        <v>0.4383615742</v>
      </c>
      <c r="BX26" s="121">
        <f t="shared" si="142"/>
        <v>0.08388185627</v>
      </c>
      <c r="BY26" s="121">
        <f t="shared" si="142"/>
        <v>0</v>
      </c>
      <c r="BZ26" s="121">
        <f t="shared" si="142"/>
        <v>0.2835961729</v>
      </c>
      <c r="CA26" s="121">
        <f t="shared" si="142"/>
        <v>0.152842764</v>
      </c>
      <c r="CB26" s="121">
        <f t="shared" si="142"/>
        <v>-0.439</v>
      </c>
      <c r="CC26" s="118">
        <f t="shared" si="54"/>
        <v>0</v>
      </c>
      <c r="CD26" s="118">
        <f t="shared" si="55"/>
        <v>0</v>
      </c>
      <c r="CE26" s="118">
        <f t="shared" si="56"/>
        <v>0.7380379439</v>
      </c>
      <c r="CF26" s="118">
        <f t="shared" si="57"/>
        <v>-3.862559459</v>
      </c>
      <c r="CG26" s="118">
        <f t="shared" si="58"/>
        <v>0.6179460675</v>
      </c>
      <c r="CH26" s="124">
        <f t="shared" si="59"/>
        <v>-2.506575447</v>
      </c>
      <c r="CI26" s="114">
        <f t="shared" si="60"/>
        <v>0.1135416667</v>
      </c>
      <c r="CJ26" s="118">
        <f t="shared" si="61"/>
        <v>-0.2846007539</v>
      </c>
      <c r="CK26" s="126" t="str">
        <f t="shared" si="62"/>
        <v>Kevon Looney</v>
      </c>
      <c r="CL26" s="127">
        <f t="shared" si="63"/>
        <v>4.644313605</v>
      </c>
      <c r="CM26" s="127">
        <f t="shared" si="64"/>
        <v>4.437083878</v>
      </c>
      <c r="CN26" s="128">
        <f t="shared" si="65"/>
        <v>5.45</v>
      </c>
      <c r="CO26" s="127">
        <f t="shared" si="66"/>
        <v>-4.437902651</v>
      </c>
      <c r="CP26" s="127">
        <f t="shared" si="67"/>
        <v>-4.895044299</v>
      </c>
      <c r="CQ26" s="127">
        <f t="shared" si="68"/>
        <v>0.4571416476</v>
      </c>
      <c r="CR26" s="127">
        <f t="shared" ref="CR26:CT26" si="143">if($X26,CO26*$BN26,"")</f>
        <v>-0.5038868635</v>
      </c>
      <c r="CS26" s="127">
        <f t="shared" si="143"/>
        <v>-0.5557914881</v>
      </c>
      <c r="CT26" s="127">
        <f t="shared" si="143"/>
        <v>0.05190462458</v>
      </c>
      <c r="CU26" s="211">
        <f t="shared" si="70"/>
        <v>-0.003375652807</v>
      </c>
      <c r="CV26" s="212">
        <f t="shared" si="71"/>
        <v>-0.7724163651</v>
      </c>
      <c r="CW26" s="213" t="str">
        <f t="shared" si="72"/>
        <v>#N/A</v>
      </c>
      <c r="CX26" s="212">
        <f t="shared" si="73"/>
        <v>0.1</v>
      </c>
    </row>
    <row r="27">
      <c r="A27" s="202" t="s">
        <v>321</v>
      </c>
      <c r="B27" s="203">
        <v>0.003472222222222222</v>
      </c>
      <c r="C27" s="204">
        <v>0.0</v>
      </c>
      <c r="D27" s="204">
        <v>0.0</v>
      </c>
      <c r="E27" s="204"/>
      <c r="F27" s="204">
        <v>0.0</v>
      </c>
      <c r="G27" s="204">
        <v>0.0</v>
      </c>
      <c r="H27" s="204"/>
      <c r="I27" s="204">
        <v>0.0</v>
      </c>
      <c r="J27" s="204">
        <v>0.0</v>
      </c>
      <c r="K27" s="204"/>
      <c r="L27" s="204">
        <v>0.0</v>
      </c>
      <c r="M27" s="204">
        <v>0.0</v>
      </c>
      <c r="N27" s="204">
        <v>0.0</v>
      </c>
      <c r="O27" s="204">
        <v>0.0</v>
      </c>
      <c r="P27" s="204">
        <v>0.0</v>
      </c>
      <c r="Q27" s="204">
        <v>0.0</v>
      </c>
      <c r="R27" s="204">
        <v>0.0</v>
      </c>
      <c r="S27" s="204">
        <v>0.0</v>
      </c>
      <c r="T27" s="204">
        <v>0.0</v>
      </c>
      <c r="U27" s="203">
        <v>-1.0</v>
      </c>
      <c r="V27" s="205">
        <f t="shared" si="20"/>
        <v>0.08333333333</v>
      </c>
      <c r="W27" s="206">
        <f t="shared" si="21"/>
        <v>-1</v>
      </c>
      <c r="X27" s="207" t="b">
        <f t="shared" si="22"/>
        <v>1</v>
      </c>
      <c r="Y27" s="208">
        <f t="shared" si="23"/>
        <v>0</v>
      </c>
      <c r="Z27" s="209">
        <f t="shared" si="24"/>
        <v>0</v>
      </c>
      <c r="AA27" s="209">
        <f t="shared" si="25"/>
        <v>0</v>
      </c>
      <c r="AB27" s="208">
        <f t="shared" si="26"/>
        <v>0.1737847222</v>
      </c>
      <c r="AC27" s="113">
        <f t="shared" si="27"/>
        <v>0</v>
      </c>
      <c r="AD27" s="113">
        <f t="shared" si="28"/>
        <v>0</v>
      </c>
      <c r="AE27" s="113">
        <f t="shared" si="29"/>
        <v>0</v>
      </c>
      <c r="AF27" s="113">
        <f t="shared" si="30"/>
        <v>0</v>
      </c>
      <c r="AG27" s="113">
        <f t="shared" si="31"/>
        <v>0</v>
      </c>
      <c r="AH27" s="113">
        <f t="shared" si="32"/>
        <v>0</v>
      </c>
      <c r="AI27" s="113">
        <f t="shared" ref="AI27:AK27" si="144">if($X27,L27/$AB27*100,"")</f>
        <v>0</v>
      </c>
      <c r="AJ27" s="113">
        <f t="shared" si="144"/>
        <v>0</v>
      </c>
      <c r="AK27" s="113">
        <f t="shared" si="144"/>
        <v>0</v>
      </c>
      <c r="AL27" s="113">
        <f t="shared" ref="AL27:AM27" si="145">if($X27,P27/$AB27*100,"")</f>
        <v>0</v>
      </c>
      <c r="AM27" s="113">
        <f t="shared" si="145"/>
        <v>0</v>
      </c>
      <c r="AN27" s="113">
        <f t="shared" si="35"/>
        <v>0</v>
      </c>
      <c r="AO27" s="114">
        <f t="shared" si="36"/>
        <v>0.001736111111</v>
      </c>
      <c r="AP27" s="118">
        <f t="array" ref="AP27">if($X27,index('BPM 2.0 Season GSW 2017'!$BM$14:$BM$31,match($A27,'BPM 2.0 Season GSW 2017'!$B$14:$B$31,false)),"")</f>
        <v>2.37313056</v>
      </c>
      <c r="AQ27" s="118">
        <f t="array" ref="AQ27">if($X27,index('BPM 2.0 Season GSW 2017'!$BY$14:$BY$31,match($A27,'BPM 2.0 Season GSW 2017'!$B$14:$B$31,false)),"")</f>
        <v>4.565226183</v>
      </c>
      <c r="AR27" s="214">
        <f t="array" ref="AR27">if($X27,index('BPM 2.0 Season GSW 2017'!$EC$14:$EC$36,(match(AU27,'BPM 2.0 Season GSW 2017'!$CU$14:$CU$36,false))),"")</f>
        <v>-2.051971025</v>
      </c>
      <c r="AS27" s="214">
        <f t="array" ref="AS27">if($X27,index('BPM 2.0 Season GSW 2017'!$ED$14:$ED$36,(match(AU27,'BPM 2.0 Season GSW 2017'!$CU$14:$CU$36,false))),"")</f>
        <v>-2.267357318</v>
      </c>
      <c r="AT27" s="214">
        <f t="shared" si="37"/>
        <v>0.215386293</v>
      </c>
      <c r="AU27" s="61" t="str">
        <f t="shared" si="38"/>
        <v>Patrick McCaw</v>
      </c>
      <c r="AV27" s="121">
        <f t="shared" si="39"/>
        <v>0.86</v>
      </c>
      <c r="AW27" s="122">
        <f t="shared" ref="AW27:AX27" si="146">if($X27,(5-$AQ27)/4*AW$3+($AQ27-1)/4*AW$4,"")</f>
        <v>-0.7560874401</v>
      </c>
      <c r="AX27" s="122">
        <f t="shared" si="146"/>
        <v>-0.3326784736</v>
      </c>
      <c r="AY27" s="121">
        <f t="shared" ref="AY27:BG27" si="147">if($X27,(5-$AP27)/4*AY$3+($AP27-1)/4*AY$4,"")</f>
        <v>0.389</v>
      </c>
      <c r="AZ27" s="121">
        <f t="shared" si="147"/>
        <v>0.7358503185</v>
      </c>
      <c r="BA27" s="121">
        <f t="shared" si="147"/>
        <v>-0.964</v>
      </c>
      <c r="BB27" s="121">
        <f t="shared" si="147"/>
        <v>0.4647018995</v>
      </c>
      <c r="BC27" s="121">
        <f t="shared" si="147"/>
        <v>0.1383133716</v>
      </c>
      <c r="BD27" s="121">
        <f t="shared" si="147"/>
        <v>0</v>
      </c>
      <c r="BE27" s="121">
        <f t="shared" si="147"/>
        <v>1.245074967</v>
      </c>
      <c r="BF27" s="121">
        <f t="shared" si="147"/>
        <v>1.112791633</v>
      </c>
      <c r="BG27" s="121">
        <f t="shared" si="147"/>
        <v>-0.367</v>
      </c>
      <c r="BH27" s="118">
        <f t="shared" si="42"/>
        <v>0</v>
      </c>
      <c r="BI27" s="118">
        <f t="shared" si="43"/>
        <v>0</v>
      </c>
      <c r="BJ27" s="118">
        <f t="shared" si="44"/>
        <v>0</v>
      </c>
      <c r="BK27" s="118">
        <f t="shared" si="45"/>
        <v>0</v>
      </c>
      <c r="BL27" s="118">
        <f t="shared" si="46"/>
        <v>1.914579115</v>
      </c>
      <c r="BM27" s="124">
        <f t="shared" si="47"/>
        <v>1.914579115</v>
      </c>
      <c r="BN27" s="114">
        <f t="shared" si="48"/>
        <v>0.001736111111</v>
      </c>
      <c r="BO27" s="118">
        <f t="shared" si="49"/>
        <v>0.003323922074</v>
      </c>
      <c r="BP27" s="125" t="str">
        <f t="shared" si="50"/>
        <v>Patrick McCaw</v>
      </c>
      <c r="BQ27" s="121">
        <f t="shared" si="51"/>
        <v>0.605</v>
      </c>
      <c r="BR27" s="122">
        <f t="shared" ref="BR27:BS27" si="148">if($X27,(5-$AQ27)/4*AW$7+($AQ27-1)/4*AW$8,"")</f>
        <v>-0.4565655295</v>
      </c>
      <c r="BS27" s="122">
        <f t="shared" si="148"/>
        <v>-0.200888833</v>
      </c>
      <c r="BT27" s="121">
        <f t="shared" ref="BT27:CB27" si="149">if($X27,(5-$AP27)/4*AY$7+($AP27-1)/4*AY$8,"")</f>
        <v>0.477</v>
      </c>
      <c r="BU27" s="121">
        <f t="shared" si="149"/>
        <v>0.476</v>
      </c>
      <c r="BV27" s="121">
        <f t="shared" si="149"/>
        <v>-0.6830146399</v>
      </c>
      <c r="BW27" s="121">
        <f t="shared" si="149"/>
        <v>0.5428359942</v>
      </c>
      <c r="BX27" s="121">
        <f t="shared" si="149"/>
        <v>-0.03819423241</v>
      </c>
      <c r="BY27" s="121">
        <f t="shared" si="149"/>
        <v>0</v>
      </c>
      <c r="BZ27" s="121">
        <f t="shared" si="149"/>
        <v>0.2171640689</v>
      </c>
      <c r="CA27" s="121">
        <f t="shared" si="149"/>
        <v>0.5094185021</v>
      </c>
      <c r="CB27" s="121">
        <f t="shared" si="149"/>
        <v>-0.439</v>
      </c>
      <c r="CC27" s="118">
        <f t="shared" si="54"/>
        <v>0</v>
      </c>
      <c r="CD27" s="118">
        <f t="shared" si="55"/>
        <v>0</v>
      </c>
      <c r="CE27" s="118">
        <f t="shared" si="56"/>
        <v>0</v>
      </c>
      <c r="CF27" s="118">
        <f t="shared" si="57"/>
        <v>0</v>
      </c>
      <c r="CG27" s="118">
        <f t="shared" si="58"/>
        <v>0.1408351039</v>
      </c>
      <c r="CH27" s="124">
        <f t="shared" si="59"/>
        <v>0.1408351039</v>
      </c>
      <c r="CI27" s="114">
        <f t="shared" si="60"/>
        <v>0.001736111111</v>
      </c>
      <c r="CJ27" s="118">
        <f t="shared" si="61"/>
        <v>0.0002445053887</v>
      </c>
      <c r="CK27" s="126" t="str">
        <f t="shared" si="62"/>
        <v>Patrick McCaw</v>
      </c>
      <c r="CL27" s="127">
        <f t="shared" si="63"/>
        <v>2.37313056</v>
      </c>
      <c r="CM27" s="127">
        <f t="shared" si="64"/>
        <v>4.565226183</v>
      </c>
      <c r="CN27" s="128">
        <f t="shared" si="65"/>
        <v>0.08333333333</v>
      </c>
      <c r="CO27" s="127">
        <f t="shared" si="66"/>
        <v>-2.829175545</v>
      </c>
      <c r="CP27" s="127">
        <f t="shared" si="67"/>
        <v>-2.247633747</v>
      </c>
      <c r="CQ27" s="127">
        <f t="shared" si="68"/>
        <v>-0.5815417977</v>
      </c>
      <c r="CR27" s="127">
        <f t="shared" ref="CR27:CT27" si="150">if($X27,CO27*$BN27,"")</f>
        <v>-0.004911763099</v>
      </c>
      <c r="CS27" s="127">
        <f t="shared" si="150"/>
        <v>-0.003902141922</v>
      </c>
      <c r="CT27" s="127">
        <f t="shared" si="150"/>
        <v>-0.001009621177</v>
      </c>
      <c r="CU27" s="211">
        <f t="shared" si="70"/>
        <v>-0.00001755537655</v>
      </c>
      <c r="CV27" s="212">
        <f t="shared" si="71"/>
        <v>-0.009014925853</v>
      </c>
      <c r="CW27" s="213" t="str">
        <f t="shared" si="72"/>
        <v>#N/A</v>
      </c>
      <c r="CX27" s="212">
        <f t="shared" si="73"/>
        <v>-0.1</v>
      </c>
    </row>
    <row r="28">
      <c r="A28" s="202" t="s">
        <v>327</v>
      </c>
      <c r="B28" s="203" t="s">
        <v>406</v>
      </c>
      <c r="C28" s="204"/>
      <c r="D28" s="204"/>
      <c r="E28" s="204"/>
      <c r="F28" s="204"/>
      <c r="G28" s="204"/>
      <c r="H28" s="204"/>
      <c r="I28" s="204"/>
      <c r="J28" s="204"/>
      <c r="K28" s="204"/>
      <c r="L28" s="204"/>
      <c r="M28" s="204"/>
      <c r="N28" s="204"/>
      <c r="O28" s="204"/>
      <c r="P28" s="204"/>
      <c r="Q28" s="204"/>
      <c r="R28" s="204"/>
      <c r="S28" s="204"/>
      <c r="T28" s="204"/>
      <c r="U28" s="203"/>
      <c r="V28" s="205" t="str">
        <f t="shared" si="20"/>
        <v/>
      </c>
      <c r="W28" s="206" t="str">
        <f t="shared" si="21"/>
        <v/>
      </c>
      <c r="X28" s="207" t="b">
        <f t="shared" si="22"/>
        <v>0</v>
      </c>
      <c r="Y28" s="208" t="str">
        <f t="shared" si="23"/>
        <v/>
      </c>
      <c r="Z28" s="209" t="str">
        <f t="shared" si="24"/>
        <v/>
      </c>
      <c r="AA28" s="209" t="str">
        <f t="shared" si="25"/>
        <v/>
      </c>
      <c r="AB28" s="208" t="str">
        <f t="shared" si="26"/>
        <v/>
      </c>
      <c r="AC28" s="113" t="str">
        <f t="shared" si="27"/>
        <v/>
      </c>
      <c r="AD28" s="113" t="str">
        <f t="shared" si="28"/>
        <v/>
      </c>
      <c r="AE28" s="113" t="str">
        <f t="shared" si="29"/>
        <v/>
      </c>
      <c r="AF28" s="113" t="str">
        <f t="shared" si="30"/>
        <v/>
      </c>
      <c r="AG28" s="113" t="str">
        <f t="shared" si="31"/>
        <v/>
      </c>
      <c r="AH28" s="113" t="str">
        <f t="shared" si="32"/>
        <v/>
      </c>
      <c r="AI28" s="113" t="str">
        <f t="shared" ref="AI28:AK28" si="151">if($X28,L28/$AB28*100,"")</f>
        <v/>
      </c>
      <c r="AJ28" s="113" t="str">
        <f t="shared" si="151"/>
        <v/>
      </c>
      <c r="AK28" s="113" t="str">
        <f t="shared" si="151"/>
        <v/>
      </c>
      <c r="AL28" s="113" t="str">
        <f t="shared" ref="AL28:AM28" si="152">if($X28,P28/$AB28*100,"")</f>
        <v/>
      </c>
      <c r="AM28" s="113" t="str">
        <f t="shared" si="152"/>
        <v/>
      </c>
      <c r="AN28" s="113" t="str">
        <f t="shared" si="35"/>
        <v/>
      </c>
      <c r="AO28" s="114" t="str">
        <f t="shared" si="36"/>
        <v/>
      </c>
      <c r="AP28" s="118" t="str">
        <f t="array" ref="AP28">if($X28,index('BPM 2.0 Season GSW 2017'!$BM$14:$BM$31,match($A28,'BPM 2.0 Season GSW 2017'!$B$14:$B$31,false)),"")</f>
        <v/>
      </c>
      <c r="AQ28" s="118" t="str">
        <f t="array" ref="AQ28">if($X28,index('BPM 2.0 Season GSW 2017'!$BY$14:$BY$31,match($A28,'BPM 2.0 Season GSW 2017'!$B$14:$B$31,false)),"")</f>
        <v/>
      </c>
      <c r="AR28" s="214" t="str">
        <f t="array" ref="AR28">if($X28,index('BPM 2.0 Season GSW 2017'!$EC$14:$EC$36,(match(AU28,'BPM 2.0 Season GSW 2017'!$CU$14:$CU$36,false))),"")</f>
        <v/>
      </c>
      <c r="AS28" s="214" t="str">
        <f t="array" ref="AS28">if($X28,index('BPM 2.0 Season GSW 2017'!$ED$14:$ED$36,(match(AU28,'BPM 2.0 Season GSW 2017'!$CU$14:$CU$36,false))),"")</f>
        <v/>
      </c>
      <c r="AT28" s="214" t="str">
        <f t="shared" si="37"/>
        <v/>
      </c>
      <c r="AU28" s="61" t="str">
        <f t="shared" si="38"/>
        <v>Anderson Varejão</v>
      </c>
      <c r="AV28" s="121" t="str">
        <f t="shared" si="39"/>
        <v/>
      </c>
      <c r="AW28" s="122" t="str">
        <f t="shared" ref="AW28:AX28" si="153">if($X28,(5-$AQ28)/4*AW$3+($AQ28-1)/4*AW$4,"")</f>
        <v/>
      </c>
      <c r="AX28" s="122" t="str">
        <f t="shared" si="153"/>
        <v/>
      </c>
      <c r="AY28" s="121" t="str">
        <f t="shared" ref="AY28:BG28" si="154">if($X28,(5-$AP28)/4*AY$3+($AP28-1)/4*AY$4,"")</f>
        <v/>
      </c>
      <c r="AZ28" s="121" t="str">
        <f t="shared" si="154"/>
        <v/>
      </c>
      <c r="BA28" s="121" t="str">
        <f t="shared" si="154"/>
        <v/>
      </c>
      <c r="BB28" s="121" t="str">
        <f t="shared" si="154"/>
        <v/>
      </c>
      <c r="BC28" s="121" t="str">
        <f t="shared" si="154"/>
        <v/>
      </c>
      <c r="BD28" s="121" t="str">
        <f t="shared" si="154"/>
        <v/>
      </c>
      <c r="BE28" s="121" t="str">
        <f t="shared" si="154"/>
        <v/>
      </c>
      <c r="BF28" s="121" t="str">
        <f t="shared" si="154"/>
        <v/>
      </c>
      <c r="BG28" s="121" t="str">
        <f t="shared" si="154"/>
        <v/>
      </c>
      <c r="BH28" s="118">
        <f t="shared" si="42"/>
        <v>0</v>
      </c>
      <c r="BI28" s="118">
        <f t="shared" si="43"/>
        <v>0</v>
      </c>
      <c r="BJ28" s="118">
        <f t="shared" si="44"/>
        <v>0</v>
      </c>
      <c r="BK28" s="118">
        <f t="shared" si="45"/>
        <v>0</v>
      </c>
      <c r="BL28" s="118">
        <f t="shared" si="46"/>
        <v>-4.161</v>
      </c>
      <c r="BM28" s="124">
        <f t="shared" si="47"/>
        <v>-4.161</v>
      </c>
      <c r="BN28" s="114" t="str">
        <f t="shared" si="48"/>
        <v/>
      </c>
      <c r="BO28" s="118">
        <f t="shared" si="49"/>
        <v>0</v>
      </c>
      <c r="BP28" s="125" t="str">
        <f t="shared" si="50"/>
        <v>Anderson Varejão</v>
      </c>
      <c r="BQ28" s="121" t="str">
        <f t="shared" si="51"/>
        <v/>
      </c>
      <c r="BR28" s="122" t="str">
        <f t="shared" ref="BR28:BS28" si="155">if($X28,(5-$AQ28)/4*AW$7+($AQ28-1)/4*AW$8,"")</f>
        <v/>
      </c>
      <c r="BS28" s="122" t="str">
        <f t="shared" si="155"/>
        <v/>
      </c>
      <c r="BT28" s="121" t="str">
        <f t="shared" ref="BT28:CB28" si="156">if($X28,(5-$AP28)/4*AY$7+($AP28-1)/4*AY$8,"")</f>
        <v/>
      </c>
      <c r="BU28" s="121" t="str">
        <f t="shared" si="156"/>
        <v/>
      </c>
      <c r="BV28" s="121" t="str">
        <f t="shared" si="156"/>
        <v/>
      </c>
      <c r="BW28" s="121" t="str">
        <f t="shared" si="156"/>
        <v/>
      </c>
      <c r="BX28" s="121" t="str">
        <f t="shared" si="156"/>
        <v/>
      </c>
      <c r="BY28" s="121" t="str">
        <f t="shared" si="156"/>
        <v/>
      </c>
      <c r="BZ28" s="121" t="str">
        <f t="shared" si="156"/>
        <v/>
      </c>
      <c r="CA28" s="121" t="str">
        <f t="shared" si="156"/>
        <v/>
      </c>
      <c r="CB28" s="121" t="str">
        <f t="shared" si="156"/>
        <v/>
      </c>
      <c r="CC28" s="118">
        <f t="shared" si="54"/>
        <v>0</v>
      </c>
      <c r="CD28" s="118">
        <f t="shared" si="55"/>
        <v>0</v>
      </c>
      <c r="CE28" s="118">
        <f t="shared" si="56"/>
        <v>0</v>
      </c>
      <c r="CF28" s="118">
        <f t="shared" si="57"/>
        <v>0</v>
      </c>
      <c r="CG28" s="118">
        <f t="shared" si="58"/>
        <v>-1.29</v>
      </c>
      <c r="CH28" s="124">
        <f t="shared" si="59"/>
        <v>-1.29</v>
      </c>
      <c r="CI28" s="114" t="str">
        <f t="shared" si="60"/>
        <v/>
      </c>
      <c r="CJ28" s="118">
        <f t="shared" si="61"/>
        <v>0</v>
      </c>
      <c r="CK28" s="126" t="str">
        <f t="shared" si="62"/>
        <v/>
      </c>
      <c r="CL28" s="127" t="str">
        <f t="shared" si="63"/>
        <v/>
      </c>
      <c r="CM28" s="127" t="str">
        <f t="shared" si="64"/>
        <v/>
      </c>
      <c r="CN28" s="128" t="str">
        <f t="shared" si="65"/>
        <v/>
      </c>
      <c r="CO28" s="217" t="str">
        <f t="shared" si="66"/>
        <v/>
      </c>
      <c r="CP28" s="127" t="str">
        <f t="shared" si="67"/>
        <v/>
      </c>
      <c r="CQ28" s="127" t="str">
        <f t="shared" si="68"/>
        <v/>
      </c>
      <c r="CR28" s="127" t="str">
        <f t="shared" ref="CR28:CT28" si="157">if($X28,CO28*$BN28,"")</f>
        <v/>
      </c>
      <c r="CS28" s="127" t="str">
        <f t="shared" si="157"/>
        <v/>
      </c>
      <c r="CT28" s="127" t="str">
        <f t="shared" si="157"/>
        <v/>
      </c>
      <c r="CU28" s="211" t="str">
        <f t="shared" si="70"/>
        <v/>
      </c>
      <c r="CV28" s="212" t="str">
        <f t="shared" si="71"/>
        <v/>
      </c>
      <c r="CW28" s="213" t="str">
        <f t="shared" si="72"/>
        <v>#N/A</v>
      </c>
      <c r="CX28" s="212" t="str">
        <f t="shared" si="73"/>
        <v/>
      </c>
    </row>
    <row r="29">
      <c r="A29" s="202" t="s">
        <v>407</v>
      </c>
      <c r="B29" s="203">
        <v>240.0</v>
      </c>
      <c r="C29" s="204">
        <v>37.0</v>
      </c>
      <c r="D29" s="204">
        <v>77.0</v>
      </c>
      <c r="E29" s="204">
        <v>0.481</v>
      </c>
      <c r="F29" s="204">
        <v>9.0</v>
      </c>
      <c r="G29" s="204">
        <v>30.0</v>
      </c>
      <c r="H29" s="204">
        <v>0.3</v>
      </c>
      <c r="I29" s="204">
        <v>25.0</v>
      </c>
      <c r="J29" s="204">
        <v>29.0</v>
      </c>
      <c r="K29" s="204">
        <v>0.862</v>
      </c>
      <c r="L29" s="204">
        <v>5.0</v>
      </c>
      <c r="M29" s="204">
        <v>37.0</v>
      </c>
      <c r="N29" s="204">
        <v>42.0</v>
      </c>
      <c r="O29" s="204">
        <v>25.0</v>
      </c>
      <c r="P29" s="204">
        <v>8.0</v>
      </c>
      <c r="Q29" s="204">
        <v>4.0</v>
      </c>
      <c r="R29" s="204">
        <v>19.0</v>
      </c>
      <c r="S29" s="204">
        <v>24.0</v>
      </c>
      <c r="T29" s="204">
        <v>108.0</v>
      </c>
      <c r="U29" s="203"/>
      <c r="V29" s="205" t="str">
        <f t="shared" si="20"/>
        <v/>
      </c>
      <c r="W29" s="206" t="str">
        <f t="shared" si="21"/>
        <v/>
      </c>
      <c r="X29" s="207" t="b">
        <f t="shared" si="22"/>
        <v>0</v>
      </c>
      <c r="Y29" s="208" t="str">
        <f t="shared" si="23"/>
        <v/>
      </c>
      <c r="Z29" s="209" t="str">
        <f t="shared" si="24"/>
        <v/>
      </c>
      <c r="AA29" s="209" t="str">
        <f t="shared" si="25"/>
        <v/>
      </c>
      <c r="AB29" s="208" t="str">
        <f t="shared" si="26"/>
        <v/>
      </c>
      <c r="AC29" s="113" t="str">
        <f t="shared" si="27"/>
        <v/>
      </c>
      <c r="AD29" s="113" t="str">
        <f t="shared" si="28"/>
        <v/>
      </c>
      <c r="AE29" s="113" t="str">
        <f t="shared" si="29"/>
        <v/>
      </c>
      <c r="AF29" s="113" t="str">
        <f t="shared" si="30"/>
        <v/>
      </c>
      <c r="AG29" s="113" t="str">
        <f t="shared" si="31"/>
        <v/>
      </c>
      <c r="AH29" s="113" t="str">
        <f t="shared" si="32"/>
        <v/>
      </c>
      <c r="AI29" s="113" t="str">
        <f t="shared" ref="AI29:AK29" si="158">if($X29,L29/$AB29*100,"")</f>
        <v/>
      </c>
      <c r="AJ29" s="113" t="str">
        <f t="shared" si="158"/>
        <v/>
      </c>
      <c r="AK29" s="113" t="str">
        <f t="shared" si="158"/>
        <v/>
      </c>
      <c r="AL29" s="113" t="str">
        <f t="shared" ref="AL29:AM29" si="159">if($X29,P29/$AB29*100,"")</f>
        <v/>
      </c>
      <c r="AM29" s="113" t="str">
        <f t="shared" si="159"/>
        <v/>
      </c>
      <c r="AN29" s="113" t="str">
        <f t="shared" si="35"/>
        <v/>
      </c>
      <c r="AO29" s="114" t="str">
        <f t="shared" si="36"/>
        <v/>
      </c>
      <c r="AP29" s="118" t="str">
        <f t="array" ref="AP29">if($X29,index('BPM 2.0 Season GSW 2017'!$BM$14:$BM$31,match($A29,'BPM 2.0 Season GSW 2017'!$B$14:$B$31,false)),"")</f>
        <v/>
      </c>
      <c r="AQ29" s="118" t="str">
        <f t="array" ref="AQ29">if($X29,index('BPM 2.0 Season GSW 2017'!$BY$14:$BY$31,match($A29,'BPM 2.0 Season GSW 2017'!$B$14:$B$31,false)),"")</f>
        <v/>
      </c>
      <c r="AR29" s="214" t="str">
        <f t="array" ref="AR29">if($X29,index('BPM 2.0 Season GSW 2017'!$EC$14:$EC$36,(match(AU29,'BPM 2.0 Season GSW 2017'!$CU$14:$CU$36,false))),"")</f>
        <v/>
      </c>
      <c r="AS29" s="214" t="str">
        <f t="array" ref="AS29">if($X29,index('BPM 2.0 Season GSW 2017'!$ED$14:$ED$36,(match(AU29,'BPM 2.0 Season GSW 2017'!$CU$14:$CU$36,false))),"")</f>
        <v/>
      </c>
      <c r="AT29" s="214" t="str">
        <f t="shared" si="37"/>
        <v/>
      </c>
      <c r="AU29" s="61" t="str">
        <f t="shared" si="38"/>
        <v>Team Totals</v>
      </c>
      <c r="AV29" s="121" t="str">
        <f t="shared" si="39"/>
        <v/>
      </c>
      <c r="AW29" s="122" t="str">
        <f t="shared" ref="AW29:AX29" si="160">if($X29,(5-$AQ29)/4*AW$3+($AQ29-1)/4*AW$4,"")</f>
        <v/>
      </c>
      <c r="AX29" s="122" t="str">
        <f t="shared" si="160"/>
        <v/>
      </c>
      <c r="AY29" s="121" t="str">
        <f t="shared" ref="AY29:BG29" si="161">if($X29,(5-$AP29)/4*AY$3+($AP29-1)/4*AY$4,"")</f>
        <v/>
      </c>
      <c r="AZ29" s="121" t="str">
        <f t="shared" si="161"/>
        <v/>
      </c>
      <c r="BA29" s="121" t="str">
        <f t="shared" si="161"/>
        <v/>
      </c>
      <c r="BB29" s="121" t="str">
        <f t="shared" si="161"/>
        <v/>
      </c>
      <c r="BC29" s="121" t="str">
        <f t="shared" si="161"/>
        <v/>
      </c>
      <c r="BD29" s="121" t="str">
        <f t="shared" si="161"/>
        <v/>
      </c>
      <c r="BE29" s="121" t="str">
        <f t="shared" si="161"/>
        <v/>
      </c>
      <c r="BF29" s="121" t="str">
        <f t="shared" si="161"/>
        <v/>
      </c>
      <c r="BG29" s="121" t="str">
        <f t="shared" si="161"/>
        <v/>
      </c>
      <c r="BH29" s="118">
        <f t="shared" si="42"/>
        <v>0</v>
      </c>
      <c r="BI29" s="118">
        <f t="shared" si="43"/>
        <v>0</v>
      </c>
      <c r="BJ29" s="118">
        <f t="shared" si="44"/>
        <v>0</v>
      </c>
      <c r="BK29" s="118">
        <f t="shared" si="45"/>
        <v>0</v>
      </c>
      <c r="BL29" s="118">
        <f t="shared" si="46"/>
        <v>-4.161</v>
      </c>
      <c r="BM29" s="124">
        <f t="shared" si="47"/>
        <v>-4.161</v>
      </c>
      <c r="BN29" s="114" t="str">
        <f t="shared" si="48"/>
        <v/>
      </c>
      <c r="BO29" s="118">
        <f t="shared" si="49"/>
        <v>0</v>
      </c>
      <c r="BP29" s="125" t="str">
        <f t="shared" si="50"/>
        <v>Team Totals</v>
      </c>
      <c r="BQ29" s="121" t="str">
        <f t="shared" si="51"/>
        <v/>
      </c>
      <c r="BR29" s="122" t="str">
        <f t="shared" ref="BR29:BS29" si="162">if($X29,(5-$AQ29)/4*AW$7+($AQ29-1)/4*AW$8,"")</f>
        <v/>
      </c>
      <c r="BS29" s="122" t="str">
        <f t="shared" si="162"/>
        <v/>
      </c>
      <c r="BT29" s="121" t="str">
        <f t="shared" ref="BT29:CB29" si="163">if($X29,(5-$AP29)/4*AY$7+($AP29-1)/4*AY$8,"")</f>
        <v/>
      </c>
      <c r="BU29" s="121" t="str">
        <f t="shared" si="163"/>
        <v/>
      </c>
      <c r="BV29" s="121" t="str">
        <f t="shared" si="163"/>
        <v/>
      </c>
      <c r="BW29" s="121" t="str">
        <f t="shared" si="163"/>
        <v/>
      </c>
      <c r="BX29" s="121" t="str">
        <f t="shared" si="163"/>
        <v/>
      </c>
      <c r="BY29" s="121" t="str">
        <f t="shared" si="163"/>
        <v/>
      </c>
      <c r="BZ29" s="121" t="str">
        <f t="shared" si="163"/>
        <v/>
      </c>
      <c r="CA29" s="121" t="str">
        <f t="shared" si="163"/>
        <v/>
      </c>
      <c r="CB29" s="121" t="str">
        <f t="shared" si="163"/>
        <v/>
      </c>
      <c r="CC29" s="118">
        <f t="shared" si="54"/>
        <v>0</v>
      </c>
      <c r="CD29" s="118">
        <f t="shared" si="55"/>
        <v>0</v>
      </c>
      <c r="CE29" s="118">
        <f t="shared" si="56"/>
        <v>0</v>
      </c>
      <c r="CF29" s="118">
        <f t="shared" si="57"/>
        <v>0</v>
      </c>
      <c r="CG29" s="118">
        <f t="shared" si="58"/>
        <v>-1.29</v>
      </c>
      <c r="CH29" s="124">
        <f t="shared" si="59"/>
        <v>-1.29</v>
      </c>
      <c r="CI29" s="114" t="str">
        <f t="shared" si="60"/>
        <v/>
      </c>
      <c r="CJ29" s="118">
        <f t="shared" si="61"/>
        <v>0</v>
      </c>
      <c r="CK29" s="126" t="str">
        <f t="shared" si="62"/>
        <v/>
      </c>
      <c r="CL29" s="127" t="str">
        <f t="shared" si="63"/>
        <v/>
      </c>
      <c r="CM29" s="127" t="str">
        <f t="shared" si="64"/>
        <v/>
      </c>
      <c r="CN29" s="128" t="str">
        <f t="shared" si="65"/>
        <v/>
      </c>
      <c r="CO29" s="217" t="str">
        <f t="shared" si="66"/>
        <v/>
      </c>
      <c r="CP29" s="127" t="str">
        <f t="shared" si="67"/>
        <v/>
      </c>
      <c r="CQ29" s="127" t="str">
        <f t="shared" si="68"/>
        <v/>
      </c>
      <c r="CR29" s="127" t="str">
        <f t="shared" ref="CR29:CT29" si="164">if($X29,CO29*$BN29,"")</f>
        <v/>
      </c>
      <c r="CS29" s="127" t="str">
        <f t="shared" si="164"/>
        <v/>
      </c>
      <c r="CT29" s="127" t="str">
        <f t="shared" si="164"/>
        <v/>
      </c>
      <c r="CU29" s="211" t="str">
        <f t="shared" si="70"/>
        <v/>
      </c>
      <c r="CV29" s="212" t="str">
        <f t="shared" si="71"/>
        <v/>
      </c>
      <c r="CW29" s="213"/>
      <c r="CX29" s="212" t="str">
        <f t="shared" si="73"/>
        <v/>
      </c>
    </row>
    <row r="30">
      <c r="A30" s="202"/>
      <c r="B30" s="203"/>
      <c r="C30" s="204"/>
      <c r="D30" s="204"/>
      <c r="E30" s="204"/>
      <c r="F30" s="204"/>
      <c r="G30" s="204"/>
      <c r="H30" s="204"/>
      <c r="I30" s="204"/>
      <c r="J30" s="204"/>
      <c r="K30" s="204"/>
      <c r="L30" s="204"/>
      <c r="M30" s="204"/>
      <c r="N30" s="204"/>
      <c r="O30" s="204"/>
      <c r="P30" s="204"/>
      <c r="Q30" s="204"/>
      <c r="R30" s="204"/>
      <c r="S30" s="204"/>
      <c r="T30" s="204"/>
      <c r="U30" s="203"/>
      <c r="V30" s="205" t="str">
        <f t="shared" si="20"/>
        <v/>
      </c>
      <c r="W30" s="206" t="str">
        <f t="shared" si="21"/>
        <v/>
      </c>
      <c r="X30" s="207" t="b">
        <f t="shared" si="22"/>
        <v>0</v>
      </c>
      <c r="Y30" s="208" t="str">
        <f t="shared" si="23"/>
        <v/>
      </c>
      <c r="Z30" s="209" t="str">
        <f t="shared" si="24"/>
        <v/>
      </c>
      <c r="AA30" s="209" t="str">
        <f t="shared" si="25"/>
        <v/>
      </c>
      <c r="AB30" s="208" t="str">
        <f t="shared" si="26"/>
        <v/>
      </c>
      <c r="AC30" s="113" t="str">
        <f t="shared" si="27"/>
        <v/>
      </c>
      <c r="AD30" s="113" t="str">
        <f t="shared" si="28"/>
        <v/>
      </c>
      <c r="AE30" s="113" t="str">
        <f t="shared" si="29"/>
        <v/>
      </c>
      <c r="AF30" s="113" t="str">
        <f t="shared" si="30"/>
        <v/>
      </c>
      <c r="AG30" s="113" t="str">
        <f t="shared" si="31"/>
        <v/>
      </c>
      <c r="AH30" s="113" t="str">
        <f t="shared" si="32"/>
        <v/>
      </c>
      <c r="AI30" s="113" t="str">
        <f t="shared" ref="AI30:AK30" si="165">if($X30,L30/$AB30*100,"")</f>
        <v/>
      </c>
      <c r="AJ30" s="113" t="str">
        <f t="shared" si="165"/>
        <v/>
      </c>
      <c r="AK30" s="113" t="str">
        <f t="shared" si="165"/>
        <v/>
      </c>
      <c r="AL30" s="113" t="str">
        <f t="shared" ref="AL30:AM30" si="166">if($X30,P30/$AB30*100,"")</f>
        <v/>
      </c>
      <c r="AM30" s="113" t="str">
        <f t="shared" si="166"/>
        <v/>
      </c>
      <c r="AN30" s="113" t="str">
        <f t="shared" si="35"/>
        <v/>
      </c>
      <c r="AO30" s="114" t="str">
        <f t="shared" si="36"/>
        <v/>
      </c>
      <c r="AP30" s="118" t="str">
        <f t="array" ref="AP30">if($X30,index('BPM 2.0 Season GSW 2017'!$BM$14:$BM$31,match($A30,'BPM 2.0 Season GSW 2017'!$B$14:$B$31,false)),"")</f>
        <v/>
      </c>
      <c r="AQ30" s="118" t="str">
        <f t="array" ref="AQ30">if($X30,index('BPM 2.0 Season GSW 2017'!$BY$14:$BY$31,match($A30,'BPM 2.0 Season GSW 2017'!$B$14:$B$31,false)),"")</f>
        <v/>
      </c>
      <c r="AR30" s="214" t="str">
        <f t="array" ref="AR30">if($X30,index('BPM 2.0 Season GSW 2017'!$EC$14:$EC$36,(match(AU30,'BPM 2.0 Season GSW 2017'!$CU$14:$CU$36,false))),"")</f>
        <v/>
      </c>
      <c r="AS30" s="214" t="str">
        <f t="array" ref="AS30">if($X30,index('BPM 2.0 Season GSW 2017'!$ED$14:$ED$36,(match(AU30,'BPM 2.0 Season GSW 2017'!$CU$14:$CU$36,false))),"")</f>
        <v/>
      </c>
      <c r="AT30" s="214" t="str">
        <f t="shared" si="37"/>
        <v/>
      </c>
      <c r="AU30" s="61" t="str">
        <f t="shared" si="38"/>
        <v/>
      </c>
      <c r="AV30" s="121" t="str">
        <f t="shared" si="39"/>
        <v/>
      </c>
      <c r="AW30" s="122" t="str">
        <f t="shared" ref="AW30:AX30" si="167">if($X30,(5-$AQ30)/4*AW$3+($AQ30-1)/4*AW$4,"")</f>
        <v/>
      </c>
      <c r="AX30" s="122" t="str">
        <f t="shared" si="167"/>
        <v/>
      </c>
      <c r="AY30" s="121" t="str">
        <f t="shared" ref="AY30:BG30" si="168">if($X30,(5-$AP30)/4*AY$3+($AP30-1)/4*AY$4,"")</f>
        <v/>
      </c>
      <c r="AZ30" s="121" t="str">
        <f t="shared" si="168"/>
        <v/>
      </c>
      <c r="BA30" s="121" t="str">
        <f t="shared" si="168"/>
        <v/>
      </c>
      <c r="BB30" s="121" t="str">
        <f t="shared" si="168"/>
        <v/>
      </c>
      <c r="BC30" s="121" t="str">
        <f t="shared" si="168"/>
        <v/>
      </c>
      <c r="BD30" s="121" t="str">
        <f t="shared" si="168"/>
        <v/>
      </c>
      <c r="BE30" s="121" t="str">
        <f t="shared" si="168"/>
        <v/>
      </c>
      <c r="BF30" s="121" t="str">
        <f t="shared" si="168"/>
        <v/>
      </c>
      <c r="BG30" s="121" t="str">
        <f t="shared" si="168"/>
        <v/>
      </c>
      <c r="BH30" s="118">
        <f t="shared" si="42"/>
        <v>0</v>
      </c>
      <c r="BI30" s="118">
        <f t="shared" si="43"/>
        <v>0</v>
      </c>
      <c r="BJ30" s="118">
        <f t="shared" si="44"/>
        <v>0</v>
      </c>
      <c r="BK30" s="118">
        <f t="shared" si="45"/>
        <v>0</v>
      </c>
      <c r="BL30" s="118">
        <f t="shared" si="46"/>
        <v>-4.161</v>
      </c>
      <c r="BM30" s="124">
        <f t="shared" si="47"/>
        <v>-4.161</v>
      </c>
      <c r="BN30" s="114" t="str">
        <f t="shared" si="48"/>
        <v/>
      </c>
      <c r="BO30" s="118">
        <f t="shared" si="49"/>
        <v>0</v>
      </c>
      <c r="BP30" s="125" t="str">
        <f t="shared" si="50"/>
        <v/>
      </c>
      <c r="BQ30" s="121" t="str">
        <f t="shared" si="51"/>
        <v/>
      </c>
      <c r="BR30" s="122" t="str">
        <f t="shared" ref="BR30:BS30" si="169">if($X30,(5-$AQ30)/4*AW$7+($AQ30-1)/4*AW$8,"")</f>
        <v/>
      </c>
      <c r="BS30" s="122" t="str">
        <f t="shared" si="169"/>
        <v/>
      </c>
      <c r="BT30" s="121" t="str">
        <f t="shared" ref="BT30:CB30" si="170">if($X30,(5-$AP30)/4*AY$7+($AP30-1)/4*AY$8,"")</f>
        <v/>
      </c>
      <c r="BU30" s="121" t="str">
        <f t="shared" si="170"/>
        <v/>
      </c>
      <c r="BV30" s="121" t="str">
        <f t="shared" si="170"/>
        <v/>
      </c>
      <c r="BW30" s="121" t="str">
        <f t="shared" si="170"/>
        <v/>
      </c>
      <c r="BX30" s="121" t="str">
        <f t="shared" si="170"/>
        <v/>
      </c>
      <c r="BY30" s="121" t="str">
        <f t="shared" si="170"/>
        <v/>
      </c>
      <c r="BZ30" s="121" t="str">
        <f t="shared" si="170"/>
        <v/>
      </c>
      <c r="CA30" s="121" t="str">
        <f t="shared" si="170"/>
        <v/>
      </c>
      <c r="CB30" s="121" t="str">
        <f t="shared" si="170"/>
        <v/>
      </c>
      <c r="CC30" s="118">
        <f t="shared" si="54"/>
        <v>0</v>
      </c>
      <c r="CD30" s="118">
        <f t="shared" si="55"/>
        <v>0</v>
      </c>
      <c r="CE30" s="118">
        <f t="shared" si="56"/>
        <v>0</v>
      </c>
      <c r="CF30" s="118">
        <f t="shared" si="57"/>
        <v>0</v>
      </c>
      <c r="CG30" s="118">
        <f t="shared" si="58"/>
        <v>-1.29</v>
      </c>
      <c r="CH30" s="124">
        <f t="shared" si="59"/>
        <v>-1.29</v>
      </c>
      <c r="CI30" s="114" t="str">
        <f t="shared" si="60"/>
        <v/>
      </c>
      <c r="CJ30" s="118">
        <f t="shared" si="61"/>
        <v>0</v>
      </c>
      <c r="CK30" s="126" t="str">
        <f t="shared" si="62"/>
        <v/>
      </c>
      <c r="CL30" s="127" t="str">
        <f t="shared" si="63"/>
        <v/>
      </c>
      <c r="CM30" s="127" t="str">
        <f t="shared" si="64"/>
        <v/>
      </c>
      <c r="CN30" s="128" t="str">
        <f t="shared" si="65"/>
        <v/>
      </c>
      <c r="CO30" s="217" t="str">
        <f t="shared" si="66"/>
        <v/>
      </c>
      <c r="CP30" s="127" t="str">
        <f t="shared" si="67"/>
        <v/>
      </c>
      <c r="CQ30" s="127" t="str">
        <f t="shared" si="68"/>
        <v/>
      </c>
      <c r="CR30" s="127" t="str">
        <f t="shared" ref="CR30:CT30" si="171">if($X30,CO30*$BN30,"")</f>
        <v/>
      </c>
      <c r="CS30" s="127" t="str">
        <f t="shared" si="171"/>
        <v/>
      </c>
      <c r="CT30" s="127" t="str">
        <f t="shared" si="171"/>
        <v/>
      </c>
      <c r="CU30" s="211" t="str">
        <f t="shared" si="70"/>
        <v/>
      </c>
      <c r="CV30" s="212" t="str">
        <f t="shared" si="71"/>
        <v/>
      </c>
      <c r="CW30" s="213"/>
      <c r="CX30" s="212" t="str">
        <f t="shared" si="73"/>
        <v/>
      </c>
    </row>
    <row r="31">
      <c r="A31" s="202"/>
      <c r="B31" s="203"/>
      <c r="C31" s="204"/>
      <c r="D31" s="204"/>
      <c r="E31" s="204"/>
      <c r="F31" s="204"/>
      <c r="G31" s="204"/>
      <c r="H31" s="204"/>
      <c r="I31" s="204"/>
      <c r="J31" s="204"/>
      <c r="K31" s="204"/>
      <c r="L31" s="204"/>
      <c r="M31" s="204"/>
      <c r="N31" s="204"/>
      <c r="O31" s="204"/>
      <c r="P31" s="204"/>
      <c r="Q31" s="204"/>
      <c r="R31" s="204"/>
      <c r="S31" s="218"/>
      <c r="T31" s="204"/>
      <c r="U31" s="203"/>
      <c r="V31" s="205" t="str">
        <f t="shared" si="20"/>
        <v/>
      </c>
      <c r="W31" s="206" t="str">
        <f t="shared" si="21"/>
        <v/>
      </c>
      <c r="X31" s="207" t="b">
        <f t="shared" si="22"/>
        <v>0</v>
      </c>
      <c r="Y31" s="208" t="str">
        <f t="shared" si="23"/>
        <v/>
      </c>
      <c r="Z31" s="209" t="str">
        <f t="shared" si="24"/>
        <v/>
      </c>
      <c r="AA31" s="209" t="str">
        <f t="shared" si="25"/>
        <v/>
      </c>
      <c r="AB31" s="208" t="str">
        <f t="shared" si="26"/>
        <v/>
      </c>
      <c r="AC31" s="113" t="str">
        <f t="shared" si="27"/>
        <v/>
      </c>
      <c r="AD31" s="113" t="str">
        <f t="shared" si="28"/>
        <v/>
      </c>
      <c r="AE31" s="113" t="str">
        <f t="shared" si="29"/>
        <v/>
      </c>
      <c r="AF31" s="113" t="str">
        <f t="shared" si="30"/>
        <v/>
      </c>
      <c r="AG31" s="113" t="str">
        <f t="shared" si="31"/>
        <v/>
      </c>
      <c r="AH31" s="113" t="str">
        <f t="shared" si="32"/>
        <v/>
      </c>
      <c r="AI31" s="113" t="str">
        <f t="shared" ref="AI31:AK31" si="172">if($X31,L31/$AB31*100,"")</f>
        <v/>
      </c>
      <c r="AJ31" s="113" t="str">
        <f t="shared" si="172"/>
        <v/>
      </c>
      <c r="AK31" s="113" t="str">
        <f t="shared" si="172"/>
        <v/>
      </c>
      <c r="AL31" s="113" t="str">
        <f t="shared" ref="AL31:AM31" si="173">if($X31,P31/$AB31*100,"")</f>
        <v/>
      </c>
      <c r="AM31" s="113" t="str">
        <f t="shared" si="173"/>
        <v/>
      </c>
      <c r="AN31" s="113" t="str">
        <f t="shared" si="35"/>
        <v/>
      </c>
      <c r="AO31" s="114" t="str">
        <f t="shared" si="36"/>
        <v/>
      </c>
      <c r="AP31" s="118" t="str">
        <f t="array" ref="AP31">if($X31,index('BPM 2.0 Season GSW 2017'!$BM$14:$BM$31,match($A31,'BPM 2.0 Season GSW 2017'!$B$14:$B$31,false)),"")</f>
        <v/>
      </c>
      <c r="AQ31" s="118" t="str">
        <f t="array" ref="AQ31">if($X31,index('BPM 2.0 Season GSW 2017'!$BY$14:$BY$31,match($A31,'BPM 2.0 Season GSW 2017'!$B$14:$B$31,false)),"")</f>
        <v/>
      </c>
      <c r="AR31" s="214" t="str">
        <f t="array" ref="AR31">if($X31,index('BPM 2.0 Season GSW 2017'!$EC$14:$EC$36,(match(AU31,'BPM 2.0 Season GSW 2017'!$CU$14:$CU$36,false))),"")</f>
        <v/>
      </c>
      <c r="AS31" s="214" t="str">
        <f t="array" ref="AS31">if($X31,index('BPM 2.0 Season GSW 2017'!$ED$14:$ED$36,(match(AU31,'BPM 2.0 Season GSW 2017'!$CU$14:$CU$36,false))),"")</f>
        <v/>
      </c>
      <c r="AT31" s="214" t="str">
        <f t="shared" si="37"/>
        <v/>
      </c>
      <c r="AU31" s="61" t="str">
        <f t="shared" si="38"/>
        <v/>
      </c>
      <c r="AV31" s="121" t="str">
        <f t="shared" si="39"/>
        <v/>
      </c>
      <c r="AW31" s="122" t="str">
        <f t="shared" ref="AW31:AX31" si="174">if($X31,(5-$AQ31)/4*AW$3+($AQ31-1)/4*AW$4,"")</f>
        <v/>
      </c>
      <c r="AX31" s="122" t="str">
        <f t="shared" si="174"/>
        <v/>
      </c>
      <c r="AY31" s="121" t="str">
        <f t="shared" ref="AY31:BG31" si="175">if($X31,(5-$AP31)/4*AY$3+($AP31-1)/4*AY$4,"")</f>
        <v/>
      </c>
      <c r="AZ31" s="121" t="str">
        <f t="shared" si="175"/>
        <v/>
      </c>
      <c r="BA31" s="121" t="str">
        <f t="shared" si="175"/>
        <v/>
      </c>
      <c r="BB31" s="121" t="str">
        <f t="shared" si="175"/>
        <v/>
      </c>
      <c r="BC31" s="121" t="str">
        <f t="shared" si="175"/>
        <v/>
      </c>
      <c r="BD31" s="121" t="str">
        <f t="shared" si="175"/>
        <v/>
      </c>
      <c r="BE31" s="121" t="str">
        <f t="shared" si="175"/>
        <v/>
      </c>
      <c r="BF31" s="121" t="str">
        <f t="shared" si="175"/>
        <v/>
      </c>
      <c r="BG31" s="121" t="str">
        <f t="shared" si="175"/>
        <v/>
      </c>
      <c r="BH31" s="118">
        <f t="shared" si="42"/>
        <v>0</v>
      </c>
      <c r="BI31" s="118">
        <f t="shared" si="43"/>
        <v>0</v>
      </c>
      <c r="BJ31" s="118">
        <f t="shared" si="44"/>
        <v>0</v>
      </c>
      <c r="BK31" s="118">
        <f t="shared" si="45"/>
        <v>0</v>
      </c>
      <c r="BL31" s="118">
        <f t="shared" si="46"/>
        <v>-4.161</v>
      </c>
      <c r="BM31" s="124">
        <f t="shared" si="47"/>
        <v>-4.161</v>
      </c>
      <c r="BN31" s="114" t="str">
        <f t="shared" si="48"/>
        <v/>
      </c>
      <c r="BO31" s="118">
        <f t="shared" si="49"/>
        <v>0</v>
      </c>
      <c r="BP31" s="125" t="str">
        <f t="shared" si="50"/>
        <v/>
      </c>
      <c r="BQ31" s="121" t="str">
        <f t="shared" si="51"/>
        <v/>
      </c>
      <c r="BR31" s="122" t="str">
        <f t="shared" ref="BR31:BS31" si="176">if($X31,(5-$AQ31)/4*AW$7+($AQ31-1)/4*AW$8,"")</f>
        <v/>
      </c>
      <c r="BS31" s="122" t="str">
        <f t="shared" si="176"/>
        <v/>
      </c>
      <c r="BT31" s="121" t="str">
        <f t="shared" ref="BT31:CB31" si="177">if($X31,(5-$AP31)/4*AY$7+($AP31-1)/4*AY$8,"")</f>
        <v/>
      </c>
      <c r="BU31" s="121" t="str">
        <f t="shared" si="177"/>
        <v/>
      </c>
      <c r="BV31" s="121" t="str">
        <f t="shared" si="177"/>
        <v/>
      </c>
      <c r="BW31" s="121" t="str">
        <f t="shared" si="177"/>
        <v/>
      </c>
      <c r="BX31" s="121" t="str">
        <f t="shared" si="177"/>
        <v/>
      </c>
      <c r="BY31" s="121" t="str">
        <f t="shared" si="177"/>
        <v/>
      </c>
      <c r="BZ31" s="121" t="str">
        <f t="shared" si="177"/>
        <v/>
      </c>
      <c r="CA31" s="121" t="str">
        <f t="shared" si="177"/>
        <v/>
      </c>
      <c r="CB31" s="121" t="str">
        <f t="shared" si="177"/>
        <v/>
      </c>
      <c r="CC31" s="118">
        <f t="shared" si="54"/>
        <v>0</v>
      </c>
      <c r="CD31" s="118">
        <f t="shared" si="55"/>
        <v>0</v>
      </c>
      <c r="CE31" s="118">
        <f t="shared" si="56"/>
        <v>0</v>
      </c>
      <c r="CF31" s="118">
        <f t="shared" si="57"/>
        <v>0</v>
      </c>
      <c r="CG31" s="118">
        <f t="shared" si="58"/>
        <v>-1.29</v>
      </c>
      <c r="CH31" s="124">
        <f t="shared" si="59"/>
        <v>-1.29</v>
      </c>
      <c r="CI31" s="114" t="str">
        <f t="shared" si="60"/>
        <v/>
      </c>
      <c r="CJ31" s="118">
        <f t="shared" si="61"/>
        <v>0</v>
      </c>
      <c r="CK31" s="126" t="str">
        <f t="shared" si="62"/>
        <v/>
      </c>
      <c r="CL31" s="127" t="str">
        <f t="shared" si="63"/>
        <v/>
      </c>
      <c r="CM31" s="127" t="str">
        <f t="shared" si="64"/>
        <v/>
      </c>
      <c r="CN31" s="128" t="str">
        <f t="shared" si="65"/>
        <v/>
      </c>
      <c r="CO31" s="217" t="str">
        <f t="shared" si="66"/>
        <v/>
      </c>
      <c r="CP31" s="127" t="str">
        <f t="shared" si="67"/>
        <v/>
      </c>
      <c r="CQ31" s="127" t="str">
        <f t="shared" si="68"/>
        <v/>
      </c>
      <c r="CR31" s="127" t="str">
        <f t="shared" ref="CR31:CT31" si="178">if($X31,CO31*$BN31,"")</f>
        <v/>
      </c>
      <c r="CS31" s="127" t="str">
        <f t="shared" si="178"/>
        <v/>
      </c>
      <c r="CT31" s="127" t="str">
        <f t="shared" si="178"/>
        <v/>
      </c>
      <c r="CU31" s="211" t="str">
        <f t="shared" si="70"/>
        <v/>
      </c>
      <c r="CV31" s="212" t="str">
        <f t="shared" si="71"/>
        <v/>
      </c>
      <c r="CW31" s="213"/>
      <c r="CX31" s="212" t="str">
        <f t="shared" si="73"/>
        <v/>
      </c>
    </row>
    <row r="32">
      <c r="A32" s="202"/>
      <c r="B32" s="203"/>
      <c r="C32" s="204"/>
      <c r="D32" s="204"/>
      <c r="E32" s="204"/>
      <c r="F32" s="204"/>
      <c r="G32" s="204"/>
      <c r="H32" s="204"/>
      <c r="I32" s="204"/>
      <c r="J32" s="204"/>
      <c r="K32" s="204"/>
      <c r="L32" s="204"/>
      <c r="M32" s="204"/>
      <c r="N32" s="204"/>
      <c r="O32" s="204"/>
      <c r="P32" s="204"/>
      <c r="Q32" s="204"/>
      <c r="R32" s="204"/>
      <c r="S32" s="204"/>
      <c r="T32" s="204"/>
      <c r="U32" s="203"/>
      <c r="V32" s="205" t="str">
        <f t="shared" si="20"/>
        <v/>
      </c>
      <c r="W32" s="206" t="str">
        <f t="shared" si="21"/>
        <v/>
      </c>
      <c r="X32" s="207" t="b">
        <f t="shared" si="22"/>
        <v>0</v>
      </c>
      <c r="Y32" s="208" t="str">
        <f t="shared" si="23"/>
        <v/>
      </c>
      <c r="Z32" s="209" t="str">
        <f t="shared" si="24"/>
        <v/>
      </c>
      <c r="AA32" s="209" t="str">
        <f t="shared" si="25"/>
        <v/>
      </c>
      <c r="AB32" s="208" t="str">
        <f t="shared" si="26"/>
        <v/>
      </c>
      <c r="AC32" s="113" t="str">
        <f t="shared" si="27"/>
        <v/>
      </c>
      <c r="AD32" s="113" t="str">
        <f t="shared" si="28"/>
        <v/>
      </c>
      <c r="AE32" s="113" t="str">
        <f t="shared" si="29"/>
        <v/>
      </c>
      <c r="AF32" s="113" t="str">
        <f t="shared" si="30"/>
        <v/>
      </c>
      <c r="AG32" s="113" t="str">
        <f t="shared" si="31"/>
        <v/>
      </c>
      <c r="AH32" s="113" t="str">
        <f t="shared" si="32"/>
        <v/>
      </c>
      <c r="AI32" s="113" t="str">
        <f t="shared" ref="AI32:AK32" si="179">if($X32,L32/$AB32*100,"")</f>
        <v/>
      </c>
      <c r="AJ32" s="113" t="str">
        <f t="shared" si="179"/>
        <v/>
      </c>
      <c r="AK32" s="113" t="str">
        <f t="shared" si="179"/>
        <v/>
      </c>
      <c r="AL32" s="113" t="str">
        <f t="shared" ref="AL32:AM32" si="180">if($X32,P32/$AB32*100,"")</f>
        <v/>
      </c>
      <c r="AM32" s="113" t="str">
        <f t="shared" si="180"/>
        <v/>
      </c>
      <c r="AN32" s="113" t="str">
        <f t="shared" si="35"/>
        <v/>
      </c>
      <c r="AO32" s="114" t="str">
        <f t="shared" si="36"/>
        <v/>
      </c>
      <c r="AP32" s="118" t="str">
        <f t="array" ref="AP32">if($X32,index('BPM 2.0 Season GSW 2017'!$BM$14:$BM$31,match($A32,'BPM 2.0 Season GSW 2017'!$B$14:$B$31,false)),"")</f>
        <v/>
      </c>
      <c r="AQ32" s="118" t="str">
        <f t="array" ref="AQ32">if($X32,index('BPM 2.0 Season GSW 2017'!$BY$14:$BY$31,match($A32,'BPM 2.0 Season GSW 2017'!$B$14:$B$31,false)),"")</f>
        <v/>
      </c>
      <c r="AR32" s="214" t="str">
        <f t="array" ref="AR32">if($X32,index('BPM 2.0 Season GSW 2017'!$EC$14:$EC$36,(match(AU32,'BPM 2.0 Season GSW 2017'!$CU$14:$CU$36,false))),"")</f>
        <v/>
      </c>
      <c r="AS32" s="214" t="str">
        <f t="array" ref="AS32">if($X32,index('BPM 2.0 Season GSW 2017'!$ED$14:$ED$36,(match(AU32,'BPM 2.0 Season GSW 2017'!$CU$14:$CU$36,false))),"")</f>
        <v/>
      </c>
      <c r="AT32" s="214" t="str">
        <f t="shared" si="37"/>
        <v/>
      </c>
      <c r="AU32" s="61" t="str">
        <f t="shared" si="38"/>
        <v/>
      </c>
      <c r="AV32" s="121" t="str">
        <f t="shared" si="39"/>
        <v/>
      </c>
      <c r="AW32" s="122" t="str">
        <f t="shared" ref="AW32:AX32" si="181">if($X32,(5-$AQ32)/4*AW$3+($AQ32-1)/4*AW$4,"")</f>
        <v/>
      </c>
      <c r="AX32" s="122" t="str">
        <f t="shared" si="181"/>
        <v/>
      </c>
      <c r="AY32" s="121" t="str">
        <f t="shared" ref="AY32:BG32" si="182">if($X32,(5-$AP32)/4*AY$3+($AP32-1)/4*AY$4,"")</f>
        <v/>
      </c>
      <c r="AZ32" s="121" t="str">
        <f t="shared" si="182"/>
        <v/>
      </c>
      <c r="BA32" s="121" t="str">
        <f t="shared" si="182"/>
        <v/>
      </c>
      <c r="BB32" s="121" t="str">
        <f t="shared" si="182"/>
        <v/>
      </c>
      <c r="BC32" s="121" t="str">
        <f t="shared" si="182"/>
        <v/>
      </c>
      <c r="BD32" s="121" t="str">
        <f t="shared" si="182"/>
        <v/>
      </c>
      <c r="BE32" s="121" t="str">
        <f t="shared" si="182"/>
        <v/>
      </c>
      <c r="BF32" s="121" t="str">
        <f t="shared" si="182"/>
        <v/>
      </c>
      <c r="BG32" s="121" t="str">
        <f t="shared" si="182"/>
        <v/>
      </c>
      <c r="BH32" s="118">
        <f t="shared" si="42"/>
        <v>0</v>
      </c>
      <c r="BI32" s="118">
        <f t="shared" si="43"/>
        <v>0</v>
      </c>
      <c r="BJ32" s="118">
        <f t="shared" si="44"/>
        <v>0</v>
      </c>
      <c r="BK32" s="118">
        <f t="shared" si="45"/>
        <v>0</v>
      </c>
      <c r="BL32" s="118">
        <f t="shared" si="46"/>
        <v>-4.161</v>
      </c>
      <c r="BM32" s="124">
        <f t="shared" si="47"/>
        <v>-4.161</v>
      </c>
      <c r="BN32" s="114" t="str">
        <f t="shared" si="48"/>
        <v/>
      </c>
      <c r="BO32" s="118">
        <f t="shared" si="49"/>
        <v>0</v>
      </c>
      <c r="BP32" s="125" t="str">
        <f t="shared" si="50"/>
        <v/>
      </c>
      <c r="BQ32" s="121" t="str">
        <f t="shared" si="51"/>
        <v/>
      </c>
      <c r="BR32" s="122" t="str">
        <f t="shared" ref="BR32:BS32" si="183">if($X32,(5-$AQ32)/4*AW$7+($AQ32-1)/4*AW$8,"")</f>
        <v/>
      </c>
      <c r="BS32" s="122" t="str">
        <f t="shared" si="183"/>
        <v/>
      </c>
      <c r="BT32" s="121" t="str">
        <f t="shared" ref="BT32:CB32" si="184">if($X32,(5-$AP32)/4*AY$7+($AP32-1)/4*AY$8,"")</f>
        <v/>
      </c>
      <c r="BU32" s="121" t="str">
        <f t="shared" si="184"/>
        <v/>
      </c>
      <c r="BV32" s="121" t="str">
        <f t="shared" si="184"/>
        <v/>
      </c>
      <c r="BW32" s="121" t="str">
        <f t="shared" si="184"/>
        <v/>
      </c>
      <c r="BX32" s="121" t="str">
        <f t="shared" si="184"/>
        <v/>
      </c>
      <c r="BY32" s="121" t="str">
        <f t="shared" si="184"/>
        <v/>
      </c>
      <c r="BZ32" s="121" t="str">
        <f t="shared" si="184"/>
        <v/>
      </c>
      <c r="CA32" s="121" t="str">
        <f t="shared" si="184"/>
        <v/>
      </c>
      <c r="CB32" s="121" t="str">
        <f t="shared" si="184"/>
        <v/>
      </c>
      <c r="CC32" s="118">
        <f t="shared" si="54"/>
        <v>0</v>
      </c>
      <c r="CD32" s="118">
        <f t="shared" si="55"/>
        <v>0</v>
      </c>
      <c r="CE32" s="118">
        <f t="shared" si="56"/>
        <v>0</v>
      </c>
      <c r="CF32" s="118">
        <f t="shared" si="57"/>
        <v>0</v>
      </c>
      <c r="CG32" s="118">
        <f t="shared" si="58"/>
        <v>-1.29</v>
      </c>
      <c r="CH32" s="124">
        <f t="shared" si="59"/>
        <v>-1.29</v>
      </c>
      <c r="CI32" s="114" t="str">
        <f t="shared" si="60"/>
        <v/>
      </c>
      <c r="CJ32" s="118">
        <f t="shared" si="61"/>
        <v>0</v>
      </c>
      <c r="CK32" s="126" t="str">
        <f t="shared" si="62"/>
        <v/>
      </c>
      <c r="CL32" s="127" t="str">
        <f t="shared" si="63"/>
        <v/>
      </c>
      <c r="CM32" s="127" t="str">
        <f t="shared" si="64"/>
        <v/>
      </c>
      <c r="CN32" s="128" t="str">
        <f t="shared" si="65"/>
        <v/>
      </c>
      <c r="CO32" s="217" t="str">
        <f t="shared" si="66"/>
        <v/>
      </c>
      <c r="CP32" s="127" t="str">
        <f t="shared" si="67"/>
        <v/>
      </c>
      <c r="CQ32" s="127" t="str">
        <f t="shared" si="68"/>
        <v/>
      </c>
      <c r="CR32" s="127" t="str">
        <f t="shared" ref="CR32:CT32" si="185">if($X32,CO32*$BN32,"")</f>
        <v/>
      </c>
      <c r="CS32" s="127" t="str">
        <f t="shared" si="185"/>
        <v/>
      </c>
      <c r="CT32" s="127" t="str">
        <f t="shared" si="185"/>
        <v/>
      </c>
      <c r="CU32" s="211" t="str">
        <f t="shared" si="70"/>
        <v/>
      </c>
      <c r="CV32" s="212" t="str">
        <f t="shared" si="71"/>
        <v/>
      </c>
      <c r="CW32" s="213"/>
      <c r="CX32" s="212" t="str">
        <f t="shared" si="73"/>
        <v/>
      </c>
    </row>
    <row r="33">
      <c r="A33" s="110"/>
      <c r="B33" s="110"/>
      <c r="C33" s="110"/>
      <c r="D33" s="110"/>
      <c r="E33" s="110"/>
      <c r="F33" s="110"/>
      <c r="G33" s="110"/>
      <c r="H33" s="110"/>
      <c r="I33" s="110"/>
      <c r="J33" s="110"/>
      <c r="K33" s="110"/>
      <c r="L33" s="110"/>
      <c r="M33" s="110"/>
      <c r="N33" s="110"/>
      <c r="O33" s="110"/>
      <c r="P33" s="110"/>
      <c r="Q33" s="110"/>
      <c r="R33" s="110"/>
      <c r="S33" s="110"/>
      <c r="T33" s="110"/>
      <c r="U33" s="219"/>
      <c r="V33" s="110"/>
      <c r="W33" s="110"/>
      <c r="X33" s="110"/>
      <c r="Y33" s="110"/>
      <c r="Z33" s="110"/>
      <c r="AA33" s="110"/>
      <c r="AB33" s="110"/>
      <c r="AC33" s="110"/>
      <c r="AD33" s="110"/>
      <c r="AE33" s="110"/>
      <c r="AF33" s="110"/>
      <c r="AG33" s="110"/>
      <c r="AH33" s="110"/>
      <c r="AI33" s="110"/>
      <c r="AJ33" s="110"/>
      <c r="AK33" s="110"/>
      <c r="AL33" s="110"/>
      <c r="AM33" s="110"/>
      <c r="AN33" s="110"/>
      <c r="AO33" s="110"/>
      <c r="AP33" s="110"/>
      <c r="AQ33" s="110"/>
      <c r="AR33" s="110"/>
      <c r="AS33" s="110"/>
      <c r="AT33" s="110"/>
      <c r="AU33" s="110"/>
      <c r="AV33" s="110"/>
      <c r="AW33" s="110"/>
      <c r="AX33" s="110"/>
      <c r="AY33" s="110"/>
      <c r="AZ33" s="110"/>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0"/>
      <c r="CB33" s="110"/>
      <c r="CC33" s="110"/>
      <c r="CD33" s="110"/>
      <c r="CE33" s="110"/>
      <c r="CF33" s="110"/>
      <c r="CG33" s="110"/>
      <c r="CH33" s="110"/>
      <c r="CI33" s="110"/>
      <c r="CJ33" s="110"/>
      <c r="CK33" s="220"/>
      <c r="CL33" s="110"/>
      <c r="CM33" s="110"/>
      <c r="CN33" s="110"/>
      <c r="CO33" s="110"/>
      <c r="CP33" s="110"/>
      <c r="CQ33" s="110"/>
      <c r="CR33" s="110"/>
      <c r="CS33" s="110"/>
      <c r="CT33" s="110"/>
      <c r="CU33" s="110"/>
      <c r="CV33" s="221"/>
      <c r="CW33" s="213"/>
      <c r="CX33" s="110"/>
    </row>
    <row r="34">
      <c r="A34" s="168"/>
      <c r="B34" s="168"/>
      <c r="C34" s="168"/>
      <c r="D34" s="168"/>
      <c r="E34" s="168"/>
      <c r="F34" s="168"/>
      <c r="G34" s="168"/>
      <c r="H34" s="168"/>
      <c r="I34" s="168"/>
      <c r="J34" s="168"/>
      <c r="K34" s="168"/>
      <c r="L34" s="168"/>
      <c r="M34" s="168"/>
      <c r="N34" s="168"/>
      <c r="O34" s="168"/>
      <c r="P34" s="168"/>
      <c r="Q34" s="168"/>
      <c r="R34" s="168"/>
      <c r="S34" s="35" t="s">
        <v>59</v>
      </c>
      <c r="T34" s="149">
        <f>max($B43:$B62)</f>
        <v>240</v>
      </c>
      <c r="V34" s="168"/>
      <c r="W34" s="168"/>
      <c r="X34" s="168"/>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168"/>
      <c r="BF34" s="168"/>
      <c r="BG34" s="168"/>
      <c r="BH34" s="168"/>
      <c r="BI34" s="168"/>
      <c r="BJ34" s="168"/>
      <c r="BK34" s="168"/>
      <c r="BL34" s="168"/>
      <c r="BM34" s="168"/>
      <c r="BN34" s="168"/>
      <c r="BO34" s="168"/>
      <c r="BP34" s="168"/>
      <c r="BQ34" s="168"/>
      <c r="BR34" s="168"/>
      <c r="BS34" s="168"/>
      <c r="BT34" s="168"/>
      <c r="BU34" s="168"/>
      <c r="BV34" s="168"/>
      <c r="BW34" s="168"/>
      <c r="BX34" s="168"/>
      <c r="BY34" s="168"/>
      <c r="BZ34" s="168"/>
      <c r="CA34" s="168"/>
      <c r="CB34" s="168"/>
      <c r="CC34" s="168"/>
      <c r="CD34" s="168"/>
      <c r="CE34" s="168"/>
      <c r="CF34" s="168"/>
      <c r="CG34" s="168"/>
      <c r="CH34" s="168"/>
      <c r="CI34" s="168"/>
      <c r="CJ34" s="168"/>
      <c r="CK34" s="222"/>
      <c r="CL34" s="168"/>
      <c r="CM34" s="168"/>
      <c r="CN34" s="168"/>
      <c r="CO34" s="168"/>
      <c r="CP34" s="168"/>
      <c r="CQ34" s="168"/>
      <c r="CR34" s="168"/>
      <c r="CS34" s="168"/>
      <c r="CT34" s="168"/>
      <c r="CU34" s="168"/>
      <c r="CV34" s="223"/>
      <c r="CW34" s="213"/>
      <c r="CX34" s="168"/>
    </row>
    <row r="35">
      <c r="A35" s="168"/>
      <c r="B35" s="168"/>
      <c r="C35" s="168"/>
      <c r="D35" s="168"/>
      <c r="E35" s="168"/>
      <c r="F35" s="168"/>
      <c r="G35" s="168"/>
      <c r="H35" s="168"/>
      <c r="I35" s="168"/>
      <c r="J35" s="168"/>
      <c r="K35" s="168"/>
      <c r="L35" s="168"/>
      <c r="M35" s="168"/>
      <c r="N35" s="168"/>
      <c r="O35" s="168"/>
      <c r="P35" s="168"/>
      <c r="Q35" s="168"/>
      <c r="R35" s="168"/>
      <c r="S35" s="35" t="s">
        <v>33</v>
      </c>
      <c r="T35" s="6">
        <f>max($T44:$T61)</f>
        <v>109</v>
      </c>
      <c r="U35" s="6"/>
      <c r="V35" s="168"/>
      <c r="W35" s="168"/>
      <c r="X35" s="168"/>
      <c r="Y35" s="168"/>
      <c r="Z35" s="168"/>
      <c r="AA35" s="168"/>
      <c r="AB35" s="168"/>
      <c r="AC35" s="168"/>
      <c r="AD35" s="168"/>
      <c r="AE35" s="168"/>
      <c r="AF35" s="168"/>
      <c r="AG35" s="168"/>
      <c r="AH35" s="168"/>
      <c r="AI35" s="168"/>
      <c r="AJ35" s="168"/>
      <c r="AK35" s="168"/>
      <c r="AL35" s="168"/>
      <c r="AM35" s="168"/>
      <c r="AN35" s="168"/>
      <c r="AO35" s="168"/>
      <c r="AP35" s="168"/>
      <c r="AQ35" s="168"/>
      <c r="AR35" s="168"/>
      <c r="AS35" s="168"/>
      <c r="AT35" s="168"/>
      <c r="AU35" s="168"/>
      <c r="AV35" s="168"/>
      <c r="AW35" s="168"/>
      <c r="AX35" s="168"/>
      <c r="AY35" s="168"/>
      <c r="AZ35" s="168"/>
      <c r="BA35" s="168"/>
      <c r="BB35" s="168"/>
      <c r="BC35" s="168"/>
      <c r="BD35" s="168"/>
      <c r="BE35" s="168"/>
      <c r="BF35" s="168"/>
      <c r="BG35" s="168"/>
      <c r="BH35" s="168"/>
      <c r="BI35" s="168"/>
      <c r="BJ35" s="168"/>
      <c r="BK35" s="168"/>
      <c r="BL35" s="168"/>
      <c r="BM35" s="168"/>
      <c r="BN35" s="168"/>
      <c r="BO35" s="168"/>
      <c r="BP35" s="168"/>
      <c r="BQ35" s="168"/>
      <c r="BR35" s="168"/>
      <c r="BS35" s="168"/>
      <c r="BT35" s="168"/>
      <c r="BU35" s="168"/>
      <c r="BV35" s="168"/>
      <c r="BW35" s="168"/>
      <c r="BX35" s="168"/>
      <c r="BY35" s="168"/>
      <c r="BZ35" s="168"/>
      <c r="CA35" s="168"/>
      <c r="CB35" s="168"/>
      <c r="CC35" s="168"/>
      <c r="CD35" s="168"/>
      <c r="CE35" s="168"/>
      <c r="CF35" s="168"/>
      <c r="CG35" s="168"/>
      <c r="CH35" s="168"/>
      <c r="CI35" s="168"/>
      <c r="CJ35" s="168"/>
      <c r="CK35" s="222"/>
      <c r="CL35" s="168"/>
      <c r="CM35" s="168"/>
      <c r="CN35" s="168"/>
      <c r="CO35" s="168"/>
      <c r="CP35" s="168"/>
      <c r="CQ35" s="168"/>
      <c r="CR35" s="168"/>
      <c r="CS35" s="168"/>
      <c r="CT35" s="168"/>
      <c r="CU35" s="168"/>
      <c r="CV35" s="223"/>
      <c r="CW35" s="213"/>
      <c r="CX35" s="168"/>
    </row>
    <row r="36">
      <c r="A36" s="168"/>
      <c r="B36" s="168"/>
      <c r="C36" s="168"/>
      <c r="D36" s="168"/>
      <c r="E36" s="168"/>
      <c r="F36" s="168"/>
      <c r="G36" s="168"/>
      <c r="H36" s="168"/>
      <c r="I36" s="168"/>
      <c r="J36" s="168"/>
      <c r="K36" s="168"/>
      <c r="L36" s="168"/>
      <c r="M36" s="168"/>
      <c r="N36" s="168"/>
      <c r="O36" s="168"/>
      <c r="P36" s="168"/>
      <c r="Q36" s="168"/>
      <c r="R36" s="168"/>
      <c r="S36" s="35" t="s">
        <v>39</v>
      </c>
      <c r="T36" s="6">
        <f>max($D44:$D62)</f>
        <v>95</v>
      </c>
      <c r="U36" s="6"/>
      <c r="V36" s="168"/>
      <c r="W36" s="168"/>
      <c r="X36" s="168"/>
      <c r="Y36" s="168"/>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222"/>
      <c r="CL36" s="168"/>
      <c r="CM36" s="168"/>
      <c r="CN36" s="168"/>
      <c r="CO36" s="168"/>
      <c r="CP36" s="168"/>
      <c r="CQ36" s="168"/>
      <c r="CR36" s="168"/>
      <c r="CS36" s="168"/>
      <c r="CT36" s="168"/>
      <c r="CU36" s="168"/>
      <c r="CV36" s="223"/>
      <c r="CW36" s="213"/>
      <c r="CX36" s="168"/>
    </row>
    <row r="37">
      <c r="A37" s="168"/>
      <c r="B37" s="168"/>
      <c r="C37" s="168"/>
      <c r="D37" s="168"/>
      <c r="E37" s="168"/>
      <c r="F37" s="168"/>
      <c r="G37" s="168"/>
      <c r="H37" s="168"/>
      <c r="I37" s="168"/>
      <c r="J37" s="168"/>
      <c r="K37" s="168"/>
      <c r="L37" s="168"/>
      <c r="M37" s="168"/>
      <c r="N37" s="168"/>
      <c r="O37" s="168"/>
      <c r="P37" s="168"/>
      <c r="Q37" s="168"/>
      <c r="R37" s="168"/>
      <c r="S37" s="35" t="s">
        <v>44</v>
      </c>
      <c r="T37" s="6">
        <f>max($J44:$J62)</f>
        <v>32</v>
      </c>
      <c r="U37" s="6">
        <f>$AX$3/$AW$3</f>
        <v>0.44</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68"/>
      <c r="BF37" s="168"/>
      <c r="BG37" s="168"/>
      <c r="BH37" s="168"/>
      <c r="BI37" s="168"/>
      <c r="BJ37" s="168"/>
      <c r="BK37" s="168"/>
      <c r="BL37" s="168"/>
      <c r="BM37" s="168"/>
      <c r="BN37" s="168"/>
      <c r="BO37" s="168"/>
      <c r="BP37" s="168"/>
      <c r="BQ37" s="168"/>
      <c r="BR37" s="168"/>
      <c r="BS37" s="168"/>
      <c r="BT37" s="168"/>
      <c r="BU37" s="168"/>
      <c r="BV37" s="168"/>
      <c r="BW37" s="168"/>
      <c r="BX37" s="168"/>
      <c r="BY37" s="168"/>
      <c r="BZ37" s="168"/>
      <c r="CA37" s="168"/>
      <c r="CB37" s="168"/>
      <c r="CC37" s="168"/>
      <c r="CD37" s="168"/>
      <c r="CE37" s="168"/>
      <c r="CF37" s="168"/>
      <c r="CG37" s="168"/>
      <c r="CH37" s="168"/>
      <c r="CI37" s="168"/>
      <c r="CJ37" s="168"/>
      <c r="CK37" s="222"/>
      <c r="CL37" s="168"/>
      <c r="CM37" s="168"/>
      <c r="CN37" s="168"/>
      <c r="CO37" s="168"/>
      <c r="CP37" s="168"/>
      <c r="CQ37" s="168"/>
      <c r="CR37" s="168"/>
      <c r="CS37" s="168"/>
      <c r="CT37" s="168"/>
      <c r="CU37" s="168"/>
      <c r="CV37" s="223"/>
      <c r="CW37" s="213"/>
      <c r="CX37" s="168"/>
    </row>
    <row r="38">
      <c r="A38" s="168"/>
      <c r="B38" s="168"/>
      <c r="C38" s="168"/>
      <c r="D38" s="168"/>
      <c r="E38" s="168"/>
      <c r="F38" s="168"/>
      <c r="G38" s="168"/>
      <c r="H38" s="168"/>
      <c r="I38" s="168"/>
      <c r="J38" s="168"/>
      <c r="K38" s="168"/>
      <c r="L38" s="168"/>
      <c r="M38" s="168"/>
      <c r="N38" s="168"/>
      <c r="O38" s="168"/>
      <c r="P38" s="168"/>
      <c r="Q38" s="168"/>
      <c r="R38" s="168"/>
      <c r="S38" s="35" t="s">
        <v>53</v>
      </c>
      <c r="T38" s="36">
        <f>T35/(T36+T37*U37)</f>
        <v>0.9992665933</v>
      </c>
      <c r="U38" s="6"/>
      <c r="V38" s="168"/>
      <c r="W38" s="168"/>
      <c r="X38" s="168"/>
      <c r="Y38" s="168"/>
      <c r="Z38" s="168"/>
      <c r="AA38" s="168"/>
      <c r="AB38" s="168"/>
      <c r="AC38" s="168"/>
      <c r="AD38" s="168"/>
      <c r="AE38" s="168"/>
      <c r="AF38" s="168"/>
      <c r="AG38" s="168"/>
      <c r="AH38" s="168"/>
      <c r="AI38" s="168"/>
      <c r="AJ38" s="168"/>
      <c r="AK38" s="168"/>
      <c r="AL38" s="168"/>
      <c r="AM38" s="168"/>
      <c r="AN38" s="168"/>
      <c r="AO38" s="168"/>
      <c r="AP38" s="168"/>
      <c r="AQ38" s="168"/>
      <c r="AR38" s="168"/>
      <c r="AS38" s="168"/>
      <c r="AT38" s="168"/>
      <c r="AU38" s="168"/>
      <c r="AV38" s="168"/>
      <c r="AW38" s="168"/>
      <c r="AX38" s="168"/>
      <c r="AY38" s="168"/>
      <c r="AZ38" s="168"/>
      <c r="BA38" s="168"/>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222"/>
      <c r="CL38" s="168"/>
      <c r="CM38" s="168"/>
      <c r="CN38" s="168"/>
      <c r="CO38" s="168"/>
      <c r="CP38" s="168"/>
      <c r="CQ38" s="168"/>
      <c r="CR38" s="168"/>
      <c r="CS38" s="168"/>
      <c r="CT38" s="168"/>
      <c r="CU38" s="168"/>
      <c r="CV38" s="223"/>
      <c r="CW38" s="213"/>
      <c r="CX38" s="168"/>
    </row>
    <row r="39">
      <c r="A39" s="168"/>
      <c r="B39" s="168"/>
      <c r="C39" s="168"/>
      <c r="D39" s="168"/>
      <c r="E39" s="168"/>
      <c r="F39" s="168"/>
      <c r="G39" s="168"/>
      <c r="H39" s="168"/>
      <c r="I39" s="168"/>
      <c r="J39" s="168"/>
      <c r="K39" s="168"/>
      <c r="L39" s="168"/>
      <c r="M39" s="168"/>
      <c r="N39" s="168"/>
      <c r="O39" s="168"/>
      <c r="P39" s="168"/>
      <c r="Q39" s="168"/>
      <c r="R39" s="168"/>
      <c r="S39" s="35" t="s">
        <v>56</v>
      </c>
      <c r="T39" s="224">
        <v>1.0</v>
      </c>
      <c r="U39" s="6"/>
      <c r="V39" s="168"/>
      <c r="W39" s="168"/>
      <c r="X39" s="168"/>
      <c r="Y39" s="168"/>
      <c r="Z39" s="168"/>
      <c r="AA39" s="168"/>
      <c r="AB39" s="168"/>
      <c r="AC39" s="168"/>
      <c r="AD39" s="168"/>
      <c r="AE39" s="168"/>
      <c r="AF39" s="168"/>
      <c r="AG39" s="168"/>
      <c r="AH39" s="168"/>
      <c r="AI39" s="168"/>
      <c r="AJ39" s="168"/>
      <c r="AK39" s="168"/>
      <c r="AL39" s="168"/>
      <c r="AM39" s="168"/>
      <c r="AN39" s="168"/>
      <c r="AO39" s="168"/>
      <c r="AP39" s="168"/>
      <c r="AQ39" s="157"/>
      <c r="AR39" s="157"/>
      <c r="AS39" s="158" t="s">
        <v>381</v>
      </c>
      <c r="AT39" s="158" t="s">
        <v>382</v>
      </c>
      <c r="AU39" s="168"/>
      <c r="AV39" s="168"/>
      <c r="AW39" s="168"/>
      <c r="AX39" s="168"/>
      <c r="AY39" s="168"/>
      <c r="AZ39" s="168"/>
      <c r="BA39" s="168"/>
      <c r="BB39" s="168"/>
      <c r="BC39" s="168"/>
      <c r="BD39" s="168"/>
      <c r="BE39" s="168"/>
      <c r="BF39" s="168"/>
      <c r="BG39" s="168"/>
      <c r="BH39" s="168"/>
      <c r="BI39" s="168"/>
      <c r="BJ39" s="168"/>
      <c r="BK39" s="168"/>
      <c r="BL39" s="168"/>
      <c r="BM39" s="168"/>
      <c r="BN39" s="168"/>
      <c r="BO39" s="168"/>
      <c r="BP39" s="168"/>
      <c r="BQ39" s="168"/>
      <c r="BR39" s="168"/>
      <c r="BS39" s="168"/>
      <c r="BT39" s="168"/>
      <c r="BU39" s="168"/>
      <c r="BV39" s="168"/>
      <c r="BW39" s="168"/>
      <c r="BX39" s="168"/>
      <c r="BY39" s="168"/>
      <c r="BZ39" s="168"/>
      <c r="CA39" s="168"/>
      <c r="CB39" s="168"/>
      <c r="CC39" s="168"/>
      <c r="CD39" s="168"/>
      <c r="CE39" s="168"/>
      <c r="CF39" s="168"/>
      <c r="CG39" s="168"/>
      <c r="CH39" s="168"/>
      <c r="CI39" s="168"/>
      <c r="CJ39" s="168"/>
      <c r="CK39" s="222"/>
      <c r="CL39" s="168"/>
      <c r="CM39" s="168"/>
      <c r="CN39" s="168"/>
      <c r="CO39" s="168"/>
      <c r="CP39" s="168"/>
      <c r="CQ39" s="168"/>
      <c r="CR39" s="168"/>
      <c r="CS39" s="168"/>
      <c r="CT39" s="168"/>
      <c r="CU39" s="168"/>
      <c r="CV39" s="223"/>
      <c r="CW39" s="213"/>
      <c r="CX39" s="168"/>
    </row>
    <row r="40">
      <c r="A40" s="168"/>
      <c r="B40" s="168"/>
      <c r="C40" s="168"/>
      <c r="D40" s="168"/>
      <c r="E40" s="168"/>
      <c r="F40" s="168"/>
      <c r="G40" s="168"/>
      <c r="H40" s="168"/>
      <c r="I40" s="168"/>
      <c r="J40" s="168"/>
      <c r="K40" s="168"/>
      <c r="L40" s="168"/>
      <c r="M40" s="168"/>
      <c r="N40" s="168"/>
      <c r="O40" s="168"/>
      <c r="P40" s="168"/>
      <c r="Q40" s="168"/>
      <c r="R40" s="168"/>
      <c r="S40" s="168"/>
      <c r="T40" s="168"/>
      <c r="U40" s="225"/>
      <c r="AP40" s="1"/>
      <c r="AQ40" s="158" t="s">
        <v>383</v>
      </c>
      <c r="AR40" s="159">
        <f t="shared" ref="AR40:AT40" si="186">sumproduct($AO44:$AO61,AR44:AR61)</f>
        <v>6.491597049</v>
      </c>
      <c r="AS40" s="159">
        <f t="shared" si="186"/>
        <v>7.291490777</v>
      </c>
      <c r="AT40" s="159">
        <f t="shared" si="186"/>
        <v>-0.7998937284</v>
      </c>
      <c r="AU40" s="1"/>
      <c r="AV40" s="1"/>
      <c r="AW40" s="1"/>
      <c r="AX40" s="1"/>
      <c r="AY40" s="1"/>
      <c r="AZ40" s="1"/>
      <c r="BA40" s="1"/>
      <c r="BB40" s="1"/>
      <c r="BC40" s="1"/>
      <c r="BD40" s="1"/>
      <c r="BN40" s="70" t="s">
        <v>384</v>
      </c>
      <c r="BO40" s="69">
        <f>sum(BO44:BO61)</f>
        <v>53.09114358</v>
      </c>
      <c r="BU40" s="31"/>
      <c r="CI40" s="70" t="s">
        <v>384</v>
      </c>
      <c r="CJ40" s="69">
        <f>sum(CJ44:CJ61)</f>
        <v>33.45062811</v>
      </c>
      <c r="CK40" s="226"/>
      <c r="CL40" s="46"/>
      <c r="CM40" s="46"/>
      <c r="CN40" s="46"/>
      <c r="CO40" s="46"/>
      <c r="CP40" s="46"/>
      <c r="CV40" s="223"/>
      <c r="CW40" s="213"/>
      <c r="CX40" s="168"/>
    </row>
    <row r="41">
      <c r="A41" s="168"/>
      <c r="B41" s="168"/>
      <c r="C41" s="168"/>
      <c r="D41" s="168"/>
      <c r="E41" s="168"/>
      <c r="F41" s="168"/>
      <c r="G41" s="168"/>
      <c r="H41" s="168"/>
      <c r="I41" s="168"/>
      <c r="J41" s="168"/>
      <c r="K41" s="168"/>
      <c r="L41" s="168"/>
      <c r="M41" s="168"/>
      <c r="N41" s="168"/>
      <c r="O41" s="168"/>
      <c r="P41" s="168"/>
      <c r="Q41" s="168"/>
      <c r="R41" s="168"/>
      <c r="S41" s="168"/>
      <c r="T41" s="168"/>
      <c r="U41" s="225"/>
      <c r="V41" s="79"/>
      <c r="W41" s="79"/>
      <c r="X41" s="79"/>
      <c r="Y41" s="79"/>
      <c r="Z41" s="79"/>
      <c r="AA41" s="79"/>
      <c r="AB41" s="79"/>
      <c r="AC41" s="79"/>
      <c r="BN41" s="70" t="s">
        <v>385</v>
      </c>
      <c r="BO41" s="166">
        <f>(sum($O$9:$P$9)-$BO$40)/5</f>
        <v>-8.12499438</v>
      </c>
      <c r="CI41" s="70" t="s">
        <v>385</v>
      </c>
      <c r="CJ41" s="166">
        <f>($O$9-$CJ$40)/5</f>
        <v>-5.42809912</v>
      </c>
      <c r="CK41" s="226"/>
      <c r="CV41" s="223"/>
      <c r="CW41" s="213"/>
      <c r="CX41" s="168"/>
    </row>
    <row r="42">
      <c r="A42" s="170"/>
      <c r="B42" s="171" t="s">
        <v>387</v>
      </c>
      <c r="C42" s="172"/>
      <c r="D42" s="172"/>
      <c r="E42" s="172"/>
      <c r="F42" s="172"/>
      <c r="G42" s="172"/>
      <c r="H42" s="172"/>
      <c r="I42" s="172"/>
      <c r="J42" s="172"/>
      <c r="K42" s="172"/>
      <c r="L42" s="172"/>
      <c r="M42" s="172"/>
      <c r="N42" s="172"/>
      <c r="O42" s="172"/>
      <c r="P42" s="172"/>
      <c r="Q42" s="172"/>
      <c r="R42" s="172"/>
      <c r="S42" s="172"/>
      <c r="T42" s="172"/>
      <c r="U42" s="173"/>
      <c r="V42" s="174"/>
      <c r="W42" s="174"/>
      <c r="X42" s="174"/>
      <c r="Y42" s="174"/>
      <c r="Z42" s="174"/>
      <c r="AA42" s="174"/>
      <c r="AB42" s="174"/>
      <c r="AC42" s="175" t="s">
        <v>65</v>
      </c>
      <c r="AD42" s="176"/>
      <c r="AE42" s="176"/>
      <c r="AF42" s="176"/>
      <c r="AG42" s="176"/>
      <c r="AH42" s="176"/>
      <c r="AI42" s="176"/>
      <c r="AJ42" s="176"/>
      <c r="AK42" s="176"/>
      <c r="AL42" s="176"/>
      <c r="AM42" s="176"/>
      <c r="AN42" s="176"/>
      <c r="AO42" s="175" t="s">
        <v>66</v>
      </c>
      <c r="AP42" s="177"/>
      <c r="AQ42" s="177"/>
      <c r="AR42" s="178"/>
      <c r="AS42" s="178"/>
      <c r="AT42" s="178"/>
      <c r="AU42" s="178" t="s">
        <v>69</v>
      </c>
      <c r="AV42" s="179"/>
      <c r="AW42" s="179"/>
      <c r="AX42" s="179"/>
      <c r="AY42" s="179"/>
      <c r="AZ42" s="179"/>
      <c r="BA42" s="179"/>
      <c r="BB42" s="179"/>
      <c r="BC42" s="179"/>
      <c r="BD42" s="179"/>
      <c r="BE42" s="179"/>
      <c r="BF42" s="179"/>
      <c r="BG42" s="179"/>
      <c r="BH42" s="180" t="s">
        <v>70</v>
      </c>
      <c r="BI42" s="176"/>
      <c r="BJ42" s="176"/>
      <c r="BK42" s="176"/>
      <c r="BL42" s="176"/>
      <c r="BM42" s="176"/>
      <c r="BN42" s="176"/>
      <c r="BO42" s="176"/>
      <c r="BP42" s="178" t="s">
        <v>71</v>
      </c>
      <c r="BQ42" s="179"/>
      <c r="BR42" s="179"/>
      <c r="BS42" s="179"/>
      <c r="BT42" s="179"/>
      <c r="BU42" s="179"/>
      <c r="BV42" s="179"/>
      <c r="BW42" s="179"/>
      <c r="BX42" s="179"/>
      <c r="BY42" s="179"/>
      <c r="BZ42" s="179"/>
      <c r="CA42" s="179"/>
      <c r="CB42" s="179"/>
      <c r="CC42" s="180" t="s">
        <v>72</v>
      </c>
      <c r="CD42" s="176"/>
      <c r="CE42" s="176"/>
      <c r="CF42" s="176"/>
      <c r="CG42" s="176"/>
      <c r="CH42" s="176"/>
      <c r="CI42" s="176"/>
      <c r="CJ42" s="176"/>
      <c r="CK42" s="181" t="str">
        <f>H9</f>
        <v>#N/A</v>
      </c>
      <c r="CO42" s="182" t="s">
        <v>388</v>
      </c>
      <c r="CP42" s="177" t="str">
        <f>G9</f>
        <v>108.9</v>
      </c>
      <c r="CQ42" s="176"/>
      <c r="CR42" s="176"/>
      <c r="CS42" s="176"/>
      <c r="CT42" s="176"/>
      <c r="CU42" s="175" t="s">
        <v>389</v>
      </c>
      <c r="CV42" s="183">
        <f>T35</f>
        <v>109</v>
      </c>
      <c r="CW42" s="213"/>
    </row>
    <row r="43">
      <c r="A43" s="184" t="s">
        <v>390</v>
      </c>
      <c r="B43" s="185" t="s">
        <v>80</v>
      </c>
      <c r="C43" s="186" t="s">
        <v>81</v>
      </c>
      <c r="D43" s="186" t="s">
        <v>13</v>
      </c>
      <c r="E43" s="186" t="s">
        <v>82</v>
      </c>
      <c r="F43" s="186" t="s">
        <v>83</v>
      </c>
      <c r="G43" s="186" t="s">
        <v>84</v>
      </c>
      <c r="H43" s="186" t="s">
        <v>85</v>
      </c>
      <c r="I43" s="186" t="s">
        <v>90</v>
      </c>
      <c r="J43" s="186" t="s">
        <v>14</v>
      </c>
      <c r="K43" s="186" t="s">
        <v>91</v>
      </c>
      <c r="L43" s="186" t="s">
        <v>18</v>
      </c>
      <c r="M43" s="186" t="s">
        <v>19</v>
      </c>
      <c r="N43" s="186" t="s">
        <v>20</v>
      </c>
      <c r="O43" s="186" t="s">
        <v>16</v>
      </c>
      <c r="P43" s="186" t="s">
        <v>21</v>
      </c>
      <c r="Q43" s="186" t="s">
        <v>22</v>
      </c>
      <c r="R43" s="186" t="s">
        <v>92</v>
      </c>
      <c r="S43" s="186" t="s">
        <v>23</v>
      </c>
      <c r="T43" s="186" t="s">
        <v>93</v>
      </c>
      <c r="U43" s="185" t="s">
        <v>391</v>
      </c>
      <c r="V43" s="187" t="s">
        <v>392</v>
      </c>
      <c r="W43" s="188" t="s">
        <v>391</v>
      </c>
      <c r="X43" s="189" t="s">
        <v>393</v>
      </c>
      <c r="Y43" s="190" t="s">
        <v>94</v>
      </c>
      <c r="Z43" s="190" t="s">
        <v>95</v>
      </c>
      <c r="AA43" s="190" t="s">
        <v>96</v>
      </c>
      <c r="AB43" s="190" t="s">
        <v>97</v>
      </c>
      <c r="AC43" s="191" t="s">
        <v>99</v>
      </c>
      <c r="AD43" s="191" t="s">
        <v>13</v>
      </c>
      <c r="AE43" s="191" t="s">
        <v>14</v>
      </c>
      <c r="AF43" s="191" t="s">
        <v>100</v>
      </c>
      <c r="AG43" s="192" t="s">
        <v>16</v>
      </c>
      <c r="AH43" s="192" t="s">
        <v>17</v>
      </c>
      <c r="AI43" s="191" t="s">
        <v>18</v>
      </c>
      <c r="AJ43" s="191" t="s">
        <v>19</v>
      </c>
      <c r="AK43" s="191" t="s">
        <v>20</v>
      </c>
      <c r="AL43" s="191" t="s">
        <v>21</v>
      </c>
      <c r="AM43" s="191" t="s">
        <v>22</v>
      </c>
      <c r="AN43" s="191" t="s">
        <v>23</v>
      </c>
      <c r="AO43" s="193" t="s">
        <v>394</v>
      </c>
      <c r="AP43" s="104" t="s">
        <v>102</v>
      </c>
      <c r="AQ43" s="104" t="s">
        <v>68</v>
      </c>
      <c r="AR43" s="194" t="s">
        <v>395</v>
      </c>
      <c r="AS43" s="194" t="s">
        <v>396</v>
      </c>
      <c r="AT43" s="194" t="s">
        <v>397</v>
      </c>
      <c r="AU43" s="195" t="s">
        <v>119</v>
      </c>
      <c r="AV43" s="196" t="s">
        <v>12</v>
      </c>
      <c r="AW43" s="197" t="s">
        <v>13</v>
      </c>
      <c r="AX43" s="197" t="s">
        <v>14</v>
      </c>
      <c r="AY43" s="196" t="s">
        <v>100</v>
      </c>
      <c r="AZ43" s="196" t="s">
        <v>16</v>
      </c>
      <c r="BA43" s="196" t="s">
        <v>17</v>
      </c>
      <c r="BB43" s="196" t="s">
        <v>18</v>
      </c>
      <c r="BC43" s="196" t="s">
        <v>19</v>
      </c>
      <c r="BD43" s="198" t="s">
        <v>20</v>
      </c>
      <c r="BE43" s="196" t="s">
        <v>21</v>
      </c>
      <c r="BF43" s="196" t="s">
        <v>22</v>
      </c>
      <c r="BG43" s="199" t="s">
        <v>23</v>
      </c>
      <c r="BH43" s="104" t="s">
        <v>120</v>
      </c>
      <c r="BI43" s="104" t="s">
        <v>121</v>
      </c>
      <c r="BJ43" s="104" t="s">
        <v>122</v>
      </c>
      <c r="BK43" s="104" t="s">
        <v>123</v>
      </c>
      <c r="BL43" s="104" t="s">
        <v>124</v>
      </c>
      <c r="BM43" s="104" t="s">
        <v>125</v>
      </c>
      <c r="BN43" s="104" t="s">
        <v>126</v>
      </c>
      <c r="BO43" s="104" t="s">
        <v>127</v>
      </c>
      <c r="BP43" s="195" t="s">
        <v>119</v>
      </c>
      <c r="BQ43" s="196" t="s">
        <v>12</v>
      </c>
      <c r="BR43" s="197" t="s">
        <v>13</v>
      </c>
      <c r="BS43" s="197" t="s">
        <v>14</v>
      </c>
      <c r="BT43" s="196" t="s">
        <v>100</v>
      </c>
      <c r="BU43" s="196" t="s">
        <v>16</v>
      </c>
      <c r="BV43" s="196" t="s">
        <v>17</v>
      </c>
      <c r="BW43" s="196" t="s">
        <v>18</v>
      </c>
      <c r="BX43" s="196" t="s">
        <v>19</v>
      </c>
      <c r="BY43" s="198" t="s">
        <v>20</v>
      </c>
      <c r="BZ43" s="196" t="s">
        <v>21</v>
      </c>
      <c r="CA43" s="196" t="s">
        <v>22</v>
      </c>
      <c r="CB43" s="199" t="s">
        <v>23</v>
      </c>
      <c r="CC43" s="104" t="s">
        <v>120</v>
      </c>
      <c r="CD43" s="104" t="s">
        <v>121</v>
      </c>
      <c r="CE43" s="104" t="s">
        <v>122</v>
      </c>
      <c r="CF43" s="104" t="s">
        <v>123</v>
      </c>
      <c r="CG43" s="104" t="s">
        <v>124</v>
      </c>
      <c r="CH43" s="104" t="s">
        <v>128</v>
      </c>
      <c r="CI43" s="104" t="s">
        <v>126</v>
      </c>
      <c r="CJ43" s="104" t="s">
        <v>127</v>
      </c>
      <c r="CK43" s="104" t="s">
        <v>119</v>
      </c>
      <c r="CL43" s="103" t="s">
        <v>129</v>
      </c>
      <c r="CM43" s="103" t="s">
        <v>130</v>
      </c>
      <c r="CN43" s="103" t="s">
        <v>131</v>
      </c>
      <c r="CO43" s="104" t="s">
        <v>133</v>
      </c>
      <c r="CP43" s="104" t="s">
        <v>134</v>
      </c>
      <c r="CQ43" s="104" t="s">
        <v>135</v>
      </c>
      <c r="CR43" s="104" t="s">
        <v>127</v>
      </c>
      <c r="CS43" s="104" t="s">
        <v>398</v>
      </c>
      <c r="CT43" s="104" t="s">
        <v>399</v>
      </c>
      <c r="CU43" s="106" t="s">
        <v>136</v>
      </c>
      <c r="CV43" s="93" t="s">
        <v>400</v>
      </c>
      <c r="CX43" s="201" t="s">
        <v>402</v>
      </c>
    </row>
    <row r="44">
      <c r="A44" s="202" t="s">
        <v>144</v>
      </c>
      <c r="B44" s="203">
        <v>1.8284722222222223</v>
      </c>
      <c r="C44" s="204">
        <v>11.0</v>
      </c>
      <c r="D44" s="204">
        <v>27.0</v>
      </c>
      <c r="E44" s="204">
        <v>0.407</v>
      </c>
      <c r="F44" s="204">
        <v>2.0</v>
      </c>
      <c r="G44" s="204">
        <v>5.0</v>
      </c>
      <c r="H44" s="204">
        <v>0.4</v>
      </c>
      <c r="I44" s="204">
        <v>1.0</v>
      </c>
      <c r="J44" s="204">
        <v>1.0</v>
      </c>
      <c r="K44" s="204">
        <v>1.0</v>
      </c>
      <c r="L44" s="204">
        <v>3.0</v>
      </c>
      <c r="M44" s="204">
        <v>3.0</v>
      </c>
      <c r="N44" s="204">
        <v>6.0</v>
      </c>
      <c r="O44" s="204">
        <v>10.0</v>
      </c>
      <c r="P44" s="204">
        <v>7.0</v>
      </c>
      <c r="Q44" s="204">
        <v>0.0</v>
      </c>
      <c r="R44" s="204">
        <v>2.0</v>
      </c>
      <c r="S44" s="204">
        <v>0.0</v>
      </c>
      <c r="T44" s="204">
        <v>25.0</v>
      </c>
      <c r="U44" s="203" t="s">
        <v>408</v>
      </c>
      <c r="V44" s="205">
        <f t="shared" ref="V44:V61" si="194">if(X44,B44*24,"")</f>
        <v>43.88333333</v>
      </c>
      <c r="W44" s="206">
        <f t="shared" ref="W44:W61" si="195">if(X44,value(if(iserror(search("+",U44)),U44,right(U44,len(U44)-1))),"")</f>
        <v>5</v>
      </c>
      <c r="X44" s="207" t="b">
        <f t="shared" ref="X44:X61" si="196">if(and(B44&gt;0,B44&lt;3),TRUE,FALSE)</f>
        <v>1</v>
      </c>
      <c r="Y44" s="208">
        <f t="shared" ref="Y44:Y61" si="197">if(X44,D44+$U$8*J44,"")</f>
        <v>27.44</v>
      </c>
      <c r="Z44" s="209">
        <f t="shared" ref="Z44:Z61" si="198">if(X44,if(Y44=0,0,T44/Y44),"")</f>
        <v>0.9110787172</v>
      </c>
      <c r="AA44" s="209">
        <f t="shared" ref="AA44:AA61" si="199">if(X44,T44+($T$10-$T$38)*Y44,"")</f>
        <v>25.02012468</v>
      </c>
      <c r="AB44" s="208">
        <f t="shared" ref="AB44:AB61" si="200">if(X44,V44*$B$8/48,"")</f>
        <v>91.51503472</v>
      </c>
      <c r="AC44" s="113">
        <f t="shared" ref="AC44:AC61" si="201">if($X44,AA44/AB44*100,"")</f>
        <v>27.33990623</v>
      </c>
      <c r="AD44" s="113">
        <f t="shared" ref="AD44:AD61" si="202">if($X44,D44/$AB44*100,"")</f>
        <v>29.50334891</v>
      </c>
      <c r="AE44" s="113">
        <f t="shared" ref="AE44:AE61" si="203">if($X44,J44/$AB44*100,"")</f>
        <v>1.092716626</v>
      </c>
      <c r="AF44" s="113">
        <f t="shared" ref="AF44:AF61" si="204">if($X44,F44/$AB44*100,"")</f>
        <v>2.185433253</v>
      </c>
      <c r="AG44" s="113">
        <f t="shared" ref="AG44:AG61" si="205">if($X44,O44/$AB44*100,"")</f>
        <v>10.92716626</v>
      </c>
      <c r="AH44" s="113">
        <f t="shared" ref="AH44:AH61" si="206">if($X44,R44/$AB44*100,"")</f>
        <v>2.185433253</v>
      </c>
      <c r="AI44" s="113">
        <f t="shared" ref="AI44:AK44" si="187">if($X44,L44/$AB44*100,"")</f>
        <v>3.278149879</v>
      </c>
      <c r="AJ44" s="113">
        <f t="shared" si="187"/>
        <v>3.278149879</v>
      </c>
      <c r="AK44" s="113">
        <f t="shared" si="187"/>
        <v>6.556299758</v>
      </c>
      <c r="AL44" s="113">
        <f t="shared" ref="AL44:AM44" si="188">if($X44,P44/$AB44*100,"")</f>
        <v>7.649016384</v>
      </c>
      <c r="AM44" s="113">
        <f t="shared" si="188"/>
        <v>0</v>
      </c>
      <c r="AN44" s="113">
        <f t="shared" ref="AN44:AN61" si="209">if($X44,S44/$AB44*100,"")</f>
        <v>0</v>
      </c>
      <c r="AO44" s="114">
        <f t="shared" ref="AO44:AO61" si="210">if(X44,V44/($T$5/5),"")</f>
        <v>0.9142361111</v>
      </c>
      <c r="AP44" s="118">
        <f t="array" ref="AP44">if($X44,index('BPM 2.0 Season CLE 2017'!$BM$14:$BM$31,match($A44,'BPM 2.0 Season CLE 2017'!$B$14:$B$31,false)),"")</f>
        <v>1.364072421</v>
      </c>
      <c r="AQ44" s="118">
        <f t="array" ref="AQ44">if($X44,index('BPM 2.0 Season CLE 2017'!$BY$14:$BY$31,match($A44,'BPM 2.0 Season CLE 2017'!$B$14:$B$31,false)),"")</f>
        <v>1</v>
      </c>
      <c r="AR44" s="210">
        <f t="array" ref="AR44">if($X44,index('BPM 2.0 Season CLE 2017'!$EC$14:$EC$36,(match(AU44,'BPM 2.0 Season CLE 2017'!$CU$14:$CU$36,false))),"")</f>
        <v>3.643493752</v>
      </c>
      <c r="AS44" s="210">
        <f t="array" ref="AS44">if($X44,index('BPM 2.0 Season CLE 2017'!$ED$14:$ED$36,(match(AU44,'BPM 2.0 Season CLE 2017'!$CU$14:$CU$36,false))),"")</f>
        <v>4.824183959</v>
      </c>
      <c r="AT44" s="210">
        <f t="shared" ref="AT44:AT61" si="211">if($X44,AR44-AS44,"")</f>
        <v>-1.180690207</v>
      </c>
      <c r="AU44" s="61" t="str">
        <f t="shared" ref="AU44:AU61" si="212">A44</f>
        <v>Kyrie Irving</v>
      </c>
      <c r="AV44" s="121">
        <f t="shared" ref="AV44:AV61" si="213">if($X44,(5-$AP44)/4*AV$3+($AP44-1)/4*AV$4,"")</f>
        <v>0.86</v>
      </c>
      <c r="AW44" s="122">
        <f t="shared" ref="AW44:AX44" si="189">if($X44,(5-$AQ44)/4*AW$3+($AQ44-1)/4*AW$4,"")</f>
        <v>-0.56</v>
      </c>
      <c r="AX44" s="122">
        <f t="shared" si="189"/>
        <v>-0.2464</v>
      </c>
      <c r="AY44" s="121">
        <f t="shared" ref="AY44:BG44" si="190">if($X44,(5-$AP44)/4*AY$3+($AP44-1)/4*AY$4,"")</f>
        <v>0.389</v>
      </c>
      <c r="AZ44" s="121">
        <f t="shared" si="190"/>
        <v>0.6213222198</v>
      </c>
      <c r="BA44" s="121">
        <f t="shared" si="190"/>
        <v>-0.964</v>
      </c>
      <c r="BB44" s="121">
        <f t="shared" si="190"/>
        <v>0.5736801786</v>
      </c>
      <c r="BC44" s="121">
        <f t="shared" si="190"/>
        <v>0.1219161768</v>
      </c>
      <c r="BD44" s="121">
        <f t="shared" si="190"/>
        <v>0</v>
      </c>
      <c r="BE44" s="121">
        <f t="shared" si="190"/>
        <v>1.336142464</v>
      </c>
      <c r="BF44" s="121">
        <f t="shared" si="190"/>
        <v>1.270204702</v>
      </c>
      <c r="BG44" s="121">
        <f t="shared" si="190"/>
        <v>-0.367</v>
      </c>
      <c r="BH44" s="118">
        <f t="shared" ref="BH44:BH61" si="216">sumproduct(AV44:AY44,AC44:AF44)</f>
        <v>7.571332126</v>
      </c>
      <c r="BI44" s="118">
        <f t="shared" ref="BI44:BI61" si="217">sumproduct(AZ44:BA44,AG44:AH44)</f>
        <v>4.682533543</v>
      </c>
      <c r="BJ44" s="118">
        <f t="shared" ref="BJ44:BJ61" si="218">sumproduct(BB44:BD44,AI44:AK44)</f>
        <v>2.280269108</v>
      </c>
      <c r="BK44" s="118">
        <f t="shared" ref="BK44:BK61" si="219">SUMPRODUCT(BE44:BG44,AL44:AN44)</f>
        <v>10.2201756</v>
      </c>
      <c r="BL44" s="118">
        <f t="shared" ref="BL44:BL61" si="220">if(AP44&lt;3,(AP44-1)/2*$BK$4+(3-AP44)/2*$BJ$4,(AP44-3)/2*$BL$4+(5-AP44)/2*$BK$4)+$BM$4*(AQ44-3)</f>
        <v>-3.44309438</v>
      </c>
      <c r="BM44" s="124">
        <f t="shared" ref="BM44:BM61" si="221">sum(BH44:BL44)</f>
        <v>21.311216</v>
      </c>
      <c r="BN44" s="114">
        <f t="shared" ref="BN44:BN61" si="222">AO44</f>
        <v>0.9142361111</v>
      </c>
      <c r="BO44" s="118">
        <f t="shared" ref="BO44:BO61" si="223">BN44*BM44</f>
        <v>19.48348324</v>
      </c>
      <c r="BP44" s="125" t="str">
        <f t="shared" ref="BP44:BP61" si="224">AU44</f>
        <v>Kyrie Irving</v>
      </c>
      <c r="BQ44" s="121">
        <f t="shared" ref="BQ44:BQ61" si="225">if($X44,(5-$AP44)/4*AV$7+($AP44-1)/4*AV$8,"")</f>
        <v>0.605</v>
      </c>
      <c r="BR44" s="122">
        <f t="shared" ref="BR44:BS44" si="191">if($X44,(5-$AQ44)/4*AW$7+($AQ44-1)/4*AW$8,"")</f>
        <v>-0.33</v>
      </c>
      <c r="BS44" s="122">
        <f t="shared" si="191"/>
        <v>-0.1452</v>
      </c>
      <c r="BT44" s="121">
        <f t="shared" ref="BT44:CB44" si="192">if($X44,(5-$AP44)/4*AY$7+($AP44-1)/4*AY$8,"")</f>
        <v>0.477</v>
      </c>
      <c r="BU44" s="121">
        <f t="shared" si="192"/>
        <v>0.476</v>
      </c>
      <c r="BV44" s="121">
        <f t="shared" si="192"/>
        <v>-0.6065784859</v>
      </c>
      <c r="BW44" s="121">
        <f t="shared" si="192"/>
        <v>0.5892526686</v>
      </c>
      <c r="BX44" s="121">
        <f t="shared" si="192"/>
        <v>-0.09243110738</v>
      </c>
      <c r="BY44" s="121">
        <f t="shared" si="192"/>
        <v>0</v>
      </c>
      <c r="BZ44" s="121">
        <f t="shared" si="192"/>
        <v>0.1876491183</v>
      </c>
      <c r="CA44" s="121">
        <f t="shared" si="192"/>
        <v>0.6678406299</v>
      </c>
      <c r="CB44" s="121">
        <f t="shared" si="192"/>
        <v>-0.439</v>
      </c>
      <c r="CC44" s="118">
        <f t="shared" ref="CC44:CC61" si="228">sumproduct(BQ44:BT44,AC44:AF44)</f>
        <v>7.688327336</v>
      </c>
      <c r="CD44" s="118">
        <f t="shared" ref="CD44:CD61" si="229">sumproduct(BU44:BV44,AG44:AH44)</f>
        <v>3.875694348</v>
      </c>
      <c r="CE44" s="118">
        <f t="shared" ref="CE44:CE61" si="230">sumproduct(BW44:BY44,AI44:AK44)</f>
        <v>1.628655541</v>
      </c>
      <c r="CF44" s="118">
        <f t="shared" ref="CF44:CF61" si="231">SUMPRODUCT(BZ44:CB44,AL44:AN44)</f>
        <v>1.43533118</v>
      </c>
      <c r="CG44" s="118">
        <f t="shared" ref="CG44:CG61" si="232">if(AP44&lt;3,(AP44-1)/2*$BK$8+(3-AP44)/2*$BJ$8,(AP44-3)/2*$BL$8+(5-AP44)/2*$BK$8)+$BM$8*(AQ44-3)</f>
        <v>-2.248902515</v>
      </c>
      <c r="CH44" s="124">
        <f t="shared" ref="CH44:CH61" si="233">sum(CC44:CG44)</f>
        <v>12.37910589</v>
      </c>
      <c r="CI44" s="114">
        <f t="shared" ref="CI44:CI61" si="234">BN44</f>
        <v>0.9142361111</v>
      </c>
      <c r="CJ44" s="118">
        <f t="shared" ref="CJ44:CJ61" si="235">CI44*CH44</f>
        <v>11.31742563</v>
      </c>
      <c r="CK44" s="126" t="str">
        <f t="shared" ref="CK44:CK61" si="236">if($X44,A44,"")</f>
        <v>Kyrie Irving</v>
      </c>
      <c r="CL44" s="127">
        <f t="shared" ref="CL44:CL61" si="237">if(X44,AP44,"")</f>
        <v>1.364072421</v>
      </c>
      <c r="CM44" s="127">
        <f t="shared" ref="CM44:CM61" si="238">if($X44,AQ44,"")</f>
        <v>1</v>
      </c>
      <c r="CN44" s="128">
        <f t="shared" ref="CN44:CN61" si="239">if($X44,V44,"")</f>
        <v>43.88333333</v>
      </c>
      <c r="CO44" s="127">
        <f t="shared" ref="CO44:CO61" si="240">if(X44,BM44+$BO$41,"")</f>
        <v>13.18622162</v>
      </c>
      <c r="CP44" s="127">
        <f t="shared" ref="CP44:CP61" si="241">if(X44,CH44+$CJ$41,"")</f>
        <v>6.95100677</v>
      </c>
      <c r="CQ44" s="127">
        <f t="shared" ref="CQ44:CQ61" si="242">if($X44,CO44-CP44,"")</f>
        <v>6.235214846</v>
      </c>
      <c r="CR44" s="127">
        <f t="shared" ref="CR44:CT44" si="193">if($X44,CO44*$BN44,"")</f>
        <v>12.05531997</v>
      </c>
      <c r="CS44" s="127">
        <f t="shared" si="193"/>
        <v>6.354861398</v>
      </c>
      <c r="CT44" s="127">
        <f t="shared" si="193"/>
        <v>5.700458573</v>
      </c>
      <c r="CU44" s="211">
        <f t="shared" ref="CU44:CU61" si="244">if($X44,(CO44+2)*BN44/82,"")</f>
        <v>0.1693145389</v>
      </c>
      <c r="CV44" s="212">
        <f t="shared" ref="CV44:CV61" si="245">if($X44,(CO44-$M$9/5-average($K$8:$K$9)/5)*$BN44*$B$8/100*($T$5/5/48),"")</f>
        <v>9.877206057</v>
      </c>
      <c r="CW44" s="213" t="str">
        <f t="shared" ref="CW44:CW61" si="246">concatenate($I$3," ",$A$9," vs. ",$A$8,", ",right($CK$11,len($CK$11)-search(",",$CK$11)))</f>
        <v>#N/A</v>
      </c>
      <c r="CX44" s="212">
        <f t="shared" ref="CX44:CX61" si="247">if($X44,W44/10,"")</f>
        <v>0.5</v>
      </c>
    </row>
    <row r="45">
      <c r="A45" s="202" t="s">
        <v>143</v>
      </c>
      <c r="B45" s="203">
        <v>1.6743055555555555</v>
      </c>
      <c r="C45" s="204">
        <v>12.0</v>
      </c>
      <c r="D45" s="204">
        <v>22.0</v>
      </c>
      <c r="E45" s="204">
        <v>0.545</v>
      </c>
      <c r="F45" s="204">
        <v>4.0</v>
      </c>
      <c r="G45" s="204">
        <v>8.0</v>
      </c>
      <c r="H45" s="204">
        <v>0.5</v>
      </c>
      <c r="I45" s="204">
        <v>3.0</v>
      </c>
      <c r="J45" s="204">
        <v>7.0</v>
      </c>
      <c r="K45" s="204">
        <v>0.429</v>
      </c>
      <c r="L45" s="204">
        <v>5.0</v>
      </c>
      <c r="M45" s="204">
        <v>8.0</v>
      </c>
      <c r="N45" s="204">
        <v>13.0</v>
      </c>
      <c r="O45" s="204">
        <v>4.0</v>
      </c>
      <c r="P45" s="204">
        <v>2.0</v>
      </c>
      <c r="Q45" s="204">
        <v>1.0</v>
      </c>
      <c r="R45" s="204">
        <v>5.0</v>
      </c>
      <c r="S45" s="204">
        <v>2.0</v>
      </c>
      <c r="T45" s="204">
        <v>31.0</v>
      </c>
      <c r="U45" s="203" t="s">
        <v>409</v>
      </c>
      <c r="V45" s="205">
        <f t="shared" si="194"/>
        <v>40.18333333</v>
      </c>
      <c r="W45" s="206">
        <f t="shared" si="195"/>
        <v>4</v>
      </c>
      <c r="X45" s="207" t="b">
        <f t="shared" si="196"/>
        <v>1</v>
      </c>
      <c r="Y45" s="208">
        <f t="shared" si="197"/>
        <v>25.08</v>
      </c>
      <c r="Z45" s="209">
        <f t="shared" si="198"/>
        <v>1.236044657</v>
      </c>
      <c r="AA45" s="209">
        <f t="shared" si="199"/>
        <v>31.01839384</v>
      </c>
      <c r="AB45" s="208">
        <f t="shared" si="200"/>
        <v>83.79899306</v>
      </c>
      <c r="AC45" s="113">
        <f t="shared" si="201"/>
        <v>37.01523456</v>
      </c>
      <c r="AD45" s="113">
        <f t="shared" si="202"/>
        <v>26.25329875</v>
      </c>
      <c r="AE45" s="113">
        <f t="shared" si="203"/>
        <v>8.353322331</v>
      </c>
      <c r="AF45" s="113">
        <f t="shared" si="204"/>
        <v>4.773327046</v>
      </c>
      <c r="AG45" s="113">
        <f t="shared" si="205"/>
        <v>4.773327046</v>
      </c>
      <c r="AH45" s="113">
        <f t="shared" si="206"/>
        <v>5.966658808</v>
      </c>
      <c r="AI45" s="113">
        <f t="shared" ref="AI45:AK45" si="207">if($X45,L45/$AB45*100,"")</f>
        <v>5.966658808</v>
      </c>
      <c r="AJ45" s="113">
        <f t="shared" si="207"/>
        <v>9.546654092</v>
      </c>
      <c r="AK45" s="113">
        <f t="shared" si="207"/>
        <v>15.5133129</v>
      </c>
      <c r="AL45" s="113">
        <f t="shared" ref="AL45:AM45" si="208">if($X45,P45/$AB45*100,"")</f>
        <v>2.386663523</v>
      </c>
      <c r="AM45" s="113">
        <f t="shared" si="208"/>
        <v>1.193331762</v>
      </c>
      <c r="AN45" s="113">
        <f t="shared" si="209"/>
        <v>2.386663523</v>
      </c>
      <c r="AO45" s="114">
        <f t="shared" si="210"/>
        <v>0.8371527778</v>
      </c>
      <c r="AP45" s="118">
        <f t="array" ref="AP45">if($X45,index('BPM 2.0 Season CLE 2017'!$BM$14:$BM$31,match($A45,'BPM 2.0 Season CLE 2017'!$B$14:$B$31,false)),"")</f>
        <v>2.297178256</v>
      </c>
      <c r="AQ45" s="118">
        <f t="array" ref="AQ45">if($X45,index('BPM 2.0 Season CLE 2017'!$BY$14:$BY$31,match($A45,'BPM 2.0 Season CLE 2017'!$B$14:$B$31,false)),"")</f>
        <v>1</v>
      </c>
      <c r="AR45" s="214">
        <f t="array" ref="AR45">if($X45,index('BPM 2.0 Season CLE 2017'!$EC$14:$EC$36,(match(AU45,'BPM 2.0 Season CLE 2017'!$CU$14:$CU$36,false))),"")</f>
        <v>7.587560846</v>
      </c>
      <c r="AS45" s="214">
        <f t="array" ref="AS45">if($X45,index('BPM 2.0 Season CLE 2017'!$ED$14:$ED$36,(match(AU45,'BPM 2.0 Season CLE 2017'!$CU$14:$CU$36,false))),"")</f>
        <v>6.331534003</v>
      </c>
      <c r="AT45" s="214">
        <f t="shared" si="211"/>
        <v>1.256026843</v>
      </c>
      <c r="AU45" s="61" t="str">
        <f t="shared" si="212"/>
        <v>LeBron James</v>
      </c>
      <c r="AV45" s="121">
        <f t="shared" si="213"/>
        <v>0.86</v>
      </c>
      <c r="AW45" s="122">
        <f t="shared" ref="AW45:AX45" si="214">if($X45,(5-$AQ45)/4*AW$3+($AQ45-1)/4*AW$4,"")</f>
        <v>-0.56</v>
      </c>
      <c r="AX45" s="122">
        <f t="shared" si="214"/>
        <v>-0.2464</v>
      </c>
      <c r="AY45" s="121">
        <f t="shared" ref="AY45:BG45" si="215">if($X45,(5-$AP45)/4*AY$3+($AP45-1)/4*AY$4,"")</f>
        <v>0.389</v>
      </c>
      <c r="AZ45" s="121">
        <f t="shared" si="215"/>
        <v>0.7272297321</v>
      </c>
      <c r="BA45" s="121">
        <f t="shared" si="215"/>
        <v>-0.964</v>
      </c>
      <c r="BB45" s="121">
        <f t="shared" si="215"/>
        <v>0.4729047483</v>
      </c>
      <c r="BC45" s="121">
        <f t="shared" si="215"/>
        <v>0.1370791467</v>
      </c>
      <c r="BD45" s="121">
        <f t="shared" si="215"/>
        <v>0</v>
      </c>
      <c r="BE45" s="121">
        <f t="shared" si="215"/>
        <v>1.251929662</v>
      </c>
      <c r="BF45" s="121">
        <f t="shared" si="215"/>
        <v>1.124640192</v>
      </c>
      <c r="BG45" s="121">
        <f t="shared" si="215"/>
        <v>-0.367</v>
      </c>
      <c r="BH45" s="118">
        <f t="shared" si="216"/>
        <v>16.92982002</v>
      </c>
      <c r="BI45" s="118">
        <f t="shared" si="217"/>
        <v>-2.280553742</v>
      </c>
      <c r="BJ45" s="118">
        <f t="shared" si="218"/>
        <v>4.130308478</v>
      </c>
      <c r="BK45" s="118">
        <f t="shared" si="219"/>
        <v>3.454098207</v>
      </c>
      <c r="BL45" s="118">
        <f t="shared" si="220"/>
        <v>-3.061454093</v>
      </c>
      <c r="BM45" s="124">
        <f t="shared" si="221"/>
        <v>19.17221887</v>
      </c>
      <c r="BN45" s="114">
        <f t="shared" si="222"/>
        <v>0.8371527778</v>
      </c>
      <c r="BO45" s="118">
        <f t="shared" si="223"/>
        <v>16.05007628</v>
      </c>
      <c r="BP45" s="125" t="str">
        <f t="shared" si="224"/>
        <v>LeBron James</v>
      </c>
      <c r="BQ45" s="121">
        <f t="shared" si="225"/>
        <v>0.605</v>
      </c>
      <c r="BR45" s="122">
        <f t="shared" ref="BR45:BS45" si="226">if($X45,(5-$AQ45)/4*AW$7+($AQ45-1)/4*AW$8,"")</f>
        <v>-0.33</v>
      </c>
      <c r="BS45" s="122">
        <f t="shared" si="226"/>
        <v>-0.1452</v>
      </c>
      <c r="BT45" s="121">
        <f t="shared" ref="BT45:CB45" si="227">if($X45,(5-$AP45)/4*AY$7+($AP45-1)/4*AY$8,"")</f>
        <v>0.477</v>
      </c>
      <c r="BU45" s="121">
        <f t="shared" si="227"/>
        <v>0.476</v>
      </c>
      <c r="BV45" s="121">
        <f t="shared" si="227"/>
        <v>-0.6772612529</v>
      </c>
      <c r="BW45" s="121">
        <f t="shared" si="227"/>
        <v>0.5463298002</v>
      </c>
      <c r="BX45" s="121">
        <f t="shared" si="227"/>
        <v>-0.04227666872</v>
      </c>
      <c r="BY45" s="121">
        <f t="shared" si="227"/>
        <v>0</v>
      </c>
      <c r="BZ45" s="121">
        <f t="shared" si="227"/>
        <v>0.214942464</v>
      </c>
      <c r="CA45" s="121">
        <f t="shared" si="227"/>
        <v>0.5213430138</v>
      </c>
      <c r="CB45" s="121">
        <f t="shared" si="227"/>
        <v>-0.439</v>
      </c>
      <c r="CC45" s="118">
        <f t="shared" si="228"/>
        <v>14.79460292</v>
      </c>
      <c r="CD45" s="118">
        <f t="shared" si="229"/>
        <v>-1.768883146</v>
      </c>
      <c r="CE45" s="118">
        <f t="shared" si="230"/>
        <v>2.856162782</v>
      </c>
      <c r="CF45" s="118">
        <f t="shared" si="231"/>
        <v>0.08738522873</v>
      </c>
      <c r="CG45" s="118">
        <f t="shared" si="232"/>
        <v>-1.45669566</v>
      </c>
      <c r="CH45" s="124">
        <f t="shared" si="233"/>
        <v>14.51257212</v>
      </c>
      <c r="CI45" s="114">
        <f t="shared" si="234"/>
        <v>0.8371527778</v>
      </c>
      <c r="CJ45" s="118">
        <f t="shared" si="235"/>
        <v>12.14924007</v>
      </c>
      <c r="CK45" s="126" t="str">
        <f t="shared" si="236"/>
        <v>LeBron James</v>
      </c>
      <c r="CL45" s="127">
        <f t="shared" si="237"/>
        <v>2.297178256</v>
      </c>
      <c r="CM45" s="127">
        <f t="shared" si="238"/>
        <v>1</v>
      </c>
      <c r="CN45" s="128">
        <f t="shared" si="239"/>
        <v>40.18333333</v>
      </c>
      <c r="CO45" s="127">
        <f t="shared" si="240"/>
        <v>11.04722449</v>
      </c>
      <c r="CP45" s="127">
        <f t="shared" si="241"/>
        <v>9.084473004</v>
      </c>
      <c r="CQ45" s="127">
        <f t="shared" si="242"/>
        <v>1.962751486</v>
      </c>
      <c r="CR45" s="127">
        <f t="shared" ref="CR45:CT45" si="243">if($X45,CO45*$BN45,"")</f>
        <v>9.248214668</v>
      </c>
      <c r="CS45" s="127">
        <f t="shared" si="243"/>
        <v>7.60509181</v>
      </c>
      <c r="CT45" s="127">
        <f t="shared" si="243"/>
        <v>1.643122859</v>
      </c>
      <c r="CU45" s="211">
        <f t="shared" si="244"/>
        <v>0.1332014661</v>
      </c>
      <c r="CV45" s="212">
        <f t="shared" si="245"/>
        <v>7.251956608</v>
      </c>
      <c r="CW45" s="213" t="str">
        <f t="shared" si="246"/>
        <v>#N/A</v>
      </c>
      <c r="CX45" s="212">
        <f t="shared" si="247"/>
        <v>0.4</v>
      </c>
    </row>
    <row r="46">
      <c r="A46" s="202" t="s">
        <v>147</v>
      </c>
      <c r="B46" s="203">
        <v>1.3277777777777777</v>
      </c>
      <c r="C46" s="204">
        <v>5.0</v>
      </c>
      <c r="D46" s="204">
        <v>13.0</v>
      </c>
      <c r="E46" s="204">
        <v>0.385</v>
      </c>
      <c r="F46" s="204">
        <v>3.0</v>
      </c>
      <c r="G46" s="204">
        <v>7.0</v>
      </c>
      <c r="H46" s="204">
        <v>0.429</v>
      </c>
      <c r="I46" s="204">
        <v>7.0</v>
      </c>
      <c r="J46" s="204">
        <v>8.0</v>
      </c>
      <c r="K46" s="204">
        <v>0.875</v>
      </c>
      <c r="L46" s="204">
        <v>1.0</v>
      </c>
      <c r="M46" s="204">
        <v>5.0</v>
      </c>
      <c r="N46" s="204">
        <v>6.0</v>
      </c>
      <c r="O46" s="204">
        <v>3.0</v>
      </c>
      <c r="P46" s="204">
        <v>1.0</v>
      </c>
      <c r="Q46" s="204">
        <v>0.0</v>
      </c>
      <c r="R46" s="204">
        <v>0.0</v>
      </c>
      <c r="S46" s="204">
        <v>5.0</v>
      </c>
      <c r="T46" s="204">
        <v>20.0</v>
      </c>
      <c r="U46" s="203" t="s">
        <v>410</v>
      </c>
      <c r="V46" s="205">
        <f t="shared" si="194"/>
        <v>31.86666667</v>
      </c>
      <c r="W46" s="206">
        <f t="shared" si="195"/>
        <v>12</v>
      </c>
      <c r="X46" s="207" t="b">
        <f t="shared" si="196"/>
        <v>1</v>
      </c>
      <c r="Y46" s="208">
        <f t="shared" si="197"/>
        <v>16.52</v>
      </c>
      <c r="Z46" s="209">
        <f t="shared" si="198"/>
        <v>1.210653753</v>
      </c>
      <c r="AA46" s="209">
        <f t="shared" si="199"/>
        <v>20.01211588</v>
      </c>
      <c r="AB46" s="208">
        <f t="shared" si="200"/>
        <v>66.45527778</v>
      </c>
      <c r="AC46" s="113">
        <f t="shared" si="201"/>
        <v>30.11365921</v>
      </c>
      <c r="AD46" s="113">
        <f t="shared" si="202"/>
        <v>19.56202793</v>
      </c>
      <c r="AE46" s="113">
        <f t="shared" si="203"/>
        <v>12.03817103</v>
      </c>
      <c r="AF46" s="113">
        <f t="shared" si="204"/>
        <v>4.514314138</v>
      </c>
      <c r="AG46" s="113">
        <f t="shared" si="205"/>
        <v>4.514314138</v>
      </c>
      <c r="AH46" s="113">
        <f t="shared" si="206"/>
        <v>0</v>
      </c>
      <c r="AI46" s="113">
        <f t="shared" ref="AI46:AK46" si="248">if($X46,L46/$AB46*100,"")</f>
        <v>1.504771379</v>
      </c>
      <c r="AJ46" s="113">
        <f t="shared" si="248"/>
        <v>7.523856896</v>
      </c>
      <c r="AK46" s="113">
        <f t="shared" si="248"/>
        <v>9.028628275</v>
      </c>
      <c r="AL46" s="113">
        <f t="shared" ref="AL46:AM46" si="249">if($X46,P46/$AB46*100,"")</f>
        <v>1.504771379</v>
      </c>
      <c r="AM46" s="113">
        <f t="shared" si="249"/>
        <v>0</v>
      </c>
      <c r="AN46" s="113">
        <f t="shared" si="209"/>
        <v>7.523856896</v>
      </c>
      <c r="AO46" s="114">
        <f t="shared" si="210"/>
        <v>0.6638888889</v>
      </c>
      <c r="AP46" s="118">
        <f t="array" ref="AP46">if($X46,index('BPM 2.0 Season CLE 2017'!$BM$14:$BM$31,match($A46,'BPM 2.0 Season CLE 2017'!$B$14:$B$31,false)),"")</f>
        <v>4.787373585</v>
      </c>
      <c r="AQ46" s="118">
        <f t="array" ref="AQ46">if($X46,index('BPM 2.0 Season CLE 2017'!$BY$14:$BY$31,match($A46,'BPM 2.0 Season CLE 2017'!$B$14:$B$31,false)),"")</f>
        <v>2.731994347</v>
      </c>
      <c r="AR46" s="214">
        <f t="array" ref="AR46">if($X46,index('BPM 2.0 Season CLE 2017'!$EC$14:$EC$36,(match(AU46,'BPM 2.0 Season CLE 2017'!$CU$14:$CU$36,false))),"")</f>
        <v>2.104500115</v>
      </c>
      <c r="AS46" s="214">
        <f t="array" ref="AS46">if($X46,index('BPM 2.0 Season CLE 2017'!$ED$14:$ED$36,(match(AU46,'BPM 2.0 Season CLE 2017'!$CU$14:$CU$36,false))),"")</f>
        <v>3.324672608</v>
      </c>
      <c r="AT46" s="214">
        <f t="shared" si="211"/>
        <v>-1.220172492</v>
      </c>
      <c r="AU46" s="61" t="str">
        <f t="shared" si="212"/>
        <v>Kevin Love</v>
      </c>
      <c r="AV46" s="121">
        <f t="shared" si="213"/>
        <v>0.86</v>
      </c>
      <c r="AW46" s="122">
        <f t="shared" ref="AW46:AX46" si="250">if($X46,(5-$AQ46)/4*AW$3+($AQ46-1)/4*AW$4,"")</f>
        <v>-0.6552596891</v>
      </c>
      <c r="AX46" s="122">
        <f t="shared" si="250"/>
        <v>-0.2883142632</v>
      </c>
      <c r="AY46" s="121">
        <f t="shared" ref="AY46:BG46" si="251">if($X46,(5-$AP46)/4*AY$3+($AP46-1)/4*AY$4,"")</f>
        <v>0.389</v>
      </c>
      <c r="AZ46" s="121">
        <f t="shared" si="251"/>
        <v>1.009866902</v>
      </c>
      <c r="BA46" s="121">
        <f t="shared" si="251"/>
        <v>-0.964</v>
      </c>
      <c r="BB46" s="121">
        <f t="shared" si="251"/>
        <v>0.2039636528</v>
      </c>
      <c r="BC46" s="121">
        <f t="shared" si="251"/>
        <v>0.1775448208</v>
      </c>
      <c r="BD46" s="121">
        <f t="shared" si="251"/>
        <v>0</v>
      </c>
      <c r="BE46" s="121">
        <f t="shared" si="251"/>
        <v>1.027189534</v>
      </c>
      <c r="BF46" s="121">
        <f t="shared" si="251"/>
        <v>0.7361697207</v>
      </c>
      <c r="BG46" s="121">
        <f t="shared" si="251"/>
        <v>-0.367</v>
      </c>
      <c r="BH46" s="118">
        <f t="shared" si="216"/>
        <v>11.36483037</v>
      </c>
      <c r="BI46" s="118">
        <f t="shared" si="217"/>
        <v>4.558856433</v>
      </c>
      <c r="BJ46" s="118">
        <f t="shared" si="218"/>
        <v>1.642740491</v>
      </c>
      <c r="BK46" s="118">
        <f t="shared" si="219"/>
        <v>-1.215570069</v>
      </c>
      <c r="BL46" s="118">
        <f t="shared" si="220"/>
        <v>-0.3717238412</v>
      </c>
      <c r="BM46" s="124">
        <f t="shared" si="221"/>
        <v>15.97913338</v>
      </c>
      <c r="BN46" s="114">
        <f t="shared" si="222"/>
        <v>0.6638888889</v>
      </c>
      <c r="BO46" s="118">
        <f t="shared" si="223"/>
        <v>10.60836911</v>
      </c>
      <c r="BP46" s="125" t="str">
        <f t="shared" si="224"/>
        <v>Kevin Love</v>
      </c>
      <c r="BQ46" s="121">
        <f t="shared" si="225"/>
        <v>0.605</v>
      </c>
      <c r="BR46" s="122">
        <f t="shared" ref="BR46:BS46" si="252">if($X46,(5-$AQ46)/4*AW$7+($AQ46-1)/4*AW$8,"")</f>
        <v>-0.3914857993</v>
      </c>
      <c r="BS46" s="122">
        <f t="shared" si="252"/>
        <v>-0.1722537517</v>
      </c>
      <c r="BT46" s="121">
        <f t="shared" ref="BT46:CB46" si="253">if($X46,(5-$AP46)/4*AY$7+($AP46-1)/4*AY$8,"")</f>
        <v>0.477</v>
      </c>
      <c r="BU46" s="121">
        <f t="shared" si="253"/>
        <v>0.476</v>
      </c>
      <c r="BV46" s="121">
        <f t="shared" si="253"/>
        <v>-0.8658935491</v>
      </c>
      <c r="BW46" s="121">
        <f t="shared" si="253"/>
        <v>0.4317808151</v>
      </c>
      <c r="BX46" s="121">
        <f t="shared" si="253"/>
        <v>0.09157133021</v>
      </c>
      <c r="BY46" s="121">
        <f t="shared" si="253"/>
        <v>0</v>
      </c>
      <c r="BZ46" s="121">
        <f t="shared" si="253"/>
        <v>0.2877806774</v>
      </c>
      <c r="CA46" s="121">
        <f t="shared" si="253"/>
        <v>0.1303823471</v>
      </c>
      <c r="CB46" s="121">
        <f t="shared" si="253"/>
        <v>-0.439</v>
      </c>
      <c r="CC46" s="118">
        <f t="shared" si="228"/>
        <v>10.6402154</v>
      </c>
      <c r="CD46" s="118">
        <f t="shared" si="229"/>
        <v>2.14881353</v>
      </c>
      <c r="CE46" s="118">
        <f t="shared" si="230"/>
        <v>1.338700997</v>
      </c>
      <c r="CF46" s="118">
        <f t="shared" si="231"/>
        <v>-2.869929051</v>
      </c>
      <c r="CG46" s="118">
        <f t="shared" si="232"/>
        <v>-0.115242431</v>
      </c>
      <c r="CH46" s="124">
        <f t="shared" si="233"/>
        <v>11.14255845</v>
      </c>
      <c r="CI46" s="114">
        <f t="shared" si="234"/>
        <v>0.6638888889</v>
      </c>
      <c r="CJ46" s="118">
        <f t="shared" si="235"/>
        <v>7.397420747</v>
      </c>
      <c r="CK46" s="126" t="str">
        <f t="shared" si="236"/>
        <v>Kevin Love</v>
      </c>
      <c r="CL46" s="127">
        <f t="shared" si="237"/>
        <v>4.787373585</v>
      </c>
      <c r="CM46" s="127">
        <f t="shared" si="238"/>
        <v>2.731994347</v>
      </c>
      <c r="CN46" s="128">
        <f t="shared" si="239"/>
        <v>31.86666667</v>
      </c>
      <c r="CO46" s="127">
        <f t="shared" si="240"/>
        <v>7.854139005</v>
      </c>
      <c r="CP46" s="127">
        <f t="shared" si="241"/>
        <v>5.714459327</v>
      </c>
      <c r="CQ46" s="127">
        <f t="shared" si="242"/>
        <v>2.139679677</v>
      </c>
      <c r="CR46" s="127">
        <f t="shared" ref="CR46:CT46" si="254">if($X46,CO46*$BN46,"")</f>
        <v>5.214275617</v>
      </c>
      <c r="CS46" s="127">
        <f t="shared" si="254"/>
        <v>3.793766053</v>
      </c>
      <c r="CT46" s="127">
        <f t="shared" si="254"/>
        <v>1.420509564</v>
      </c>
      <c r="CU46" s="211">
        <f t="shared" si="244"/>
        <v>0.07978113896</v>
      </c>
      <c r="CV46" s="212">
        <f t="shared" si="245"/>
        <v>3.629059367</v>
      </c>
      <c r="CW46" s="213" t="str">
        <f t="shared" si="246"/>
        <v>#N/A</v>
      </c>
      <c r="CX46" s="212">
        <f t="shared" si="247"/>
        <v>1.2</v>
      </c>
    </row>
    <row r="47">
      <c r="A47" s="202" t="s">
        <v>145</v>
      </c>
      <c r="B47" s="203">
        <v>1.1576388888888889</v>
      </c>
      <c r="C47" s="204">
        <v>2.0</v>
      </c>
      <c r="D47" s="204">
        <v>5.0</v>
      </c>
      <c r="E47" s="204">
        <v>0.4</v>
      </c>
      <c r="F47" s="204">
        <v>0.0</v>
      </c>
      <c r="G47" s="204">
        <v>0.0</v>
      </c>
      <c r="H47" s="204"/>
      <c r="I47" s="204">
        <v>4.0</v>
      </c>
      <c r="J47" s="204">
        <v>6.0</v>
      </c>
      <c r="K47" s="204">
        <v>0.667</v>
      </c>
      <c r="L47" s="204">
        <v>6.0</v>
      </c>
      <c r="M47" s="204">
        <v>2.0</v>
      </c>
      <c r="N47" s="204">
        <v>8.0</v>
      </c>
      <c r="O47" s="204">
        <v>0.0</v>
      </c>
      <c r="P47" s="204">
        <v>1.0</v>
      </c>
      <c r="Q47" s="204">
        <v>0.0</v>
      </c>
      <c r="R47" s="204">
        <v>0.0</v>
      </c>
      <c r="S47" s="204">
        <v>2.0</v>
      </c>
      <c r="T47" s="204">
        <v>8.0</v>
      </c>
      <c r="U47" s="203">
        <v>-8.0</v>
      </c>
      <c r="V47" s="205">
        <f t="shared" si="194"/>
        <v>27.78333333</v>
      </c>
      <c r="W47" s="206">
        <f t="shared" si="195"/>
        <v>-8</v>
      </c>
      <c r="X47" s="207" t="b">
        <f t="shared" si="196"/>
        <v>1</v>
      </c>
      <c r="Y47" s="208">
        <f t="shared" si="197"/>
        <v>7.64</v>
      </c>
      <c r="Z47" s="209">
        <f t="shared" si="198"/>
        <v>1.047120419</v>
      </c>
      <c r="AA47" s="209">
        <f t="shared" si="199"/>
        <v>8.005603227</v>
      </c>
      <c r="AB47" s="208">
        <f t="shared" si="200"/>
        <v>57.93982639</v>
      </c>
      <c r="AC47" s="113">
        <f t="shared" si="201"/>
        <v>13.81709909</v>
      </c>
      <c r="AD47" s="113">
        <f t="shared" si="202"/>
        <v>8.629642703</v>
      </c>
      <c r="AE47" s="113">
        <f t="shared" si="203"/>
        <v>10.35557124</v>
      </c>
      <c r="AF47" s="113">
        <f t="shared" si="204"/>
        <v>0</v>
      </c>
      <c r="AG47" s="113">
        <f t="shared" si="205"/>
        <v>0</v>
      </c>
      <c r="AH47" s="113">
        <f t="shared" si="206"/>
        <v>0</v>
      </c>
      <c r="AI47" s="113">
        <f t="shared" ref="AI47:AK47" si="255">if($X47,L47/$AB47*100,"")</f>
        <v>10.35557124</v>
      </c>
      <c r="AJ47" s="113">
        <f t="shared" si="255"/>
        <v>3.451857081</v>
      </c>
      <c r="AK47" s="113">
        <f t="shared" si="255"/>
        <v>13.80742832</v>
      </c>
      <c r="AL47" s="113">
        <f t="shared" ref="AL47:AM47" si="256">if($X47,P47/$AB47*100,"")</f>
        <v>1.725928541</v>
      </c>
      <c r="AM47" s="113">
        <f t="shared" si="256"/>
        <v>0</v>
      </c>
      <c r="AN47" s="113">
        <f t="shared" si="209"/>
        <v>3.451857081</v>
      </c>
      <c r="AO47" s="114">
        <f t="shared" si="210"/>
        <v>0.5788194444</v>
      </c>
      <c r="AP47" s="118">
        <f t="array" ref="AP47">if($X47,index('BPM 2.0 Season CLE 2017'!$BM$14:$BM$31,match($A47,'BPM 2.0 Season CLE 2017'!$B$14:$B$31,false)),"")</f>
        <v>5</v>
      </c>
      <c r="AQ47" s="118">
        <f t="array" ref="AQ47">if($X47,index('BPM 2.0 Season CLE 2017'!$BY$14:$BY$31,match($A47,'BPM 2.0 Season CLE 2017'!$B$14:$B$31,false)),"")</f>
        <v>4.23517601</v>
      </c>
      <c r="AR47" s="214">
        <f t="array" ref="AR47">if($X47,index('BPM 2.0 Season CLE 2017'!$EC$14:$EC$36,(match(AU47,'BPM 2.0 Season CLE 2017'!$CU$14:$CU$36,false))),"")</f>
        <v>-0.7307180159</v>
      </c>
      <c r="AS47" s="214">
        <f t="array" ref="AS47">if($X47,index('BPM 2.0 Season CLE 2017'!$ED$14:$ED$36,(match(AU47,'BPM 2.0 Season CLE 2017'!$CU$14:$CU$36,false))),"")</f>
        <v>-0.03841868958</v>
      </c>
      <c r="AT47" s="214">
        <f t="shared" si="211"/>
        <v>-0.6922993263</v>
      </c>
      <c r="AU47" s="61" t="str">
        <f t="shared" si="212"/>
        <v>Tristan Thompson</v>
      </c>
      <c r="AV47" s="121">
        <f t="shared" si="213"/>
        <v>0.86</v>
      </c>
      <c r="AW47" s="122">
        <f t="shared" ref="AW47:AX47" si="257">if($X47,(5-$AQ47)/4*AW$3+($AQ47-1)/4*AW$4,"")</f>
        <v>-0.7379346806</v>
      </c>
      <c r="AX47" s="122">
        <f t="shared" si="257"/>
        <v>-0.3246912595</v>
      </c>
      <c r="AY47" s="121">
        <f t="shared" ref="AY47:BG47" si="258">if($X47,(5-$AP47)/4*AY$3+($AP47-1)/4*AY$4,"")</f>
        <v>0.389</v>
      </c>
      <c r="AZ47" s="121">
        <f t="shared" si="258"/>
        <v>1.034</v>
      </c>
      <c r="BA47" s="121">
        <f t="shared" si="258"/>
        <v>-0.964</v>
      </c>
      <c r="BB47" s="121">
        <f t="shared" si="258"/>
        <v>0.181</v>
      </c>
      <c r="BC47" s="121">
        <f t="shared" si="258"/>
        <v>0.181</v>
      </c>
      <c r="BD47" s="121">
        <f t="shared" si="258"/>
        <v>0</v>
      </c>
      <c r="BE47" s="121">
        <f t="shared" si="258"/>
        <v>1.008</v>
      </c>
      <c r="BF47" s="121">
        <f t="shared" si="258"/>
        <v>0.703</v>
      </c>
      <c r="BG47" s="121">
        <f t="shared" si="258"/>
        <v>-0.367</v>
      </c>
      <c r="BH47" s="118">
        <f t="shared" si="216"/>
        <v>2.15222912</v>
      </c>
      <c r="BI47" s="118">
        <f t="shared" si="217"/>
        <v>0</v>
      </c>
      <c r="BJ47" s="118">
        <f t="shared" si="218"/>
        <v>2.499144527</v>
      </c>
      <c r="BK47" s="118">
        <f t="shared" si="219"/>
        <v>0.4729044201</v>
      </c>
      <c r="BL47" s="118">
        <f t="shared" si="220"/>
        <v>1.713189126</v>
      </c>
      <c r="BM47" s="124">
        <f t="shared" si="221"/>
        <v>6.837467193</v>
      </c>
      <c r="BN47" s="114">
        <f t="shared" si="222"/>
        <v>0.5788194444</v>
      </c>
      <c r="BO47" s="118">
        <f t="shared" si="223"/>
        <v>3.957658962</v>
      </c>
      <c r="BP47" s="125" t="str">
        <f t="shared" si="224"/>
        <v>Tristan Thompson</v>
      </c>
      <c r="BQ47" s="121">
        <f t="shared" si="225"/>
        <v>0.605</v>
      </c>
      <c r="BR47" s="122">
        <f t="shared" ref="BR47:BS47" si="259">if($X47,(5-$AQ47)/4*AW$7+($AQ47-1)/4*AW$8,"")</f>
        <v>-0.4448487484</v>
      </c>
      <c r="BS47" s="122">
        <f t="shared" si="259"/>
        <v>-0.1957334493</v>
      </c>
      <c r="BT47" s="121">
        <f t="shared" ref="BT47:CB47" si="260">if($X47,(5-$AP47)/4*AY$7+($AP47-1)/4*AY$8,"")</f>
        <v>0.477</v>
      </c>
      <c r="BU47" s="121">
        <f t="shared" si="260"/>
        <v>0.476</v>
      </c>
      <c r="BV47" s="121">
        <f t="shared" si="260"/>
        <v>-0.882</v>
      </c>
      <c r="BW47" s="121">
        <f t="shared" si="260"/>
        <v>0.422</v>
      </c>
      <c r="BX47" s="121">
        <f t="shared" si="260"/>
        <v>0.103</v>
      </c>
      <c r="BY47" s="121">
        <f t="shared" si="260"/>
        <v>0</v>
      </c>
      <c r="BZ47" s="121">
        <f t="shared" si="260"/>
        <v>0.294</v>
      </c>
      <c r="CA47" s="121">
        <f t="shared" si="260"/>
        <v>0.097</v>
      </c>
      <c r="CB47" s="121">
        <f t="shared" si="260"/>
        <v>-0.439</v>
      </c>
      <c r="CC47" s="118">
        <f t="shared" si="228"/>
        <v>2.493527518</v>
      </c>
      <c r="CD47" s="118">
        <f t="shared" si="229"/>
        <v>0</v>
      </c>
      <c r="CE47" s="118">
        <f t="shared" si="230"/>
        <v>4.725592344</v>
      </c>
      <c r="CF47" s="118">
        <f t="shared" si="231"/>
        <v>-1.007942268</v>
      </c>
      <c r="CG47" s="118">
        <f t="shared" si="232"/>
        <v>0.5311256845</v>
      </c>
      <c r="CH47" s="124">
        <f t="shared" si="233"/>
        <v>6.742303279</v>
      </c>
      <c r="CI47" s="114">
        <f t="shared" si="234"/>
        <v>0.5788194444</v>
      </c>
      <c r="CJ47" s="118">
        <f t="shared" si="235"/>
        <v>3.902576238</v>
      </c>
      <c r="CK47" s="126" t="str">
        <f t="shared" si="236"/>
        <v>Tristan Thompson</v>
      </c>
      <c r="CL47" s="127">
        <f t="shared" si="237"/>
        <v>5</v>
      </c>
      <c r="CM47" s="127">
        <f t="shared" si="238"/>
        <v>4.23517601</v>
      </c>
      <c r="CN47" s="128">
        <f t="shared" si="239"/>
        <v>27.78333333</v>
      </c>
      <c r="CO47" s="127">
        <f t="shared" si="240"/>
        <v>-1.287527186</v>
      </c>
      <c r="CP47" s="127">
        <f t="shared" si="241"/>
        <v>1.314204159</v>
      </c>
      <c r="CQ47" s="127">
        <f t="shared" si="242"/>
        <v>-2.601731345</v>
      </c>
      <c r="CR47" s="127">
        <f t="shared" ref="CR47:CT47" si="261">if($X47,CO47*$BN47,"")</f>
        <v>-0.7452457706</v>
      </c>
      <c r="CS47" s="127">
        <f t="shared" si="261"/>
        <v>0.760686921</v>
      </c>
      <c r="CT47" s="127">
        <f t="shared" si="261"/>
        <v>-1.505932692</v>
      </c>
      <c r="CU47" s="211">
        <f t="shared" si="244"/>
        <v>0.005029184369</v>
      </c>
      <c r="CV47" s="212">
        <f t="shared" si="245"/>
        <v>-2.132626836</v>
      </c>
      <c r="CW47" s="213" t="str">
        <f t="shared" si="246"/>
        <v>#N/A</v>
      </c>
      <c r="CX47" s="212">
        <f t="shared" si="247"/>
        <v>-0.8</v>
      </c>
    </row>
    <row r="48">
      <c r="A48" s="202" t="s">
        <v>152</v>
      </c>
      <c r="B48" s="203">
        <v>0.91875</v>
      </c>
      <c r="C48" s="204">
        <v>0.0</v>
      </c>
      <c r="D48" s="204">
        <v>1.0</v>
      </c>
      <c r="E48" s="204">
        <v>0.0</v>
      </c>
      <c r="F48" s="204">
        <v>0.0</v>
      </c>
      <c r="G48" s="204">
        <v>0.0</v>
      </c>
      <c r="H48" s="204"/>
      <c r="I48" s="204">
        <v>0.0</v>
      </c>
      <c r="J48" s="204">
        <v>2.0</v>
      </c>
      <c r="K48" s="204">
        <v>0.0</v>
      </c>
      <c r="L48" s="204">
        <v>0.0</v>
      </c>
      <c r="M48" s="204">
        <v>2.0</v>
      </c>
      <c r="N48" s="204">
        <v>2.0</v>
      </c>
      <c r="O48" s="204">
        <v>1.0</v>
      </c>
      <c r="P48" s="204">
        <v>2.0</v>
      </c>
      <c r="Q48" s="204">
        <v>0.0</v>
      </c>
      <c r="R48" s="204">
        <v>0.0</v>
      </c>
      <c r="S48" s="204">
        <v>2.0</v>
      </c>
      <c r="T48" s="204">
        <v>0.0</v>
      </c>
      <c r="U48" s="203">
        <v>-9.0</v>
      </c>
      <c r="V48" s="205">
        <f t="shared" si="194"/>
        <v>22.05</v>
      </c>
      <c r="W48" s="206">
        <f t="shared" si="195"/>
        <v>-9</v>
      </c>
      <c r="X48" s="207" t="b">
        <f t="shared" si="196"/>
        <v>1</v>
      </c>
      <c r="Y48" s="208">
        <f t="shared" si="197"/>
        <v>1.88</v>
      </c>
      <c r="Z48" s="209">
        <f t="shared" si="198"/>
        <v>0</v>
      </c>
      <c r="AA48" s="209">
        <f t="shared" si="199"/>
        <v>0.001378804547</v>
      </c>
      <c r="AB48" s="208">
        <f t="shared" si="200"/>
        <v>45.9834375</v>
      </c>
      <c r="AC48" s="113">
        <f t="shared" si="201"/>
        <v>0.002998480805</v>
      </c>
      <c r="AD48" s="113">
        <f t="shared" si="202"/>
        <v>2.174696052</v>
      </c>
      <c r="AE48" s="113">
        <f t="shared" si="203"/>
        <v>4.349392104</v>
      </c>
      <c r="AF48" s="113">
        <f t="shared" si="204"/>
        <v>0</v>
      </c>
      <c r="AG48" s="113">
        <f t="shared" si="205"/>
        <v>2.174696052</v>
      </c>
      <c r="AH48" s="113">
        <f t="shared" si="206"/>
        <v>0</v>
      </c>
      <c r="AI48" s="113">
        <f t="shared" ref="AI48:AK48" si="262">if($X48,L48/$AB48*100,"")</f>
        <v>0</v>
      </c>
      <c r="AJ48" s="113">
        <f t="shared" si="262"/>
        <v>4.349392104</v>
      </c>
      <c r="AK48" s="113">
        <f t="shared" si="262"/>
        <v>4.349392104</v>
      </c>
      <c r="AL48" s="113">
        <f t="shared" ref="AL48:AM48" si="263">if($X48,P48/$AB48*100,"")</f>
        <v>4.349392104</v>
      </c>
      <c r="AM48" s="113">
        <f t="shared" si="263"/>
        <v>0</v>
      </c>
      <c r="AN48" s="113">
        <f t="shared" si="209"/>
        <v>4.349392104</v>
      </c>
      <c r="AO48" s="114">
        <f t="shared" si="210"/>
        <v>0.459375</v>
      </c>
      <c r="AP48" s="118">
        <f t="array" ref="AP48">if($X48,index('BPM 2.0 Season CLE 2017'!$BM$14:$BM$31,match($A48,'BPM 2.0 Season CLE 2017'!$B$14:$B$31,false)),"")</f>
        <v>2.271941008</v>
      </c>
      <c r="AQ48" s="118">
        <f t="array" ref="AQ48">if($X48,index('BPM 2.0 Season CLE 2017'!$BY$14:$BY$31,match($A48,'BPM 2.0 Season CLE 2017'!$B$14:$B$31,false)),"")</f>
        <v>4.412415676</v>
      </c>
      <c r="AR48" s="214">
        <f t="array" ref="AR48">if($X48,index('BPM 2.0 Season CLE 2017'!$EC$14:$EC$36,(match(AU48,'BPM 2.0 Season CLE 2017'!$CU$14:$CU$36,false))),"")</f>
        <v>-2.487605699</v>
      </c>
      <c r="AS48" s="214">
        <f t="array" ref="AS48">if($X48,index('BPM 2.0 Season CLE 2017'!$ED$14:$ED$36,(match(AU48,'BPM 2.0 Season CLE 2017'!$CU$14:$CU$36,false))),"")</f>
        <v>-4.613935401</v>
      </c>
      <c r="AT48" s="214">
        <f t="shared" si="211"/>
        <v>2.126329702</v>
      </c>
      <c r="AU48" s="61" t="str">
        <f t="shared" si="212"/>
        <v>DeAndre Liggins</v>
      </c>
      <c r="AV48" s="121">
        <f t="shared" si="213"/>
        <v>0.86</v>
      </c>
      <c r="AW48" s="122">
        <f t="shared" ref="AW48:AX48" si="264">if($X48,(5-$AQ48)/4*AW$3+($AQ48-1)/4*AW$4,"")</f>
        <v>-0.7476828622</v>
      </c>
      <c r="AX48" s="122">
        <f t="shared" si="264"/>
        <v>-0.3289804594</v>
      </c>
      <c r="AY48" s="121">
        <f t="shared" ref="AY48:BG48" si="265">if($X48,(5-$AP48)/4*AY$3+($AP48-1)/4*AY$4,"")</f>
        <v>0.389</v>
      </c>
      <c r="AZ48" s="121">
        <f t="shared" si="265"/>
        <v>0.7243653045</v>
      </c>
      <c r="BA48" s="121">
        <f t="shared" si="265"/>
        <v>-0.964</v>
      </c>
      <c r="BB48" s="121">
        <f t="shared" si="265"/>
        <v>0.4756303711</v>
      </c>
      <c r="BC48" s="121">
        <f t="shared" si="265"/>
        <v>0.1366690414</v>
      </c>
      <c r="BD48" s="121">
        <f t="shared" si="265"/>
        <v>0</v>
      </c>
      <c r="BE48" s="121">
        <f t="shared" si="265"/>
        <v>1.254207324</v>
      </c>
      <c r="BF48" s="121">
        <f t="shared" si="265"/>
        <v>1.128577203</v>
      </c>
      <c r="BG48" s="121">
        <f t="shared" si="265"/>
        <v>-0.367</v>
      </c>
      <c r="BH48" s="118">
        <f t="shared" si="216"/>
        <v>-3.054269288</v>
      </c>
      <c r="BI48" s="118">
        <f t="shared" si="217"/>
        <v>1.575274368</v>
      </c>
      <c r="BJ48" s="118">
        <f t="shared" si="218"/>
        <v>0.5944272495</v>
      </c>
      <c r="BK48" s="118">
        <f t="shared" si="219"/>
        <v>3.85881253</v>
      </c>
      <c r="BL48" s="118">
        <f t="shared" si="220"/>
        <v>1.661244415</v>
      </c>
      <c r="BM48" s="124">
        <f t="shared" si="221"/>
        <v>4.635489275</v>
      </c>
      <c r="BN48" s="114">
        <f t="shared" si="222"/>
        <v>0.459375</v>
      </c>
      <c r="BO48" s="118">
        <f t="shared" si="223"/>
        <v>2.129427886</v>
      </c>
      <c r="BP48" s="125" t="str">
        <f t="shared" si="224"/>
        <v>DeAndre Liggins</v>
      </c>
      <c r="BQ48" s="121">
        <f t="shared" si="225"/>
        <v>0.605</v>
      </c>
      <c r="BR48" s="122">
        <f t="shared" ref="BR48:BS48" si="266">if($X48,(5-$AQ48)/4*AW$7+($AQ48-1)/4*AW$8,"")</f>
        <v>-0.4511407565</v>
      </c>
      <c r="BS48" s="122">
        <f t="shared" si="266"/>
        <v>-0.1985019329</v>
      </c>
      <c r="BT48" s="121">
        <f t="shared" ref="BT48:CB48" si="267">if($X48,(5-$AP48)/4*AY$7+($AP48-1)/4*AY$8,"")</f>
        <v>0.477</v>
      </c>
      <c r="BU48" s="121">
        <f t="shared" si="267"/>
        <v>0.476</v>
      </c>
      <c r="BV48" s="121">
        <f t="shared" si="267"/>
        <v>-0.6753495314</v>
      </c>
      <c r="BW48" s="121">
        <f t="shared" si="267"/>
        <v>0.5474907136</v>
      </c>
      <c r="BX48" s="121">
        <f t="shared" si="267"/>
        <v>-0.0436331708</v>
      </c>
      <c r="BY48" s="121">
        <f t="shared" si="267"/>
        <v>0</v>
      </c>
      <c r="BZ48" s="121">
        <f t="shared" si="267"/>
        <v>0.2142042745</v>
      </c>
      <c r="CA48" s="121">
        <f t="shared" si="267"/>
        <v>0.5253052617</v>
      </c>
      <c r="CB48" s="121">
        <f t="shared" si="267"/>
        <v>-0.439</v>
      </c>
      <c r="CC48" s="118">
        <f t="shared" si="228"/>
        <v>-1.842642681</v>
      </c>
      <c r="CD48" s="118">
        <f t="shared" si="229"/>
        <v>1.035155321</v>
      </c>
      <c r="CE48" s="118">
        <f t="shared" si="230"/>
        <v>-0.1897777686</v>
      </c>
      <c r="CF48" s="118">
        <f t="shared" si="231"/>
        <v>-0.9777247536</v>
      </c>
      <c r="CG48" s="118">
        <f t="shared" si="232"/>
        <v>-0.01078334324</v>
      </c>
      <c r="CH48" s="124">
        <f t="shared" si="233"/>
        <v>-1.985773225</v>
      </c>
      <c r="CI48" s="114">
        <f t="shared" si="234"/>
        <v>0.459375</v>
      </c>
      <c r="CJ48" s="118">
        <f t="shared" si="235"/>
        <v>-0.9122145754</v>
      </c>
      <c r="CK48" s="126" t="str">
        <f t="shared" si="236"/>
        <v>DeAndre Liggins</v>
      </c>
      <c r="CL48" s="127">
        <f t="shared" si="237"/>
        <v>2.271941008</v>
      </c>
      <c r="CM48" s="127">
        <f t="shared" si="238"/>
        <v>4.412415676</v>
      </c>
      <c r="CN48" s="128">
        <f t="shared" si="239"/>
        <v>22.05</v>
      </c>
      <c r="CO48" s="127">
        <f t="shared" si="240"/>
        <v>-3.489505105</v>
      </c>
      <c r="CP48" s="127">
        <f t="shared" si="241"/>
        <v>-7.413872345</v>
      </c>
      <c r="CQ48" s="127">
        <f t="shared" si="242"/>
        <v>3.92436724</v>
      </c>
      <c r="CR48" s="127">
        <f t="shared" ref="CR48:CT48" si="268">if($X48,CO48*$BN48,"")</f>
        <v>-1.602991408</v>
      </c>
      <c r="CS48" s="127">
        <f t="shared" si="268"/>
        <v>-3.405747609</v>
      </c>
      <c r="CT48" s="127">
        <f t="shared" si="268"/>
        <v>1.802756201</v>
      </c>
      <c r="CU48" s="211">
        <f t="shared" si="244"/>
        <v>-0.008344407409</v>
      </c>
      <c r="CV48" s="212">
        <f t="shared" si="245"/>
        <v>-2.705085814</v>
      </c>
      <c r="CW48" s="213" t="str">
        <f t="shared" si="246"/>
        <v>#N/A</v>
      </c>
      <c r="CX48" s="212">
        <f t="shared" si="247"/>
        <v>-0.9</v>
      </c>
    </row>
    <row r="49">
      <c r="A49" s="202" t="s">
        <v>405</v>
      </c>
      <c r="B49" s="215" t="s">
        <v>80</v>
      </c>
      <c r="C49" s="216" t="s">
        <v>81</v>
      </c>
      <c r="D49" s="216" t="s">
        <v>13</v>
      </c>
      <c r="E49" s="216" t="s">
        <v>82</v>
      </c>
      <c r="F49" s="216" t="s">
        <v>83</v>
      </c>
      <c r="G49" s="216" t="s">
        <v>84</v>
      </c>
      <c r="H49" s="216" t="s">
        <v>85</v>
      </c>
      <c r="I49" s="216" t="s">
        <v>90</v>
      </c>
      <c r="J49" s="216" t="s">
        <v>14</v>
      </c>
      <c r="K49" s="216" t="s">
        <v>91</v>
      </c>
      <c r="L49" s="216" t="s">
        <v>18</v>
      </c>
      <c r="M49" s="216" t="s">
        <v>19</v>
      </c>
      <c r="N49" s="216" t="s">
        <v>20</v>
      </c>
      <c r="O49" s="216" t="s">
        <v>16</v>
      </c>
      <c r="P49" s="216" t="s">
        <v>21</v>
      </c>
      <c r="Q49" s="216" t="s">
        <v>22</v>
      </c>
      <c r="R49" s="216" t="s">
        <v>92</v>
      </c>
      <c r="S49" s="216" t="s">
        <v>23</v>
      </c>
      <c r="T49" s="216" t="s">
        <v>93</v>
      </c>
      <c r="U49" s="215" t="s">
        <v>391</v>
      </c>
      <c r="V49" s="205" t="str">
        <f t="shared" si="194"/>
        <v/>
      </c>
      <c r="W49" s="206" t="str">
        <f t="shared" si="195"/>
        <v/>
      </c>
      <c r="X49" s="207" t="b">
        <f t="shared" si="196"/>
        <v>0</v>
      </c>
      <c r="Y49" s="208" t="str">
        <f t="shared" si="197"/>
        <v/>
      </c>
      <c r="Z49" s="209" t="str">
        <f t="shared" si="198"/>
        <v/>
      </c>
      <c r="AA49" s="209" t="str">
        <f t="shared" si="199"/>
        <v/>
      </c>
      <c r="AB49" s="208" t="str">
        <f t="shared" si="200"/>
        <v/>
      </c>
      <c r="AC49" s="113" t="str">
        <f t="shared" si="201"/>
        <v/>
      </c>
      <c r="AD49" s="113" t="str">
        <f t="shared" si="202"/>
        <v/>
      </c>
      <c r="AE49" s="113" t="str">
        <f t="shared" si="203"/>
        <v/>
      </c>
      <c r="AF49" s="113" t="str">
        <f t="shared" si="204"/>
        <v/>
      </c>
      <c r="AG49" s="113" t="str">
        <f t="shared" si="205"/>
        <v/>
      </c>
      <c r="AH49" s="113" t="str">
        <f t="shared" si="206"/>
        <v/>
      </c>
      <c r="AI49" s="113" t="str">
        <f t="shared" ref="AI49:AK49" si="269">if($X49,L49/$AB49*100,"")</f>
        <v/>
      </c>
      <c r="AJ49" s="113" t="str">
        <f t="shared" si="269"/>
        <v/>
      </c>
      <c r="AK49" s="113" t="str">
        <f t="shared" si="269"/>
        <v/>
      </c>
      <c r="AL49" s="113" t="str">
        <f t="shared" ref="AL49:AM49" si="270">if($X49,P49/$AB49*100,"")</f>
        <v/>
      </c>
      <c r="AM49" s="113" t="str">
        <f t="shared" si="270"/>
        <v/>
      </c>
      <c r="AN49" s="113" t="str">
        <f t="shared" si="209"/>
        <v/>
      </c>
      <c r="AO49" s="114" t="str">
        <f t="shared" si="210"/>
        <v/>
      </c>
      <c r="AP49" s="118" t="str">
        <f t="array" ref="AP49">if($X49,index('BPM 2.0 Season CLE 2017'!$BM$14:$BM$31,match($A49,'BPM 2.0 Season CLE 2017'!$B$14:$B$31,false)),"")</f>
        <v/>
      </c>
      <c r="AQ49" s="118" t="str">
        <f t="array" ref="AQ49">if($X49,index('BPM 2.0 Season CLE 2017'!$BY$14:$BY$31,match($A49,'BPM 2.0 Season CLE 2017'!$B$14:$B$31,false)),"")</f>
        <v/>
      </c>
      <c r="AR49" s="214" t="str">
        <f t="array" ref="AR49">if($X49,index('BPM 2.0 Season CLE 2017'!$EC$14:$EC$36,(match(AU49,'BPM 2.0 Season CLE 2017'!$CU$14:$CU$36,false))),"")</f>
        <v/>
      </c>
      <c r="AS49" s="214" t="str">
        <f t="array" ref="AS49">if($X49,index('BPM 2.0 Season CLE 2017'!$ED$14:$ED$36,(match(AU49,'BPM 2.0 Season CLE 2017'!$CU$14:$CU$36,false))),"")</f>
        <v/>
      </c>
      <c r="AT49" s="214" t="str">
        <f t="shared" si="211"/>
        <v/>
      </c>
      <c r="AU49" s="61" t="str">
        <f t="shared" si="212"/>
        <v>Reserves</v>
      </c>
      <c r="AV49" s="121" t="str">
        <f t="shared" si="213"/>
        <v/>
      </c>
      <c r="AW49" s="122" t="str">
        <f t="shared" ref="AW49:AX49" si="271">if($X49,(5-$AQ49)/4*AW$3+($AQ49-1)/4*AW$4,"")</f>
        <v/>
      </c>
      <c r="AX49" s="122" t="str">
        <f t="shared" si="271"/>
        <v/>
      </c>
      <c r="AY49" s="121" t="str">
        <f t="shared" ref="AY49:BG49" si="272">if($X49,(5-$AP49)/4*AY$3+($AP49-1)/4*AY$4,"")</f>
        <v/>
      </c>
      <c r="AZ49" s="121" t="str">
        <f t="shared" si="272"/>
        <v/>
      </c>
      <c r="BA49" s="121" t="str">
        <f t="shared" si="272"/>
        <v/>
      </c>
      <c r="BB49" s="121" t="str">
        <f t="shared" si="272"/>
        <v/>
      </c>
      <c r="BC49" s="121" t="str">
        <f t="shared" si="272"/>
        <v/>
      </c>
      <c r="BD49" s="121" t="str">
        <f t="shared" si="272"/>
        <v/>
      </c>
      <c r="BE49" s="121" t="str">
        <f t="shared" si="272"/>
        <v/>
      </c>
      <c r="BF49" s="121" t="str">
        <f t="shared" si="272"/>
        <v/>
      </c>
      <c r="BG49" s="121" t="str">
        <f t="shared" si="272"/>
        <v/>
      </c>
      <c r="BH49" s="118">
        <f t="shared" si="216"/>
        <v>0</v>
      </c>
      <c r="BI49" s="118">
        <f t="shared" si="217"/>
        <v>0</v>
      </c>
      <c r="BJ49" s="118">
        <f t="shared" si="218"/>
        <v>0</v>
      </c>
      <c r="BK49" s="118">
        <f t="shared" si="219"/>
        <v>0</v>
      </c>
      <c r="BL49" s="118">
        <f t="shared" si="220"/>
        <v>-4.161</v>
      </c>
      <c r="BM49" s="124">
        <f t="shared" si="221"/>
        <v>-4.161</v>
      </c>
      <c r="BN49" s="114" t="str">
        <f t="shared" si="222"/>
        <v/>
      </c>
      <c r="BO49" s="118">
        <f t="shared" si="223"/>
        <v>0</v>
      </c>
      <c r="BP49" s="125" t="str">
        <f t="shared" si="224"/>
        <v>Reserves</v>
      </c>
      <c r="BQ49" s="121" t="str">
        <f t="shared" si="225"/>
        <v/>
      </c>
      <c r="BR49" s="122" t="str">
        <f t="shared" ref="BR49:BS49" si="273">if($X49,(5-$AQ49)/4*AW$7+($AQ49-1)/4*AW$8,"")</f>
        <v/>
      </c>
      <c r="BS49" s="122" t="str">
        <f t="shared" si="273"/>
        <v/>
      </c>
      <c r="BT49" s="121" t="str">
        <f t="shared" ref="BT49:CB49" si="274">if($X49,(5-$AP49)/4*AY$7+($AP49-1)/4*AY$8,"")</f>
        <v/>
      </c>
      <c r="BU49" s="121" t="str">
        <f t="shared" si="274"/>
        <v/>
      </c>
      <c r="BV49" s="121" t="str">
        <f t="shared" si="274"/>
        <v/>
      </c>
      <c r="BW49" s="121" t="str">
        <f t="shared" si="274"/>
        <v/>
      </c>
      <c r="BX49" s="121" t="str">
        <f t="shared" si="274"/>
        <v/>
      </c>
      <c r="BY49" s="121" t="str">
        <f t="shared" si="274"/>
        <v/>
      </c>
      <c r="BZ49" s="121" t="str">
        <f t="shared" si="274"/>
        <v/>
      </c>
      <c r="CA49" s="121" t="str">
        <f t="shared" si="274"/>
        <v/>
      </c>
      <c r="CB49" s="121" t="str">
        <f t="shared" si="274"/>
        <v/>
      </c>
      <c r="CC49" s="118">
        <f t="shared" si="228"/>
        <v>0</v>
      </c>
      <c r="CD49" s="118">
        <f t="shared" si="229"/>
        <v>0</v>
      </c>
      <c r="CE49" s="118">
        <f t="shared" si="230"/>
        <v>0</v>
      </c>
      <c r="CF49" s="118">
        <f t="shared" si="231"/>
        <v>0</v>
      </c>
      <c r="CG49" s="118">
        <f t="shared" si="232"/>
        <v>-1.29</v>
      </c>
      <c r="CH49" s="124">
        <f t="shared" si="233"/>
        <v>-1.29</v>
      </c>
      <c r="CI49" s="114" t="str">
        <f t="shared" si="234"/>
        <v/>
      </c>
      <c r="CJ49" s="118">
        <f t="shared" si="235"/>
        <v>0</v>
      </c>
      <c r="CK49" s="126" t="str">
        <f t="shared" si="236"/>
        <v/>
      </c>
      <c r="CL49" s="127" t="str">
        <f t="shared" si="237"/>
        <v/>
      </c>
      <c r="CM49" s="127" t="str">
        <f t="shared" si="238"/>
        <v/>
      </c>
      <c r="CN49" s="128" t="str">
        <f t="shared" si="239"/>
        <v/>
      </c>
      <c r="CO49" s="217" t="str">
        <f t="shared" si="240"/>
        <v/>
      </c>
      <c r="CP49" s="127" t="str">
        <f t="shared" si="241"/>
        <v/>
      </c>
      <c r="CQ49" s="127" t="str">
        <f t="shared" si="242"/>
        <v/>
      </c>
      <c r="CR49" s="127" t="str">
        <f t="shared" ref="CR49:CT49" si="275">if($X49,CO49*$BN49,"")</f>
        <v/>
      </c>
      <c r="CS49" s="127" t="str">
        <f t="shared" si="275"/>
        <v/>
      </c>
      <c r="CT49" s="127" t="str">
        <f t="shared" si="275"/>
        <v/>
      </c>
      <c r="CU49" s="211" t="str">
        <f t="shared" si="244"/>
        <v/>
      </c>
      <c r="CV49" s="212" t="str">
        <f t="shared" si="245"/>
        <v/>
      </c>
      <c r="CW49" s="213" t="str">
        <f t="shared" si="246"/>
        <v>#N/A</v>
      </c>
      <c r="CX49" s="212" t="str">
        <f t="shared" si="247"/>
        <v/>
      </c>
    </row>
    <row r="50">
      <c r="A50" s="202" t="s">
        <v>146</v>
      </c>
      <c r="B50" s="203">
        <v>1.2166666666666666</v>
      </c>
      <c r="C50" s="204">
        <v>1.0</v>
      </c>
      <c r="D50" s="204">
        <v>9.0</v>
      </c>
      <c r="E50" s="204">
        <v>0.111</v>
      </c>
      <c r="F50" s="204">
        <v>1.0</v>
      </c>
      <c r="G50" s="204">
        <v>5.0</v>
      </c>
      <c r="H50" s="204">
        <v>0.2</v>
      </c>
      <c r="I50" s="204">
        <v>4.0</v>
      </c>
      <c r="J50" s="204">
        <v>4.0</v>
      </c>
      <c r="K50" s="204">
        <v>1.0</v>
      </c>
      <c r="L50" s="204">
        <v>3.0</v>
      </c>
      <c r="M50" s="204">
        <v>2.0</v>
      </c>
      <c r="N50" s="204">
        <v>5.0</v>
      </c>
      <c r="O50" s="204">
        <v>2.0</v>
      </c>
      <c r="P50" s="204">
        <v>1.0</v>
      </c>
      <c r="Q50" s="204">
        <v>1.0</v>
      </c>
      <c r="R50" s="204">
        <v>1.0</v>
      </c>
      <c r="S50" s="204">
        <v>3.0</v>
      </c>
      <c r="T50" s="204">
        <v>7.0</v>
      </c>
      <c r="U50" s="203">
        <v>-2.0</v>
      </c>
      <c r="V50" s="205">
        <f t="shared" si="194"/>
        <v>29.2</v>
      </c>
      <c r="W50" s="206">
        <f t="shared" si="195"/>
        <v>-2</v>
      </c>
      <c r="X50" s="207" t="b">
        <f t="shared" si="196"/>
        <v>1</v>
      </c>
      <c r="Y50" s="208">
        <f t="shared" si="197"/>
        <v>10.76</v>
      </c>
      <c r="Z50" s="209">
        <f t="shared" si="198"/>
        <v>0.6505576208</v>
      </c>
      <c r="AA50" s="209">
        <f t="shared" si="199"/>
        <v>7.007891456</v>
      </c>
      <c r="AB50" s="208">
        <f t="shared" si="200"/>
        <v>60.89416667</v>
      </c>
      <c r="AC50" s="113">
        <f t="shared" si="201"/>
        <v>11.50831326</v>
      </c>
      <c r="AD50" s="113">
        <f t="shared" si="202"/>
        <v>14.77974081</v>
      </c>
      <c r="AE50" s="113">
        <f t="shared" si="203"/>
        <v>6.568773692</v>
      </c>
      <c r="AF50" s="113">
        <f t="shared" si="204"/>
        <v>1.642193423</v>
      </c>
      <c r="AG50" s="113">
        <f t="shared" si="205"/>
        <v>3.284386846</v>
      </c>
      <c r="AH50" s="113">
        <f t="shared" si="206"/>
        <v>1.642193423</v>
      </c>
      <c r="AI50" s="113">
        <f t="shared" ref="AI50:AK50" si="276">if($X50,L50/$AB50*100,"")</f>
        <v>4.926580269</v>
      </c>
      <c r="AJ50" s="113">
        <f t="shared" si="276"/>
        <v>3.284386846</v>
      </c>
      <c r="AK50" s="113">
        <f t="shared" si="276"/>
        <v>8.210967115</v>
      </c>
      <c r="AL50" s="113">
        <f t="shared" ref="AL50:AM50" si="277">if($X50,P50/$AB50*100,"")</f>
        <v>1.642193423</v>
      </c>
      <c r="AM50" s="113">
        <f t="shared" si="277"/>
        <v>1.642193423</v>
      </c>
      <c r="AN50" s="113">
        <f t="shared" si="209"/>
        <v>4.926580269</v>
      </c>
      <c r="AO50" s="114">
        <f t="shared" si="210"/>
        <v>0.6083333333</v>
      </c>
      <c r="AP50" s="118">
        <f t="array" ref="AP50">if($X50,index('BPM 2.0 Season CLE 2017'!$BM$14:$BM$31,match($A50,'BPM 2.0 Season CLE 2017'!$B$14:$B$31,false)),"")</f>
        <v>2.535916713</v>
      </c>
      <c r="AQ50" s="118">
        <f t="array" ref="AQ50">if($X50,index('BPM 2.0 Season CLE 2017'!$BY$14:$BY$31,match($A50,'BPM 2.0 Season CLE 2017'!$B$14:$B$31,false)),"")</f>
        <v>4.101519955</v>
      </c>
      <c r="AR50" s="214">
        <f t="array" ref="AR50">if($X50,index('BPM 2.0 Season CLE 2017'!$EC$14:$EC$36,(match(AU50,'BPM 2.0 Season CLE 2017'!$CU$14:$CU$36,false))),"")</f>
        <v>-2.355905334</v>
      </c>
      <c r="AS50" s="214">
        <f t="array" ref="AS50">if($X50,index('BPM 2.0 Season CLE 2017'!$ED$14:$ED$36,(match(AU50,'BPM 2.0 Season CLE 2017'!$CU$14:$CU$36,false))),"")</f>
        <v>-2.340748248</v>
      </c>
      <c r="AT50" s="214">
        <f t="shared" si="211"/>
        <v>-0.01515708618</v>
      </c>
      <c r="AU50" s="61" t="str">
        <f t="shared" si="212"/>
        <v>Iman Shumpert</v>
      </c>
      <c r="AV50" s="121">
        <f t="shared" si="213"/>
        <v>0.86</v>
      </c>
      <c r="AW50" s="122">
        <f t="shared" ref="AW50:AX50" si="278">if($X50,(5-$AQ50)/4*AW$3+($AQ50-1)/4*AW$4,"")</f>
        <v>-0.7305835975</v>
      </c>
      <c r="AX50" s="122">
        <f t="shared" si="278"/>
        <v>-0.3214567829</v>
      </c>
      <c r="AY50" s="121">
        <f t="shared" ref="AY50:BG50" si="279">if($X50,(5-$AP50)/4*AY$3+($AP50-1)/4*AY$4,"")</f>
        <v>0.389</v>
      </c>
      <c r="AZ50" s="121">
        <f t="shared" si="279"/>
        <v>0.7543265469</v>
      </c>
      <c r="BA50" s="121">
        <f t="shared" si="279"/>
        <v>-0.964</v>
      </c>
      <c r="BB50" s="121">
        <f t="shared" si="279"/>
        <v>0.447120995</v>
      </c>
      <c r="BC50" s="121">
        <f t="shared" si="279"/>
        <v>0.1409586466</v>
      </c>
      <c r="BD50" s="121">
        <f t="shared" si="279"/>
        <v>0</v>
      </c>
      <c r="BE50" s="121">
        <f t="shared" si="279"/>
        <v>1.230383517</v>
      </c>
      <c r="BF50" s="121">
        <f t="shared" si="279"/>
        <v>1.087396993</v>
      </c>
      <c r="BG50" s="121">
        <f t="shared" si="279"/>
        <v>-0.367</v>
      </c>
      <c r="BH50" s="118">
        <f t="shared" si="216"/>
        <v>-2.373450425</v>
      </c>
      <c r="BI50" s="118">
        <f t="shared" si="217"/>
        <v>0.8944257285</v>
      </c>
      <c r="BJ50" s="118">
        <f t="shared" si="218"/>
        <v>2.665740197</v>
      </c>
      <c r="BK50" s="118">
        <f t="shared" si="219"/>
        <v>1.99818895</v>
      </c>
      <c r="BL50" s="118">
        <f t="shared" si="220"/>
        <v>1.337998113</v>
      </c>
      <c r="BM50" s="124">
        <f t="shared" si="221"/>
        <v>4.522902563</v>
      </c>
      <c r="BN50" s="114">
        <f t="shared" si="222"/>
        <v>0.6083333333</v>
      </c>
      <c r="BO50" s="118">
        <f t="shared" si="223"/>
        <v>2.751432393</v>
      </c>
      <c r="BP50" s="125" t="str">
        <f t="shared" si="224"/>
        <v>Iman Shumpert</v>
      </c>
      <c r="BQ50" s="121">
        <f t="shared" si="225"/>
        <v>0.605</v>
      </c>
      <c r="BR50" s="122">
        <f t="shared" ref="BR50:BS50" si="280">if($X50,(5-$AQ50)/4*AW$7+($AQ50-1)/4*AW$8,"")</f>
        <v>-0.4401039584</v>
      </c>
      <c r="BS50" s="122">
        <f t="shared" si="280"/>
        <v>-0.1936457417</v>
      </c>
      <c r="BT50" s="121">
        <f t="shared" ref="BT50:CB50" si="281">if($X50,(5-$AP50)/4*AY$7+($AP50-1)/4*AY$8,"")</f>
        <v>0.477</v>
      </c>
      <c r="BU50" s="121">
        <f t="shared" si="281"/>
        <v>0.476</v>
      </c>
      <c r="BV50" s="121">
        <f t="shared" si="281"/>
        <v>-0.695345691</v>
      </c>
      <c r="BW50" s="121">
        <f t="shared" si="281"/>
        <v>0.5353478312</v>
      </c>
      <c r="BX50" s="121">
        <f t="shared" si="281"/>
        <v>-0.02944447669</v>
      </c>
      <c r="BY50" s="121">
        <f t="shared" si="281"/>
        <v>0</v>
      </c>
      <c r="BZ50" s="121">
        <f t="shared" si="281"/>
        <v>0.2219255638</v>
      </c>
      <c r="CA50" s="121">
        <f t="shared" si="281"/>
        <v>0.4838610761</v>
      </c>
      <c r="CB50" s="121">
        <f t="shared" si="281"/>
        <v>-0.439</v>
      </c>
      <c r="CC50" s="118">
        <f t="shared" si="228"/>
        <v>-0.03078170329</v>
      </c>
      <c r="CD50" s="118">
        <f t="shared" si="229"/>
        <v>0.4214760182</v>
      </c>
      <c r="CE50" s="118">
        <f t="shared" si="230"/>
        <v>2.54072701</v>
      </c>
      <c r="CF50" s="118">
        <f t="shared" si="231"/>
        <v>-1.00373056</v>
      </c>
      <c r="CG50" s="118">
        <f t="shared" si="232"/>
        <v>0.07964686989</v>
      </c>
      <c r="CH50" s="124">
        <f t="shared" si="233"/>
        <v>2.007337635</v>
      </c>
      <c r="CI50" s="114">
        <f t="shared" si="234"/>
        <v>0.6083333333</v>
      </c>
      <c r="CJ50" s="118">
        <f t="shared" si="235"/>
        <v>1.221130395</v>
      </c>
      <c r="CK50" s="126" t="str">
        <f t="shared" si="236"/>
        <v>Iman Shumpert</v>
      </c>
      <c r="CL50" s="127">
        <f t="shared" si="237"/>
        <v>2.535916713</v>
      </c>
      <c r="CM50" s="127">
        <f t="shared" si="238"/>
        <v>4.101519955</v>
      </c>
      <c r="CN50" s="128">
        <f t="shared" si="239"/>
        <v>29.2</v>
      </c>
      <c r="CO50" s="127">
        <f t="shared" si="240"/>
        <v>-3.602091816</v>
      </c>
      <c r="CP50" s="127">
        <f t="shared" si="241"/>
        <v>-3.420761485</v>
      </c>
      <c r="CQ50" s="127">
        <f t="shared" si="242"/>
        <v>-0.1813303314</v>
      </c>
      <c r="CR50" s="127">
        <f t="shared" ref="CR50:CT50" si="282">if($X50,CO50*$BN50,"")</f>
        <v>-2.191272521</v>
      </c>
      <c r="CS50" s="127">
        <f t="shared" si="282"/>
        <v>-2.080963237</v>
      </c>
      <c r="CT50" s="127">
        <f t="shared" si="282"/>
        <v>-0.110309285</v>
      </c>
      <c r="CU50" s="211">
        <f t="shared" si="244"/>
        <v>-0.01188543725</v>
      </c>
      <c r="CV50" s="212">
        <f t="shared" si="245"/>
        <v>-3.650803899</v>
      </c>
      <c r="CW50" s="213" t="str">
        <f t="shared" si="246"/>
        <v>#N/A</v>
      </c>
      <c r="CX50" s="212">
        <f t="shared" si="247"/>
        <v>-0.2</v>
      </c>
    </row>
    <row r="51">
      <c r="A51" s="202" t="s">
        <v>148</v>
      </c>
      <c r="B51" s="203">
        <v>1.1888888888888889</v>
      </c>
      <c r="C51" s="204">
        <v>2.0</v>
      </c>
      <c r="D51" s="204">
        <v>11.0</v>
      </c>
      <c r="E51" s="204">
        <v>0.182</v>
      </c>
      <c r="F51" s="204">
        <v>0.0</v>
      </c>
      <c r="G51" s="204">
        <v>5.0</v>
      </c>
      <c r="H51" s="204">
        <v>0.0</v>
      </c>
      <c r="I51" s="204">
        <v>4.0</v>
      </c>
      <c r="J51" s="204">
        <v>4.0</v>
      </c>
      <c r="K51" s="204">
        <v>1.0</v>
      </c>
      <c r="L51" s="204">
        <v>0.0</v>
      </c>
      <c r="M51" s="204">
        <v>2.0</v>
      </c>
      <c r="N51" s="204">
        <v>2.0</v>
      </c>
      <c r="O51" s="204">
        <v>0.0</v>
      </c>
      <c r="P51" s="204">
        <v>0.0</v>
      </c>
      <c r="Q51" s="204">
        <v>0.0</v>
      </c>
      <c r="R51" s="204">
        <v>1.0</v>
      </c>
      <c r="S51" s="204">
        <v>3.0</v>
      </c>
      <c r="T51" s="204">
        <v>8.0</v>
      </c>
      <c r="U51" s="203" t="s">
        <v>411</v>
      </c>
      <c r="V51" s="205">
        <f t="shared" si="194"/>
        <v>28.53333333</v>
      </c>
      <c r="W51" s="206">
        <f t="shared" si="195"/>
        <v>6</v>
      </c>
      <c r="X51" s="207" t="b">
        <f t="shared" si="196"/>
        <v>1</v>
      </c>
      <c r="Y51" s="208">
        <f t="shared" si="197"/>
        <v>12.76</v>
      </c>
      <c r="Z51" s="209">
        <f t="shared" si="198"/>
        <v>0.6269592476</v>
      </c>
      <c r="AA51" s="209">
        <f t="shared" si="199"/>
        <v>8.009358269</v>
      </c>
      <c r="AB51" s="208">
        <f t="shared" si="200"/>
        <v>59.50388889</v>
      </c>
      <c r="AC51" s="113">
        <f t="shared" si="201"/>
        <v>13.46022658</v>
      </c>
      <c r="AD51" s="113">
        <f t="shared" si="202"/>
        <v>18.48618671</v>
      </c>
      <c r="AE51" s="113">
        <f t="shared" si="203"/>
        <v>6.722249713</v>
      </c>
      <c r="AF51" s="113">
        <f t="shared" si="204"/>
        <v>0</v>
      </c>
      <c r="AG51" s="113">
        <f t="shared" si="205"/>
        <v>0</v>
      </c>
      <c r="AH51" s="113">
        <f t="shared" si="206"/>
        <v>1.680562428</v>
      </c>
      <c r="AI51" s="113">
        <f t="shared" ref="AI51:AK51" si="283">if($X51,L51/$AB51*100,"")</f>
        <v>0</v>
      </c>
      <c r="AJ51" s="113">
        <f t="shared" si="283"/>
        <v>3.361124856</v>
      </c>
      <c r="AK51" s="113">
        <f t="shared" si="283"/>
        <v>3.361124856</v>
      </c>
      <c r="AL51" s="113">
        <f t="shared" ref="AL51:AM51" si="284">if($X51,P51/$AB51*100,"")</f>
        <v>0</v>
      </c>
      <c r="AM51" s="113">
        <f t="shared" si="284"/>
        <v>0</v>
      </c>
      <c r="AN51" s="113">
        <f t="shared" si="209"/>
        <v>5.041687285</v>
      </c>
      <c r="AO51" s="114">
        <f t="shared" si="210"/>
        <v>0.5944444444</v>
      </c>
      <c r="AP51" s="118">
        <f t="array" ref="AP51">if($X51,index('BPM 2.0 Season CLE 2017'!$BM$14:$BM$31,match($A51,'BPM 2.0 Season CLE 2017'!$B$14:$B$31,false)),"")</f>
        <v>2.919503981</v>
      </c>
      <c r="AQ51" s="118">
        <f t="array" ref="AQ51">if($X51,index('BPM 2.0 Season CLE 2017'!$BY$14:$BY$31,match($A51,'BPM 2.0 Season CLE 2017'!$B$14:$B$31,false)),"")</f>
        <v>4.075036524</v>
      </c>
      <c r="AR51" s="214">
        <f t="array" ref="AR51">if($X51,index('BPM 2.0 Season CLE 2017'!$EC$14:$EC$36,(match(AU51,'BPM 2.0 Season CLE 2017'!$CU$14:$CU$36,false))),"")</f>
        <v>-3.244123068</v>
      </c>
      <c r="AS51" s="214">
        <f t="array" ref="AS51">if($X51,index('BPM 2.0 Season CLE 2017'!$ED$14:$ED$36,(match(AU51,'BPM 2.0 Season CLE 2017'!$CU$14:$CU$36,false))),"")</f>
        <v>-2.595575832</v>
      </c>
      <c r="AT51" s="214">
        <f t="shared" si="211"/>
        <v>-0.6485472358</v>
      </c>
      <c r="AU51" s="61" t="str">
        <f t="shared" si="212"/>
        <v>Richard Jefferson</v>
      </c>
      <c r="AV51" s="121">
        <f t="shared" si="213"/>
        <v>0.86</v>
      </c>
      <c r="AW51" s="122">
        <f t="shared" ref="AW51:AX51" si="285">if($X51,(5-$AQ51)/4*AW$3+($AQ51-1)/4*AW$4,"")</f>
        <v>-0.7291270088</v>
      </c>
      <c r="AX51" s="122">
        <f t="shared" si="285"/>
        <v>-0.3208158839</v>
      </c>
      <c r="AY51" s="121">
        <f t="shared" ref="AY51:BG51" si="286">if($X51,(5-$AP51)/4*AY$3+($AP51-1)/4*AY$4,"")</f>
        <v>0.389</v>
      </c>
      <c r="AZ51" s="121">
        <f t="shared" si="286"/>
        <v>0.7978637018</v>
      </c>
      <c r="BA51" s="121">
        <f t="shared" si="286"/>
        <v>-0.964</v>
      </c>
      <c r="BB51" s="121">
        <f t="shared" si="286"/>
        <v>0.4056935701</v>
      </c>
      <c r="BC51" s="121">
        <f t="shared" si="286"/>
        <v>0.1471919397</v>
      </c>
      <c r="BD51" s="121">
        <f t="shared" si="286"/>
        <v>0</v>
      </c>
      <c r="BE51" s="121">
        <f t="shared" si="286"/>
        <v>1.195764766</v>
      </c>
      <c r="BF51" s="121">
        <f t="shared" si="286"/>
        <v>1.027557379</v>
      </c>
      <c r="BG51" s="121">
        <f t="shared" si="286"/>
        <v>-0.367</v>
      </c>
      <c r="BH51" s="118">
        <f t="shared" si="216"/>
        <v>-4.059587644</v>
      </c>
      <c r="BI51" s="118">
        <f t="shared" si="217"/>
        <v>-1.620062181</v>
      </c>
      <c r="BJ51" s="118">
        <f t="shared" si="218"/>
        <v>0.4947304871</v>
      </c>
      <c r="BK51" s="118">
        <f t="shared" si="219"/>
        <v>-1.850299233</v>
      </c>
      <c r="BL51" s="118">
        <f t="shared" si="220"/>
        <v>1.458152787</v>
      </c>
      <c r="BM51" s="124">
        <f t="shared" si="221"/>
        <v>-5.577065784</v>
      </c>
      <c r="BN51" s="114">
        <f t="shared" si="222"/>
        <v>0.5944444444</v>
      </c>
      <c r="BO51" s="118">
        <f t="shared" si="223"/>
        <v>-3.315255772</v>
      </c>
      <c r="BP51" s="125" t="str">
        <f t="shared" si="224"/>
        <v>Richard Jefferson</v>
      </c>
      <c r="BQ51" s="121">
        <f t="shared" si="225"/>
        <v>0.605</v>
      </c>
      <c r="BR51" s="122">
        <f t="shared" ref="BR51:BS51" si="287">if($X51,(5-$AQ51)/4*AW$7+($AQ51-1)/4*AW$8,"")</f>
        <v>-0.4391637966</v>
      </c>
      <c r="BS51" s="122">
        <f t="shared" si="287"/>
        <v>-0.1932320705</v>
      </c>
      <c r="BT51" s="121">
        <f t="shared" ref="BT51:CB51" si="288">if($X51,(5-$AP51)/4*AY$7+($AP51-1)/4*AY$8,"")</f>
        <v>0.477</v>
      </c>
      <c r="BU51" s="121">
        <f t="shared" si="288"/>
        <v>0.476</v>
      </c>
      <c r="BV51" s="121">
        <f t="shared" si="288"/>
        <v>-0.7244024265</v>
      </c>
      <c r="BW51" s="121">
        <f t="shared" si="288"/>
        <v>0.5177028169</v>
      </c>
      <c r="BX51" s="121">
        <f t="shared" si="288"/>
        <v>-0.008826661037</v>
      </c>
      <c r="BY51" s="121">
        <f t="shared" si="288"/>
        <v>0</v>
      </c>
      <c r="BZ51" s="121">
        <f t="shared" si="288"/>
        <v>0.2331454914</v>
      </c>
      <c r="CA51" s="121">
        <f t="shared" si="288"/>
        <v>0.423637875</v>
      </c>
      <c r="CB51" s="121">
        <f t="shared" si="288"/>
        <v>-0.439</v>
      </c>
      <c r="CC51" s="118">
        <f t="shared" si="228"/>
        <v>-1.273981089</v>
      </c>
      <c r="CD51" s="118">
        <f t="shared" si="229"/>
        <v>-1.217403501</v>
      </c>
      <c r="CE51" s="118">
        <f t="shared" si="230"/>
        <v>-0.02966750981</v>
      </c>
      <c r="CF51" s="118">
        <f t="shared" si="231"/>
        <v>-2.213300718</v>
      </c>
      <c r="CG51" s="118">
        <f t="shared" si="232"/>
        <v>0.3939245849</v>
      </c>
      <c r="CH51" s="124">
        <f t="shared" si="233"/>
        <v>-4.340428233</v>
      </c>
      <c r="CI51" s="114">
        <f t="shared" si="234"/>
        <v>0.5944444444</v>
      </c>
      <c r="CJ51" s="118">
        <f t="shared" si="235"/>
        <v>-2.58014345</v>
      </c>
      <c r="CK51" s="126" t="str">
        <f t="shared" si="236"/>
        <v>Richard Jefferson</v>
      </c>
      <c r="CL51" s="127">
        <f t="shared" si="237"/>
        <v>2.919503981</v>
      </c>
      <c r="CM51" s="127">
        <f t="shared" si="238"/>
        <v>4.075036524</v>
      </c>
      <c r="CN51" s="128">
        <f t="shared" si="239"/>
        <v>28.53333333</v>
      </c>
      <c r="CO51" s="127">
        <f t="shared" si="240"/>
        <v>-13.70206016</v>
      </c>
      <c r="CP51" s="127">
        <f t="shared" si="241"/>
        <v>-9.768527353</v>
      </c>
      <c r="CQ51" s="127">
        <f t="shared" si="242"/>
        <v>-3.933532811</v>
      </c>
      <c r="CR51" s="127">
        <f t="shared" ref="CR51:CT51" si="289">if($X51,CO51*$BN51,"")</f>
        <v>-8.145113542</v>
      </c>
      <c r="CS51" s="127">
        <f t="shared" si="289"/>
        <v>-5.806846815</v>
      </c>
      <c r="CT51" s="127">
        <f t="shared" si="289"/>
        <v>-2.338266727</v>
      </c>
      <c r="CU51" s="211">
        <f t="shared" si="244"/>
        <v>-0.08483200796</v>
      </c>
      <c r="CV51" s="212">
        <f t="shared" si="245"/>
        <v>-9.577326156</v>
      </c>
      <c r="CW51" s="213" t="str">
        <f t="shared" si="246"/>
        <v>#N/A</v>
      </c>
      <c r="CX51" s="212">
        <f t="shared" si="247"/>
        <v>0.6</v>
      </c>
    </row>
    <row r="52">
      <c r="A52" s="202" t="s">
        <v>149</v>
      </c>
      <c r="B52" s="203">
        <v>0.6881944444444444</v>
      </c>
      <c r="C52" s="204">
        <v>4.0</v>
      </c>
      <c r="D52" s="204">
        <v>7.0</v>
      </c>
      <c r="E52" s="204">
        <v>0.571</v>
      </c>
      <c r="F52" s="204">
        <v>2.0</v>
      </c>
      <c r="G52" s="204">
        <v>5.0</v>
      </c>
      <c r="H52" s="204">
        <v>0.4</v>
      </c>
      <c r="I52" s="204">
        <v>0.0</v>
      </c>
      <c r="J52" s="204">
        <v>0.0</v>
      </c>
      <c r="K52" s="204"/>
      <c r="L52" s="204">
        <v>0.0</v>
      </c>
      <c r="M52" s="204">
        <v>2.0</v>
      </c>
      <c r="N52" s="204">
        <v>2.0</v>
      </c>
      <c r="O52" s="204">
        <v>0.0</v>
      </c>
      <c r="P52" s="204">
        <v>0.0</v>
      </c>
      <c r="Q52" s="204">
        <v>0.0</v>
      </c>
      <c r="R52" s="204">
        <v>3.0</v>
      </c>
      <c r="S52" s="204">
        <v>2.0</v>
      </c>
      <c r="T52" s="204">
        <v>10.0</v>
      </c>
      <c r="U52" s="203">
        <v>-3.0</v>
      </c>
      <c r="V52" s="205">
        <f t="shared" si="194"/>
        <v>16.51666667</v>
      </c>
      <c r="W52" s="206">
        <f t="shared" si="195"/>
        <v>-3</v>
      </c>
      <c r="X52" s="207" t="b">
        <f t="shared" si="196"/>
        <v>1</v>
      </c>
      <c r="Y52" s="208">
        <f t="shared" si="197"/>
        <v>7</v>
      </c>
      <c r="Z52" s="209">
        <f t="shared" si="198"/>
        <v>1.428571429</v>
      </c>
      <c r="AA52" s="209">
        <f t="shared" si="199"/>
        <v>10.00513385</v>
      </c>
      <c r="AB52" s="208">
        <f t="shared" si="200"/>
        <v>34.44413194</v>
      </c>
      <c r="AC52" s="113">
        <f t="shared" si="201"/>
        <v>29.04742632</v>
      </c>
      <c r="AD52" s="113">
        <f t="shared" si="202"/>
        <v>20.32276503</v>
      </c>
      <c r="AE52" s="113">
        <f t="shared" si="203"/>
        <v>0</v>
      </c>
      <c r="AF52" s="113">
        <f t="shared" si="204"/>
        <v>5.806504293</v>
      </c>
      <c r="AG52" s="113">
        <f t="shared" si="205"/>
        <v>0</v>
      </c>
      <c r="AH52" s="113">
        <f t="shared" si="206"/>
        <v>8.709756439</v>
      </c>
      <c r="AI52" s="113">
        <f t="shared" ref="AI52:AK52" si="290">if($X52,L52/$AB52*100,"")</f>
        <v>0</v>
      </c>
      <c r="AJ52" s="113">
        <f t="shared" si="290"/>
        <v>5.806504293</v>
      </c>
      <c r="AK52" s="113">
        <f t="shared" si="290"/>
        <v>5.806504293</v>
      </c>
      <c r="AL52" s="113">
        <f t="shared" ref="AL52:AM52" si="291">if($X52,P52/$AB52*100,"")</f>
        <v>0</v>
      </c>
      <c r="AM52" s="113">
        <f t="shared" si="291"/>
        <v>0</v>
      </c>
      <c r="AN52" s="113">
        <f t="shared" si="209"/>
        <v>5.806504293</v>
      </c>
      <c r="AO52" s="114">
        <f t="shared" si="210"/>
        <v>0.3440972222</v>
      </c>
      <c r="AP52" s="118">
        <f t="array" ref="AP52">if($X52,index('BPM 2.0 Season CLE 2017'!$BM$14:$BM$31,match($A52,'BPM 2.0 Season CLE 2017'!$B$14:$B$31,false)),"")</f>
        <v>4.13775811</v>
      </c>
      <c r="AQ52" s="118">
        <f t="array" ref="AQ52">if($X52,index('BPM 2.0 Season CLE 2017'!$BY$14:$BY$31,match($A52,'BPM 2.0 Season CLE 2017'!$B$14:$B$31,false)),"")</f>
        <v>3.290976458</v>
      </c>
      <c r="AR52" s="214">
        <f t="array" ref="AR52">if($X52,index('BPM 2.0 Season CLE 2017'!$EC$14:$EC$36,(match(AU52,'BPM 2.0 Season CLE 2017'!$CU$14:$CU$36,false))),"")</f>
        <v>0.9846227458</v>
      </c>
      <c r="AS52" s="214">
        <f t="array" ref="AS52">if($X52,index('BPM 2.0 Season CLE 2017'!$ED$14:$ED$36,(match(AU52,'BPM 2.0 Season CLE 2017'!$CU$14:$CU$36,false))),"")</f>
        <v>1.400819185</v>
      </c>
      <c r="AT52" s="214">
        <f t="shared" si="211"/>
        <v>-0.416196439</v>
      </c>
      <c r="AU52" s="61" t="str">
        <f t="shared" si="212"/>
        <v>Channing Frye</v>
      </c>
      <c r="AV52" s="121">
        <f t="shared" si="213"/>
        <v>0.86</v>
      </c>
      <c r="AW52" s="122">
        <f t="shared" ref="AW52:AX52" si="292">if($X52,(5-$AQ52)/4*AW$3+($AQ52-1)/4*AW$4,"")</f>
        <v>-0.6860037052</v>
      </c>
      <c r="AX52" s="122">
        <f t="shared" si="292"/>
        <v>-0.3018416303</v>
      </c>
      <c r="AY52" s="121">
        <f t="shared" ref="AY52:BG52" si="293">if($X52,(5-$AP52)/4*AY$3+($AP52-1)/4*AY$4,"")</f>
        <v>0.389</v>
      </c>
      <c r="AZ52" s="121">
        <f t="shared" si="293"/>
        <v>0.9361355454</v>
      </c>
      <c r="BA52" s="121">
        <f t="shared" si="293"/>
        <v>-0.964</v>
      </c>
      <c r="BB52" s="121">
        <f t="shared" si="293"/>
        <v>0.2741221242</v>
      </c>
      <c r="BC52" s="121">
        <f t="shared" si="293"/>
        <v>0.1669885693</v>
      </c>
      <c r="BD52" s="121">
        <f t="shared" si="293"/>
        <v>0</v>
      </c>
      <c r="BE52" s="121">
        <f t="shared" si="293"/>
        <v>1.085817331</v>
      </c>
      <c r="BF52" s="121">
        <f t="shared" si="293"/>
        <v>0.8375097349</v>
      </c>
      <c r="BG52" s="121">
        <f t="shared" si="293"/>
        <v>-0.367</v>
      </c>
      <c r="BH52" s="118">
        <f t="shared" si="216"/>
        <v>13.29802469</v>
      </c>
      <c r="BI52" s="118">
        <f t="shared" si="217"/>
        <v>-8.396205208</v>
      </c>
      <c r="BJ52" s="118">
        <f t="shared" si="218"/>
        <v>0.9696198444</v>
      </c>
      <c r="BK52" s="118">
        <f t="shared" si="219"/>
        <v>-2.130987075</v>
      </c>
      <c r="BL52" s="118">
        <f t="shared" si="220"/>
        <v>0.4035843474</v>
      </c>
      <c r="BM52" s="124">
        <f t="shared" si="221"/>
        <v>4.144036603</v>
      </c>
      <c r="BN52" s="114">
        <f t="shared" si="222"/>
        <v>0.3440972222</v>
      </c>
      <c r="BO52" s="118">
        <f t="shared" si="223"/>
        <v>1.425951484</v>
      </c>
      <c r="BP52" s="125" t="str">
        <f t="shared" si="224"/>
        <v>Channing Frye</v>
      </c>
      <c r="BQ52" s="121">
        <f t="shared" si="225"/>
        <v>0.605</v>
      </c>
      <c r="BR52" s="122">
        <f t="shared" ref="BR52:BS52" si="294">if($X52,(5-$AQ52)/4*AW$7+($AQ52-1)/4*AW$8,"")</f>
        <v>-0.4113296643</v>
      </c>
      <c r="BS52" s="122">
        <f t="shared" si="294"/>
        <v>-0.1809850523</v>
      </c>
      <c r="BT52" s="121">
        <f t="shared" ref="BT52:CB52" si="295">if($X52,(5-$AP52)/4*AY$7+($AP52-1)/4*AY$8,"")</f>
        <v>0.477</v>
      </c>
      <c r="BU52" s="121">
        <f t="shared" si="295"/>
        <v>0.476</v>
      </c>
      <c r="BV52" s="121">
        <f t="shared" si="295"/>
        <v>-0.8166851768</v>
      </c>
      <c r="BW52" s="121">
        <f t="shared" si="295"/>
        <v>0.461663127</v>
      </c>
      <c r="BX52" s="121">
        <f t="shared" si="295"/>
        <v>0.05665449839</v>
      </c>
      <c r="BY52" s="121">
        <f t="shared" si="295"/>
        <v>0</v>
      </c>
      <c r="BZ52" s="121">
        <f t="shared" si="295"/>
        <v>0.2687794247</v>
      </c>
      <c r="CA52" s="121">
        <f t="shared" si="295"/>
        <v>0.2323719768</v>
      </c>
      <c r="CB52" s="121">
        <f t="shared" si="295"/>
        <v>-0.439</v>
      </c>
      <c r="CC52" s="118">
        <f t="shared" si="228"/>
        <v>11.98403935</v>
      </c>
      <c r="CD52" s="118">
        <f t="shared" si="229"/>
        <v>-7.113128977</v>
      </c>
      <c r="CE52" s="118">
        <f t="shared" si="230"/>
        <v>0.3289645881</v>
      </c>
      <c r="CF52" s="118">
        <f t="shared" si="231"/>
        <v>-2.549055385</v>
      </c>
      <c r="CG52" s="118">
        <f t="shared" si="232"/>
        <v>0.125119877</v>
      </c>
      <c r="CH52" s="124">
        <f t="shared" si="233"/>
        <v>2.775939457</v>
      </c>
      <c r="CI52" s="114">
        <f t="shared" si="234"/>
        <v>0.3440972222</v>
      </c>
      <c r="CJ52" s="118">
        <f t="shared" si="235"/>
        <v>0.9551930563</v>
      </c>
      <c r="CK52" s="126" t="str">
        <f t="shared" si="236"/>
        <v>Channing Frye</v>
      </c>
      <c r="CL52" s="127">
        <f t="shared" si="237"/>
        <v>4.13775811</v>
      </c>
      <c r="CM52" s="127">
        <f t="shared" si="238"/>
        <v>3.290976458</v>
      </c>
      <c r="CN52" s="128">
        <f t="shared" si="239"/>
        <v>16.51666667</v>
      </c>
      <c r="CO52" s="127">
        <f t="shared" si="240"/>
        <v>-3.980957776</v>
      </c>
      <c r="CP52" s="127">
        <f t="shared" si="241"/>
        <v>-2.652159663</v>
      </c>
      <c r="CQ52" s="127">
        <f t="shared" si="242"/>
        <v>-1.328798113</v>
      </c>
      <c r="CR52" s="127">
        <f t="shared" ref="CR52:CT52" si="296">if($X52,CO52*$BN52,"")</f>
        <v>-1.369836513</v>
      </c>
      <c r="CS52" s="127">
        <f t="shared" si="296"/>
        <v>-0.9126007729</v>
      </c>
      <c r="CT52" s="127">
        <f t="shared" si="296"/>
        <v>-0.4572357397</v>
      </c>
      <c r="CU52" s="211">
        <f t="shared" si="244"/>
        <v>-0.008312708148</v>
      </c>
      <c r="CV52" s="212">
        <f t="shared" si="245"/>
        <v>-2.195535142</v>
      </c>
      <c r="CW52" s="213" t="str">
        <f t="shared" si="246"/>
        <v>#N/A</v>
      </c>
      <c r="CX52" s="212">
        <f t="shared" si="247"/>
        <v>-0.3</v>
      </c>
    </row>
    <row r="53">
      <c r="A53" s="202" t="s">
        <v>158</v>
      </c>
      <c r="B53" s="203" t="s">
        <v>406</v>
      </c>
      <c r="C53" s="204"/>
      <c r="D53" s="204"/>
      <c r="E53" s="204"/>
      <c r="F53" s="204"/>
      <c r="G53" s="204"/>
      <c r="H53" s="204"/>
      <c r="I53" s="204"/>
      <c r="J53" s="204"/>
      <c r="K53" s="204"/>
      <c r="L53" s="204"/>
      <c r="M53" s="204"/>
      <c r="N53" s="204"/>
      <c r="O53" s="204"/>
      <c r="P53" s="204"/>
      <c r="Q53" s="204"/>
      <c r="R53" s="204"/>
      <c r="S53" s="204"/>
      <c r="T53" s="204"/>
      <c r="U53" s="203"/>
      <c r="V53" s="205" t="str">
        <f t="shared" si="194"/>
        <v/>
      </c>
      <c r="W53" s="206" t="str">
        <f t="shared" si="195"/>
        <v/>
      </c>
      <c r="X53" s="207" t="b">
        <f t="shared" si="196"/>
        <v>0</v>
      </c>
      <c r="Y53" s="208" t="str">
        <f t="shared" si="197"/>
        <v/>
      </c>
      <c r="Z53" s="209" t="str">
        <f t="shared" si="198"/>
        <v/>
      </c>
      <c r="AA53" s="209" t="str">
        <f t="shared" si="199"/>
        <v/>
      </c>
      <c r="AB53" s="208" t="str">
        <f t="shared" si="200"/>
        <v/>
      </c>
      <c r="AC53" s="113" t="str">
        <f t="shared" si="201"/>
        <v/>
      </c>
      <c r="AD53" s="113" t="str">
        <f t="shared" si="202"/>
        <v/>
      </c>
      <c r="AE53" s="113" t="str">
        <f t="shared" si="203"/>
        <v/>
      </c>
      <c r="AF53" s="113" t="str">
        <f t="shared" si="204"/>
        <v/>
      </c>
      <c r="AG53" s="113" t="str">
        <f t="shared" si="205"/>
        <v/>
      </c>
      <c r="AH53" s="113" t="str">
        <f t="shared" si="206"/>
        <v/>
      </c>
      <c r="AI53" s="113" t="str">
        <f t="shared" ref="AI53:AK53" si="297">if($X53,L53/$AB53*100,"")</f>
        <v/>
      </c>
      <c r="AJ53" s="113" t="str">
        <f t="shared" si="297"/>
        <v/>
      </c>
      <c r="AK53" s="113" t="str">
        <f t="shared" si="297"/>
        <v/>
      </c>
      <c r="AL53" s="113" t="str">
        <f t="shared" ref="AL53:AM53" si="298">if($X53,P53/$AB53*100,"")</f>
        <v/>
      </c>
      <c r="AM53" s="113" t="str">
        <f t="shared" si="298"/>
        <v/>
      </c>
      <c r="AN53" s="113" t="str">
        <f t="shared" si="209"/>
        <v/>
      </c>
      <c r="AO53" s="114" t="str">
        <f t="shared" si="210"/>
        <v/>
      </c>
      <c r="AP53" s="118" t="str">
        <f t="array" ref="AP53">if($X53,index('BPM 2.0 Season CLE 2017'!$BM$14:$BM$31,match($A53,'BPM 2.0 Season CLE 2017'!$B$14:$B$31,false)),"")</f>
        <v/>
      </c>
      <c r="AQ53" s="118" t="str">
        <f t="array" ref="AQ53">if($X53,index('BPM 2.0 Season CLE 2017'!$BY$14:$BY$31,match($A53,'BPM 2.0 Season CLE 2017'!$B$14:$B$31,false)),"")</f>
        <v/>
      </c>
      <c r="AR53" s="214" t="str">
        <f t="array" ref="AR53">if($X53,index('BPM 2.0 Season CLE 2017'!$EC$14:$EC$36,(match(AU53,'BPM 2.0 Season CLE 2017'!$CU$14:$CU$36,false))),"")</f>
        <v/>
      </c>
      <c r="AS53" s="214" t="str">
        <f t="array" ref="AS53">if($X53,index('BPM 2.0 Season CLE 2017'!$ED$14:$ED$36,(match(AU53,'BPM 2.0 Season CLE 2017'!$CU$14:$CU$36,false))),"")</f>
        <v/>
      </c>
      <c r="AT53" s="214" t="str">
        <f t="shared" si="211"/>
        <v/>
      </c>
      <c r="AU53" s="61" t="str">
        <f t="shared" si="212"/>
        <v>Mike Dunleavy</v>
      </c>
      <c r="AV53" s="121" t="str">
        <f t="shared" si="213"/>
        <v/>
      </c>
      <c r="AW53" s="122" t="str">
        <f t="shared" ref="AW53:AX53" si="299">if($X53,(5-$AQ53)/4*AW$3+($AQ53-1)/4*AW$4,"")</f>
        <v/>
      </c>
      <c r="AX53" s="122" t="str">
        <f t="shared" si="299"/>
        <v/>
      </c>
      <c r="AY53" s="121" t="str">
        <f t="shared" ref="AY53:BG53" si="300">if($X53,(5-$AP53)/4*AY$3+($AP53-1)/4*AY$4,"")</f>
        <v/>
      </c>
      <c r="AZ53" s="121" t="str">
        <f t="shared" si="300"/>
        <v/>
      </c>
      <c r="BA53" s="121" t="str">
        <f t="shared" si="300"/>
        <v/>
      </c>
      <c r="BB53" s="121" t="str">
        <f t="shared" si="300"/>
        <v/>
      </c>
      <c r="BC53" s="121" t="str">
        <f t="shared" si="300"/>
        <v/>
      </c>
      <c r="BD53" s="121" t="str">
        <f t="shared" si="300"/>
        <v/>
      </c>
      <c r="BE53" s="121" t="str">
        <f t="shared" si="300"/>
        <v/>
      </c>
      <c r="BF53" s="121" t="str">
        <f t="shared" si="300"/>
        <v/>
      </c>
      <c r="BG53" s="121" t="str">
        <f t="shared" si="300"/>
        <v/>
      </c>
      <c r="BH53" s="118">
        <f t="shared" si="216"/>
        <v>0</v>
      </c>
      <c r="BI53" s="118">
        <f t="shared" si="217"/>
        <v>0</v>
      </c>
      <c r="BJ53" s="118">
        <f t="shared" si="218"/>
        <v>0</v>
      </c>
      <c r="BK53" s="118">
        <f t="shared" si="219"/>
        <v>0</v>
      </c>
      <c r="BL53" s="118">
        <f t="shared" si="220"/>
        <v>-4.161</v>
      </c>
      <c r="BM53" s="124">
        <f t="shared" si="221"/>
        <v>-4.161</v>
      </c>
      <c r="BN53" s="114" t="str">
        <f t="shared" si="222"/>
        <v/>
      </c>
      <c r="BO53" s="118">
        <f t="shared" si="223"/>
        <v>0</v>
      </c>
      <c r="BP53" s="125" t="str">
        <f t="shared" si="224"/>
        <v>Mike Dunleavy</v>
      </c>
      <c r="BQ53" s="121" t="str">
        <f t="shared" si="225"/>
        <v/>
      </c>
      <c r="BR53" s="122" t="str">
        <f t="shared" ref="BR53:BS53" si="301">if($X53,(5-$AQ53)/4*AW$7+($AQ53-1)/4*AW$8,"")</f>
        <v/>
      </c>
      <c r="BS53" s="122" t="str">
        <f t="shared" si="301"/>
        <v/>
      </c>
      <c r="BT53" s="121" t="str">
        <f t="shared" ref="BT53:CB53" si="302">if($X53,(5-$AP53)/4*AY$7+($AP53-1)/4*AY$8,"")</f>
        <v/>
      </c>
      <c r="BU53" s="121" t="str">
        <f t="shared" si="302"/>
        <v/>
      </c>
      <c r="BV53" s="121" t="str">
        <f t="shared" si="302"/>
        <v/>
      </c>
      <c r="BW53" s="121" t="str">
        <f t="shared" si="302"/>
        <v/>
      </c>
      <c r="BX53" s="121" t="str">
        <f t="shared" si="302"/>
        <v/>
      </c>
      <c r="BY53" s="121" t="str">
        <f t="shared" si="302"/>
        <v/>
      </c>
      <c r="BZ53" s="121" t="str">
        <f t="shared" si="302"/>
        <v/>
      </c>
      <c r="CA53" s="121" t="str">
        <f t="shared" si="302"/>
        <v/>
      </c>
      <c r="CB53" s="121" t="str">
        <f t="shared" si="302"/>
        <v/>
      </c>
      <c r="CC53" s="118">
        <f t="shared" si="228"/>
        <v>0</v>
      </c>
      <c r="CD53" s="118">
        <f t="shared" si="229"/>
        <v>0</v>
      </c>
      <c r="CE53" s="118">
        <f t="shared" si="230"/>
        <v>0</v>
      </c>
      <c r="CF53" s="118">
        <f t="shared" si="231"/>
        <v>0</v>
      </c>
      <c r="CG53" s="118">
        <f t="shared" si="232"/>
        <v>-1.29</v>
      </c>
      <c r="CH53" s="124">
        <f t="shared" si="233"/>
        <v>-1.29</v>
      </c>
      <c r="CI53" s="114" t="str">
        <f t="shared" si="234"/>
        <v/>
      </c>
      <c r="CJ53" s="118">
        <f t="shared" si="235"/>
        <v>0</v>
      </c>
      <c r="CK53" s="126" t="str">
        <f t="shared" si="236"/>
        <v/>
      </c>
      <c r="CL53" s="127" t="str">
        <f t="shared" si="237"/>
        <v/>
      </c>
      <c r="CM53" s="127" t="str">
        <f t="shared" si="238"/>
        <v/>
      </c>
      <c r="CN53" s="128" t="str">
        <f t="shared" si="239"/>
        <v/>
      </c>
      <c r="CO53" s="217" t="str">
        <f t="shared" si="240"/>
        <v/>
      </c>
      <c r="CP53" s="127" t="str">
        <f t="shared" si="241"/>
        <v/>
      </c>
      <c r="CQ53" s="127" t="str">
        <f t="shared" si="242"/>
        <v/>
      </c>
      <c r="CR53" s="127" t="str">
        <f t="shared" ref="CR53:CT53" si="303">if($X53,CO53*$BN53,"")</f>
        <v/>
      </c>
      <c r="CS53" s="127" t="str">
        <f t="shared" si="303"/>
        <v/>
      </c>
      <c r="CT53" s="127" t="str">
        <f t="shared" si="303"/>
        <v/>
      </c>
      <c r="CU53" s="211" t="str">
        <f t="shared" si="244"/>
        <v/>
      </c>
      <c r="CV53" s="212" t="str">
        <f t="shared" si="245"/>
        <v/>
      </c>
      <c r="CW53" s="213" t="str">
        <f t="shared" si="246"/>
        <v>#N/A</v>
      </c>
      <c r="CX53" s="212" t="str">
        <f t="shared" si="247"/>
        <v/>
      </c>
    </row>
    <row r="54">
      <c r="A54" s="202" t="s">
        <v>155</v>
      </c>
      <c r="B54" s="203" t="s">
        <v>406</v>
      </c>
      <c r="C54" s="204"/>
      <c r="D54" s="204"/>
      <c r="E54" s="204"/>
      <c r="F54" s="204"/>
      <c r="G54" s="204"/>
      <c r="H54" s="204"/>
      <c r="I54" s="204"/>
      <c r="J54" s="204"/>
      <c r="K54" s="204"/>
      <c r="L54" s="204"/>
      <c r="M54" s="204"/>
      <c r="N54" s="204"/>
      <c r="O54" s="204"/>
      <c r="P54" s="204"/>
      <c r="Q54" s="204"/>
      <c r="R54" s="204"/>
      <c r="S54" s="204"/>
      <c r="T54" s="204"/>
      <c r="U54" s="203"/>
      <c r="V54" s="205" t="str">
        <f t="shared" si="194"/>
        <v/>
      </c>
      <c r="W54" s="206" t="str">
        <f t="shared" si="195"/>
        <v/>
      </c>
      <c r="X54" s="207" t="b">
        <f t="shared" si="196"/>
        <v>0</v>
      </c>
      <c r="Y54" s="208" t="str">
        <f t="shared" si="197"/>
        <v/>
      </c>
      <c r="Z54" s="209" t="str">
        <f t="shared" si="198"/>
        <v/>
      </c>
      <c r="AA54" s="209" t="str">
        <f t="shared" si="199"/>
        <v/>
      </c>
      <c r="AB54" s="208" t="str">
        <f t="shared" si="200"/>
        <v/>
      </c>
      <c r="AC54" s="113" t="str">
        <f t="shared" si="201"/>
        <v/>
      </c>
      <c r="AD54" s="113" t="str">
        <f t="shared" si="202"/>
        <v/>
      </c>
      <c r="AE54" s="113" t="str">
        <f t="shared" si="203"/>
        <v/>
      </c>
      <c r="AF54" s="113" t="str">
        <f t="shared" si="204"/>
        <v/>
      </c>
      <c r="AG54" s="113" t="str">
        <f t="shared" si="205"/>
        <v/>
      </c>
      <c r="AH54" s="113" t="str">
        <f t="shared" si="206"/>
        <v/>
      </c>
      <c r="AI54" s="113" t="str">
        <f t="shared" ref="AI54:AK54" si="304">if($X54,L54/$AB54*100,"")</f>
        <v/>
      </c>
      <c r="AJ54" s="113" t="str">
        <f t="shared" si="304"/>
        <v/>
      </c>
      <c r="AK54" s="113" t="str">
        <f t="shared" si="304"/>
        <v/>
      </c>
      <c r="AL54" s="113" t="str">
        <f t="shared" ref="AL54:AM54" si="305">if($X54,P54/$AB54*100,"")</f>
        <v/>
      </c>
      <c r="AM54" s="113" t="str">
        <f t="shared" si="305"/>
        <v/>
      </c>
      <c r="AN54" s="113" t="str">
        <f t="shared" si="209"/>
        <v/>
      </c>
      <c r="AO54" s="114" t="str">
        <f t="shared" si="210"/>
        <v/>
      </c>
      <c r="AP54" s="118" t="str">
        <f t="array" ref="AP54">if($X54,index('BPM 2.0 Season CLE 2017'!$BM$14:$BM$31,match($A54,'BPM 2.0 Season CLE 2017'!$B$14:$B$31,false)),"")</f>
        <v/>
      </c>
      <c r="AQ54" s="118" t="str">
        <f t="array" ref="AQ54">if($X54,index('BPM 2.0 Season CLE 2017'!$BY$14:$BY$31,match($A54,'BPM 2.0 Season CLE 2017'!$B$14:$B$31,false)),"")</f>
        <v/>
      </c>
      <c r="AR54" s="214" t="str">
        <f t="array" ref="AR54">if($X54,index('BPM 2.0 Season CLE 2017'!$EC$14:$EC$36,(match(AU54,'BPM 2.0 Season CLE 2017'!$CU$14:$CU$36,false))),"")</f>
        <v/>
      </c>
      <c r="AS54" s="214" t="str">
        <f t="array" ref="AS54">if($X54,index('BPM 2.0 Season CLE 2017'!$ED$14:$ED$36,(match(AU54,'BPM 2.0 Season CLE 2017'!$CU$14:$CU$36,false))),"")</f>
        <v/>
      </c>
      <c r="AT54" s="214" t="str">
        <f t="shared" si="211"/>
        <v/>
      </c>
      <c r="AU54" s="61" t="str">
        <f t="shared" si="212"/>
        <v>Kay Felder</v>
      </c>
      <c r="AV54" s="121" t="str">
        <f t="shared" si="213"/>
        <v/>
      </c>
      <c r="AW54" s="122" t="str">
        <f t="shared" ref="AW54:AX54" si="306">if($X54,(5-$AQ54)/4*AW$3+($AQ54-1)/4*AW$4,"")</f>
        <v/>
      </c>
      <c r="AX54" s="122" t="str">
        <f t="shared" si="306"/>
        <v/>
      </c>
      <c r="AY54" s="121" t="str">
        <f t="shared" ref="AY54:BG54" si="307">if($X54,(5-$AP54)/4*AY$3+($AP54-1)/4*AY$4,"")</f>
        <v/>
      </c>
      <c r="AZ54" s="121" t="str">
        <f t="shared" si="307"/>
        <v/>
      </c>
      <c r="BA54" s="121" t="str">
        <f t="shared" si="307"/>
        <v/>
      </c>
      <c r="BB54" s="121" t="str">
        <f t="shared" si="307"/>
        <v/>
      </c>
      <c r="BC54" s="121" t="str">
        <f t="shared" si="307"/>
        <v/>
      </c>
      <c r="BD54" s="121" t="str">
        <f t="shared" si="307"/>
        <v/>
      </c>
      <c r="BE54" s="121" t="str">
        <f t="shared" si="307"/>
        <v/>
      </c>
      <c r="BF54" s="121" t="str">
        <f t="shared" si="307"/>
        <v/>
      </c>
      <c r="BG54" s="121" t="str">
        <f t="shared" si="307"/>
        <v/>
      </c>
      <c r="BH54" s="118">
        <f t="shared" si="216"/>
        <v>0</v>
      </c>
      <c r="BI54" s="118">
        <f t="shared" si="217"/>
        <v>0</v>
      </c>
      <c r="BJ54" s="118">
        <f t="shared" si="218"/>
        <v>0</v>
      </c>
      <c r="BK54" s="118">
        <f t="shared" si="219"/>
        <v>0</v>
      </c>
      <c r="BL54" s="118">
        <f t="shared" si="220"/>
        <v>-4.161</v>
      </c>
      <c r="BM54" s="124">
        <f t="shared" si="221"/>
        <v>-4.161</v>
      </c>
      <c r="BN54" s="114" t="str">
        <f t="shared" si="222"/>
        <v/>
      </c>
      <c r="BO54" s="118">
        <f t="shared" si="223"/>
        <v>0</v>
      </c>
      <c r="BP54" s="125" t="str">
        <f t="shared" si="224"/>
        <v>Kay Felder</v>
      </c>
      <c r="BQ54" s="121" t="str">
        <f t="shared" si="225"/>
        <v/>
      </c>
      <c r="BR54" s="122" t="str">
        <f t="shared" ref="BR54:BS54" si="308">if($X54,(5-$AQ54)/4*AW$7+($AQ54-1)/4*AW$8,"")</f>
        <v/>
      </c>
      <c r="BS54" s="122" t="str">
        <f t="shared" si="308"/>
        <v/>
      </c>
      <c r="BT54" s="121" t="str">
        <f t="shared" ref="BT54:CB54" si="309">if($X54,(5-$AP54)/4*AY$7+($AP54-1)/4*AY$8,"")</f>
        <v/>
      </c>
      <c r="BU54" s="121" t="str">
        <f t="shared" si="309"/>
        <v/>
      </c>
      <c r="BV54" s="121" t="str">
        <f t="shared" si="309"/>
        <v/>
      </c>
      <c r="BW54" s="121" t="str">
        <f t="shared" si="309"/>
        <v/>
      </c>
      <c r="BX54" s="121" t="str">
        <f t="shared" si="309"/>
        <v/>
      </c>
      <c r="BY54" s="121" t="str">
        <f t="shared" si="309"/>
        <v/>
      </c>
      <c r="BZ54" s="121" t="str">
        <f t="shared" si="309"/>
        <v/>
      </c>
      <c r="CA54" s="121" t="str">
        <f t="shared" si="309"/>
        <v/>
      </c>
      <c r="CB54" s="121" t="str">
        <f t="shared" si="309"/>
        <v/>
      </c>
      <c r="CC54" s="118">
        <f t="shared" si="228"/>
        <v>0</v>
      </c>
      <c r="CD54" s="118">
        <f t="shared" si="229"/>
        <v>0</v>
      </c>
      <c r="CE54" s="118">
        <f t="shared" si="230"/>
        <v>0</v>
      </c>
      <c r="CF54" s="118">
        <f t="shared" si="231"/>
        <v>0</v>
      </c>
      <c r="CG54" s="118">
        <f t="shared" si="232"/>
        <v>-1.29</v>
      </c>
      <c r="CH54" s="124">
        <f t="shared" si="233"/>
        <v>-1.29</v>
      </c>
      <c r="CI54" s="114" t="str">
        <f t="shared" si="234"/>
        <v/>
      </c>
      <c r="CJ54" s="118">
        <f t="shared" si="235"/>
        <v>0</v>
      </c>
      <c r="CK54" s="126" t="str">
        <f t="shared" si="236"/>
        <v/>
      </c>
      <c r="CL54" s="127" t="str">
        <f t="shared" si="237"/>
        <v/>
      </c>
      <c r="CM54" s="127" t="str">
        <f t="shared" si="238"/>
        <v/>
      </c>
      <c r="CN54" s="128" t="str">
        <f t="shared" si="239"/>
        <v/>
      </c>
      <c r="CO54" s="217" t="str">
        <f t="shared" si="240"/>
        <v/>
      </c>
      <c r="CP54" s="127" t="str">
        <f t="shared" si="241"/>
        <v/>
      </c>
      <c r="CQ54" s="127" t="str">
        <f t="shared" si="242"/>
        <v/>
      </c>
      <c r="CR54" s="127" t="str">
        <f t="shared" ref="CR54:CT54" si="310">if($X54,CO54*$BN54,"")</f>
        <v/>
      </c>
      <c r="CS54" s="127" t="str">
        <f t="shared" si="310"/>
        <v/>
      </c>
      <c r="CT54" s="127" t="str">
        <f t="shared" si="310"/>
        <v/>
      </c>
      <c r="CU54" s="211" t="str">
        <f t="shared" si="244"/>
        <v/>
      </c>
      <c r="CV54" s="212" t="str">
        <f t="shared" si="245"/>
        <v/>
      </c>
      <c r="CW54" s="213" t="str">
        <f t="shared" si="246"/>
        <v>#N/A</v>
      </c>
      <c r="CX54" s="212" t="str">
        <f t="shared" si="247"/>
        <v/>
      </c>
    </row>
    <row r="55">
      <c r="A55" s="202" t="s">
        <v>156</v>
      </c>
      <c r="B55" s="203" t="s">
        <v>406</v>
      </c>
      <c r="C55" s="204"/>
      <c r="D55" s="204"/>
      <c r="E55" s="204"/>
      <c r="F55" s="204"/>
      <c r="G55" s="204"/>
      <c r="H55" s="204"/>
      <c r="I55" s="204"/>
      <c r="J55" s="204"/>
      <c r="K55" s="204"/>
      <c r="L55" s="204"/>
      <c r="M55" s="204"/>
      <c r="N55" s="204"/>
      <c r="O55" s="204"/>
      <c r="P55" s="204"/>
      <c r="Q55" s="204"/>
      <c r="R55" s="204"/>
      <c r="S55" s="204"/>
      <c r="T55" s="204"/>
      <c r="U55" s="203"/>
      <c r="V55" s="205" t="str">
        <f t="shared" si="194"/>
        <v/>
      </c>
      <c r="W55" s="206" t="str">
        <f t="shared" si="195"/>
        <v/>
      </c>
      <c r="X55" s="207" t="b">
        <f t="shared" si="196"/>
        <v>0</v>
      </c>
      <c r="Y55" s="208" t="str">
        <f t="shared" si="197"/>
        <v/>
      </c>
      <c r="Z55" s="209" t="str">
        <f t="shared" si="198"/>
        <v/>
      </c>
      <c r="AA55" s="209" t="str">
        <f t="shared" si="199"/>
        <v/>
      </c>
      <c r="AB55" s="208" t="str">
        <f t="shared" si="200"/>
        <v/>
      </c>
      <c r="AC55" s="113" t="str">
        <f t="shared" si="201"/>
        <v/>
      </c>
      <c r="AD55" s="113" t="str">
        <f t="shared" si="202"/>
        <v/>
      </c>
      <c r="AE55" s="113" t="str">
        <f t="shared" si="203"/>
        <v/>
      </c>
      <c r="AF55" s="113" t="str">
        <f t="shared" si="204"/>
        <v/>
      </c>
      <c r="AG55" s="113" t="str">
        <f t="shared" si="205"/>
        <v/>
      </c>
      <c r="AH55" s="113" t="str">
        <f t="shared" si="206"/>
        <v/>
      </c>
      <c r="AI55" s="113" t="str">
        <f t="shared" ref="AI55:AK55" si="311">if($X55,L55/$AB55*100,"")</f>
        <v/>
      </c>
      <c r="AJ55" s="113" t="str">
        <f t="shared" si="311"/>
        <v/>
      </c>
      <c r="AK55" s="113" t="str">
        <f t="shared" si="311"/>
        <v/>
      </c>
      <c r="AL55" s="113" t="str">
        <f t="shared" ref="AL55:AM55" si="312">if($X55,P55/$AB55*100,"")</f>
        <v/>
      </c>
      <c r="AM55" s="113" t="str">
        <f t="shared" si="312"/>
        <v/>
      </c>
      <c r="AN55" s="113" t="str">
        <f t="shared" si="209"/>
        <v/>
      </c>
      <c r="AO55" s="114" t="str">
        <f t="shared" si="210"/>
        <v/>
      </c>
      <c r="AP55" s="118" t="str">
        <f t="array" ref="AP55">if($X55,index('BPM 2.0 Season CLE 2017'!$BM$14:$BM$31,match($A55,'BPM 2.0 Season CLE 2017'!$B$14:$B$31,false)),"")</f>
        <v/>
      </c>
      <c r="AQ55" s="118" t="str">
        <f t="array" ref="AQ55">if($X55,index('BPM 2.0 Season CLE 2017'!$BY$14:$BY$31,match($A55,'BPM 2.0 Season CLE 2017'!$B$14:$B$31,false)),"")</f>
        <v/>
      </c>
      <c r="AR55" s="214" t="str">
        <f t="array" ref="AR55">if($X55,index('BPM 2.0 Season CLE 2017'!$EC$14:$EC$36,(match(AU55,'BPM 2.0 Season CLE 2017'!$CU$14:$CU$36,false))),"")</f>
        <v/>
      </c>
      <c r="AS55" s="214" t="str">
        <f t="array" ref="AS55">if($X55,index('BPM 2.0 Season CLE 2017'!$ED$14:$ED$36,(match(AU55,'BPM 2.0 Season CLE 2017'!$CU$14:$CU$36,false))),"")</f>
        <v/>
      </c>
      <c r="AT55" s="214" t="str">
        <f t="shared" si="211"/>
        <v/>
      </c>
      <c r="AU55" s="61" t="str">
        <f t="shared" si="212"/>
        <v>Jordan McRae</v>
      </c>
      <c r="AV55" s="121" t="str">
        <f t="shared" si="213"/>
        <v/>
      </c>
      <c r="AW55" s="122" t="str">
        <f t="shared" ref="AW55:AX55" si="313">if($X55,(5-$AQ55)/4*AW$3+($AQ55-1)/4*AW$4,"")</f>
        <v/>
      </c>
      <c r="AX55" s="122" t="str">
        <f t="shared" si="313"/>
        <v/>
      </c>
      <c r="AY55" s="121" t="str">
        <f t="shared" ref="AY55:BG55" si="314">if($X55,(5-$AP55)/4*AY$3+($AP55-1)/4*AY$4,"")</f>
        <v/>
      </c>
      <c r="AZ55" s="121" t="str">
        <f t="shared" si="314"/>
        <v/>
      </c>
      <c r="BA55" s="121" t="str">
        <f t="shared" si="314"/>
        <v/>
      </c>
      <c r="BB55" s="121" t="str">
        <f t="shared" si="314"/>
        <v/>
      </c>
      <c r="BC55" s="121" t="str">
        <f t="shared" si="314"/>
        <v/>
      </c>
      <c r="BD55" s="121" t="str">
        <f t="shared" si="314"/>
        <v/>
      </c>
      <c r="BE55" s="121" t="str">
        <f t="shared" si="314"/>
        <v/>
      </c>
      <c r="BF55" s="121" t="str">
        <f t="shared" si="314"/>
        <v/>
      </c>
      <c r="BG55" s="121" t="str">
        <f t="shared" si="314"/>
        <v/>
      </c>
      <c r="BH55" s="118">
        <f t="shared" si="216"/>
        <v>0</v>
      </c>
      <c r="BI55" s="118">
        <f t="shared" si="217"/>
        <v>0</v>
      </c>
      <c r="BJ55" s="118">
        <f t="shared" si="218"/>
        <v>0</v>
      </c>
      <c r="BK55" s="118">
        <f t="shared" si="219"/>
        <v>0</v>
      </c>
      <c r="BL55" s="118">
        <f t="shared" si="220"/>
        <v>-4.161</v>
      </c>
      <c r="BM55" s="124">
        <f t="shared" si="221"/>
        <v>-4.161</v>
      </c>
      <c r="BN55" s="114" t="str">
        <f t="shared" si="222"/>
        <v/>
      </c>
      <c r="BO55" s="118">
        <f t="shared" si="223"/>
        <v>0</v>
      </c>
      <c r="BP55" s="125" t="str">
        <f t="shared" si="224"/>
        <v>Jordan McRae</v>
      </c>
      <c r="BQ55" s="121" t="str">
        <f t="shared" si="225"/>
        <v/>
      </c>
      <c r="BR55" s="122" t="str">
        <f t="shared" ref="BR55:BS55" si="315">if($X55,(5-$AQ55)/4*AW$7+($AQ55-1)/4*AW$8,"")</f>
        <v/>
      </c>
      <c r="BS55" s="122" t="str">
        <f t="shared" si="315"/>
        <v/>
      </c>
      <c r="BT55" s="121" t="str">
        <f t="shared" ref="BT55:CB55" si="316">if($X55,(5-$AP55)/4*AY$7+($AP55-1)/4*AY$8,"")</f>
        <v/>
      </c>
      <c r="BU55" s="121" t="str">
        <f t="shared" si="316"/>
        <v/>
      </c>
      <c r="BV55" s="121" t="str">
        <f t="shared" si="316"/>
        <v/>
      </c>
      <c r="BW55" s="121" t="str">
        <f t="shared" si="316"/>
        <v/>
      </c>
      <c r="BX55" s="121" t="str">
        <f t="shared" si="316"/>
        <v/>
      </c>
      <c r="BY55" s="121" t="str">
        <f t="shared" si="316"/>
        <v/>
      </c>
      <c r="BZ55" s="121" t="str">
        <f t="shared" si="316"/>
        <v/>
      </c>
      <c r="CA55" s="121" t="str">
        <f t="shared" si="316"/>
        <v/>
      </c>
      <c r="CB55" s="121" t="str">
        <f t="shared" si="316"/>
        <v/>
      </c>
      <c r="CC55" s="118">
        <f t="shared" si="228"/>
        <v>0</v>
      </c>
      <c r="CD55" s="118">
        <f t="shared" si="229"/>
        <v>0</v>
      </c>
      <c r="CE55" s="118">
        <f t="shared" si="230"/>
        <v>0</v>
      </c>
      <c r="CF55" s="118">
        <f t="shared" si="231"/>
        <v>0</v>
      </c>
      <c r="CG55" s="118">
        <f t="shared" si="232"/>
        <v>-1.29</v>
      </c>
      <c r="CH55" s="124">
        <f t="shared" si="233"/>
        <v>-1.29</v>
      </c>
      <c r="CI55" s="114" t="str">
        <f t="shared" si="234"/>
        <v/>
      </c>
      <c r="CJ55" s="118">
        <f t="shared" si="235"/>
        <v>0</v>
      </c>
      <c r="CK55" s="126" t="str">
        <f t="shared" si="236"/>
        <v/>
      </c>
      <c r="CL55" s="127" t="str">
        <f t="shared" si="237"/>
        <v/>
      </c>
      <c r="CM55" s="127" t="str">
        <f t="shared" si="238"/>
        <v/>
      </c>
      <c r="CN55" s="128" t="str">
        <f t="shared" si="239"/>
        <v/>
      </c>
      <c r="CO55" s="217" t="str">
        <f t="shared" si="240"/>
        <v/>
      </c>
      <c r="CP55" s="127" t="str">
        <f t="shared" si="241"/>
        <v/>
      </c>
      <c r="CQ55" s="127" t="str">
        <f t="shared" si="242"/>
        <v/>
      </c>
      <c r="CR55" s="127" t="str">
        <f t="shared" ref="CR55:CT55" si="317">if($X55,CO55*$BN55,"")</f>
        <v/>
      </c>
      <c r="CS55" s="127" t="str">
        <f t="shared" si="317"/>
        <v/>
      </c>
      <c r="CT55" s="127" t="str">
        <f t="shared" si="317"/>
        <v/>
      </c>
      <c r="CU55" s="211" t="str">
        <f t="shared" si="244"/>
        <v/>
      </c>
      <c r="CV55" s="212" t="str">
        <f t="shared" si="245"/>
        <v/>
      </c>
      <c r="CW55" s="213" t="str">
        <f t="shared" si="246"/>
        <v>#N/A</v>
      </c>
      <c r="CX55" s="212" t="str">
        <f t="shared" si="247"/>
        <v/>
      </c>
    </row>
    <row r="56">
      <c r="A56" s="202" t="s">
        <v>157</v>
      </c>
      <c r="B56" s="203" t="s">
        <v>406</v>
      </c>
      <c r="C56" s="204"/>
      <c r="D56" s="204"/>
      <c r="E56" s="204"/>
      <c r="F56" s="204"/>
      <c r="G56" s="204"/>
      <c r="H56" s="204"/>
      <c r="I56" s="204"/>
      <c r="J56" s="204"/>
      <c r="K56" s="204"/>
      <c r="L56" s="204"/>
      <c r="M56" s="204"/>
      <c r="N56" s="204"/>
      <c r="O56" s="204"/>
      <c r="P56" s="204"/>
      <c r="Q56" s="204"/>
      <c r="R56" s="204"/>
      <c r="S56" s="204"/>
      <c r="T56" s="204"/>
      <c r="U56" s="203"/>
      <c r="V56" s="205" t="str">
        <f t="shared" si="194"/>
        <v/>
      </c>
      <c r="W56" s="206" t="str">
        <f t="shared" si="195"/>
        <v/>
      </c>
      <c r="X56" s="207" t="b">
        <f t="shared" si="196"/>
        <v>0</v>
      </c>
      <c r="Y56" s="208" t="str">
        <f t="shared" si="197"/>
        <v/>
      </c>
      <c r="Z56" s="209" t="str">
        <f t="shared" si="198"/>
        <v/>
      </c>
      <c r="AA56" s="209" t="str">
        <f t="shared" si="199"/>
        <v/>
      </c>
      <c r="AB56" s="208" t="str">
        <f t="shared" si="200"/>
        <v/>
      </c>
      <c r="AC56" s="113" t="str">
        <f t="shared" si="201"/>
        <v/>
      </c>
      <c r="AD56" s="113" t="str">
        <f t="shared" si="202"/>
        <v/>
      </c>
      <c r="AE56" s="113" t="str">
        <f t="shared" si="203"/>
        <v/>
      </c>
      <c r="AF56" s="113" t="str">
        <f t="shared" si="204"/>
        <v/>
      </c>
      <c r="AG56" s="113" t="str">
        <f t="shared" si="205"/>
        <v/>
      </c>
      <c r="AH56" s="113" t="str">
        <f t="shared" si="206"/>
        <v/>
      </c>
      <c r="AI56" s="113" t="str">
        <f t="shared" ref="AI56:AK56" si="318">if($X56,L56/$AB56*100,"")</f>
        <v/>
      </c>
      <c r="AJ56" s="113" t="str">
        <f t="shared" si="318"/>
        <v/>
      </c>
      <c r="AK56" s="113" t="str">
        <f t="shared" si="318"/>
        <v/>
      </c>
      <c r="AL56" s="113" t="str">
        <f t="shared" ref="AL56:AM56" si="319">if($X56,P56/$AB56*100,"")</f>
        <v/>
      </c>
      <c r="AM56" s="113" t="str">
        <f t="shared" si="319"/>
        <v/>
      </c>
      <c r="AN56" s="113" t="str">
        <f t="shared" si="209"/>
        <v/>
      </c>
      <c r="AO56" s="114" t="str">
        <f t="shared" si="210"/>
        <v/>
      </c>
      <c r="AP56" s="118" t="str">
        <f t="array" ref="AP56">if($X56,index('BPM 2.0 Season CLE 2017'!$BM$14:$BM$31,match($A56,'BPM 2.0 Season CLE 2017'!$B$14:$B$31,false)),"")</f>
        <v/>
      </c>
      <c r="AQ56" s="118" t="str">
        <f t="array" ref="AQ56">if($X56,index('BPM 2.0 Season CLE 2017'!$BY$14:$BY$31,match($A56,'BPM 2.0 Season CLE 2017'!$B$14:$B$31,false)),"")</f>
        <v/>
      </c>
      <c r="AR56" s="214" t="str">
        <f t="array" ref="AR56">if($X56,index('BPM 2.0 Season CLE 2017'!$EC$14:$EC$36,(match(AU56,'BPM 2.0 Season CLE 2017'!$CU$14:$CU$36,false))),"")</f>
        <v/>
      </c>
      <c r="AS56" s="214" t="str">
        <f t="array" ref="AS56">if($X56,index('BPM 2.0 Season CLE 2017'!$ED$14:$ED$36,(match(AU56,'BPM 2.0 Season CLE 2017'!$CU$14:$CU$36,false))),"")</f>
        <v/>
      </c>
      <c r="AT56" s="214" t="str">
        <f t="shared" si="211"/>
        <v/>
      </c>
      <c r="AU56" s="61" t="str">
        <f t="shared" si="212"/>
        <v>James Jones</v>
      </c>
      <c r="AV56" s="121" t="str">
        <f t="shared" si="213"/>
        <v/>
      </c>
      <c r="AW56" s="122" t="str">
        <f t="shared" ref="AW56:AX56" si="320">if($X56,(5-$AQ56)/4*AW$3+($AQ56-1)/4*AW$4,"")</f>
        <v/>
      </c>
      <c r="AX56" s="122" t="str">
        <f t="shared" si="320"/>
        <v/>
      </c>
      <c r="AY56" s="121" t="str">
        <f t="shared" ref="AY56:BG56" si="321">if($X56,(5-$AP56)/4*AY$3+($AP56-1)/4*AY$4,"")</f>
        <v/>
      </c>
      <c r="AZ56" s="121" t="str">
        <f t="shared" si="321"/>
        <v/>
      </c>
      <c r="BA56" s="121" t="str">
        <f t="shared" si="321"/>
        <v/>
      </c>
      <c r="BB56" s="121" t="str">
        <f t="shared" si="321"/>
        <v/>
      </c>
      <c r="BC56" s="121" t="str">
        <f t="shared" si="321"/>
        <v/>
      </c>
      <c r="BD56" s="121" t="str">
        <f t="shared" si="321"/>
        <v/>
      </c>
      <c r="BE56" s="121" t="str">
        <f t="shared" si="321"/>
        <v/>
      </c>
      <c r="BF56" s="121" t="str">
        <f t="shared" si="321"/>
        <v/>
      </c>
      <c r="BG56" s="121" t="str">
        <f t="shared" si="321"/>
        <v/>
      </c>
      <c r="BH56" s="118">
        <f t="shared" si="216"/>
        <v>0</v>
      </c>
      <c r="BI56" s="118">
        <f t="shared" si="217"/>
        <v>0</v>
      </c>
      <c r="BJ56" s="118">
        <f t="shared" si="218"/>
        <v>0</v>
      </c>
      <c r="BK56" s="118">
        <f t="shared" si="219"/>
        <v>0</v>
      </c>
      <c r="BL56" s="118">
        <f t="shared" si="220"/>
        <v>-4.161</v>
      </c>
      <c r="BM56" s="124">
        <f t="shared" si="221"/>
        <v>-4.161</v>
      </c>
      <c r="BN56" s="114" t="str">
        <f t="shared" si="222"/>
        <v/>
      </c>
      <c r="BO56" s="118">
        <f t="shared" si="223"/>
        <v>0</v>
      </c>
      <c r="BP56" s="125" t="str">
        <f t="shared" si="224"/>
        <v>James Jones</v>
      </c>
      <c r="BQ56" s="121" t="str">
        <f t="shared" si="225"/>
        <v/>
      </c>
      <c r="BR56" s="122" t="str">
        <f t="shared" ref="BR56:BS56" si="322">if($X56,(5-$AQ56)/4*AW$7+($AQ56-1)/4*AW$8,"")</f>
        <v/>
      </c>
      <c r="BS56" s="122" t="str">
        <f t="shared" si="322"/>
        <v/>
      </c>
      <c r="BT56" s="121" t="str">
        <f t="shared" ref="BT56:CB56" si="323">if($X56,(5-$AP56)/4*AY$7+($AP56-1)/4*AY$8,"")</f>
        <v/>
      </c>
      <c r="BU56" s="121" t="str">
        <f t="shared" si="323"/>
        <v/>
      </c>
      <c r="BV56" s="121" t="str">
        <f t="shared" si="323"/>
        <v/>
      </c>
      <c r="BW56" s="121" t="str">
        <f t="shared" si="323"/>
        <v/>
      </c>
      <c r="BX56" s="121" t="str">
        <f t="shared" si="323"/>
        <v/>
      </c>
      <c r="BY56" s="121" t="str">
        <f t="shared" si="323"/>
        <v/>
      </c>
      <c r="BZ56" s="121" t="str">
        <f t="shared" si="323"/>
        <v/>
      </c>
      <c r="CA56" s="121" t="str">
        <f t="shared" si="323"/>
        <v/>
      </c>
      <c r="CB56" s="121" t="str">
        <f t="shared" si="323"/>
        <v/>
      </c>
      <c r="CC56" s="118">
        <f t="shared" si="228"/>
        <v>0</v>
      </c>
      <c r="CD56" s="118">
        <f t="shared" si="229"/>
        <v>0</v>
      </c>
      <c r="CE56" s="118">
        <f t="shared" si="230"/>
        <v>0</v>
      </c>
      <c r="CF56" s="118">
        <f t="shared" si="231"/>
        <v>0</v>
      </c>
      <c r="CG56" s="118">
        <f t="shared" si="232"/>
        <v>-1.29</v>
      </c>
      <c r="CH56" s="124">
        <f t="shared" si="233"/>
        <v>-1.29</v>
      </c>
      <c r="CI56" s="114" t="str">
        <f t="shared" si="234"/>
        <v/>
      </c>
      <c r="CJ56" s="118">
        <f t="shared" si="235"/>
        <v>0</v>
      </c>
      <c r="CK56" s="126" t="str">
        <f t="shared" si="236"/>
        <v/>
      </c>
      <c r="CL56" s="127" t="str">
        <f t="shared" si="237"/>
        <v/>
      </c>
      <c r="CM56" s="127" t="str">
        <f t="shared" si="238"/>
        <v/>
      </c>
      <c r="CN56" s="128" t="str">
        <f t="shared" si="239"/>
        <v/>
      </c>
      <c r="CO56" s="217" t="str">
        <f t="shared" si="240"/>
        <v/>
      </c>
      <c r="CP56" s="127" t="str">
        <f t="shared" si="241"/>
        <v/>
      </c>
      <c r="CQ56" s="127" t="str">
        <f t="shared" si="242"/>
        <v/>
      </c>
      <c r="CR56" s="127" t="str">
        <f t="shared" ref="CR56:CT56" si="324">if($X56,CO56*$BN56,"")</f>
        <v/>
      </c>
      <c r="CS56" s="127" t="str">
        <f t="shared" si="324"/>
        <v/>
      </c>
      <c r="CT56" s="127" t="str">
        <f t="shared" si="324"/>
        <v/>
      </c>
      <c r="CU56" s="211" t="str">
        <f t="shared" si="244"/>
        <v/>
      </c>
      <c r="CV56" s="212" t="str">
        <f t="shared" si="245"/>
        <v/>
      </c>
      <c r="CW56" s="213" t="str">
        <f t="shared" si="246"/>
        <v>#N/A</v>
      </c>
      <c r="CX56" s="212" t="str">
        <f t="shared" si="247"/>
        <v/>
      </c>
    </row>
    <row r="57">
      <c r="A57" s="202" t="s">
        <v>150</v>
      </c>
      <c r="B57" s="203" t="s">
        <v>412</v>
      </c>
      <c r="C57" s="204"/>
      <c r="D57" s="204"/>
      <c r="E57" s="204"/>
      <c r="F57" s="204"/>
      <c r="G57" s="204"/>
      <c r="H57" s="204"/>
      <c r="I57" s="204"/>
      <c r="J57" s="204"/>
      <c r="K57" s="204"/>
      <c r="L57" s="204"/>
      <c r="M57" s="204"/>
      <c r="N57" s="204"/>
      <c r="O57" s="204"/>
      <c r="P57" s="204"/>
      <c r="Q57" s="204"/>
      <c r="R57" s="204"/>
      <c r="S57" s="204"/>
      <c r="T57" s="204"/>
      <c r="U57" s="203"/>
      <c r="V57" s="205" t="str">
        <f t="shared" si="194"/>
        <v/>
      </c>
      <c r="W57" s="206" t="str">
        <f t="shared" si="195"/>
        <v/>
      </c>
      <c r="X57" s="207" t="b">
        <f t="shared" si="196"/>
        <v>0</v>
      </c>
      <c r="Y57" s="208" t="str">
        <f t="shared" si="197"/>
        <v/>
      </c>
      <c r="Z57" s="209" t="str">
        <f t="shared" si="198"/>
        <v/>
      </c>
      <c r="AA57" s="209" t="str">
        <f t="shared" si="199"/>
        <v/>
      </c>
      <c r="AB57" s="208" t="str">
        <f t="shared" si="200"/>
        <v/>
      </c>
      <c r="AC57" s="113" t="str">
        <f t="shared" si="201"/>
        <v/>
      </c>
      <c r="AD57" s="113" t="str">
        <f t="shared" si="202"/>
        <v/>
      </c>
      <c r="AE57" s="113" t="str">
        <f t="shared" si="203"/>
        <v/>
      </c>
      <c r="AF57" s="113" t="str">
        <f t="shared" si="204"/>
        <v/>
      </c>
      <c r="AG57" s="113" t="str">
        <f t="shared" si="205"/>
        <v/>
      </c>
      <c r="AH57" s="113" t="str">
        <f t="shared" si="206"/>
        <v/>
      </c>
      <c r="AI57" s="113" t="str">
        <f t="shared" ref="AI57:AK57" si="325">if($X57,L57/$AB57*100,"")</f>
        <v/>
      </c>
      <c r="AJ57" s="113" t="str">
        <f t="shared" si="325"/>
        <v/>
      </c>
      <c r="AK57" s="113" t="str">
        <f t="shared" si="325"/>
        <v/>
      </c>
      <c r="AL57" s="113" t="str">
        <f t="shared" ref="AL57:AM57" si="326">if($X57,P57/$AB57*100,"")</f>
        <v/>
      </c>
      <c r="AM57" s="113" t="str">
        <f t="shared" si="326"/>
        <v/>
      </c>
      <c r="AN57" s="113" t="str">
        <f t="shared" si="209"/>
        <v/>
      </c>
      <c r="AO57" s="114" t="str">
        <f t="shared" si="210"/>
        <v/>
      </c>
      <c r="AP57" s="118" t="str">
        <f t="array" ref="AP57">if($X57,index('BPM 2.0 Season CLE 2017'!$BM$14:$BM$31,match($A57,'BPM 2.0 Season CLE 2017'!$B$14:$B$31,false)),"")</f>
        <v/>
      </c>
      <c r="AQ57" s="118" t="str">
        <f t="array" ref="AQ57">if($X57,index('BPM 2.0 Season CLE 2017'!$BY$14:$BY$31,match($A57,'BPM 2.0 Season CLE 2017'!$B$14:$B$31,false)),"")</f>
        <v/>
      </c>
      <c r="AR57" s="214" t="str">
        <f t="array" ref="AR57">if($X57,index('BPM 2.0 Season CLE 2017'!$EC$14:$EC$36,(match(AU57,'BPM 2.0 Season CLE 2017'!$CU$14:$CU$36,false))),"")</f>
        <v/>
      </c>
      <c r="AS57" s="214" t="str">
        <f t="array" ref="AS57">if($X57,index('BPM 2.0 Season CLE 2017'!$ED$14:$ED$36,(match(AU57,'BPM 2.0 Season CLE 2017'!$CU$14:$CU$36,false))),"")</f>
        <v/>
      </c>
      <c r="AT57" s="214" t="str">
        <f t="shared" si="211"/>
        <v/>
      </c>
      <c r="AU57" s="61" t="str">
        <f t="shared" si="212"/>
        <v>J.R. Smith</v>
      </c>
      <c r="AV57" s="121" t="str">
        <f t="shared" si="213"/>
        <v/>
      </c>
      <c r="AW57" s="122" t="str">
        <f t="shared" ref="AW57:AX57" si="327">if($X57,(5-$AQ57)/4*AW$3+($AQ57-1)/4*AW$4,"")</f>
        <v/>
      </c>
      <c r="AX57" s="122" t="str">
        <f t="shared" si="327"/>
        <v/>
      </c>
      <c r="AY57" s="121" t="str">
        <f t="shared" ref="AY57:BG57" si="328">if($X57,(5-$AP57)/4*AY$3+($AP57-1)/4*AY$4,"")</f>
        <v/>
      </c>
      <c r="AZ57" s="121" t="str">
        <f t="shared" si="328"/>
        <v/>
      </c>
      <c r="BA57" s="121" t="str">
        <f t="shared" si="328"/>
        <v/>
      </c>
      <c r="BB57" s="121" t="str">
        <f t="shared" si="328"/>
        <v/>
      </c>
      <c r="BC57" s="121" t="str">
        <f t="shared" si="328"/>
        <v/>
      </c>
      <c r="BD57" s="121" t="str">
        <f t="shared" si="328"/>
        <v/>
      </c>
      <c r="BE57" s="121" t="str">
        <f t="shared" si="328"/>
        <v/>
      </c>
      <c r="BF57" s="121" t="str">
        <f t="shared" si="328"/>
        <v/>
      </c>
      <c r="BG57" s="121" t="str">
        <f t="shared" si="328"/>
        <v/>
      </c>
      <c r="BH57" s="118">
        <f t="shared" si="216"/>
        <v>0</v>
      </c>
      <c r="BI57" s="118">
        <f t="shared" si="217"/>
        <v>0</v>
      </c>
      <c r="BJ57" s="118">
        <f t="shared" si="218"/>
        <v>0</v>
      </c>
      <c r="BK57" s="118">
        <f t="shared" si="219"/>
        <v>0</v>
      </c>
      <c r="BL57" s="118">
        <f t="shared" si="220"/>
        <v>-4.161</v>
      </c>
      <c r="BM57" s="124">
        <f t="shared" si="221"/>
        <v>-4.161</v>
      </c>
      <c r="BN57" s="114" t="str">
        <f t="shared" si="222"/>
        <v/>
      </c>
      <c r="BO57" s="118">
        <f t="shared" si="223"/>
        <v>0</v>
      </c>
      <c r="BP57" s="125" t="str">
        <f t="shared" si="224"/>
        <v>J.R. Smith</v>
      </c>
      <c r="BQ57" s="121" t="str">
        <f t="shared" si="225"/>
        <v/>
      </c>
      <c r="BR57" s="122" t="str">
        <f t="shared" ref="BR57:BS57" si="329">if($X57,(5-$AQ57)/4*AW$7+($AQ57-1)/4*AW$8,"")</f>
        <v/>
      </c>
      <c r="BS57" s="122" t="str">
        <f t="shared" si="329"/>
        <v/>
      </c>
      <c r="BT57" s="121" t="str">
        <f t="shared" ref="BT57:CB57" si="330">if($X57,(5-$AP57)/4*AY$7+($AP57-1)/4*AY$8,"")</f>
        <v/>
      </c>
      <c r="BU57" s="121" t="str">
        <f t="shared" si="330"/>
        <v/>
      </c>
      <c r="BV57" s="121" t="str">
        <f t="shared" si="330"/>
        <v/>
      </c>
      <c r="BW57" s="121" t="str">
        <f t="shared" si="330"/>
        <v/>
      </c>
      <c r="BX57" s="121" t="str">
        <f t="shared" si="330"/>
        <v/>
      </c>
      <c r="BY57" s="121" t="str">
        <f t="shared" si="330"/>
        <v/>
      </c>
      <c r="BZ57" s="121" t="str">
        <f t="shared" si="330"/>
        <v/>
      </c>
      <c r="CA57" s="121" t="str">
        <f t="shared" si="330"/>
        <v/>
      </c>
      <c r="CB57" s="121" t="str">
        <f t="shared" si="330"/>
        <v/>
      </c>
      <c r="CC57" s="118">
        <f t="shared" si="228"/>
        <v>0</v>
      </c>
      <c r="CD57" s="118">
        <f t="shared" si="229"/>
        <v>0</v>
      </c>
      <c r="CE57" s="118">
        <f t="shared" si="230"/>
        <v>0</v>
      </c>
      <c r="CF57" s="118">
        <f t="shared" si="231"/>
        <v>0</v>
      </c>
      <c r="CG57" s="118">
        <f t="shared" si="232"/>
        <v>-1.29</v>
      </c>
      <c r="CH57" s="124">
        <f t="shared" si="233"/>
        <v>-1.29</v>
      </c>
      <c r="CI57" s="114" t="str">
        <f t="shared" si="234"/>
        <v/>
      </c>
      <c r="CJ57" s="118">
        <f t="shared" si="235"/>
        <v>0</v>
      </c>
      <c r="CK57" s="126" t="str">
        <f t="shared" si="236"/>
        <v/>
      </c>
      <c r="CL57" s="127" t="str">
        <f t="shared" si="237"/>
        <v/>
      </c>
      <c r="CM57" s="127" t="str">
        <f t="shared" si="238"/>
        <v/>
      </c>
      <c r="CN57" s="128" t="str">
        <f t="shared" si="239"/>
        <v/>
      </c>
      <c r="CO57" s="217" t="str">
        <f t="shared" si="240"/>
        <v/>
      </c>
      <c r="CP57" s="127" t="str">
        <f t="shared" si="241"/>
        <v/>
      </c>
      <c r="CQ57" s="127" t="str">
        <f t="shared" si="242"/>
        <v/>
      </c>
      <c r="CR57" s="127" t="str">
        <f t="shared" ref="CR57:CT57" si="331">if($X57,CO57*$BN57,"")</f>
        <v/>
      </c>
      <c r="CS57" s="127" t="str">
        <f t="shared" si="331"/>
        <v/>
      </c>
      <c r="CT57" s="127" t="str">
        <f t="shared" si="331"/>
        <v/>
      </c>
      <c r="CU57" s="211" t="str">
        <f t="shared" si="244"/>
        <v/>
      </c>
      <c r="CV57" s="212" t="str">
        <f t="shared" si="245"/>
        <v/>
      </c>
      <c r="CW57" s="213" t="str">
        <f t="shared" si="246"/>
        <v>#N/A</v>
      </c>
      <c r="CX57" s="212" t="str">
        <f t="shared" si="247"/>
        <v/>
      </c>
    </row>
    <row r="58">
      <c r="A58" s="202" t="s">
        <v>407</v>
      </c>
      <c r="B58" s="203">
        <v>240.0</v>
      </c>
      <c r="C58" s="204">
        <v>37.0</v>
      </c>
      <c r="D58" s="204">
        <v>95.0</v>
      </c>
      <c r="E58" s="204">
        <v>0.389</v>
      </c>
      <c r="F58" s="204">
        <v>12.0</v>
      </c>
      <c r="G58" s="204">
        <v>35.0</v>
      </c>
      <c r="H58" s="204">
        <v>0.343</v>
      </c>
      <c r="I58" s="204">
        <v>23.0</v>
      </c>
      <c r="J58" s="204">
        <v>32.0</v>
      </c>
      <c r="K58" s="204">
        <v>0.719</v>
      </c>
      <c r="L58" s="204">
        <v>18.0</v>
      </c>
      <c r="M58" s="204">
        <v>26.0</v>
      </c>
      <c r="N58" s="204">
        <v>44.0</v>
      </c>
      <c r="O58" s="204">
        <v>20.0</v>
      </c>
      <c r="P58" s="204">
        <v>14.0</v>
      </c>
      <c r="Q58" s="204">
        <v>2.0</v>
      </c>
      <c r="R58" s="204">
        <v>12.0</v>
      </c>
      <c r="S58" s="204">
        <v>19.0</v>
      </c>
      <c r="T58" s="204">
        <v>109.0</v>
      </c>
      <c r="U58" s="203"/>
      <c r="V58" s="205" t="str">
        <f t="shared" si="194"/>
        <v/>
      </c>
      <c r="W58" s="206" t="str">
        <f t="shared" si="195"/>
        <v/>
      </c>
      <c r="X58" s="207" t="b">
        <f t="shared" si="196"/>
        <v>0</v>
      </c>
      <c r="Y58" s="208" t="str">
        <f t="shared" si="197"/>
        <v/>
      </c>
      <c r="Z58" s="209" t="str">
        <f t="shared" si="198"/>
        <v/>
      </c>
      <c r="AA58" s="209" t="str">
        <f t="shared" si="199"/>
        <v/>
      </c>
      <c r="AB58" s="208" t="str">
        <f t="shared" si="200"/>
        <v/>
      </c>
      <c r="AC58" s="113" t="str">
        <f t="shared" si="201"/>
        <v/>
      </c>
      <c r="AD58" s="113" t="str">
        <f t="shared" si="202"/>
        <v/>
      </c>
      <c r="AE58" s="113" t="str">
        <f t="shared" si="203"/>
        <v/>
      </c>
      <c r="AF58" s="113" t="str">
        <f t="shared" si="204"/>
        <v/>
      </c>
      <c r="AG58" s="113" t="str">
        <f t="shared" si="205"/>
        <v/>
      </c>
      <c r="AH58" s="113" t="str">
        <f t="shared" si="206"/>
        <v/>
      </c>
      <c r="AI58" s="113" t="str">
        <f t="shared" ref="AI58:AK58" si="332">if($X58,L58/$AB58*100,"")</f>
        <v/>
      </c>
      <c r="AJ58" s="113" t="str">
        <f t="shared" si="332"/>
        <v/>
      </c>
      <c r="AK58" s="113" t="str">
        <f t="shared" si="332"/>
        <v/>
      </c>
      <c r="AL58" s="113" t="str">
        <f t="shared" ref="AL58:AM58" si="333">if($X58,P58/$AB58*100,"")</f>
        <v/>
      </c>
      <c r="AM58" s="113" t="str">
        <f t="shared" si="333"/>
        <v/>
      </c>
      <c r="AN58" s="113" t="str">
        <f t="shared" si="209"/>
        <v/>
      </c>
      <c r="AO58" s="114" t="str">
        <f t="shared" si="210"/>
        <v/>
      </c>
      <c r="AP58" s="118" t="str">
        <f t="array" ref="AP58">if($X58,index('BPM 2.0 Season CLE 2017'!$BM$14:$BM$31,match($A58,'BPM 2.0 Season CLE 2017'!$B$14:$B$31,false)),"")</f>
        <v/>
      </c>
      <c r="AQ58" s="118" t="str">
        <f t="array" ref="AQ58">if($X58,index('BPM 2.0 Season CLE 2017'!$BY$14:$BY$31,match($A58,'BPM 2.0 Season CLE 2017'!$B$14:$B$31,false)),"")</f>
        <v/>
      </c>
      <c r="AR58" s="214" t="str">
        <f t="array" ref="AR58">if($X58,index('BPM 2.0 Season CLE 2017'!$EC$14:$EC$36,(match(AU58,'BPM 2.0 Season CLE 2017'!$CU$14:$CU$36,false))),"")</f>
        <v/>
      </c>
      <c r="AS58" s="214" t="str">
        <f t="array" ref="AS58">if($X58,index('BPM 2.0 Season CLE 2017'!$ED$14:$ED$36,(match(AU58,'BPM 2.0 Season CLE 2017'!$CU$14:$CU$36,false))),"")</f>
        <v/>
      </c>
      <c r="AT58" s="214" t="str">
        <f t="shared" si="211"/>
        <v/>
      </c>
      <c r="AU58" s="61" t="str">
        <f t="shared" si="212"/>
        <v>Team Totals</v>
      </c>
      <c r="AV58" s="121" t="str">
        <f t="shared" si="213"/>
        <v/>
      </c>
      <c r="AW58" s="122" t="str">
        <f t="shared" ref="AW58:AX58" si="334">if($X58,(5-$AQ58)/4*AW$3+($AQ58-1)/4*AW$4,"")</f>
        <v/>
      </c>
      <c r="AX58" s="122" t="str">
        <f t="shared" si="334"/>
        <v/>
      </c>
      <c r="AY58" s="121" t="str">
        <f t="shared" ref="AY58:BG58" si="335">if($X58,(5-$AP58)/4*AY$3+($AP58-1)/4*AY$4,"")</f>
        <v/>
      </c>
      <c r="AZ58" s="121" t="str">
        <f t="shared" si="335"/>
        <v/>
      </c>
      <c r="BA58" s="121" t="str">
        <f t="shared" si="335"/>
        <v/>
      </c>
      <c r="BB58" s="121" t="str">
        <f t="shared" si="335"/>
        <v/>
      </c>
      <c r="BC58" s="121" t="str">
        <f t="shared" si="335"/>
        <v/>
      </c>
      <c r="BD58" s="121" t="str">
        <f t="shared" si="335"/>
        <v/>
      </c>
      <c r="BE58" s="121" t="str">
        <f t="shared" si="335"/>
        <v/>
      </c>
      <c r="BF58" s="121" t="str">
        <f t="shared" si="335"/>
        <v/>
      </c>
      <c r="BG58" s="121" t="str">
        <f t="shared" si="335"/>
        <v/>
      </c>
      <c r="BH58" s="118">
        <f t="shared" si="216"/>
        <v>0</v>
      </c>
      <c r="BI58" s="118">
        <f t="shared" si="217"/>
        <v>0</v>
      </c>
      <c r="BJ58" s="118">
        <f t="shared" si="218"/>
        <v>0</v>
      </c>
      <c r="BK58" s="118">
        <f t="shared" si="219"/>
        <v>0</v>
      </c>
      <c r="BL58" s="118">
        <f t="shared" si="220"/>
        <v>-4.161</v>
      </c>
      <c r="BM58" s="124">
        <f t="shared" si="221"/>
        <v>-4.161</v>
      </c>
      <c r="BN58" s="114" t="str">
        <f t="shared" si="222"/>
        <v/>
      </c>
      <c r="BO58" s="118">
        <f t="shared" si="223"/>
        <v>0</v>
      </c>
      <c r="BP58" s="125" t="str">
        <f t="shared" si="224"/>
        <v>Team Totals</v>
      </c>
      <c r="BQ58" s="121" t="str">
        <f t="shared" si="225"/>
        <v/>
      </c>
      <c r="BR58" s="122" t="str">
        <f t="shared" ref="BR58:BS58" si="336">if($X58,(5-$AQ58)/4*AW$7+($AQ58-1)/4*AW$8,"")</f>
        <v/>
      </c>
      <c r="BS58" s="122" t="str">
        <f t="shared" si="336"/>
        <v/>
      </c>
      <c r="BT58" s="121" t="str">
        <f t="shared" ref="BT58:CB58" si="337">if($X58,(5-$AP58)/4*AY$7+($AP58-1)/4*AY$8,"")</f>
        <v/>
      </c>
      <c r="BU58" s="121" t="str">
        <f t="shared" si="337"/>
        <v/>
      </c>
      <c r="BV58" s="121" t="str">
        <f t="shared" si="337"/>
        <v/>
      </c>
      <c r="BW58" s="121" t="str">
        <f t="shared" si="337"/>
        <v/>
      </c>
      <c r="BX58" s="121" t="str">
        <f t="shared" si="337"/>
        <v/>
      </c>
      <c r="BY58" s="121" t="str">
        <f t="shared" si="337"/>
        <v/>
      </c>
      <c r="BZ58" s="121" t="str">
        <f t="shared" si="337"/>
        <v/>
      </c>
      <c r="CA58" s="121" t="str">
        <f t="shared" si="337"/>
        <v/>
      </c>
      <c r="CB58" s="121" t="str">
        <f t="shared" si="337"/>
        <v/>
      </c>
      <c r="CC58" s="118">
        <f t="shared" si="228"/>
        <v>0</v>
      </c>
      <c r="CD58" s="118">
        <f t="shared" si="229"/>
        <v>0</v>
      </c>
      <c r="CE58" s="118">
        <f t="shared" si="230"/>
        <v>0</v>
      </c>
      <c r="CF58" s="118">
        <f t="shared" si="231"/>
        <v>0</v>
      </c>
      <c r="CG58" s="118">
        <f t="shared" si="232"/>
        <v>-1.29</v>
      </c>
      <c r="CH58" s="124">
        <f t="shared" si="233"/>
        <v>-1.29</v>
      </c>
      <c r="CI58" s="114" t="str">
        <f t="shared" si="234"/>
        <v/>
      </c>
      <c r="CJ58" s="118">
        <f t="shared" si="235"/>
        <v>0</v>
      </c>
      <c r="CK58" s="126" t="str">
        <f t="shared" si="236"/>
        <v/>
      </c>
      <c r="CL58" s="127" t="str">
        <f t="shared" si="237"/>
        <v/>
      </c>
      <c r="CM58" s="127" t="str">
        <f t="shared" si="238"/>
        <v/>
      </c>
      <c r="CN58" s="128" t="str">
        <f t="shared" si="239"/>
        <v/>
      </c>
      <c r="CO58" s="217" t="str">
        <f t="shared" si="240"/>
        <v/>
      </c>
      <c r="CP58" s="127" t="str">
        <f t="shared" si="241"/>
        <v/>
      </c>
      <c r="CQ58" s="127" t="str">
        <f t="shared" si="242"/>
        <v/>
      </c>
      <c r="CR58" s="127" t="str">
        <f t="shared" ref="CR58:CT58" si="338">if($X58,CO58*$BN58,"")</f>
        <v/>
      </c>
      <c r="CS58" s="127" t="str">
        <f t="shared" si="338"/>
        <v/>
      </c>
      <c r="CT58" s="127" t="str">
        <f t="shared" si="338"/>
        <v/>
      </c>
      <c r="CU58" s="211" t="str">
        <f t="shared" si="244"/>
        <v/>
      </c>
      <c r="CV58" s="212" t="str">
        <f t="shared" si="245"/>
        <v/>
      </c>
      <c r="CW58" s="213" t="str">
        <f t="shared" si="246"/>
        <v>#N/A</v>
      </c>
      <c r="CX58" s="212" t="str">
        <f t="shared" si="247"/>
        <v/>
      </c>
    </row>
    <row r="59">
      <c r="A59" s="202"/>
      <c r="B59" s="203"/>
      <c r="C59" s="204"/>
      <c r="D59" s="204"/>
      <c r="E59" s="204"/>
      <c r="F59" s="204"/>
      <c r="G59" s="204"/>
      <c r="H59" s="204"/>
      <c r="I59" s="204"/>
      <c r="J59" s="204"/>
      <c r="K59" s="204"/>
      <c r="L59" s="204"/>
      <c r="M59" s="204"/>
      <c r="N59" s="204"/>
      <c r="O59" s="204"/>
      <c r="P59" s="204"/>
      <c r="Q59" s="204"/>
      <c r="R59" s="204"/>
      <c r="S59" s="204"/>
      <c r="T59" s="204"/>
      <c r="U59" s="203"/>
      <c r="V59" s="205" t="str">
        <f t="shared" si="194"/>
        <v/>
      </c>
      <c r="W59" s="206" t="str">
        <f t="shared" si="195"/>
        <v/>
      </c>
      <c r="X59" s="207" t="b">
        <f t="shared" si="196"/>
        <v>0</v>
      </c>
      <c r="Y59" s="208" t="str">
        <f t="shared" si="197"/>
        <v/>
      </c>
      <c r="Z59" s="209" t="str">
        <f t="shared" si="198"/>
        <v/>
      </c>
      <c r="AA59" s="209" t="str">
        <f t="shared" si="199"/>
        <v/>
      </c>
      <c r="AB59" s="208" t="str">
        <f t="shared" si="200"/>
        <v/>
      </c>
      <c r="AC59" s="113" t="str">
        <f t="shared" si="201"/>
        <v/>
      </c>
      <c r="AD59" s="113" t="str">
        <f t="shared" si="202"/>
        <v/>
      </c>
      <c r="AE59" s="113" t="str">
        <f t="shared" si="203"/>
        <v/>
      </c>
      <c r="AF59" s="113" t="str">
        <f t="shared" si="204"/>
        <v/>
      </c>
      <c r="AG59" s="113" t="str">
        <f t="shared" si="205"/>
        <v/>
      </c>
      <c r="AH59" s="113" t="str">
        <f t="shared" si="206"/>
        <v/>
      </c>
      <c r="AI59" s="113" t="str">
        <f t="shared" ref="AI59:AK59" si="339">if($X59,L59/$AB59*100,"")</f>
        <v/>
      </c>
      <c r="AJ59" s="113" t="str">
        <f t="shared" si="339"/>
        <v/>
      </c>
      <c r="AK59" s="113" t="str">
        <f t="shared" si="339"/>
        <v/>
      </c>
      <c r="AL59" s="113" t="str">
        <f t="shared" ref="AL59:AM59" si="340">if($X59,P59/$AB59*100,"")</f>
        <v/>
      </c>
      <c r="AM59" s="113" t="str">
        <f t="shared" si="340"/>
        <v/>
      </c>
      <c r="AN59" s="113" t="str">
        <f t="shared" si="209"/>
        <v/>
      </c>
      <c r="AO59" s="114" t="str">
        <f t="shared" si="210"/>
        <v/>
      </c>
      <c r="AP59" s="118" t="str">
        <f t="array" ref="AP59">if($X59,index('BPM 2.0 Season CLE 2017'!$BM$14:$BM$31,match($A59,'BPM 2.0 Season CLE 2017'!$B$14:$B$31,false)),"")</f>
        <v/>
      </c>
      <c r="AQ59" s="118" t="str">
        <f t="array" ref="AQ59">if($X59,index('BPM 2.0 Season CLE 2017'!$BY$14:$BY$31,match($A59,'BPM 2.0 Season CLE 2017'!$B$14:$B$31,false)),"")</f>
        <v/>
      </c>
      <c r="AR59" s="214" t="str">
        <f t="array" ref="AR59">if($X59,index('BPM 2.0 Season CLE 2017'!$EC$14:$EC$36,(match(AU59,'BPM 2.0 Season CLE 2017'!$CU$14:$CU$36,false))),"")</f>
        <v/>
      </c>
      <c r="AS59" s="214" t="str">
        <f t="array" ref="AS59">if($X59,index('BPM 2.0 Season CLE 2017'!$ED$14:$ED$36,(match(AU59,'BPM 2.0 Season CLE 2017'!$CU$14:$CU$36,false))),"")</f>
        <v/>
      </c>
      <c r="AT59" s="214" t="str">
        <f t="shared" si="211"/>
        <v/>
      </c>
      <c r="AU59" s="61" t="str">
        <f t="shared" si="212"/>
        <v/>
      </c>
      <c r="AV59" s="121" t="str">
        <f t="shared" si="213"/>
        <v/>
      </c>
      <c r="AW59" s="122" t="str">
        <f t="shared" ref="AW59:AX59" si="341">if($X59,(5-$AQ59)/4*AW$3+($AQ59-1)/4*AW$4,"")</f>
        <v/>
      </c>
      <c r="AX59" s="122" t="str">
        <f t="shared" si="341"/>
        <v/>
      </c>
      <c r="AY59" s="121" t="str">
        <f t="shared" ref="AY59:BG59" si="342">if($X59,(5-$AP59)/4*AY$3+($AP59-1)/4*AY$4,"")</f>
        <v/>
      </c>
      <c r="AZ59" s="121" t="str">
        <f t="shared" si="342"/>
        <v/>
      </c>
      <c r="BA59" s="121" t="str">
        <f t="shared" si="342"/>
        <v/>
      </c>
      <c r="BB59" s="121" t="str">
        <f t="shared" si="342"/>
        <v/>
      </c>
      <c r="BC59" s="121" t="str">
        <f t="shared" si="342"/>
        <v/>
      </c>
      <c r="BD59" s="121" t="str">
        <f t="shared" si="342"/>
        <v/>
      </c>
      <c r="BE59" s="121" t="str">
        <f t="shared" si="342"/>
        <v/>
      </c>
      <c r="BF59" s="121" t="str">
        <f t="shared" si="342"/>
        <v/>
      </c>
      <c r="BG59" s="121" t="str">
        <f t="shared" si="342"/>
        <v/>
      </c>
      <c r="BH59" s="118">
        <f t="shared" si="216"/>
        <v>0</v>
      </c>
      <c r="BI59" s="118">
        <f t="shared" si="217"/>
        <v>0</v>
      </c>
      <c r="BJ59" s="118">
        <f t="shared" si="218"/>
        <v>0</v>
      </c>
      <c r="BK59" s="118">
        <f t="shared" si="219"/>
        <v>0</v>
      </c>
      <c r="BL59" s="118">
        <f t="shared" si="220"/>
        <v>-4.161</v>
      </c>
      <c r="BM59" s="124">
        <f t="shared" si="221"/>
        <v>-4.161</v>
      </c>
      <c r="BN59" s="114" t="str">
        <f t="shared" si="222"/>
        <v/>
      </c>
      <c r="BO59" s="118">
        <f t="shared" si="223"/>
        <v>0</v>
      </c>
      <c r="BP59" s="125" t="str">
        <f t="shared" si="224"/>
        <v/>
      </c>
      <c r="BQ59" s="121" t="str">
        <f t="shared" si="225"/>
        <v/>
      </c>
      <c r="BR59" s="122" t="str">
        <f t="shared" ref="BR59:BS59" si="343">if($X59,(5-$AQ59)/4*AW$7+($AQ59-1)/4*AW$8,"")</f>
        <v/>
      </c>
      <c r="BS59" s="122" t="str">
        <f t="shared" si="343"/>
        <v/>
      </c>
      <c r="BT59" s="121" t="str">
        <f t="shared" ref="BT59:CB59" si="344">if($X59,(5-$AP59)/4*AY$7+($AP59-1)/4*AY$8,"")</f>
        <v/>
      </c>
      <c r="BU59" s="121" t="str">
        <f t="shared" si="344"/>
        <v/>
      </c>
      <c r="BV59" s="121" t="str">
        <f t="shared" si="344"/>
        <v/>
      </c>
      <c r="BW59" s="121" t="str">
        <f t="shared" si="344"/>
        <v/>
      </c>
      <c r="BX59" s="121" t="str">
        <f t="shared" si="344"/>
        <v/>
      </c>
      <c r="BY59" s="121" t="str">
        <f t="shared" si="344"/>
        <v/>
      </c>
      <c r="BZ59" s="121" t="str">
        <f t="shared" si="344"/>
        <v/>
      </c>
      <c r="CA59" s="121" t="str">
        <f t="shared" si="344"/>
        <v/>
      </c>
      <c r="CB59" s="121" t="str">
        <f t="shared" si="344"/>
        <v/>
      </c>
      <c r="CC59" s="118">
        <f t="shared" si="228"/>
        <v>0</v>
      </c>
      <c r="CD59" s="118">
        <f t="shared" si="229"/>
        <v>0</v>
      </c>
      <c r="CE59" s="118">
        <f t="shared" si="230"/>
        <v>0</v>
      </c>
      <c r="CF59" s="118">
        <f t="shared" si="231"/>
        <v>0</v>
      </c>
      <c r="CG59" s="118">
        <f t="shared" si="232"/>
        <v>-1.29</v>
      </c>
      <c r="CH59" s="124">
        <f t="shared" si="233"/>
        <v>-1.29</v>
      </c>
      <c r="CI59" s="114" t="str">
        <f t="shared" si="234"/>
        <v/>
      </c>
      <c r="CJ59" s="118">
        <f t="shared" si="235"/>
        <v>0</v>
      </c>
      <c r="CK59" s="126" t="str">
        <f t="shared" si="236"/>
        <v/>
      </c>
      <c r="CL59" s="127" t="str">
        <f t="shared" si="237"/>
        <v/>
      </c>
      <c r="CM59" s="127" t="str">
        <f t="shared" si="238"/>
        <v/>
      </c>
      <c r="CN59" s="128" t="str">
        <f t="shared" si="239"/>
        <v/>
      </c>
      <c r="CO59" s="217" t="str">
        <f t="shared" si="240"/>
        <v/>
      </c>
      <c r="CP59" s="127" t="str">
        <f t="shared" si="241"/>
        <v/>
      </c>
      <c r="CQ59" s="127" t="str">
        <f t="shared" si="242"/>
        <v/>
      </c>
      <c r="CR59" s="127" t="str">
        <f t="shared" ref="CR59:CT59" si="345">if($X59,CO59*$BN59,"")</f>
        <v/>
      </c>
      <c r="CS59" s="127" t="str">
        <f t="shared" si="345"/>
        <v/>
      </c>
      <c r="CT59" s="127" t="str">
        <f t="shared" si="345"/>
        <v/>
      </c>
      <c r="CU59" s="211" t="str">
        <f t="shared" si="244"/>
        <v/>
      </c>
      <c r="CV59" s="212" t="str">
        <f t="shared" si="245"/>
        <v/>
      </c>
      <c r="CW59" s="213" t="str">
        <f t="shared" si="246"/>
        <v>#N/A</v>
      </c>
      <c r="CX59" s="212" t="str">
        <f t="shared" si="247"/>
        <v/>
      </c>
    </row>
    <row r="60">
      <c r="A60" s="202"/>
      <c r="B60" s="203"/>
      <c r="C60" s="204"/>
      <c r="D60" s="204"/>
      <c r="E60" s="204"/>
      <c r="F60" s="204"/>
      <c r="G60" s="204"/>
      <c r="H60" s="204"/>
      <c r="I60" s="204"/>
      <c r="J60" s="204"/>
      <c r="K60" s="204"/>
      <c r="L60" s="204"/>
      <c r="M60" s="204"/>
      <c r="N60" s="204"/>
      <c r="O60" s="204"/>
      <c r="P60" s="204"/>
      <c r="Q60" s="204"/>
      <c r="R60" s="204"/>
      <c r="S60" s="218"/>
      <c r="T60" s="204"/>
      <c r="U60" s="203"/>
      <c r="V60" s="205" t="str">
        <f t="shared" si="194"/>
        <v/>
      </c>
      <c r="W60" s="206" t="str">
        <f t="shared" si="195"/>
        <v/>
      </c>
      <c r="X60" s="207" t="b">
        <f t="shared" si="196"/>
        <v>0</v>
      </c>
      <c r="Y60" s="208" t="str">
        <f t="shared" si="197"/>
        <v/>
      </c>
      <c r="Z60" s="209" t="str">
        <f t="shared" si="198"/>
        <v/>
      </c>
      <c r="AA60" s="209" t="str">
        <f t="shared" si="199"/>
        <v/>
      </c>
      <c r="AB60" s="208" t="str">
        <f t="shared" si="200"/>
        <v/>
      </c>
      <c r="AC60" s="113" t="str">
        <f t="shared" si="201"/>
        <v/>
      </c>
      <c r="AD60" s="113" t="str">
        <f t="shared" si="202"/>
        <v/>
      </c>
      <c r="AE60" s="113" t="str">
        <f t="shared" si="203"/>
        <v/>
      </c>
      <c r="AF60" s="113" t="str">
        <f t="shared" si="204"/>
        <v/>
      </c>
      <c r="AG60" s="113" t="str">
        <f t="shared" si="205"/>
        <v/>
      </c>
      <c r="AH60" s="113" t="str">
        <f t="shared" si="206"/>
        <v/>
      </c>
      <c r="AI60" s="113" t="str">
        <f t="shared" ref="AI60:AK60" si="346">if($X60,L60/$AB60*100,"")</f>
        <v/>
      </c>
      <c r="AJ60" s="113" t="str">
        <f t="shared" si="346"/>
        <v/>
      </c>
      <c r="AK60" s="113" t="str">
        <f t="shared" si="346"/>
        <v/>
      </c>
      <c r="AL60" s="113" t="str">
        <f t="shared" ref="AL60:AM60" si="347">if($X60,P60/$AB60*100,"")</f>
        <v/>
      </c>
      <c r="AM60" s="113" t="str">
        <f t="shared" si="347"/>
        <v/>
      </c>
      <c r="AN60" s="113" t="str">
        <f t="shared" si="209"/>
        <v/>
      </c>
      <c r="AO60" s="114" t="str">
        <f t="shared" si="210"/>
        <v/>
      </c>
      <c r="AP60" s="118" t="str">
        <f t="array" ref="AP60">if($X60,index('BPM 2.0 Season CLE 2017'!$BM$14:$BM$31,match($A60,'BPM 2.0 Season CLE 2017'!$B$14:$B$31,false)),"")</f>
        <v/>
      </c>
      <c r="AQ60" s="118" t="str">
        <f t="array" ref="AQ60">if($X60,index('BPM 2.0 Season CLE 2017'!$BY$14:$BY$31,match($A60,'BPM 2.0 Season CLE 2017'!$B$14:$B$31,false)),"")</f>
        <v/>
      </c>
      <c r="AR60" s="214" t="str">
        <f t="array" ref="AR60">if($X60,index('BPM 2.0 Season CLE 2017'!$EC$14:$EC$36,(match(AU60,'BPM 2.0 Season CLE 2017'!$CU$14:$CU$36,false))),"")</f>
        <v/>
      </c>
      <c r="AS60" s="214" t="str">
        <f t="array" ref="AS60">if($X60,index('BPM 2.0 Season CLE 2017'!$ED$14:$ED$36,(match(AU60,'BPM 2.0 Season CLE 2017'!$CU$14:$CU$36,false))),"")</f>
        <v/>
      </c>
      <c r="AT60" s="214" t="str">
        <f t="shared" si="211"/>
        <v/>
      </c>
      <c r="AU60" s="61" t="str">
        <f t="shared" si="212"/>
        <v/>
      </c>
      <c r="AV60" s="121" t="str">
        <f t="shared" si="213"/>
        <v/>
      </c>
      <c r="AW60" s="122" t="str">
        <f t="shared" ref="AW60:AX60" si="348">if($X60,(5-$AQ60)/4*AW$3+($AQ60-1)/4*AW$4,"")</f>
        <v/>
      </c>
      <c r="AX60" s="122" t="str">
        <f t="shared" si="348"/>
        <v/>
      </c>
      <c r="AY60" s="121" t="str">
        <f t="shared" ref="AY60:BG60" si="349">if($X60,(5-$AP60)/4*AY$3+($AP60-1)/4*AY$4,"")</f>
        <v/>
      </c>
      <c r="AZ60" s="121" t="str">
        <f t="shared" si="349"/>
        <v/>
      </c>
      <c r="BA60" s="121" t="str">
        <f t="shared" si="349"/>
        <v/>
      </c>
      <c r="BB60" s="121" t="str">
        <f t="shared" si="349"/>
        <v/>
      </c>
      <c r="BC60" s="121" t="str">
        <f t="shared" si="349"/>
        <v/>
      </c>
      <c r="BD60" s="121" t="str">
        <f t="shared" si="349"/>
        <v/>
      </c>
      <c r="BE60" s="121" t="str">
        <f t="shared" si="349"/>
        <v/>
      </c>
      <c r="BF60" s="121" t="str">
        <f t="shared" si="349"/>
        <v/>
      </c>
      <c r="BG60" s="121" t="str">
        <f t="shared" si="349"/>
        <v/>
      </c>
      <c r="BH60" s="118">
        <f t="shared" si="216"/>
        <v>0</v>
      </c>
      <c r="BI60" s="118">
        <f t="shared" si="217"/>
        <v>0</v>
      </c>
      <c r="BJ60" s="118">
        <f t="shared" si="218"/>
        <v>0</v>
      </c>
      <c r="BK60" s="118">
        <f t="shared" si="219"/>
        <v>0</v>
      </c>
      <c r="BL60" s="118">
        <f t="shared" si="220"/>
        <v>-4.161</v>
      </c>
      <c r="BM60" s="124">
        <f t="shared" si="221"/>
        <v>-4.161</v>
      </c>
      <c r="BN60" s="114" t="str">
        <f t="shared" si="222"/>
        <v/>
      </c>
      <c r="BO60" s="118">
        <f t="shared" si="223"/>
        <v>0</v>
      </c>
      <c r="BP60" s="125" t="str">
        <f t="shared" si="224"/>
        <v/>
      </c>
      <c r="BQ60" s="121" t="str">
        <f t="shared" si="225"/>
        <v/>
      </c>
      <c r="BR60" s="122" t="str">
        <f t="shared" ref="BR60:BS60" si="350">if($X60,(5-$AQ60)/4*AW$7+($AQ60-1)/4*AW$8,"")</f>
        <v/>
      </c>
      <c r="BS60" s="122" t="str">
        <f t="shared" si="350"/>
        <v/>
      </c>
      <c r="BT60" s="121" t="str">
        <f t="shared" ref="BT60:CB60" si="351">if($X60,(5-$AP60)/4*AY$7+($AP60-1)/4*AY$8,"")</f>
        <v/>
      </c>
      <c r="BU60" s="121" t="str">
        <f t="shared" si="351"/>
        <v/>
      </c>
      <c r="BV60" s="121" t="str">
        <f t="shared" si="351"/>
        <v/>
      </c>
      <c r="BW60" s="121" t="str">
        <f t="shared" si="351"/>
        <v/>
      </c>
      <c r="BX60" s="121" t="str">
        <f t="shared" si="351"/>
        <v/>
      </c>
      <c r="BY60" s="121" t="str">
        <f t="shared" si="351"/>
        <v/>
      </c>
      <c r="BZ60" s="121" t="str">
        <f t="shared" si="351"/>
        <v/>
      </c>
      <c r="CA60" s="121" t="str">
        <f t="shared" si="351"/>
        <v/>
      </c>
      <c r="CB60" s="121" t="str">
        <f t="shared" si="351"/>
        <v/>
      </c>
      <c r="CC60" s="118">
        <f t="shared" si="228"/>
        <v>0</v>
      </c>
      <c r="CD60" s="118">
        <f t="shared" si="229"/>
        <v>0</v>
      </c>
      <c r="CE60" s="118">
        <f t="shared" si="230"/>
        <v>0</v>
      </c>
      <c r="CF60" s="118">
        <f t="shared" si="231"/>
        <v>0</v>
      </c>
      <c r="CG60" s="118">
        <f t="shared" si="232"/>
        <v>-1.29</v>
      </c>
      <c r="CH60" s="124">
        <f t="shared" si="233"/>
        <v>-1.29</v>
      </c>
      <c r="CI60" s="114" t="str">
        <f t="shared" si="234"/>
        <v/>
      </c>
      <c r="CJ60" s="118">
        <f t="shared" si="235"/>
        <v>0</v>
      </c>
      <c r="CK60" s="126" t="str">
        <f t="shared" si="236"/>
        <v/>
      </c>
      <c r="CL60" s="127" t="str">
        <f t="shared" si="237"/>
        <v/>
      </c>
      <c r="CM60" s="127" t="str">
        <f t="shared" si="238"/>
        <v/>
      </c>
      <c r="CN60" s="128" t="str">
        <f t="shared" si="239"/>
        <v/>
      </c>
      <c r="CO60" s="217" t="str">
        <f t="shared" si="240"/>
        <v/>
      </c>
      <c r="CP60" s="127" t="str">
        <f t="shared" si="241"/>
        <v/>
      </c>
      <c r="CQ60" s="127" t="str">
        <f t="shared" si="242"/>
        <v/>
      </c>
      <c r="CR60" s="127" t="str">
        <f t="shared" ref="CR60:CT60" si="352">if($X60,CO60*$BN60,"")</f>
        <v/>
      </c>
      <c r="CS60" s="127" t="str">
        <f t="shared" si="352"/>
        <v/>
      </c>
      <c r="CT60" s="127" t="str">
        <f t="shared" si="352"/>
        <v/>
      </c>
      <c r="CU60" s="211" t="str">
        <f t="shared" si="244"/>
        <v/>
      </c>
      <c r="CV60" s="212" t="str">
        <f t="shared" si="245"/>
        <v/>
      </c>
      <c r="CW60" s="213" t="str">
        <f t="shared" si="246"/>
        <v>#N/A</v>
      </c>
      <c r="CX60" s="212" t="str">
        <f t="shared" si="247"/>
        <v/>
      </c>
    </row>
    <row r="61">
      <c r="A61" s="202"/>
      <c r="B61" s="203"/>
      <c r="C61" s="204"/>
      <c r="D61" s="204"/>
      <c r="E61" s="204"/>
      <c r="F61" s="204"/>
      <c r="G61" s="204"/>
      <c r="H61" s="204"/>
      <c r="I61" s="204"/>
      <c r="J61" s="204"/>
      <c r="K61" s="204"/>
      <c r="L61" s="204"/>
      <c r="M61" s="204"/>
      <c r="N61" s="204"/>
      <c r="O61" s="204"/>
      <c r="P61" s="204"/>
      <c r="Q61" s="204"/>
      <c r="R61" s="204"/>
      <c r="S61" s="204"/>
      <c r="T61" s="204"/>
      <c r="U61" s="203"/>
      <c r="V61" s="205" t="str">
        <f t="shared" si="194"/>
        <v/>
      </c>
      <c r="W61" s="206" t="str">
        <f t="shared" si="195"/>
        <v/>
      </c>
      <c r="X61" s="207" t="b">
        <f t="shared" si="196"/>
        <v>0</v>
      </c>
      <c r="Y61" s="208" t="str">
        <f t="shared" si="197"/>
        <v/>
      </c>
      <c r="Z61" s="209" t="str">
        <f t="shared" si="198"/>
        <v/>
      </c>
      <c r="AA61" s="209" t="str">
        <f t="shared" si="199"/>
        <v/>
      </c>
      <c r="AB61" s="208" t="str">
        <f t="shared" si="200"/>
        <v/>
      </c>
      <c r="AC61" s="113" t="str">
        <f t="shared" si="201"/>
        <v/>
      </c>
      <c r="AD61" s="113" t="str">
        <f t="shared" si="202"/>
        <v/>
      </c>
      <c r="AE61" s="113" t="str">
        <f t="shared" si="203"/>
        <v/>
      </c>
      <c r="AF61" s="113" t="str">
        <f t="shared" si="204"/>
        <v/>
      </c>
      <c r="AG61" s="113" t="str">
        <f t="shared" si="205"/>
        <v/>
      </c>
      <c r="AH61" s="113" t="str">
        <f t="shared" si="206"/>
        <v/>
      </c>
      <c r="AI61" s="113" t="str">
        <f t="shared" ref="AI61:AK61" si="353">if($X61,L61/$AB61*100,"")</f>
        <v/>
      </c>
      <c r="AJ61" s="113" t="str">
        <f t="shared" si="353"/>
        <v/>
      </c>
      <c r="AK61" s="113" t="str">
        <f t="shared" si="353"/>
        <v/>
      </c>
      <c r="AL61" s="113" t="str">
        <f t="shared" ref="AL61:AM61" si="354">if($X61,P61/$AB61*100,"")</f>
        <v/>
      </c>
      <c r="AM61" s="113" t="str">
        <f t="shared" si="354"/>
        <v/>
      </c>
      <c r="AN61" s="113" t="str">
        <f t="shared" si="209"/>
        <v/>
      </c>
      <c r="AO61" s="114" t="str">
        <f t="shared" si="210"/>
        <v/>
      </c>
      <c r="AP61" s="118" t="str">
        <f t="array" ref="AP61">if($X61,index('BPM 2.0 Season CLE 2017'!$BM$14:$BM$31,match($A61,'BPM 2.0 Season CLE 2017'!$B$14:$B$31,false)),"")</f>
        <v/>
      </c>
      <c r="AQ61" s="118" t="str">
        <f t="array" ref="AQ61">if($X61,index('BPM 2.0 Season CLE 2017'!$BY$14:$BY$31,match($A61,'BPM 2.0 Season CLE 2017'!$B$14:$B$31,false)),"")</f>
        <v/>
      </c>
      <c r="AR61" s="214" t="str">
        <f t="array" ref="AR61">if($X61,index('BPM 2.0 Season CLE 2017'!$EC$14:$EC$36,(match(AU61,'BPM 2.0 Season CLE 2017'!$CU$14:$CU$36,false))),"")</f>
        <v/>
      </c>
      <c r="AS61" s="214" t="str">
        <f t="array" ref="AS61">if($X61,index('BPM 2.0 Season CLE 2017'!$ED$14:$ED$36,(match(AU61,'BPM 2.0 Season CLE 2017'!$CU$14:$CU$36,false))),"")</f>
        <v/>
      </c>
      <c r="AT61" s="214" t="str">
        <f t="shared" si="211"/>
        <v/>
      </c>
      <c r="AU61" s="61" t="str">
        <f t="shared" si="212"/>
        <v/>
      </c>
      <c r="AV61" s="121" t="str">
        <f t="shared" si="213"/>
        <v/>
      </c>
      <c r="AW61" s="122" t="str">
        <f t="shared" ref="AW61:AX61" si="355">if($X61,(5-$AQ61)/4*AW$3+($AQ61-1)/4*AW$4,"")</f>
        <v/>
      </c>
      <c r="AX61" s="122" t="str">
        <f t="shared" si="355"/>
        <v/>
      </c>
      <c r="AY61" s="121" t="str">
        <f t="shared" ref="AY61:BG61" si="356">if($X61,(5-$AP61)/4*AY$3+($AP61-1)/4*AY$4,"")</f>
        <v/>
      </c>
      <c r="AZ61" s="121" t="str">
        <f t="shared" si="356"/>
        <v/>
      </c>
      <c r="BA61" s="121" t="str">
        <f t="shared" si="356"/>
        <v/>
      </c>
      <c r="BB61" s="121" t="str">
        <f t="shared" si="356"/>
        <v/>
      </c>
      <c r="BC61" s="121" t="str">
        <f t="shared" si="356"/>
        <v/>
      </c>
      <c r="BD61" s="121" t="str">
        <f t="shared" si="356"/>
        <v/>
      </c>
      <c r="BE61" s="121" t="str">
        <f t="shared" si="356"/>
        <v/>
      </c>
      <c r="BF61" s="121" t="str">
        <f t="shared" si="356"/>
        <v/>
      </c>
      <c r="BG61" s="121" t="str">
        <f t="shared" si="356"/>
        <v/>
      </c>
      <c r="BH61" s="118">
        <f t="shared" si="216"/>
        <v>0</v>
      </c>
      <c r="BI61" s="118">
        <f t="shared" si="217"/>
        <v>0</v>
      </c>
      <c r="BJ61" s="118">
        <f t="shared" si="218"/>
        <v>0</v>
      </c>
      <c r="BK61" s="118">
        <f t="shared" si="219"/>
        <v>0</v>
      </c>
      <c r="BL61" s="118">
        <f t="shared" si="220"/>
        <v>-4.161</v>
      </c>
      <c r="BM61" s="124">
        <f t="shared" si="221"/>
        <v>-4.161</v>
      </c>
      <c r="BN61" s="114" t="str">
        <f t="shared" si="222"/>
        <v/>
      </c>
      <c r="BO61" s="118">
        <f t="shared" si="223"/>
        <v>0</v>
      </c>
      <c r="BP61" s="125" t="str">
        <f t="shared" si="224"/>
        <v/>
      </c>
      <c r="BQ61" s="121" t="str">
        <f t="shared" si="225"/>
        <v/>
      </c>
      <c r="BR61" s="122" t="str">
        <f t="shared" ref="BR61:BS61" si="357">if($X61,(5-$AQ61)/4*AW$7+($AQ61-1)/4*AW$8,"")</f>
        <v/>
      </c>
      <c r="BS61" s="122" t="str">
        <f t="shared" si="357"/>
        <v/>
      </c>
      <c r="BT61" s="121" t="str">
        <f t="shared" ref="BT61:CB61" si="358">if($X61,(5-$AP61)/4*AY$7+($AP61-1)/4*AY$8,"")</f>
        <v/>
      </c>
      <c r="BU61" s="121" t="str">
        <f t="shared" si="358"/>
        <v/>
      </c>
      <c r="BV61" s="121" t="str">
        <f t="shared" si="358"/>
        <v/>
      </c>
      <c r="BW61" s="121" t="str">
        <f t="shared" si="358"/>
        <v/>
      </c>
      <c r="BX61" s="121" t="str">
        <f t="shared" si="358"/>
        <v/>
      </c>
      <c r="BY61" s="121" t="str">
        <f t="shared" si="358"/>
        <v/>
      </c>
      <c r="BZ61" s="121" t="str">
        <f t="shared" si="358"/>
        <v/>
      </c>
      <c r="CA61" s="121" t="str">
        <f t="shared" si="358"/>
        <v/>
      </c>
      <c r="CB61" s="121" t="str">
        <f t="shared" si="358"/>
        <v/>
      </c>
      <c r="CC61" s="118">
        <f t="shared" si="228"/>
        <v>0</v>
      </c>
      <c r="CD61" s="118">
        <f t="shared" si="229"/>
        <v>0</v>
      </c>
      <c r="CE61" s="118">
        <f t="shared" si="230"/>
        <v>0</v>
      </c>
      <c r="CF61" s="118">
        <f t="shared" si="231"/>
        <v>0</v>
      </c>
      <c r="CG61" s="118">
        <f t="shared" si="232"/>
        <v>-1.29</v>
      </c>
      <c r="CH61" s="124">
        <f t="shared" si="233"/>
        <v>-1.29</v>
      </c>
      <c r="CI61" s="114" t="str">
        <f t="shared" si="234"/>
        <v/>
      </c>
      <c r="CJ61" s="118">
        <f t="shared" si="235"/>
        <v>0</v>
      </c>
      <c r="CK61" s="126" t="str">
        <f t="shared" si="236"/>
        <v/>
      </c>
      <c r="CL61" s="127" t="str">
        <f t="shared" si="237"/>
        <v/>
      </c>
      <c r="CM61" s="127" t="str">
        <f t="shared" si="238"/>
        <v/>
      </c>
      <c r="CN61" s="128" t="str">
        <f t="shared" si="239"/>
        <v/>
      </c>
      <c r="CO61" s="217" t="str">
        <f t="shared" si="240"/>
        <v/>
      </c>
      <c r="CP61" s="127" t="str">
        <f t="shared" si="241"/>
        <v/>
      </c>
      <c r="CQ61" s="127" t="str">
        <f t="shared" si="242"/>
        <v/>
      </c>
      <c r="CR61" s="127" t="str">
        <f t="shared" ref="CR61:CT61" si="359">if($X61,CO61*$BN61,"")</f>
        <v/>
      </c>
      <c r="CS61" s="127" t="str">
        <f t="shared" si="359"/>
        <v/>
      </c>
      <c r="CT61" s="127" t="str">
        <f t="shared" si="359"/>
        <v/>
      </c>
      <c r="CU61" s="211" t="str">
        <f t="shared" si="244"/>
        <v/>
      </c>
      <c r="CV61" s="212" t="str">
        <f t="shared" si="245"/>
        <v/>
      </c>
      <c r="CW61" s="213" t="str">
        <f t="shared" si="246"/>
        <v>#N/A</v>
      </c>
      <c r="CX61" s="212" t="str">
        <f t="shared" si="247"/>
        <v/>
      </c>
    </row>
    <row r="62">
      <c r="B62" s="219"/>
      <c r="U62" s="219"/>
      <c r="BB62" s="5"/>
    </row>
    <row r="63">
      <c r="B63" s="219"/>
      <c r="BB63" s="5"/>
    </row>
    <row r="64">
      <c r="B64" s="219"/>
      <c r="BB64" s="5"/>
    </row>
    <row r="65">
      <c r="B65" s="219"/>
      <c r="BB65" s="5"/>
    </row>
    <row r="66">
      <c r="B66" s="219"/>
      <c r="BB66" s="5"/>
    </row>
    <row r="67" ht="42.0" customHeight="1">
      <c r="A67" s="143" t="s">
        <v>370</v>
      </c>
      <c r="B67" s="219" t="s">
        <v>413</v>
      </c>
      <c r="BB67" s="5"/>
    </row>
    <row r="68">
      <c r="B68" s="219"/>
      <c r="BB68" s="5"/>
    </row>
    <row r="69">
      <c r="A69" s="143" t="str">
        <f>IFERROR(__xludf.DUMMYFUNCTION("split( B67,"" "")"),"Four")</f>
        <v>Four</v>
      </c>
      <c r="B69" s="219" t="str">
        <f>IFERROR(__xludf.DUMMYFUNCTION("""COMPUTED_VALUE"""),"Factors")</f>
        <v>Factors</v>
      </c>
      <c r="C69" s="143" t="str">
        <f>IFERROR(__xludf.DUMMYFUNCTION("""COMPUTED_VALUE"""),"Table")</f>
        <v>Table</v>
      </c>
      <c r="D69" s="143" t="str">
        <f>IFERROR(__xludf.DUMMYFUNCTION("""COMPUTED_VALUE"""),"
Four")</f>
        <v>
Four</v>
      </c>
      <c r="E69" s="143" t="str">
        <f>IFERROR(__xludf.DUMMYFUNCTION("""COMPUTED_VALUE"""),"Factors")</f>
        <v>Factors</v>
      </c>
      <c r="F69" s="143" t="str">
        <f>IFERROR(__xludf.DUMMYFUNCTION("""COMPUTED_VALUE"""),"
")</f>
        <v>
</v>
      </c>
      <c r="G69" s="143" t="str">
        <f>IFERROR(__xludf.DUMMYFUNCTION("""COMPUTED_VALUE"""),"Pace")</f>
        <v>Pace</v>
      </c>
      <c r="H69" s="143" t="str">
        <f>IFERROR(__xludf.DUMMYFUNCTION("""COMPUTED_VALUE"""),"eFG%")</f>
        <v>eFG%</v>
      </c>
      <c r="I69" s="143" t="str">
        <f>IFERROR(__xludf.DUMMYFUNCTION("""COMPUTED_VALUE"""),"TOV%")</f>
        <v>TOV%</v>
      </c>
      <c r="J69" s="143" t="str">
        <f>IFERROR(__xludf.DUMMYFUNCTION("""COMPUTED_VALUE"""),"ORB%")</f>
        <v>ORB%</v>
      </c>
      <c r="K69" s="143" t="str">
        <f>IFERROR(__xludf.DUMMYFUNCTION("""COMPUTED_VALUE"""),"FT/FGA")</f>
        <v>FT/FGA</v>
      </c>
      <c r="L69" s="143" t="str">
        <f>IFERROR(__xludf.DUMMYFUNCTION("""COMPUTED_VALUE"""),"ORtg")</f>
        <v>ORtg</v>
      </c>
      <c r="M69" s="143" t="str">
        <f>IFERROR(__xludf.DUMMYFUNCTION("""COMPUTED_VALUE"""),"
GSW")</f>
        <v>
GSW</v>
      </c>
      <c r="N69" s="143">
        <f>IFERROR(__xludf.DUMMYFUNCTION("""COMPUTED_VALUE"""),100.1)</f>
        <v>100.1</v>
      </c>
      <c r="O69" s="143">
        <f>IFERROR(__xludf.DUMMYFUNCTION("""COMPUTED_VALUE"""),0.539)</f>
        <v>0.539</v>
      </c>
      <c r="P69" s="143">
        <f>IFERROR(__xludf.DUMMYFUNCTION("""COMPUTED_VALUE"""),17.5)</f>
        <v>17.5</v>
      </c>
      <c r="Q69" s="143">
        <f>IFERROR(__xludf.DUMMYFUNCTION("""COMPUTED_VALUE"""),16.1)</f>
        <v>16.1</v>
      </c>
      <c r="R69" s="143">
        <f>IFERROR(__xludf.DUMMYFUNCTION("""COMPUTED_VALUE"""),0.325)</f>
        <v>0.325</v>
      </c>
      <c r="S69" s="143">
        <f>IFERROR(__xludf.DUMMYFUNCTION("""COMPUTED_VALUE"""),107.9)</f>
        <v>107.9</v>
      </c>
      <c r="T69" s="143" t="str">
        <f>IFERROR(__xludf.DUMMYFUNCTION("""COMPUTED_VALUE"""),"
CLE")</f>
        <v>
CLE</v>
      </c>
      <c r="U69" s="143">
        <f>IFERROR(__xludf.DUMMYFUNCTION("""COMPUTED_VALUE"""),100.1)</f>
        <v>100.1</v>
      </c>
      <c r="V69" s="143">
        <f>IFERROR(__xludf.DUMMYFUNCTION("""COMPUTED_VALUE"""),0.453)</f>
        <v>0.453</v>
      </c>
      <c r="W69" s="143">
        <f>IFERROR(__xludf.DUMMYFUNCTION("""COMPUTED_VALUE"""),9.9)</f>
        <v>9.9</v>
      </c>
      <c r="X69" s="143">
        <f>IFERROR(__xludf.DUMMYFUNCTION("""COMPUTED_VALUE"""),32.7)</f>
        <v>32.7</v>
      </c>
      <c r="Y69" s="143">
        <f>IFERROR(__xludf.DUMMYFUNCTION("""COMPUTED_VALUE"""),0.242)</f>
        <v>0.242</v>
      </c>
      <c r="Z69" s="143">
        <f>IFERROR(__xludf.DUMMYFUNCTION("""COMPUTED_VALUE"""),108.9)</f>
        <v>108.9</v>
      </c>
      <c r="AA69" s="143" t="str">
        <f>IFERROR(__xludf.DUMMYFUNCTION("""COMPUTED_VALUE"""),"
")</f>
        <v>
</v>
      </c>
      <c r="BB69" s="5"/>
    </row>
    <row r="70">
      <c r="B70" s="219"/>
      <c r="BB70" s="5"/>
    </row>
    <row r="71">
      <c r="B71" s="219"/>
      <c r="BB71" s="5"/>
    </row>
    <row r="72">
      <c r="BB72" s="5"/>
    </row>
    <row r="73">
      <c r="BB73" s="5"/>
    </row>
    <row r="74">
      <c r="A74" s="61" t="s">
        <v>167</v>
      </c>
      <c r="BB74" s="5"/>
    </row>
    <row r="75">
      <c r="BB75" s="5"/>
    </row>
    <row r="76">
      <c r="D76" s="219"/>
      <c r="S76" s="61" t="s">
        <v>178</v>
      </c>
      <c r="T76" s="61">
        <v>1.0</v>
      </c>
      <c r="BB76" s="5"/>
    </row>
    <row r="77">
      <c r="A77" s="143" t="s">
        <v>168</v>
      </c>
      <c r="B77" s="143" t="s">
        <v>119</v>
      </c>
      <c r="C77" s="143" t="s">
        <v>129</v>
      </c>
      <c r="D77" s="219" t="s">
        <v>169</v>
      </c>
      <c r="E77" s="143" t="s">
        <v>170</v>
      </c>
      <c r="F77" s="143" t="s">
        <v>171</v>
      </c>
      <c r="G77" s="143"/>
      <c r="H77" s="143" t="s">
        <v>172</v>
      </c>
      <c r="I77" s="143" t="s">
        <v>173</v>
      </c>
      <c r="S77" s="61" t="s">
        <v>183</v>
      </c>
      <c r="T77" s="61">
        <v>2.0</v>
      </c>
      <c r="BB77" s="5"/>
    </row>
    <row r="78">
      <c r="A78" s="143">
        <v>22.0</v>
      </c>
      <c r="B78" s="143" t="s">
        <v>326</v>
      </c>
      <c r="C78" s="143" t="s">
        <v>185</v>
      </c>
      <c r="D78" s="219">
        <v>43989.0</v>
      </c>
      <c r="E78" s="143">
        <v>226.0</v>
      </c>
      <c r="F78" s="143">
        <v>29289.0</v>
      </c>
      <c r="G78" s="143" t="s">
        <v>176</v>
      </c>
      <c r="H78" s="143">
        <v>13.0</v>
      </c>
      <c r="I78" s="143" t="s">
        <v>198</v>
      </c>
      <c r="S78" s="61" t="s">
        <v>185</v>
      </c>
      <c r="T78" s="61">
        <v>3.0</v>
      </c>
      <c r="BB78" s="5"/>
    </row>
    <row r="79">
      <c r="A79" s="143">
        <v>21.0</v>
      </c>
      <c r="B79" s="143" t="s">
        <v>320</v>
      </c>
      <c r="C79" s="143" t="s">
        <v>183</v>
      </c>
      <c r="D79" s="219">
        <v>43985.0</v>
      </c>
      <c r="E79" s="143">
        <v>175.0</v>
      </c>
      <c r="F79" s="143">
        <v>33304.0</v>
      </c>
      <c r="G79" s="143" t="s">
        <v>176</v>
      </c>
      <c r="H79" s="143">
        <v>3.0</v>
      </c>
      <c r="I79" s="143" t="s">
        <v>330</v>
      </c>
      <c r="S79" s="61" t="s">
        <v>23</v>
      </c>
      <c r="T79" s="61">
        <v>4.0</v>
      </c>
      <c r="BB79" s="5"/>
    </row>
    <row r="80">
      <c r="A80" s="143">
        <v>30.0</v>
      </c>
      <c r="B80" s="143" t="s">
        <v>314</v>
      </c>
      <c r="C80" s="143" t="s">
        <v>178</v>
      </c>
      <c r="D80" s="219">
        <v>43985.0</v>
      </c>
      <c r="E80" s="143">
        <v>190.0</v>
      </c>
      <c r="F80" s="143">
        <v>32216.0</v>
      </c>
      <c r="G80" s="143" t="s">
        <v>176</v>
      </c>
      <c r="H80" s="143">
        <v>7.0</v>
      </c>
      <c r="I80" s="143" t="s">
        <v>331</v>
      </c>
      <c r="S80" s="61" t="s">
        <v>175</v>
      </c>
      <c r="T80" s="61">
        <v>5.0</v>
      </c>
      <c r="BB80" s="5"/>
    </row>
    <row r="81">
      <c r="A81" s="143">
        <v>35.0</v>
      </c>
      <c r="B81" s="143" t="s">
        <v>316</v>
      </c>
      <c r="C81" s="143" t="s">
        <v>23</v>
      </c>
      <c r="D81" s="219">
        <v>43992.0</v>
      </c>
      <c r="E81" s="143">
        <v>240.0</v>
      </c>
      <c r="F81" s="143">
        <v>32415.0</v>
      </c>
      <c r="G81" s="143" t="s">
        <v>176</v>
      </c>
      <c r="H81" s="143">
        <v>9.0</v>
      </c>
      <c r="I81" s="143" t="s">
        <v>204</v>
      </c>
      <c r="S81" s="61" t="s">
        <v>190</v>
      </c>
      <c r="T81" s="61">
        <v>2.5</v>
      </c>
      <c r="BB81" s="5"/>
    </row>
    <row r="82">
      <c r="A82" s="143">
        <v>23.0</v>
      </c>
      <c r="B82" s="143" t="s">
        <v>315</v>
      </c>
      <c r="C82" s="143" t="s">
        <v>23</v>
      </c>
      <c r="D82" s="219">
        <v>43988.0</v>
      </c>
      <c r="E82" s="143">
        <v>230.0</v>
      </c>
      <c r="F82" s="143">
        <v>32936.0</v>
      </c>
      <c r="G82" s="143" t="s">
        <v>176</v>
      </c>
      <c r="H82" s="143">
        <v>4.0</v>
      </c>
      <c r="I82" s="143" t="s">
        <v>332</v>
      </c>
      <c r="S82" s="61" t="s">
        <v>191</v>
      </c>
      <c r="T82" s="61">
        <v>2.5</v>
      </c>
      <c r="BB82" s="5"/>
    </row>
    <row r="83">
      <c r="A83" s="143">
        <v>9.0</v>
      </c>
      <c r="B83" s="143" t="s">
        <v>317</v>
      </c>
      <c r="C83" s="143" t="s">
        <v>185</v>
      </c>
      <c r="D83" s="219">
        <v>43988.0</v>
      </c>
      <c r="E83" s="143">
        <v>215.0</v>
      </c>
      <c r="F83" s="143">
        <v>30709.0</v>
      </c>
      <c r="G83" s="143" t="s">
        <v>176</v>
      </c>
      <c r="H83" s="143">
        <v>12.0</v>
      </c>
      <c r="I83" s="143" t="s">
        <v>189</v>
      </c>
      <c r="S83" s="61" t="s">
        <v>78</v>
      </c>
      <c r="T83" s="61">
        <v>1.5</v>
      </c>
      <c r="BB83" s="5"/>
    </row>
    <row r="84">
      <c r="A84" s="143">
        <v>15.0</v>
      </c>
      <c r="B84" s="143" t="s">
        <v>328</v>
      </c>
      <c r="C84" s="143" t="s">
        <v>175</v>
      </c>
      <c r="D84" s="219">
        <v>43993.0</v>
      </c>
      <c r="E84" s="143">
        <v>245.0</v>
      </c>
      <c r="F84" s="143">
        <v>34880.0</v>
      </c>
      <c r="G84" s="143" t="s">
        <v>176</v>
      </c>
      <c r="H84" s="143" t="s">
        <v>187</v>
      </c>
      <c r="I84" s="143" t="s">
        <v>333</v>
      </c>
      <c r="S84" s="61" t="s">
        <v>193</v>
      </c>
      <c r="T84" s="61">
        <v>3.5</v>
      </c>
      <c r="BB84" s="5"/>
    </row>
    <row r="85">
      <c r="A85" s="143">
        <v>34.0</v>
      </c>
      <c r="B85" s="143" t="s">
        <v>318</v>
      </c>
      <c r="C85" s="143" t="s">
        <v>178</v>
      </c>
      <c r="D85" s="219">
        <v>43989.0</v>
      </c>
      <c r="E85" s="143">
        <v>192.0</v>
      </c>
      <c r="F85" s="143">
        <v>31301.0</v>
      </c>
      <c r="G85" s="143" t="s">
        <v>176</v>
      </c>
      <c r="H85" s="143">
        <v>11.0</v>
      </c>
      <c r="I85" s="143"/>
      <c r="BB85" s="5"/>
    </row>
    <row r="86">
      <c r="A86" s="143">
        <v>5.0</v>
      </c>
      <c r="B86" s="143" t="s">
        <v>325</v>
      </c>
      <c r="C86" s="143" t="s">
        <v>175</v>
      </c>
      <c r="D86" s="219">
        <v>43991.0</v>
      </c>
      <c r="E86" s="143">
        <v>220.0</v>
      </c>
      <c r="F86" s="143">
        <v>35101.0</v>
      </c>
      <c r="G86" s="143" t="s">
        <v>176</v>
      </c>
      <c r="H86" s="143">
        <v>1.0</v>
      </c>
      <c r="I86" s="143" t="s">
        <v>198</v>
      </c>
      <c r="BB86" s="5"/>
    </row>
    <row r="87">
      <c r="A87" s="143">
        <v>20.0</v>
      </c>
      <c r="B87" s="143" t="s">
        <v>324</v>
      </c>
      <c r="C87" s="143" t="s">
        <v>23</v>
      </c>
      <c r="D87" s="219">
        <v>43991.0</v>
      </c>
      <c r="E87" s="143">
        <v>230.0</v>
      </c>
      <c r="F87" s="143">
        <v>33973.0</v>
      </c>
      <c r="G87" s="143" t="s">
        <v>176</v>
      </c>
      <c r="H87" s="143">
        <v>2.0</v>
      </c>
      <c r="I87" s="143" t="s">
        <v>334</v>
      </c>
      <c r="BB87" s="5"/>
    </row>
    <row r="88">
      <c r="A88" s="143">
        <v>0.0</v>
      </c>
      <c r="B88" s="143" t="s">
        <v>321</v>
      </c>
      <c r="C88" s="143" t="s">
        <v>183</v>
      </c>
      <c r="D88" s="219">
        <v>43989.0</v>
      </c>
      <c r="E88" s="143">
        <v>185.0</v>
      </c>
      <c r="F88" s="143">
        <v>34997.0</v>
      </c>
      <c r="G88" s="143" t="s">
        <v>176</v>
      </c>
      <c r="H88" s="143" t="s">
        <v>187</v>
      </c>
      <c r="I88" s="143" t="s">
        <v>335</v>
      </c>
      <c r="BB88" s="5"/>
    </row>
    <row r="89">
      <c r="A89" s="143">
        <v>1.0</v>
      </c>
      <c r="B89" s="143" t="s">
        <v>323</v>
      </c>
      <c r="C89" s="143" t="s">
        <v>175</v>
      </c>
      <c r="D89" s="219" t="s">
        <v>180</v>
      </c>
      <c r="E89" s="143">
        <v>270.0</v>
      </c>
      <c r="F89" s="143">
        <v>32161.0</v>
      </c>
      <c r="G89" s="143" t="s">
        <v>176</v>
      </c>
      <c r="H89" s="143">
        <v>8.0</v>
      </c>
      <c r="I89" s="143" t="s">
        <v>336</v>
      </c>
      <c r="BB89" s="5"/>
    </row>
    <row r="90">
      <c r="A90" s="143">
        <v>27.0</v>
      </c>
      <c r="B90" s="143" t="s">
        <v>319</v>
      </c>
      <c r="C90" s="143" t="s">
        <v>175</v>
      </c>
      <c r="D90" s="219">
        <v>43993.0</v>
      </c>
      <c r="E90" s="143">
        <v>270.0</v>
      </c>
      <c r="F90" s="143">
        <v>30722.0</v>
      </c>
      <c r="G90" s="143" t="s">
        <v>337</v>
      </c>
      <c r="H90" s="143">
        <v>13.0</v>
      </c>
      <c r="I90" s="143"/>
      <c r="BB90" s="5"/>
    </row>
    <row r="91">
      <c r="A91" s="143">
        <v>11.0</v>
      </c>
      <c r="B91" s="143" t="s">
        <v>313</v>
      </c>
      <c r="C91" s="143" t="s">
        <v>183</v>
      </c>
      <c r="D91" s="219">
        <v>43988.0</v>
      </c>
      <c r="E91" s="143">
        <v>215.0</v>
      </c>
      <c r="F91" s="143">
        <v>32912.0</v>
      </c>
      <c r="G91" s="143" t="s">
        <v>176</v>
      </c>
      <c r="H91" s="143">
        <v>5.0</v>
      </c>
      <c r="I91" s="143" t="s">
        <v>338</v>
      </c>
      <c r="BB91" s="5"/>
    </row>
    <row r="92">
      <c r="A92" s="143">
        <v>18.0</v>
      </c>
      <c r="B92" s="143" t="s">
        <v>327</v>
      </c>
      <c r="C92" s="143" t="s">
        <v>175</v>
      </c>
      <c r="D92" s="219">
        <v>43992.0</v>
      </c>
      <c r="E92" s="143">
        <v>273.0</v>
      </c>
      <c r="F92" s="143">
        <v>30222.0</v>
      </c>
      <c r="G92" s="143" t="s">
        <v>339</v>
      </c>
      <c r="H92" s="143">
        <v>12.0</v>
      </c>
      <c r="I92" s="143"/>
      <c r="BB92" s="5"/>
    </row>
    <row r="93">
      <c r="A93" s="143">
        <v>2.0</v>
      </c>
      <c r="B93" s="143" t="s">
        <v>329</v>
      </c>
      <c r="C93" s="143" t="s">
        <v>178</v>
      </c>
      <c r="D93" s="219">
        <v>43984.0</v>
      </c>
      <c r="E93" s="143">
        <v>165.0</v>
      </c>
      <c r="F93" s="143">
        <v>33967.0</v>
      </c>
      <c r="G93" s="143" t="s">
        <v>176</v>
      </c>
      <c r="H93" s="143">
        <v>1.0</v>
      </c>
      <c r="I93" s="143" t="s">
        <v>200</v>
      </c>
      <c r="BB93" s="5"/>
    </row>
    <row r="94">
      <c r="A94" s="143">
        <v>3.0</v>
      </c>
      <c r="B94" s="143" t="s">
        <v>322</v>
      </c>
      <c r="C94" s="143" t="s">
        <v>175</v>
      </c>
      <c r="D94" s="219">
        <v>43991.0</v>
      </c>
      <c r="E94" s="143">
        <v>250.0</v>
      </c>
      <c r="F94" s="143">
        <v>29462.0</v>
      </c>
      <c r="G94" s="143" t="s">
        <v>176</v>
      </c>
      <c r="H94" s="143">
        <v>13.0</v>
      </c>
      <c r="I94" s="143" t="s">
        <v>340</v>
      </c>
    </row>
    <row r="95">
      <c r="D95" s="219"/>
      <c r="BB95" s="5"/>
    </row>
    <row r="96">
      <c r="D96" s="219"/>
      <c r="BB96" s="5"/>
    </row>
    <row r="97">
      <c r="D97" s="219"/>
    </row>
    <row r="98">
      <c r="D98" s="219"/>
      <c r="BB98" s="5"/>
    </row>
    <row r="99">
      <c r="D99" s="219"/>
      <c r="BB99" s="5"/>
    </row>
    <row r="100">
      <c r="D100" s="219"/>
      <c r="BB100" s="5"/>
    </row>
    <row r="101">
      <c r="D101" s="219"/>
      <c r="BB101" s="5"/>
    </row>
    <row r="102">
      <c r="A102" s="143" t="s">
        <v>168</v>
      </c>
      <c r="B102" s="143" t="s">
        <v>119</v>
      </c>
      <c r="C102" s="143" t="s">
        <v>129</v>
      </c>
      <c r="D102" s="219" t="s">
        <v>169</v>
      </c>
      <c r="E102" s="143" t="s">
        <v>170</v>
      </c>
      <c r="F102" s="143" t="s">
        <v>171</v>
      </c>
      <c r="G102" s="143"/>
      <c r="H102" s="143" t="s">
        <v>172</v>
      </c>
      <c r="I102" s="143" t="s">
        <v>173</v>
      </c>
      <c r="BB102" s="5"/>
    </row>
    <row r="103">
      <c r="A103" s="143">
        <v>0.0</v>
      </c>
      <c r="B103" s="143" t="s">
        <v>159</v>
      </c>
      <c r="C103" s="143" t="s">
        <v>175</v>
      </c>
      <c r="D103" s="219">
        <v>43992.0</v>
      </c>
      <c r="E103" s="143">
        <v>245.0</v>
      </c>
      <c r="F103" s="143">
        <v>28678.0</v>
      </c>
      <c r="G103" s="143" t="s">
        <v>176</v>
      </c>
      <c r="H103" s="143">
        <v>14.0</v>
      </c>
      <c r="I103" s="143" t="s">
        <v>177</v>
      </c>
      <c r="BB103" s="5"/>
    </row>
    <row r="104">
      <c r="A104" s="143">
        <v>6.0</v>
      </c>
      <c r="B104" s="143" t="s">
        <v>163</v>
      </c>
      <c r="C104" s="143" t="s">
        <v>175</v>
      </c>
      <c r="D104" s="219" t="s">
        <v>180</v>
      </c>
      <c r="E104" s="143">
        <v>260.0</v>
      </c>
      <c r="F104" s="143">
        <v>31014.0</v>
      </c>
      <c r="G104" s="143" t="s">
        <v>181</v>
      </c>
      <c r="H104" s="143">
        <v>11.0</v>
      </c>
      <c r="I104" s="143" t="s">
        <v>182</v>
      </c>
      <c r="BB104" s="5"/>
    </row>
    <row r="105">
      <c r="A105" s="143">
        <v>3.0</v>
      </c>
      <c r="B105" s="143" t="s">
        <v>158</v>
      </c>
      <c r="C105" s="143" t="s">
        <v>185</v>
      </c>
      <c r="D105" s="219">
        <v>43991.0</v>
      </c>
      <c r="E105" s="143">
        <v>230.0</v>
      </c>
      <c r="F105" s="143">
        <v>29479.0</v>
      </c>
      <c r="G105" s="143" t="s">
        <v>176</v>
      </c>
      <c r="H105" s="143">
        <v>14.0</v>
      </c>
      <c r="I105" s="143" t="s">
        <v>186</v>
      </c>
      <c r="BB105" s="5"/>
    </row>
    <row r="106">
      <c r="A106" s="143">
        <v>20.0</v>
      </c>
      <c r="B106" s="143" t="s">
        <v>155</v>
      </c>
      <c r="C106" s="143" t="s">
        <v>178</v>
      </c>
      <c r="D106" s="219">
        <v>43960.0</v>
      </c>
      <c r="E106" s="143">
        <v>176.0</v>
      </c>
      <c r="F106" s="143">
        <v>34787.0</v>
      </c>
      <c r="G106" s="143" t="s">
        <v>176</v>
      </c>
      <c r="H106" s="143" t="s">
        <v>187</v>
      </c>
      <c r="I106" s="143" t="s">
        <v>188</v>
      </c>
      <c r="BB106" s="5"/>
    </row>
    <row r="107">
      <c r="A107" s="143">
        <v>8.0</v>
      </c>
      <c r="B107" s="143" t="s">
        <v>149</v>
      </c>
      <c r="C107" s="143" t="s">
        <v>175</v>
      </c>
      <c r="D107" s="219" t="s">
        <v>180</v>
      </c>
      <c r="E107" s="143">
        <v>255.0</v>
      </c>
      <c r="F107" s="143">
        <v>30453.0</v>
      </c>
      <c r="G107" s="143" t="s">
        <v>176</v>
      </c>
      <c r="H107" s="143">
        <v>10.0</v>
      </c>
      <c r="I107" s="143" t="s">
        <v>189</v>
      </c>
      <c r="BB107" s="5"/>
    </row>
    <row r="108">
      <c r="A108" s="143">
        <v>2.0</v>
      </c>
      <c r="B108" s="143" t="s">
        <v>144</v>
      </c>
      <c r="C108" s="143" t="s">
        <v>178</v>
      </c>
      <c r="D108" s="219">
        <v>43984.0</v>
      </c>
      <c r="E108" s="143">
        <v>195.0</v>
      </c>
      <c r="F108" s="143">
        <v>33686.0</v>
      </c>
      <c r="G108" s="143" t="s">
        <v>181</v>
      </c>
      <c r="H108" s="143">
        <v>5.0</v>
      </c>
      <c r="I108" s="143" t="s">
        <v>186</v>
      </c>
      <c r="BB108" s="5"/>
    </row>
    <row r="109">
      <c r="A109" s="143">
        <v>23.0</v>
      </c>
      <c r="B109" s="143" t="s">
        <v>143</v>
      </c>
      <c r="C109" s="143" t="s">
        <v>185</v>
      </c>
      <c r="D109" s="219">
        <v>43991.0</v>
      </c>
      <c r="E109" s="143">
        <v>250.0</v>
      </c>
      <c r="F109" s="143">
        <v>31046.0</v>
      </c>
      <c r="G109" s="143" t="s">
        <v>176</v>
      </c>
      <c r="H109" s="143">
        <v>13.0</v>
      </c>
      <c r="I109" s="143"/>
      <c r="BB109" s="5"/>
    </row>
    <row r="110">
      <c r="A110" s="143">
        <v>24.0</v>
      </c>
      <c r="B110" s="143" t="s">
        <v>148</v>
      </c>
      <c r="C110" s="143" t="s">
        <v>185</v>
      </c>
      <c r="D110" s="219">
        <v>43989.0</v>
      </c>
      <c r="E110" s="143">
        <v>233.0</v>
      </c>
      <c r="F110" s="143">
        <v>29393.0</v>
      </c>
      <c r="G110" s="143" t="s">
        <v>176</v>
      </c>
      <c r="H110" s="143">
        <v>15.0</v>
      </c>
      <c r="I110" s="143" t="s">
        <v>189</v>
      </c>
      <c r="BB110" s="5"/>
    </row>
    <row r="111">
      <c r="A111" s="143">
        <v>30.0</v>
      </c>
      <c r="B111" s="143" t="s">
        <v>162</v>
      </c>
      <c r="C111" s="143" t="s">
        <v>185</v>
      </c>
      <c r="D111" s="219">
        <v>43988.0</v>
      </c>
      <c r="E111" s="143">
        <v>225.0</v>
      </c>
      <c r="F111" s="143">
        <v>29582.0</v>
      </c>
      <c r="G111" s="143" t="s">
        <v>176</v>
      </c>
      <c r="H111" s="143">
        <v>12.0</v>
      </c>
      <c r="I111" s="143" t="s">
        <v>192</v>
      </c>
      <c r="BB111" s="5"/>
    </row>
    <row r="112">
      <c r="A112" s="143">
        <v>1.0</v>
      </c>
      <c r="B112" s="143" t="s">
        <v>157</v>
      </c>
      <c r="C112" s="143" t="s">
        <v>185</v>
      </c>
      <c r="D112" s="219">
        <v>43990.0</v>
      </c>
      <c r="E112" s="143">
        <v>218.0</v>
      </c>
      <c r="F112" s="143">
        <v>29498.0</v>
      </c>
      <c r="G112" s="143" t="s">
        <v>176</v>
      </c>
      <c r="H112" s="143">
        <v>13.0</v>
      </c>
      <c r="I112" s="143" t="s">
        <v>194</v>
      </c>
      <c r="BB112" s="5"/>
    </row>
    <row r="113">
      <c r="A113" s="143">
        <v>26.0</v>
      </c>
      <c r="B113" s="143" t="s">
        <v>151</v>
      </c>
      <c r="C113" s="143" t="s">
        <v>183</v>
      </c>
      <c r="D113" s="219">
        <v>43989.0</v>
      </c>
      <c r="E113" s="143">
        <v>212.0</v>
      </c>
      <c r="F113" s="143">
        <v>29662.0</v>
      </c>
      <c r="G113" s="143" t="s">
        <v>176</v>
      </c>
      <c r="H113" s="143">
        <v>13.0</v>
      </c>
      <c r="I113" s="143" t="s">
        <v>196</v>
      </c>
      <c r="BB113" s="5"/>
    </row>
    <row r="114">
      <c r="A114" s="143">
        <v>14.0</v>
      </c>
      <c r="B114" s="143" t="s">
        <v>152</v>
      </c>
      <c r="C114" s="143" t="s">
        <v>183</v>
      </c>
      <c r="D114" s="219">
        <v>43988.0</v>
      </c>
      <c r="E114" s="143">
        <v>209.0</v>
      </c>
      <c r="F114" s="143">
        <v>32233.0</v>
      </c>
      <c r="G114" s="143" t="s">
        <v>176</v>
      </c>
      <c r="H114" s="143">
        <v>3.0</v>
      </c>
      <c r="I114" s="143" t="s">
        <v>197</v>
      </c>
      <c r="BB114" s="5"/>
    </row>
    <row r="115">
      <c r="A115" s="143">
        <v>0.0</v>
      </c>
      <c r="B115" s="143" t="s">
        <v>147</v>
      </c>
      <c r="C115" s="143" t="s">
        <v>23</v>
      </c>
      <c r="D115" s="219">
        <v>43990.0</v>
      </c>
      <c r="E115" s="143">
        <v>215.0</v>
      </c>
      <c r="F115" s="143">
        <v>32393.0</v>
      </c>
      <c r="G115" s="143" t="s">
        <v>176</v>
      </c>
      <c r="H115" s="143">
        <v>8.0</v>
      </c>
      <c r="I115" s="143" t="s">
        <v>198</v>
      </c>
      <c r="BB115" s="5"/>
    </row>
    <row r="116">
      <c r="A116" s="143">
        <v>12.0</v>
      </c>
      <c r="B116" s="143" t="s">
        <v>156</v>
      </c>
      <c r="C116" s="143" t="s">
        <v>183</v>
      </c>
      <c r="D116" s="219">
        <v>43987.0</v>
      </c>
      <c r="E116" s="143">
        <v>179.0</v>
      </c>
      <c r="F116" s="143">
        <v>33325.0</v>
      </c>
      <c r="G116" s="143" t="s">
        <v>176</v>
      </c>
      <c r="H116" s="143">
        <v>1.0</v>
      </c>
      <c r="I116" s="143" t="s">
        <v>199</v>
      </c>
      <c r="BB116" s="5"/>
    </row>
    <row r="117">
      <c r="A117" s="143">
        <v>9.0</v>
      </c>
      <c r="B117" s="143" t="s">
        <v>161</v>
      </c>
      <c r="C117" s="143" t="s">
        <v>175</v>
      </c>
      <c r="D117" s="219">
        <v>43993.0</v>
      </c>
      <c r="E117" s="143">
        <v>235.0</v>
      </c>
      <c r="F117" s="143">
        <v>32468.0</v>
      </c>
      <c r="G117" s="143" t="s">
        <v>176</v>
      </c>
      <c r="H117" s="143">
        <v>5.0</v>
      </c>
      <c r="I117" s="143" t="s">
        <v>200</v>
      </c>
      <c r="BB117" s="5"/>
    </row>
    <row r="118">
      <c r="A118" s="143">
        <v>4.0</v>
      </c>
      <c r="B118" s="143" t="s">
        <v>146</v>
      </c>
      <c r="C118" s="143" t="s">
        <v>183</v>
      </c>
      <c r="D118" s="219">
        <v>43987.0</v>
      </c>
      <c r="E118" s="143">
        <v>215.0</v>
      </c>
      <c r="F118" s="143">
        <v>33050.0</v>
      </c>
      <c r="G118" s="143" t="s">
        <v>176</v>
      </c>
      <c r="H118" s="143">
        <v>5.0</v>
      </c>
      <c r="I118" s="143" t="s">
        <v>201</v>
      </c>
      <c r="BB118" s="5"/>
    </row>
    <row r="119">
      <c r="A119" s="143">
        <v>5.0</v>
      </c>
      <c r="B119" s="143" t="s">
        <v>150</v>
      </c>
      <c r="C119" s="143" t="s">
        <v>183</v>
      </c>
      <c r="D119" s="219">
        <v>43988.0</v>
      </c>
      <c r="E119" s="143">
        <v>225.0</v>
      </c>
      <c r="F119" s="143">
        <v>31299.0</v>
      </c>
      <c r="G119" s="143" t="s">
        <v>176</v>
      </c>
      <c r="H119" s="143">
        <v>12.0</v>
      </c>
      <c r="I119" s="143"/>
      <c r="BB119" s="5"/>
    </row>
    <row r="120">
      <c r="A120" s="143">
        <v>40.0</v>
      </c>
      <c r="B120" s="143" t="s">
        <v>160</v>
      </c>
      <c r="C120" s="143" t="s">
        <v>175</v>
      </c>
      <c r="D120" s="219">
        <v>44015.0</v>
      </c>
      <c r="E120" s="143">
        <v>260.0</v>
      </c>
      <c r="F120" s="143">
        <v>33685.0</v>
      </c>
      <c r="G120" s="143" t="s">
        <v>202</v>
      </c>
      <c r="H120" s="143">
        <v>1.0</v>
      </c>
      <c r="I120" s="143"/>
      <c r="BB120" s="5"/>
    </row>
    <row r="121">
      <c r="A121" s="143">
        <v>13.0</v>
      </c>
      <c r="B121" s="143" t="s">
        <v>145</v>
      </c>
      <c r="C121" s="143" t="s">
        <v>175</v>
      </c>
      <c r="D121" s="219">
        <v>43991.0</v>
      </c>
      <c r="E121" s="143">
        <v>238.0</v>
      </c>
      <c r="F121" s="143">
        <v>33310.0</v>
      </c>
      <c r="G121" s="143" t="s">
        <v>203</v>
      </c>
      <c r="H121" s="143">
        <v>5.0</v>
      </c>
      <c r="I121" s="143" t="s">
        <v>204</v>
      </c>
      <c r="BB121" s="5"/>
    </row>
    <row r="122">
      <c r="A122" s="143">
        <v>31.0</v>
      </c>
      <c r="B122" s="143" t="s">
        <v>153</v>
      </c>
      <c r="C122" s="143" t="s">
        <v>178</v>
      </c>
      <c r="D122" s="219">
        <v>43985.0</v>
      </c>
      <c r="E122" s="143">
        <v>200.0</v>
      </c>
      <c r="F122" s="143">
        <v>30859.0</v>
      </c>
      <c r="G122" s="143" t="s">
        <v>176</v>
      </c>
      <c r="H122" s="143">
        <v>11.0</v>
      </c>
      <c r="I122" s="143" t="s">
        <v>205</v>
      </c>
      <c r="BB122" s="5"/>
    </row>
    <row r="123">
      <c r="A123" s="143" t="s">
        <v>206</v>
      </c>
      <c r="B123" s="143" t="s">
        <v>154</v>
      </c>
      <c r="C123" s="143" t="s">
        <v>23</v>
      </c>
      <c r="D123" s="219">
        <v>43990.0</v>
      </c>
      <c r="E123" s="143">
        <v>240.0</v>
      </c>
      <c r="F123" s="143">
        <v>33383.0</v>
      </c>
      <c r="G123" s="143" t="s">
        <v>176</v>
      </c>
      <c r="H123" s="143">
        <v>5.0</v>
      </c>
      <c r="I123" s="143" t="s">
        <v>189</v>
      </c>
      <c r="BB123" s="5"/>
    </row>
    <row r="124">
      <c r="D124" s="219"/>
      <c r="BB124" s="5"/>
    </row>
    <row r="125">
      <c r="D125" s="219"/>
      <c r="BB125" s="5"/>
    </row>
    <row r="126">
      <c r="D126" s="219"/>
      <c r="BB126" s="5"/>
    </row>
    <row r="127">
      <c r="BB127" s="5"/>
    </row>
    <row r="128">
      <c r="BB128" s="5"/>
    </row>
    <row r="129">
      <c r="A129" s="61" t="s">
        <v>207</v>
      </c>
      <c r="I129" s="143">
        <v>109.52849999999997</v>
      </c>
      <c r="BB129" s="5"/>
    </row>
    <row r="130">
      <c r="A130" s="143"/>
      <c r="B130" s="143"/>
      <c r="C130" s="143"/>
      <c r="D130" s="143"/>
      <c r="E130" s="143"/>
      <c r="F130" s="143"/>
      <c r="G130" s="143"/>
      <c r="H130" s="143" t="s">
        <v>208</v>
      </c>
      <c r="I130" s="143"/>
      <c r="J130" s="143"/>
      <c r="K130" s="143"/>
      <c r="L130" s="143" t="s">
        <v>209</v>
      </c>
      <c r="M130" s="143"/>
      <c r="N130" s="143"/>
      <c r="O130" s="143"/>
      <c r="BB130" s="5"/>
    </row>
    <row r="131">
      <c r="A131" s="143" t="s">
        <v>76</v>
      </c>
      <c r="B131" s="143" t="s">
        <v>210</v>
      </c>
      <c r="C131" s="143" t="s">
        <v>211</v>
      </c>
      <c r="D131" s="143" t="s">
        <v>212</v>
      </c>
      <c r="E131" s="143" t="s">
        <v>213</v>
      </c>
      <c r="F131" s="143" t="s">
        <v>214</v>
      </c>
      <c r="G131" s="143" t="s">
        <v>215</v>
      </c>
      <c r="H131" s="143" t="s">
        <v>216</v>
      </c>
      <c r="I131" s="143" t="s">
        <v>217</v>
      </c>
      <c r="J131" s="143" t="s">
        <v>218</v>
      </c>
      <c r="K131" s="143" t="s">
        <v>219</v>
      </c>
      <c r="L131" s="143" t="s">
        <v>220</v>
      </c>
      <c r="M131" s="143" t="s">
        <v>221</v>
      </c>
      <c r="N131" s="143" t="s">
        <v>222</v>
      </c>
      <c r="O131" s="143" t="s">
        <v>223</v>
      </c>
      <c r="P131" s="61" t="s">
        <v>224</v>
      </c>
      <c r="Q131" s="61" t="s">
        <v>225</v>
      </c>
      <c r="BB131" s="5"/>
    </row>
    <row r="132">
      <c r="A132" s="143">
        <v>1.0</v>
      </c>
      <c r="B132" s="143" t="s">
        <v>226</v>
      </c>
      <c r="C132" s="143" t="s">
        <v>213</v>
      </c>
      <c r="D132" s="143" t="s">
        <v>227</v>
      </c>
      <c r="E132" s="143">
        <v>67.0</v>
      </c>
      <c r="F132" s="143">
        <v>15.0</v>
      </c>
      <c r="G132" s="143">
        <v>0.817</v>
      </c>
      <c r="H132" s="143">
        <v>11.63</v>
      </c>
      <c r="I132" s="143">
        <v>116.26</v>
      </c>
      <c r="J132" s="143">
        <v>104.57</v>
      </c>
      <c r="K132" s="143">
        <v>11.69</v>
      </c>
      <c r="L132" s="143">
        <v>11.35</v>
      </c>
      <c r="M132" s="143">
        <v>116.02</v>
      </c>
      <c r="N132" s="143">
        <v>104.61</v>
      </c>
      <c r="O132" s="143">
        <v>11.41</v>
      </c>
      <c r="P132" s="143">
        <f t="shared" ref="P132:P161" si="360">M132-$I$129</f>
        <v>6.4915</v>
      </c>
      <c r="Q132" s="143">
        <f t="shared" ref="Q132:Q161" si="361">$I$129-N132</f>
        <v>4.9185</v>
      </c>
      <c r="BB132" s="5"/>
    </row>
    <row r="133">
      <c r="A133" s="143">
        <v>2.0</v>
      </c>
      <c r="B133" s="143" t="s">
        <v>228</v>
      </c>
      <c r="C133" s="143" t="s">
        <v>213</v>
      </c>
      <c r="D133" s="143" t="s">
        <v>229</v>
      </c>
      <c r="E133" s="143">
        <v>61.0</v>
      </c>
      <c r="F133" s="143">
        <v>21.0</v>
      </c>
      <c r="G133" s="143">
        <v>0.744</v>
      </c>
      <c r="H133" s="143">
        <v>7.2</v>
      </c>
      <c r="I133" s="143">
        <v>111.81</v>
      </c>
      <c r="J133" s="143">
        <v>104.25</v>
      </c>
      <c r="K133" s="143">
        <v>7.56</v>
      </c>
      <c r="L133" s="143">
        <v>7.13</v>
      </c>
      <c r="M133" s="143">
        <v>111.62</v>
      </c>
      <c r="N133" s="143">
        <v>104.12</v>
      </c>
      <c r="O133" s="143">
        <v>7.49</v>
      </c>
      <c r="P133" s="143">
        <f t="shared" si="360"/>
        <v>2.0915</v>
      </c>
      <c r="Q133" s="143">
        <f t="shared" si="361"/>
        <v>5.4085</v>
      </c>
      <c r="BB133" s="5"/>
    </row>
    <row r="134">
      <c r="A134" s="143">
        <v>3.0</v>
      </c>
      <c r="B134" s="143" t="s">
        <v>230</v>
      </c>
      <c r="C134" s="143" t="s">
        <v>213</v>
      </c>
      <c r="D134" s="143" t="s">
        <v>229</v>
      </c>
      <c r="E134" s="143">
        <v>55.0</v>
      </c>
      <c r="F134" s="143">
        <v>27.0</v>
      </c>
      <c r="G134" s="143">
        <v>0.671</v>
      </c>
      <c r="H134" s="143">
        <v>5.77</v>
      </c>
      <c r="I134" s="143">
        <v>115.59</v>
      </c>
      <c r="J134" s="143">
        <v>109.96</v>
      </c>
      <c r="K134" s="143">
        <v>5.63</v>
      </c>
      <c r="L134" s="143">
        <v>5.84</v>
      </c>
      <c r="M134" s="143">
        <v>115.7</v>
      </c>
      <c r="N134" s="143">
        <v>109.98</v>
      </c>
      <c r="O134" s="143">
        <v>5.72</v>
      </c>
      <c r="P134" s="143">
        <f t="shared" si="360"/>
        <v>6.1715</v>
      </c>
      <c r="Q134" s="143">
        <f t="shared" si="361"/>
        <v>-0.4515</v>
      </c>
      <c r="BB134" s="5"/>
    </row>
    <row r="135">
      <c r="A135" s="143">
        <v>4.0</v>
      </c>
      <c r="B135" s="143" t="s">
        <v>231</v>
      </c>
      <c r="C135" s="143" t="s">
        <v>213</v>
      </c>
      <c r="D135" s="143" t="s">
        <v>227</v>
      </c>
      <c r="E135" s="143">
        <v>51.0</v>
      </c>
      <c r="F135" s="143">
        <v>31.0</v>
      </c>
      <c r="G135" s="143">
        <v>0.622</v>
      </c>
      <c r="H135" s="143">
        <v>4.29</v>
      </c>
      <c r="I135" s="143">
        <v>113.38</v>
      </c>
      <c r="J135" s="143">
        <v>108.88</v>
      </c>
      <c r="K135" s="143">
        <v>4.5</v>
      </c>
      <c r="L135" s="143">
        <v>4.42</v>
      </c>
      <c r="M135" s="143">
        <v>113.46</v>
      </c>
      <c r="N135" s="143">
        <v>108.82</v>
      </c>
      <c r="O135" s="143">
        <v>4.64</v>
      </c>
      <c r="P135" s="143">
        <f t="shared" si="360"/>
        <v>3.9315</v>
      </c>
      <c r="Q135" s="143">
        <f t="shared" si="361"/>
        <v>0.7085</v>
      </c>
      <c r="BB135" s="5"/>
    </row>
    <row r="136">
      <c r="A136" s="143">
        <v>5.0</v>
      </c>
      <c r="B136" s="143" t="s">
        <v>232</v>
      </c>
      <c r="C136" s="143" t="s">
        <v>213</v>
      </c>
      <c r="D136" s="143" t="s">
        <v>233</v>
      </c>
      <c r="E136" s="143">
        <v>51.0</v>
      </c>
      <c r="F136" s="143">
        <v>31.0</v>
      </c>
      <c r="G136" s="143">
        <v>0.622</v>
      </c>
      <c r="H136" s="143">
        <v>3.94</v>
      </c>
      <c r="I136" s="143">
        <v>110.46</v>
      </c>
      <c r="J136" s="143">
        <v>106.19</v>
      </c>
      <c r="K136" s="143">
        <v>4.27</v>
      </c>
      <c r="L136" s="143">
        <v>4.0</v>
      </c>
      <c r="M136" s="143">
        <v>110.31</v>
      </c>
      <c r="N136" s="143">
        <v>105.98</v>
      </c>
      <c r="O136" s="143">
        <v>4.33</v>
      </c>
      <c r="P136" s="143">
        <f t="shared" si="360"/>
        <v>0.7815</v>
      </c>
      <c r="Q136" s="143">
        <f t="shared" si="361"/>
        <v>3.5485</v>
      </c>
      <c r="BB136" s="5"/>
    </row>
    <row r="137">
      <c r="A137" s="143">
        <v>6.0</v>
      </c>
      <c r="B137" s="143" t="s">
        <v>234</v>
      </c>
      <c r="C137" s="143" t="s">
        <v>235</v>
      </c>
      <c r="D137" s="143" t="s">
        <v>236</v>
      </c>
      <c r="E137" s="143">
        <v>51.0</v>
      </c>
      <c r="F137" s="143">
        <v>31.0</v>
      </c>
      <c r="G137" s="143">
        <v>0.622</v>
      </c>
      <c r="H137" s="143">
        <v>4.21</v>
      </c>
      <c r="I137" s="143">
        <v>113.2</v>
      </c>
      <c r="J137" s="143">
        <v>108.68</v>
      </c>
      <c r="K137" s="143">
        <v>4.51</v>
      </c>
      <c r="L137" s="143">
        <v>3.65</v>
      </c>
      <c r="M137" s="143">
        <v>113.07</v>
      </c>
      <c r="N137" s="143">
        <v>109.14</v>
      </c>
      <c r="O137" s="143">
        <v>3.93</v>
      </c>
      <c r="P137" s="143">
        <f t="shared" si="360"/>
        <v>3.5415</v>
      </c>
      <c r="Q137" s="143">
        <f t="shared" si="361"/>
        <v>0.3885</v>
      </c>
      <c r="BB137" s="5"/>
    </row>
    <row r="138">
      <c r="A138" s="143">
        <v>7.0</v>
      </c>
      <c r="B138" s="143" t="s">
        <v>62</v>
      </c>
      <c r="C138" s="143" t="s">
        <v>235</v>
      </c>
      <c r="D138" s="143" t="s">
        <v>175</v>
      </c>
      <c r="E138" s="143">
        <v>51.0</v>
      </c>
      <c r="F138" s="143">
        <v>31.0</v>
      </c>
      <c r="G138" s="143">
        <v>0.622</v>
      </c>
      <c r="H138" s="143">
        <v>3.18</v>
      </c>
      <c r="I138" s="143">
        <v>114.25</v>
      </c>
      <c r="J138" s="143">
        <v>110.99</v>
      </c>
      <c r="K138" s="143">
        <v>3.27</v>
      </c>
      <c r="L138" s="143">
        <v>2.88</v>
      </c>
      <c r="M138" s="143">
        <v>114.33</v>
      </c>
      <c r="N138" s="143">
        <v>111.38</v>
      </c>
      <c r="O138" s="143">
        <v>2.95</v>
      </c>
      <c r="P138" s="143">
        <f t="shared" si="360"/>
        <v>4.8015</v>
      </c>
      <c r="Q138" s="143">
        <f t="shared" si="361"/>
        <v>-1.8515</v>
      </c>
      <c r="BB138" s="5"/>
    </row>
    <row r="139">
      <c r="A139" s="143">
        <v>8.0</v>
      </c>
      <c r="B139" s="143" t="s">
        <v>237</v>
      </c>
      <c r="C139" s="143" t="s">
        <v>235</v>
      </c>
      <c r="D139" s="143" t="s">
        <v>236</v>
      </c>
      <c r="E139" s="143">
        <v>53.0</v>
      </c>
      <c r="F139" s="143">
        <v>29.0</v>
      </c>
      <c r="G139" s="143">
        <v>0.646</v>
      </c>
      <c r="H139" s="143">
        <v>2.63</v>
      </c>
      <c r="I139" s="143">
        <v>111.88</v>
      </c>
      <c r="J139" s="143">
        <v>109.16</v>
      </c>
      <c r="K139" s="143">
        <v>2.72</v>
      </c>
      <c r="L139" s="143">
        <v>2.25</v>
      </c>
      <c r="M139" s="143">
        <v>111.81</v>
      </c>
      <c r="N139" s="143">
        <v>109.49</v>
      </c>
      <c r="O139" s="143">
        <v>2.33</v>
      </c>
      <c r="P139" s="143">
        <f t="shared" si="360"/>
        <v>2.2815</v>
      </c>
      <c r="Q139" s="143">
        <f t="shared" si="361"/>
        <v>0.0385</v>
      </c>
      <c r="BB139" s="5"/>
    </row>
    <row r="140">
      <c r="A140" s="143">
        <v>9.0</v>
      </c>
      <c r="B140" s="143" t="s">
        <v>238</v>
      </c>
      <c r="C140" s="143" t="s">
        <v>235</v>
      </c>
      <c r="D140" s="143" t="s">
        <v>239</v>
      </c>
      <c r="E140" s="143">
        <v>49.0</v>
      </c>
      <c r="F140" s="143">
        <v>33.0</v>
      </c>
      <c r="G140" s="143">
        <v>0.598</v>
      </c>
      <c r="H140" s="143">
        <v>1.8</v>
      </c>
      <c r="I140" s="143">
        <v>111.98</v>
      </c>
      <c r="J140" s="143">
        <v>110.06</v>
      </c>
      <c r="K140" s="143">
        <v>1.92</v>
      </c>
      <c r="L140" s="143">
        <v>1.36</v>
      </c>
      <c r="M140" s="143">
        <v>111.96</v>
      </c>
      <c r="N140" s="143">
        <v>110.49</v>
      </c>
      <c r="O140" s="143">
        <v>1.46</v>
      </c>
      <c r="P140" s="143">
        <f t="shared" si="360"/>
        <v>2.4315</v>
      </c>
      <c r="Q140" s="143">
        <f t="shared" si="361"/>
        <v>-0.9615</v>
      </c>
      <c r="BB140" s="5"/>
    </row>
    <row r="141">
      <c r="A141" s="143">
        <v>10.0</v>
      </c>
      <c r="B141" s="143" t="s">
        <v>240</v>
      </c>
      <c r="C141" s="143" t="s">
        <v>213</v>
      </c>
      <c r="D141" s="143" t="s">
        <v>233</v>
      </c>
      <c r="E141" s="143">
        <v>47.0</v>
      </c>
      <c r="F141" s="143">
        <v>35.0</v>
      </c>
      <c r="G141" s="143">
        <v>0.573</v>
      </c>
      <c r="H141" s="143">
        <v>0.76</v>
      </c>
      <c r="I141" s="143">
        <v>108.95</v>
      </c>
      <c r="J141" s="143">
        <v>108.17</v>
      </c>
      <c r="K141" s="143">
        <v>0.78</v>
      </c>
      <c r="L141" s="143">
        <v>1.15</v>
      </c>
      <c r="M141" s="143">
        <v>108.94</v>
      </c>
      <c r="N141" s="143">
        <v>107.75</v>
      </c>
      <c r="O141" s="143">
        <v>1.18</v>
      </c>
      <c r="P141" s="143">
        <f t="shared" si="360"/>
        <v>-0.5885</v>
      </c>
      <c r="Q141" s="143">
        <f t="shared" si="361"/>
        <v>1.7785</v>
      </c>
      <c r="BB141" s="5"/>
    </row>
    <row r="142">
      <c r="A142" s="143">
        <v>11.0</v>
      </c>
      <c r="B142" s="143" t="s">
        <v>241</v>
      </c>
      <c r="C142" s="143" t="s">
        <v>213</v>
      </c>
      <c r="D142" s="143" t="s">
        <v>229</v>
      </c>
      <c r="E142" s="143">
        <v>43.0</v>
      </c>
      <c r="F142" s="143">
        <v>39.0</v>
      </c>
      <c r="G142" s="143">
        <v>0.524</v>
      </c>
      <c r="H142" s="143">
        <v>0.49</v>
      </c>
      <c r="I142" s="143">
        <v>108.59</v>
      </c>
      <c r="J142" s="143">
        <v>107.89</v>
      </c>
      <c r="K142" s="143">
        <v>0.7</v>
      </c>
      <c r="L142" s="143">
        <v>0.96</v>
      </c>
      <c r="M142" s="143">
        <v>108.71</v>
      </c>
      <c r="N142" s="143">
        <v>107.55</v>
      </c>
      <c r="O142" s="143">
        <v>1.17</v>
      </c>
      <c r="P142" s="143">
        <f t="shared" si="360"/>
        <v>-0.8185</v>
      </c>
      <c r="Q142" s="143">
        <f t="shared" si="361"/>
        <v>1.9785</v>
      </c>
      <c r="BB142" s="5"/>
    </row>
    <row r="143">
      <c r="A143" s="143">
        <v>12.0</v>
      </c>
      <c r="B143" s="143" t="s">
        <v>242</v>
      </c>
      <c r="C143" s="143" t="s">
        <v>235</v>
      </c>
      <c r="D143" s="143" t="s">
        <v>239</v>
      </c>
      <c r="E143" s="143">
        <v>41.0</v>
      </c>
      <c r="F143" s="143">
        <v>41.0</v>
      </c>
      <c r="G143" s="143">
        <v>0.5</v>
      </c>
      <c r="H143" s="143">
        <v>1.06</v>
      </c>
      <c r="I143" s="143">
        <v>108.73</v>
      </c>
      <c r="J143" s="143">
        <v>107.65</v>
      </c>
      <c r="K143" s="143">
        <v>1.09</v>
      </c>
      <c r="L143" s="143">
        <v>0.78</v>
      </c>
      <c r="M143" s="143">
        <v>108.62</v>
      </c>
      <c r="N143" s="143">
        <v>107.84</v>
      </c>
      <c r="O143" s="143">
        <v>0.79</v>
      </c>
      <c r="P143" s="143">
        <f t="shared" si="360"/>
        <v>-0.9085</v>
      </c>
      <c r="Q143" s="143">
        <f t="shared" si="361"/>
        <v>1.6885</v>
      </c>
      <c r="BB143" s="5"/>
    </row>
    <row r="144">
      <c r="A144" s="143">
        <v>13.0</v>
      </c>
      <c r="B144" s="143" t="s">
        <v>243</v>
      </c>
      <c r="C144" s="143" t="s">
        <v>213</v>
      </c>
      <c r="D144" s="143" t="s">
        <v>233</v>
      </c>
      <c r="E144" s="143">
        <v>40.0</v>
      </c>
      <c r="F144" s="143">
        <v>42.0</v>
      </c>
      <c r="G144" s="143">
        <v>0.488</v>
      </c>
      <c r="H144" s="143">
        <v>0.51</v>
      </c>
      <c r="I144" s="143">
        <v>113.9</v>
      </c>
      <c r="J144" s="143">
        <v>113.43</v>
      </c>
      <c r="K144" s="143">
        <v>0.47</v>
      </c>
      <c r="L144" s="143">
        <v>0.7</v>
      </c>
      <c r="M144" s="143">
        <v>114.06</v>
      </c>
      <c r="N144" s="143">
        <v>113.39</v>
      </c>
      <c r="O144" s="143">
        <v>0.67</v>
      </c>
      <c r="P144" s="143">
        <f t="shared" si="360"/>
        <v>4.5315</v>
      </c>
      <c r="Q144" s="143">
        <f t="shared" si="361"/>
        <v>-3.8615</v>
      </c>
      <c r="BB144" s="5"/>
    </row>
    <row r="145">
      <c r="A145" s="143">
        <v>14.0</v>
      </c>
      <c r="B145" s="143" t="s">
        <v>244</v>
      </c>
      <c r="C145" s="143" t="s">
        <v>235</v>
      </c>
      <c r="D145" s="143" t="s">
        <v>239</v>
      </c>
      <c r="E145" s="143">
        <v>36.0</v>
      </c>
      <c r="F145" s="143">
        <v>46.0</v>
      </c>
      <c r="G145" s="143">
        <v>0.439</v>
      </c>
      <c r="H145" s="143">
        <v>0.2</v>
      </c>
      <c r="I145" s="143">
        <v>109.57</v>
      </c>
      <c r="J145" s="143">
        <v>109.31</v>
      </c>
      <c r="K145" s="143">
        <v>0.25</v>
      </c>
      <c r="L145" s="143">
        <v>-0.06</v>
      </c>
      <c r="M145" s="143">
        <v>109.53</v>
      </c>
      <c r="N145" s="143">
        <v>109.55</v>
      </c>
      <c r="O145" s="143">
        <v>-0.02</v>
      </c>
      <c r="P145" s="143">
        <f t="shared" si="360"/>
        <v>0.0015</v>
      </c>
      <c r="Q145" s="143">
        <f t="shared" si="361"/>
        <v>-0.0215</v>
      </c>
      <c r="BB145" s="5"/>
    </row>
    <row r="146">
      <c r="A146" s="143">
        <v>15.0</v>
      </c>
      <c r="B146" s="143" t="s">
        <v>245</v>
      </c>
      <c r="C146" s="143" t="s">
        <v>235</v>
      </c>
      <c r="D146" s="143" t="s">
        <v>175</v>
      </c>
      <c r="E146" s="143">
        <v>41.0</v>
      </c>
      <c r="F146" s="143">
        <v>41.0</v>
      </c>
      <c r="G146" s="143">
        <v>0.5</v>
      </c>
      <c r="H146" s="143">
        <v>0.43</v>
      </c>
      <c r="I146" s="143">
        <v>108.04</v>
      </c>
      <c r="J146" s="143">
        <v>107.72</v>
      </c>
      <c r="K146" s="143">
        <v>0.32</v>
      </c>
      <c r="L146" s="143">
        <v>0.03</v>
      </c>
      <c r="M146" s="143">
        <v>107.91</v>
      </c>
      <c r="N146" s="143">
        <v>107.98</v>
      </c>
      <c r="O146" s="143">
        <v>-0.08</v>
      </c>
      <c r="P146" s="143">
        <f t="shared" si="360"/>
        <v>-1.6185</v>
      </c>
      <c r="Q146" s="143">
        <f t="shared" si="361"/>
        <v>1.5485</v>
      </c>
      <c r="BB146" s="5"/>
    </row>
    <row r="147">
      <c r="A147" s="143">
        <v>16.0</v>
      </c>
      <c r="B147" s="143" t="s">
        <v>246</v>
      </c>
      <c r="C147" s="143" t="s">
        <v>213</v>
      </c>
      <c r="D147" s="143" t="s">
        <v>233</v>
      </c>
      <c r="E147" s="143">
        <v>41.0</v>
      </c>
      <c r="F147" s="143">
        <v>41.0</v>
      </c>
      <c r="G147" s="143">
        <v>0.5</v>
      </c>
      <c r="H147" s="143">
        <v>-0.52</v>
      </c>
      <c r="I147" s="143">
        <v>110.93</v>
      </c>
      <c r="J147" s="143">
        <v>111.46</v>
      </c>
      <c r="K147" s="143">
        <v>-0.53</v>
      </c>
      <c r="L147" s="143">
        <v>-0.23</v>
      </c>
      <c r="M147" s="143">
        <v>111.09</v>
      </c>
      <c r="N147" s="143">
        <v>111.31</v>
      </c>
      <c r="O147" s="143">
        <v>-0.22</v>
      </c>
      <c r="P147" s="143">
        <f t="shared" si="360"/>
        <v>1.5615</v>
      </c>
      <c r="Q147" s="143">
        <f t="shared" si="361"/>
        <v>-1.7815</v>
      </c>
      <c r="BB147" s="5"/>
    </row>
    <row r="148">
      <c r="A148" s="143">
        <v>17.0</v>
      </c>
      <c r="B148" s="143" t="s">
        <v>247</v>
      </c>
      <c r="C148" s="143" t="s">
        <v>235</v>
      </c>
      <c r="D148" s="143" t="s">
        <v>175</v>
      </c>
      <c r="E148" s="143">
        <v>42.0</v>
      </c>
      <c r="F148" s="143">
        <v>40.0</v>
      </c>
      <c r="G148" s="143">
        <v>0.512</v>
      </c>
      <c r="H148" s="143">
        <v>-0.18</v>
      </c>
      <c r="I148" s="143">
        <v>109.92</v>
      </c>
      <c r="J148" s="143">
        <v>110.16</v>
      </c>
      <c r="K148" s="143">
        <v>-0.23</v>
      </c>
      <c r="L148" s="143">
        <v>-0.44</v>
      </c>
      <c r="M148" s="143">
        <v>109.96</v>
      </c>
      <c r="N148" s="143">
        <v>110.46</v>
      </c>
      <c r="O148" s="143">
        <v>-0.5</v>
      </c>
      <c r="P148" s="143">
        <f t="shared" si="360"/>
        <v>0.4315</v>
      </c>
      <c r="Q148" s="143">
        <f t="shared" si="361"/>
        <v>-0.9315</v>
      </c>
      <c r="BB148" s="5"/>
    </row>
    <row r="149">
      <c r="A149" s="143">
        <v>18.0</v>
      </c>
      <c r="B149" s="143" t="s">
        <v>248</v>
      </c>
      <c r="C149" s="143" t="s">
        <v>235</v>
      </c>
      <c r="D149" s="143" t="s">
        <v>175</v>
      </c>
      <c r="E149" s="143">
        <v>42.0</v>
      </c>
      <c r="F149" s="143">
        <v>40.0</v>
      </c>
      <c r="G149" s="143">
        <v>0.512</v>
      </c>
      <c r="H149" s="143">
        <v>-0.22</v>
      </c>
      <c r="I149" s="143">
        <v>109.33</v>
      </c>
      <c r="J149" s="143">
        <v>109.49</v>
      </c>
      <c r="K149" s="143">
        <v>-0.16</v>
      </c>
      <c r="L149" s="143">
        <v>-0.64</v>
      </c>
      <c r="M149" s="143">
        <v>109.21</v>
      </c>
      <c r="N149" s="143">
        <v>109.81</v>
      </c>
      <c r="O149" s="143">
        <v>-0.6</v>
      </c>
      <c r="P149" s="143">
        <f t="shared" si="360"/>
        <v>-0.3185</v>
      </c>
      <c r="Q149" s="143">
        <f t="shared" si="361"/>
        <v>-0.2815</v>
      </c>
      <c r="BB149" s="5"/>
    </row>
    <row r="150">
      <c r="A150" s="143">
        <v>19.0</v>
      </c>
      <c r="B150" s="143" t="s">
        <v>249</v>
      </c>
      <c r="C150" s="143" t="s">
        <v>213</v>
      </c>
      <c r="D150" s="143" t="s">
        <v>233</v>
      </c>
      <c r="E150" s="143">
        <v>31.0</v>
      </c>
      <c r="F150" s="143">
        <v>51.0</v>
      </c>
      <c r="G150" s="143">
        <v>0.378</v>
      </c>
      <c r="H150" s="143">
        <v>-1.11</v>
      </c>
      <c r="I150" s="143">
        <v>111.54</v>
      </c>
      <c r="J150" s="143">
        <v>112.74</v>
      </c>
      <c r="K150" s="143">
        <v>-1.2</v>
      </c>
      <c r="L150" s="143">
        <v>-0.63</v>
      </c>
      <c r="M150" s="143">
        <v>111.75</v>
      </c>
      <c r="N150" s="143">
        <v>112.46</v>
      </c>
      <c r="O150" s="143">
        <v>-0.71</v>
      </c>
      <c r="P150" s="143">
        <f t="shared" si="360"/>
        <v>2.2215</v>
      </c>
      <c r="Q150" s="143">
        <f t="shared" si="361"/>
        <v>-2.9315</v>
      </c>
      <c r="BB150" s="5"/>
    </row>
    <row r="151">
      <c r="A151" s="143">
        <v>20.0</v>
      </c>
      <c r="B151" s="143" t="s">
        <v>250</v>
      </c>
      <c r="C151" s="143" t="s">
        <v>235</v>
      </c>
      <c r="D151" s="143" t="s">
        <v>239</v>
      </c>
      <c r="E151" s="143">
        <v>43.0</v>
      </c>
      <c r="F151" s="143">
        <v>39.0</v>
      </c>
      <c r="G151" s="143">
        <v>0.524</v>
      </c>
      <c r="H151" s="143">
        <v>-0.85</v>
      </c>
      <c r="I151" s="143">
        <v>105.55</v>
      </c>
      <c r="J151" s="143">
        <v>106.54</v>
      </c>
      <c r="K151" s="143">
        <v>-0.99</v>
      </c>
      <c r="L151" s="143">
        <v>-1.23</v>
      </c>
      <c r="M151" s="143">
        <v>105.32</v>
      </c>
      <c r="N151" s="143">
        <v>106.69</v>
      </c>
      <c r="O151" s="143">
        <v>-1.37</v>
      </c>
      <c r="P151" s="143">
        <f t="shared" si="360"/>
        <v>-4.2085</v>
      </c>
      <c r="Q151" s="143">
        <f t="shared" si="361"/>
        <v>2.8385</v>
      </c>
      <c r="BB151" s="5"/>
    </row>
    <row r="152">
      <c r="A152" s="143">
        <v>21.0</v>
      </c>
      <c r="B152" s="143" t="s">
        <v>251</v>
      </c>
      <c r="C152" s="143" t="s">
        <v>235</v>
      </c>
      <c r="D152" s="143" t="s">
        <v>175</v>
      </c>
      <c r="E152" s="143">
        <v>37.0</v>
      </c>
      <c r="F152" s="143">
        <v>45.0</v>
      </c>
      <c r="G152" s="143">
        <v>0.451</v>
      </c>
      <c r="H152" s="143">
        <v>-1.12</v>
      </c>
      <c r="I152" s="143">
        <v>106.53</v>
      </c>
      <c r="J152" s="143">
        <v>107.9</v>
      </c>
      <c r="K152" s="143">
        <v>-1.37</v>
      </c>
      <c r="L152" s="143">
        <v>-1.29</v>
      </c>
      <c r="M152" s="143">
        <v>106.39</v>
      </c>
      <c r="N152" s="143">
        <v>107.93</v>
      </c>
      <c r="O152" s="143">
        <v>-1.54</v>
      </c>
      <c r="P152" s="143">
        <f t="shared" si="360"/>
        <v>-3.1385</v>
      </c>
      <c r="Q152" s="143">
        <f t="shared" si="361"/>
        <v>1.5985</v>
      </c>
      <c r="BB152" s="5"/>
    </row>
    <row r="153">
      <c r="A153" s="143">
        <v>22.0</v>
      </c>
      <c r="B153" s="143" t="s">
        <v>252</v>
      </c>
      <c r="C153" s="143" t="s">
        <v>213</v>
      </c>
      <c r="D153" s="143" t="s">
        <v>229</v>
      </c>
      <c r="E153" s="143">
        <v>34.0</v>
      </c>
      <c r="F153" s="143">
        <v>48.0</v>
      </c>
      <c r="G153" s="143">
        <v>0.415</v>
      </c>
      <c r="H153" s="143">
        <v>-2.1</v>
      </c>
      <c r="I153" s="143">
        <v>105.81</v>
      </c>
      <c r="J153" s="143">
        <v>108.01</v>
      </c>
      <c r="K153" s="143">
        <v>-2.2</v>
      </c>
      <c r="L153" s="143">
        <v>-1.69</v>
      </c>
      <c r="M153" s="143">
        <v>105.79</v>
      </c>
      <c r="N153" s="143">
        <v>107.57</v>
      </c>
      <c r="O153" s="143">
        <v>-1.78</v>
      </c>
      <c r="P153" s="143">
        <f t="shared" si="360"/>
        <v>-3.7385</v>
      </c>
      <c r="Q153" s="143">
        <f t="shared" si="361"/>
        <v>1.9585</v>
      </c>
      <c r="BB153" s="5"/>
    </row>
    <row r="154">
      <c r="A154" s="143">
        <v>23.0</v>
      </c>
      <c r="B154" s="143" t="s">
        <v>253</v>
      </c>
      <c r="C154" s="143" t="s">
        <v>213</v>
      </c>
      <c r="D154" s="143" t="s">
        <v>229</v>
      </c>
      <c r="E154" s="143">
        <v>33.0</v>
      </c>
      <c r="F154" s="143">
        <v>49.0</v>
      </c>
      <c r="G154" s="143">
        <v>0.402</v>
      </c>
      <c r="H154" s="143">
        <v>-2.93</v>
      </c>
      <c r="I154" s="143">
        <v>106.28</v>
      </c>
      <c r="J154" s="143">
        <v>109.36</v>
      </c>
      <c r="K154" s="143">
        <v>-3.08</v>
      </c>
      <c r="L154" s="143">
        <v>-2.52</v>
      </c>
      <c r="M154" s="143">
        <v>106.31</v>
      </c>
      <c r="N154" s="143">
        <v>108.96</v>
      </c>
      <c r="O154" s="143">
        <v>-2.65</v>
      </c>
      <c r="P154" s="143">
        <f t="shared" si="360"/>
        <v>-3.2185</v>
      </c>
      <c r="Q154" s="143">
        <f t="shared" si="361"/>
        <v>0.5685</v>
      </c>
      <c r="BB154" s="5"/>
    </row>
    <row r="155">
      <c r="A155" s="143">
        <v>24.0</v>
      </c>
      <c r="B155" s="143" t="s">
        <v>254</v>
      </c>
      <c r="C155" s="143" t="s">
        <v>213</v>
      </c>
      <c r="D155" s="143" t="s">
        <v>227</v>
      </c>
      <c r="E155" s="143">
        <v>32.0</v>
      </c>
      <c r="F155" s="143">
        <v>50.0</v>
      </c>
      <c r="G155" s="143">
        <v>0.39</v>
      </c>
      <c r="H155" s="143">
        <v>-3.88</v>
      </c>
      <c r="I155" s="143">
        <v>107.98</v>
      </c>
      <c r="J155" s="143">
        <v>112.18</v>
      </c>
      <c r="K155" s="143">
        <v>-4.21</v>
      </c>
      <c r="L155" s="143">
        <v>-3.29</v>
      </c>
      <c r="M155" s="143">
        <v>108.12</v>
      </c>
      <c r="N155" s="143">
        <v>111.72</v>
      </c>
      <c r="O155" s="143">
        <v>-3.59</v>
      </c>
      <c r="P155" s="143">
        <f t="shared" si="360"/>
        <v>-1.4085</v>
      </c>
      <c r="Q155" s="143">
        <f t="shared" si="361"/>
        <v>-2.1915</v>
      </c>
      <c r="BB155" s="5"/>
    </row>
    <row r="156">
      <c r="A156" s="143">
        <v>25.0</v>
      </c>
      <c r="B156" s="143" t="s">
        <v>255</v>
      </c>
      <c r="C156" s="143" t="s">
        <v>235</v>
      </c>
      <c r="D156" s="143" t="s">
        <v>236</v>
      </c>
      <c r="E156" s="143">
        <v>31.0</v>
      </c>
      <c r="F156" s="143">
        <v>51.0</v>
      </c>
      <c r="G156" s="143">
        <v>0.378</v>
      </c>
      <c r="H156" s="143">
        <v>-3.67</v>
      </c>
      <c r="I156" s="143">
        <v>108.57</v>
      </c>
      <c r="J156" s="143">
        <v>112.35</v>
      </c>
      <c r="K156" s="143">
        <v>-3.77</v>
      </c>
      <c r="L156" s="143">
        <v>-3.87</v>
      </c>
      <c r="M156" s="143">
        <v>108.62</v>
      </c>
      <c r="N156" s="143">
        <v>112.6</v>
      </c>
      <c r="O156" s="143">
        <v>-3.98</v>
      </c>
      <c r="P156" s="143">
        <f t="shared" si="360"/>
        <v>-0.9085</v>
      </c>
      <c r="Q156" s="143">
        <f t="shared" si="361"/>
        <v>-3.0715</v>
      </c>
      <c r="BB156" s="5"/>
    </row>
    <row r="157">
      <c r="A157" s="143">
        <v>26.0</v>
      </c>
      <c r="B157" s="143" t="s">
        <v>256</v>
      </c>
      <c r="C157" s="143" t="s">
        <v>213</v>
      </c>
      <c r="D157" s="143" t="s">
        <v>227</v>
      </c>
      <c r="E157" s="143">
        <v>24.0</v>
      </c>
      <c r="F157" s="143">
        <v>58.0</v>
      </c>
      <c r="G157" s="143">
        <v>0.293</v>
      </c>
      <c r="H157" s="143">
        <v>-5.63</v>
      </c>
      <c r="I157" s="143">
        <v>107.32</v>
      </c>
      <c r="J157" s="143">
        <v>112.79</v>
      </c>
      <c r="K157" s="143">
        <v>-5.47</v>
      </c>
      <c r="L157" s="143">
        <v>-5.14</v>
      </c>
      <c r="M157" s="143">
        <v>107.43</v>
      </c>
      <c r="N157" s="143">
        <v>112.41</v>
      </c>
      <c r="O157" s="143">
        <v>-4.98</v>
      </c>
      <c r="P157" s="143">
        <f t="shared" si="360"/>
        <v>-2.0985</v>
      </c>
      <c r="Q157" s="143">
        <f t="shared" si="361"/>
        <v>-2.8815</v>
      </c>
      <c r="BB157" s="5"/>
    </row>
    <row r="158">
      <c r="A158" s="143">
        <v>27.0</v>
      </c>
      <c r="B158" s="143" t="s">
        <v>257</v>
      </c>
      <c r="C158" s="143" t="s">
        <v>235</v>
      </c>
      <c r="D158" s="143" t="s">
        <v>236</v>
      </c>
      <c r="E158" s="143">
        <v>28.0</v>
      </c>
      <c r="F158" s="143">
        <v>54.0</v>
      </c>
      <c r="G158" s="143">
        <v>0.341</v>
      </c>
      <c r="H158" s="143">
        <v>-5.7</v>
      </c>
      <c r="I158" s="143">
        <v>103.96</v>
      </c>
      <c r="J158" s="143">
        <v>109.81</v>
      </c>
      <c r="K158" s="143">
        <v>-5.85</v>
      </c>
      <c r="L158" s="143">
        <v>-5.83</v>
      </c>
      <c r="M158" s="143">
        <v>103.92</v>
      </c>
      <c r="N158" s="143">
        <v>109.91</v>
      </c>
      <c r="O158" s="143">
        <v>-5.99</v>
      </c>
      <c r="P158" s="143">
        <f t="shared" si="360"/>
        <v>-5.6085</v>
      </c>
      <c r="Q158" s="143">
        <f t="shared" si="361"/>
        <v>-0.3815</v>
      </c>
      <c r="BB158" s="5"/>
    </row>
    <row r="159">
      <c r="A159" s="143">
        <v>28.0</v>
      </c>
      <c r="B159" s="143" t="s">
        <v>258</v>
      </c>
      <c r="C159" s="143" t="s">
        <v>213</v>
      </c>
      <c r="D159" s="143" t="s">
        <v>227</v>
      </c>
      <c r="E159" s="143">
        <v>26.0</v>
      </c>
      <c r="F159" s="143">
        <v>56.0</v>
      </c>
      <c r="G159" s="143">
        <v>0.317</v>
      </c>
      <c r="H159" s="143">
        <v>-6.88</v>
      </c>
      <c r="I159" s="143">
        <v>106.69</v>
      </c>
      <c r="J159" s="143">
        <v>113.72</v>
      </c>
      <c r="K159" s="143">
        <v>-7.02</v>
      </c>
      <c r="L159" s="143">
        <v>-6.29</v>
      </c>
      <c r="M159" s="143">
        <v>106.96</v>
      </c>
      <c r="N159" s="143">
        <v>113.38</v>
      </c>
      <c r="O159" s="143">
        <v>-6.42</v>
      </c>
      <c r="P159" s="143">
        <f t="shared" si="360"/>
        <v>-2.5685</v>
      </c>
      <c r="Q159" s="143">
        <f t="shared" si="361"/>
        <v>-3.8515</v>
      </c>
      <c r="BB159" s="5"/>
    </row>
    <row r="160">
      <c r="A160" s="143">
        <v>29.0</v>
      </c>
      <c r="B160" s="143" t="s">
        <v>259</v>
      </c>
      <c r="C160" s="143" t="s">
        <v>235</v>
      </c>
      <c r="D160" s="143" t="s">
        <v>236</v>
      </c>
      <c r="E160" s="143">
        <v>20.0</v>
      </c>
      <c r="F160" s="143">
        <v>62.0</v>
      </c>
      <c r="G160" s="143">
        <v>0.244</v>
      </c>
      <c r="H160" s="143">
        <v>-6.73</v>
      </c>
      <c r="I160" s="143">
        <v>104.61</v>
      </c>
      <c r="J160" s="143">
        <v>111.34</v>
      </c>
      <c r="K160" s="143">
        <v>-6.73</v>
      </c>
      <c r="L160" s="143">
        <v>-6.74</v>
      </c>
      <c r="M160" s="143">
        <v>104.63</v>
      </c>
      <c r="N160" s="143">
        <v>111.37</v>
      </c>
      <c r="O160" s="143">
        <v>-6.74</v>
      </c>
      <c r="P160" s="143">
        <f t="shared" si="360"/>
        <v>-4.8985</v>
      </c>
      <c r="Q160" s="143">
        <f t="shared" si="361"/>
        <v>-1.8415</v>
      </c>
      <c r="BB160" s="5"/>
    </row>
    <row r="161">
      <c r="A161" s="143">
        <v>30.0</v>
      </c>
      <c r="B161" s="143" t="s">
        <v>260</v>
      </c>
      <c r="C161" s="143" t="s">
        <v>235</v>
      </c>
      <c r="D161" s="143" t="s">
        <v>239</v>
      </c>
      <c r="E161" s="143">
        <v>29.0</v>
      </c>
      <c r="F161" s="143">
        <v>53.0</v>
      </c>
      <c r="G161" s="143">
        <v>0.354</v>
      </c>
      <c r="H161" s="143">
        <v>-6.57</v>
      </c>
      <c r="I161" s="143">
        <v>104.23</v>
      </c>
      <c r="J161" s="143">
        <v>111.11</v>
      </c>
      <c r="K161" s="143">
        <v>-6.88</v>
      </c>
      <c r="L161" s="143">
        <v>-6.61</v>
      </c>
      <c r="M161" s="143">
        <v>104.3</v>
      </c>
      <c r="N161" s="143">
        <v>111.21</v>
      </c>
      <c r="O161" s="143">
        <v>-6.92</v>
      </c>
      <c r="P161" s="143">
        <f t="shared" si="360"/>
        <v>-5.2285</v>
      </c>
      <c r="Q161" s="143">
        <f t="shared" si="361"/>
        <v>-1.6815</v>
      </c>
      <c r="BB161" s="5"/>
    </row>
    <row r="162">
      <c r="BB162" s="5"/>
    </row>
    <row r="163">
      <c r="BB163" s="5"/>
    </row>
    <row r="164">
      <c r="BB164" s="5"/>
    </row>
    <row r="165">
      <c r="BB165" s="5"/>
    </row>
    <row r="166">
      <c r="BB166" s="5"/>
    </row>
    <row r="167">
      <c r="BB167" s="5"/>
    </row>
    <row r="168">
      <c r="BB168" s="5"/>
    </row>
    <row r="169">
      <c r="BB169" s="5"/>
    </row>
    <row r="170">
      <c r="BB170" s="5"/>
    </row>
    <row r="171">
      <c r="BB171" s="5"/>
    </row>
    <row r="172">
      <c r="BB172" s="5"/>
    </row>
    <row r="173">
      <c r="BB173" s="5"/>
    </row>
    <row r="174">
      <c r="BB174" s="5"/>
    </row>
    <row r="175">
      <c r="BB175" s="5"/>
    </row>
    <row r="176">
      <c r="BB176" s="5"/>
    </row>
    <row r="177">
      <c r="BB177" s="5"/>
    </row>
    <row r="178">
      <c r="BB178" s="5"/>
    </row>
    <row r="179">
      <c r="BB179" s="5"/>
    </row>
    <row r="180">
      <c r="BB180" s="5"/>
    </row>
    <row r="181">
      <c r="BB181" s="5"/>
    </row>
    <row r="182">
      <c r="BB182" s="5"/>
    </row>
    <row r="183">
      <c r="BB183" s="5"/>
    </row>
    <row r="184">
      <c r="BB184" s="5"/>
    </row>
    <row r="185">
      <c r="BB185" s="5"/>
    </row>
    <row r="186">
      <c r="BB186" s="5"/>
    </row>
    <row r="187">
      <c r="BB187" s="5"/>
    </row>
    <row r="188">
      <c r="BB188" s="5"/>
    </row>
    <row r="189">
      <c r="BB189" s="5"/>
    </row>
    <row r="190">
      <c r="BB190" s="5"/>
    </row>
    <row r="191">
      <c r="BB191" s="5"/>
    </row>
    <row r="192">
      <c r="BB192" s="5"/>
    </row>
    <row r="193">
      <c r="BB193" s="5"/>
    </row>
    <row r="194">
      <c r="BB194" s="5"/>
    </row>
    <row r="195">
      <c r="BB195" s="5"/>
    </row>
    <row r="196">
      <c r="BB196" s="5"/>
    </row>
    <row r="197">
      <c r="BB197" s="5"/>
    </row>
    <row r="198">
      <c r="BB198" s="5"/>
    </row>
    <row r="199">
      <c r="BB199" s="5"/>
    </row>
    <row r="200">
      <c r="BB200" s="5"/>
    </row>
    <row r="201">
      <c r="BB201" s="5"/>
    </row>
    <row r="202">
      <c r="BB202" s="5"/>
    </row>
    <row r="203">
      <c r="BB203" s="5"/>
    </row>
    <row r="204">
      <c r="BB204" s="5"/>
    </row>
    <row r="205">
      <c r="BB205" s="5"/>
    </row>
    <row r="206">
      <c r="BB206" s="5"/>
    </row>
    <row r="207">
      <c r="BB207" s="5"/>
    </row>
    <row r="208">
      <c r="BB208" s="5"/>
    </row>
    <row r="209">
      <c r="BB209" s="5"/>
    </row>
    <row r="210">
      <c r="BB210" s="5"/>
    </row>
    <row r="211">
      <c r="BB211" s="5"/>
    </row>
    <row r="212">
      <c r="BB212" s="5"/>
    </row>
    <row r="213">
      <c r="BB213" s="5"/>
    </row>
    <row r="214">
      <c r="BB214" s="5"/>
    </row>
    <row r="215">
      <c r="BB215" s="5"/>
    </row>
    <row r="216">
      <c r="BB216" s="5"/>
    </row>
    <row r="217">
      <c r="BB217" s="5"/>
    </row>
    <row r="218">
      <c r="BB218" s="5"/>
    </row>
    <row r="219">
      <c r="BB219" s="5"/>
    </row>
    <row r="220">
      <c r="BB220" s="5"/>
    </row>
    <row r="221">
      <c r="BB221" s="5"/>
    </row>
    <row r="222">
      <c r="BB222" s="5"/>
    </row>
    <row r="223">
      <c r="BB223" s="5"/>
    </row>
    <row r="224">
      <c r="BB224" s="5"/>
    </row>
    <row r="225">
      <c r="BB225" s="5"/>
    </row>
    <row r="226">
      <c r="BB226" s="5"/>
    </row>
    <row r="227">
      <c r="BB227" s="5"/>
    </row>
    <row r="228">
      <c r="BB228" s="5"/>
    </row>
    <row r="229">
      <c r="BB229" s="5"/>
    </row>
    <row r="230">
      <c r="BB230" s="5"/>
    </row>
    <row r="231">
      <c r="BB231" s="5"/>
    </row>
    <row r="232">
      <c r="BB232" s="5"/>
    </row>
    <row r="233">
      <c r="BB233" s="5"/>
    </row>
    <row r="234">
      <c r="BB234" s="5"/>
    </row>
    <row r="235">
      <c r="BB235" s="5"/>
    </row>
    <row r="236">
      <c r="BB236" s="5"/>
    </row>
    <row r="237">
      <c r="BB237" s="5"/>
    </row>
    <row r="238">
      <c r="BB238" s="5"/>
    </row>
    <row r="239">
      <c r="BB239" s="5"/>
    </row>
    <row r="240">
      <c r="BB240" s="5"/>
    </row>
    <row r="241">
      <c r="BB241" s="5"/>
    </row>
    <row r="242">
      <c r="BB242" s="5"/>
    </row>
    <row r="243">
      <c r="BB243" s="5"/>
    </row>
    <row r="244">
      <c r="BB244" s="5"/>
    </row>
    <row r="245">
      <c r="BB245" s="5"/>
    </row>
    <row r="246">
      <c r="BB246" s="5"/>
    </row>
    <row r="247">
      <c r="BB247" s="5"/>
    </row>
    <row r="248">
      <c r="BB248" s="5"/>
    </row>
    <row r="249">
      <c r="BB249" s="5"/>
    </row>
    <row r="250">
      <c r="BB250" s="5"/>
    </row>
    <row r="251">
      <c r="BB251" s="5"/>
    </row>
    <row r="252">
      <c r="BB252" s="5"/>
    </row>
    <row r="253">
      <c r="BB253" s="5"/>
    </row>
    <row r="254">
      <c r="BB254" s="5"/>
    </row>
    <row r="255">
      <c r="BB255" s="5"/>
    </row>
    <row r="256">
      <c r="BB256" s="5"/>
    </row>
    <row r="257">
      <c r="BB257" s="5"/>
    </row>
    <row r="258">
      <c r="BB258" s="5"/>
    </row>
    <row r="259">
      <c r="BB259" s="5"/>
    </row>
    <row r="260">
      <c r="BB260" s="5"/>
    </row>
    <row r="261">
      <c r="BB261" s="5"/>
    </row>
    <row r="262">
      <c r="BB262" s="5"/>
    </row>
    <row r="263">
      <c r="BB263" s="5"/>
    </row>
    <row r="264">
      <c r="BB264" s="5"/>
    </row>
    <row r="265">
      <c r="BB265" s="5"/>
    </row>
    <row r="266">
      <c r="BB266" s="5"/>
    </row>
    <row r="267">
      <c r="BB267" s="5"/>
    </row>
    <row r="268">
      <c r="BB268" s="5"/>
    </row>
    <row r="269">
      <c r="BB269" s="5"/>
    </row>
    <row r="270">
      <c r="BB270" s="5"/>
    </row>
    <row r="271">
      <c r="BB271" s="5"/>
    </row>
    <row r="272">
      <c r="BB272" s="5"/>
    </row>
    <row r="273">
      <c r="BB273" s="5"/>
    </row>
    <row r="274">
      <c r="BB274" s="5"/>
    </row>
    <row r="275">
      <c r="BB275" s="5"/>
    </row>
    <row r="276">
      <c r="BB276" s="5"/>
    </row>
    <row r="277">
      <c r="BB277" s="5"/>
    </row>
    <row r="278">
      <c r="BB278" s="5"/>
    </row>
    <row r="279">
      <c r="BB279" s="5"/>
    </row>
    <row r="280">
      <c r="BB280" s="5"/>
    </row>
    <row r="281">
      <c r="BB281" s="5"/>
    </row>
    <row r="282">
      <c r="BB282" s="5"/>
    </row>
    <row r="283">
      <c r="BB283" s="5"/>
    </row>
    <row r="284">
      <c r="BB284" s="5"/>
    </row>
    <row r="285">
      <c r="BB285" s="5"/>
    </row>
    <row r="286">
      <c r="BB286" s="5"/>
    </row>
    <row r="287">
      <c r="BB287" s="5"/>
    </row>
    <row r="288">
      <c r="BB288" s="5"/>
    </row>
    <row r="289">
      <c r="BB289" s="5"/>
    </row>
    <row r="290">
      <c r="BB290" s="5"/>
    </row>
    <row r="291">
      <c r="BB291" s="5"/>
    </row>
    <row r="292">
      <c r="BB292" s="5"/>
    </row>
    <row r="293">
      <c r="BB293" s="5"/>
    </row>
    <row r="294">
      <c r="BB294" s="5"/>
    </row>
    <row r="295">
      <c r="BB295" s="5"/>
    </row>
    <row r="296">
      <c r="BB296" s="5"/>
    </row>
    <row r="297">
      <c r="BB297" s="5"/>
    </row>
    <row r="298">
      <c r="BB298" s="5"/>
    </row>
    <row r="299">
      <c r="BB299" s="5"/>
    </row>
    <row r="300">
      <c r="BB300" s="5"/>
    </row>
    <row r="301">
      <c r="BB301" s="5"/>
    </row>
    <row r="302">
      <c r="BB302" s="5"/>
    </row>
    <row r="303">
      <c r="BB303" s="5"/>
    </row>
    <row r="304">
      <c r="BB304" s="5"/>
    </row>
    <row r="305">
      <c r="BB305" s="5"/>
    </row>
    <row r="306">
      <c r="BB306" s="5"/>
    </row>
    <row r="307">
      <c r="BB307" s="5"/>
    </row>
    <row r="308">
      <c r="BB308" s="5"/>
    </row>
    <row r="309">
      <c r="BB309" s="5"/>
    </row>
    <row r="310">
      <c r="BB310" s="5"/>
    </row>
    <row r="311">
      <c r="BB311" s="5"/>
    </row>
    <row r="312">
      <c r="BB312" s="5"/>
    </row>
    <row r="313">
      <c r="BB313" s="5"/>
    </row>
    <row r="314">
      <c r="BB314" s="5"/>
    </row>
    <row r="315">
      <c r="BB315" s="5"/>
    </row>
    <row r="316">
      <c r="BB316" s="5"/>
    </row>
    <row r="317">
      <c r="BB317" s="5"/>
    </row>
    <row r="318">
      <c r="BB318" s="5"/>
    </row>
    <row r="319">
      <c r="BB319" s="5"/>
    </row>
    <row r="320">
      <c r="BB320" s="5"/>
    </row>
    <row r="321">
      <c r="BB321" s="5"/>
    </row>
    <row r="322">
      <c r="BB322" s="5"/>
    </row>
    <row r="323">
      <c r="BB323" s="5"/>
    </row>
    <row r="324">
      <c r="BB324" s="5"/>
    </row>
    <row r="325">
      <c r="BB325" s="5"/>
    </row>
    <row r="326">
      <c r="BB326" s="5"/>
    </row>
    <row r="327">
      <c r="BB327" s="5"/>
    </row>
    <row r="328">
      <c r="BB328" s="5"/>
    </row>
    <row r="329">
      <c r="BB329" s="5"/>
    </row>
    <row r="330">
      <c r="BB330" s="5"/>
    </row>
    <row r="331">
      <c r="BB331" s="5"/>
    </row>
    <row r="332">
      <c r="BB332" s="5"/>
    </row>
    <row r="333">
      <c r="BB333" s="5"/>
    </row>
    <row r="334">
      <c r="BB334" s="5"/>
    </row>
    <row r="335">
      <c r="BB335" s="5"/>
    </row>
    <row r="336">
      <c r="BB336" s="5"/>
    </row>
    <row r="337">
      <c r="BB337" s="5"/>
    </row>
    <row r="338">
      <c r="BB338" s="5"/>
    </row>
    <row r="339">
      <c r="BB339" s="5"/>
    </row>
    <row r="340">
      <c r="BB340" s="5"/>
    </row>
    <row r="341">
      <c r="BB341" s="5"/>
    </row>
    <row r="342">
      <c r="BB342" s="5"/>
    </row>
    <row r="343">
      <c r="BB343" s="5"/>
    </row>
    <row r="344">
      <c r="BB344" s="5"/>
    </row>
    <row r="345">
      <c r="BB345" s="5"/>
    </row>
    <row r="346">
      <c r="BB346" s="5"/>
    </row>
    <row r="347">
      <c r="BB347" s="5"/>
    </row>
    <row r="348">
      <c r="BB348" s="5"/>
    </row>
    <row r="349">
      <c r="BB349" s="5"/>
    </row>
    <row r="350">
      <c r="BB350" s="5"/>
    </row>
    <row r="351">
      <c r="BB351" s="5"/>
    </row>
    <row r="352">
      <c r="BB352" s="5"/>
    </row>
    <row r="353">
      <c r="BB353" s="5"/>
    </row>
    <row r="354">
      <c r="BB354" s="5"/>
    </row>
    <row r="355">
      <c r="BB355" s="5"/>
    </row>
    <row r="356">
      <c r="BB356" s="5"/>
    </row>
    <row r="357">
      <c r="BB357" s="5"/>
    </row>
    <row r="358">
      <c r="BB358" s="5"/>
    </row>
    <row r="359">
      <c r="BB359" s="5"/>
    </row>
    <row r="360">
      <c r="BB360" s="5"/>
    </row>
    <row r="361">
      <c r="BB361" s="5"/>
    </row>
    <row r="362">
      <c r="BB362" s="5"/>
    </row>
    <row r="363">
      <c r="BB363" s="5"/>
    </row>
    <row r="364">
      <c r="BB364" s="5"/>
    </row>
    <row r="365">
      <c r="BB365" s="5"/>
    </row>
    <row r="366">
      <c r="BB366" s="5"/>
    </row>
    <row r="367">
      <c r="BB367" s="5"/>
    </row>
    <row r="368">
      <c r="BB368" s="5"/>
    </row>
    <row r="369">
      <c r="BB369" s="5"/>
    </row>
    <row r="370">
      <c r="BB370" s="5"/>
    </row>
    <row r="371">
      <c r="BB371" s="5"/>
    </row>
    <row r="372">
      <c r="BB372" s="5"/>
    </row>
    <row r="373">
      <c r="BB373" s="5"/>
    </row>
    <row r="374">
      <c r="BB374" s="5"/>
    </row>
    <row r="375">
      <c r="BB375" s="5"/>
    </row>
    <row r="376">
      <c r="BB376" s="5"/>
    </row>
    <row r="377">
      <c r="BB377" s="5"/>
    </row>
    <row r="378">
      <c r="BB378" s="5"/>
    </row>
    <row r="379">
      <c r="BB379" s="5"/>
    </row>
    <row r="380">
      <c r="BB380" s="5"/>
    </row>
    <row r="381">
      <c r="BB381" s="5"/>
    </row>
    <row r="382">
      <c r="BB382" s="5"/>
    </row>
    <row r="383">
      <c r="BB383" s="5"/>
    </row>
    <row r="384">
      <c r="BB384" s="5"/>
    </row>
    <row r="385">
      <c r="BB385" s="5"/>
    </row>
    <row r="386">
      <c r="BB386" s="5"/>
    </row>
    <row r="387">
      <c r="BB387" s="5"/>
    </row>
    <row r="388">
      <c r="BB388" s="5"/>
    </row>
    <row r="389">
      <c r="BB389" s="5"/>
    </row>
    <row r="390">
      <c r="BB390" s="5"/>
    </row>
    <row r="391">
      <c r="BB391" s="5"/>
    </row>
    <row r="392">
      <c r="BB392" s="5"/>
    </row>
    <row r="393">
      <c r="BB393" s="5"/>
    </row>
    <row r="394">
      <c r="BB394" s="5"/>
    </row>
    <row r="395">
      <c r="BB395" s="5"/>
    </row>
    <row r="396">
      <c r="BB396" s="5"/>
    </row>
    <row r="397">
      <c r="BB397" s="5"/>
    </row>
    <row r="398">
      <c r="BB398" s="5"/>
    </row>
    <row r="399">
      <c r="BB399" s="5"/>
    </row>
    <row r="400">
      <c r="BB400" s="5"/>
    </row>
    <row r="401">
      <c r="BB401" s="5"/>
    </row>
    <row r="402">
      <c r="BB402" s="5"/>
    </row>
    <row r="403">
      <c r="BB403" s="5"/>
    </row>
    <row r="404">
      <c r="BB404" s="5"/>
    </row>
    <row r="405">
      <c r="BB405" s="5"/>
    </row>
    <row r="406">
      <c r="BB406" s="5"/>
    </row>
    <row r="407">
      <c r="BB407" s="5"/>
    </row>
    <row r="408">
      <c r="BB408" s="5"/>
    </row>
    <row r="409">
      <c r="BB409" s="5"/>
    </row>
    <row r="410">
      <c r="BB410" s="5"/>
    </row>
    <row r="411">
      <c r="BB411" s="5"/>
    </row>
    <row r="412">
      <c r="BB412" s="5"/>
    </row>
    <row r="413">
      <c r="BB413" s="5"/>
    </row>
    <row r="414">
      <c r="BB414" s="5"/>
    </row>
    <row r="415">
      <c r="BB415" s="5"/>
    </row>
    <row r="416">
      <c r="BB416" s="5"/>
    </row>
    <row r="417">
      <c r="BB417" s="5"/>
    </row>
    <row r="418">
      <c r="BB418" s="5"/>
    </row>
    <row r="419">
      <c r="BB419" s="5"/>
    </row>
    <row r="420">
      <c r="BB420" s="5"/>
    </row>
    <row r="421">
      <c r="BB421" s="5"/>
    </row>
    <row r="422">
      <c r="BB422" s="5"/>
    </row>
    <row r="423">
      <c r="BB423" s="5"/>
    </row>
    <row r="424">
      <c r="BB424" s="5"/>
    </row>
    <row r="425">
      <c r="BB425" s="5"/>
    </row>
    <row r="426">
      <c r="BB426" s="5"/>
    </row>
    <row r="427">
      <c r="BB427" s="5"/>
    </row>
    <row r="428">
      <c r="BB428" s="5"/>
    </row>
    <row r="429">
      <c r="BB429" s="5"/>
    </row>
    <row r="430">
      <c r="BB430" s="5"/>
    </row>
    <row r="431">
      <c r="BB431" s="5"/>
    </row>
    <row r="432">
      <c r="BB432" s="5"/>
    </row>
    <row r="433">
      <c r="BB433" s="5"/>
    </row>
    <row r="434">
      <c r="BB434" s="5"/>
    </row>
    <row r="435">
      <c r="BB435" s="5"/>
    </row>
    <row r="436">
      <c r="BB436" s="5"/>
    </row>
    <row r="437">
      <c r="BB437" s="5"/>
    </row>
    <row r="438">
      <c r="BB438" s="5"/>
    </row>
    <row r="439">
      <c r="BB439" s="5"/>
    </row>
    <row r="440">
      <c r="BB440" s="5"/>
    </row>
    <row r="441">
      <c r="BB441" s="5"/>
    </row>
    <row r="442">
      <c r="BB442" s="5"/>
    </row>
    <row r="443">
      <c r="BB443" s="5"/>
    </row>
    <row r="444">
      <c r="BB444" s="5"/>
    </row>
    <row r="445">
      <c r="BB445" s="5"/>
    </row>
    <row r="446">
      <c r="BB446" s="5"/>
    </row>
    <row r="447">
      <c r="BB447" s="5"/>
    </row>
    <row r="448">
      <c r="BB448" s="5"/>
    </row>
    <row r="449">
      <c r="BB449" s="5"/>
    </row>
    <row r="450">
      <c r="BB450" s="5"/>
    </row>
    <row r="451">
      <c r="BB451" s="5"/>
    </row>
    <row r="452">
      <c r="BB452" s="5"/>
    </row>
    <row r="453">
      <c r="BB453" s="5"/>
    </row>
    <row r="454">
      <c r="BB454" s="5"/>
    </row>
    <row r="455">
      <c r="BB455" s="5"/>
    </row>
    <row r="456">
      <c r="BB456" s="5"/>
    </row>
    <row r="457">
      <c r="BB457" s="5"/>
    </row>
    <row r="458">
      <c r="BB458" s="5"/>
    </row>
    <row r="459">
      <c r="BB459" s="5"/>
    </row>
    <row r="460">
      <c r="BB460" s="5"/>
    </row>
    <row r="461">
      <c r="BB461" s="5"/>
    </row>
    <row r="462">
      <c r="BB462" s="5"/>
    </row>
    <row r="463">
      <c r="BB463" s="5"/>
    </row>
    <row r="464">
      <c r="BB464" s="5"/>
    </row>
    <row r="465">
      <c r="BB465" s="5"/>
    </row>
    <row r="466">
      <c r="BB466" s="5"/>
    </row>
    <row r="467">
      <c r="BB467" s="5"/>
    </row>
    <row r="468">
      <c r="BB468" s="5"/>
    </row>
    <row r="469">
      <c r="BB469" s="5"/>
    </row>
    <row r="470">
      <c r="BB470" s="5"/>
    </row>
    <row r="471">
      <c r="BB471" s="5"/>
    </row>
    <row r="472">
      <c r="BB472" s="5"/>
    </row>
    <row r="473">
      <c r="BB473" s="5"/>
    </row>
    <row r="474">
      <c r="BB474" s="5"/>
    </row>
    <row r="475">
      <c r="BB475" s="5"/>
    </row>
    <row r="476">
      <c r="BB476" s="5"/>
    </row>
    <row r="477">
      <c r="BB477" s="5"/>
    </row>
    <row r="478">
      <c r="BB478" s="5"/>
    </row>
    <row r="479">
      <c r="BB479" s="5"/>
    </row>
    <row r="480">
      <c r="BB480" s="5"/>
    </row>
    <row r="481">
      <c r="BB481" s="5"/>
    </row>
    <row r="482">
      <c r="BB482" s="5"/>
    </row>
    <row r="483">
      <c r="BB483" s="5"/>
    </row>
    <row r="484">
      <c r="BB484" s="5"/>
    </row>
    <row r="485">
      <c r="BB485" s="5"/>
    </row>
    <row r="486">
      <c r="BB486" s="5"/>
    </row>
    <row r="487">
      <c r="BB487" s="5"/>
    </row>
    <row r="488">
      <c r="BB488" s="5"/>
    </row>
    <row r="489">
      <c r="BB489" s="5"/>
    </row>
    <row r="490">
      <c r="BB490" s="5"/>
    </row>
    <row r="491">
      <c r="BB491" s="5"/>
    </row>
    <row r="492">
      <c r="BB492" s="5"/>
    </row>
    <row r="493">
      <c r="BB493" s="5"/>
    </row>
    <row r="494">
      <c r="BB494" s="5"/>
    </row>
    <row r="495">
      <c r="BB495" s="5"/>
    </row>
    <row r="496">
      <c r="BB496" s="5"/>
    </row>
    <row r="497">
      <c r="BB497" s="5"/>
    </row>
    <row r="498">
      <c r="BB498" s="5"/>
    </row>
    <row r="499">
      <c r="BB499" s="5"/>
    </row>
    <row r="500">
      <c r="BB500" s="5"/>
    </row>
    <row r="501">
      <c r="BB501" s="5"/>
    </row>
    <row r="502">
      <c r="BB502" s="5"/>
    </row>
    <row r="503">
      <c r="BB503" s="5"/>
    </row>
    <row r="504">
      <c r="BB504" s="5"/>
    </row>
    <row r="505">
      <c r="BB505" s="5"/>
    </row>
    <row r="506">
      <c r="BB506" s="5"/>
    </row>
    <row r="507">
      <c r="BB507" s="5"/>
    </row>
    <row r="508">
      <c r="BB508" s="5"/>
    </row>
    <row r="509">
      <c r="BB509" s="5"/>
    </row>
    <row r="510">
      <c r="BB510" s="5"/>
    </row>
    <row r="511">
      <c r="BB511" s="5"/>
    </row>
    <row r="512">
      <c r="BB512" s="5"/>
    </row>
    <row r="513">
      <c r="BB513" s="5"/>
    </row>
    <row r="514">
      <c r="BB514" s="5"/>
    </row>
    <row r="515">
      <c r="BB515" s="5"/>
    </row>
    <row r="516">
      <c r="BB516" s="5"/>
    </row>
    <row r="517">
      <c r="BB517" s="5"/>
    </row>
    <row r="518">
      <c r="BB518" s="5"/>
    </row>
    <row r="519">
      <c r="BB519" s="5"/>
    </row>
    <row r="520">
      <c r="BB520" s="5"/>
    </row>
    <row r="521">
      <c r="BB521" s="5"/>
    </row>
    <row r="522">
      <c r="BB522" s="5"/>
    </row>
    <row r="523">
      <c r="BB523" s="5"/>
    </row>
    <row r="524">
      <c r="BB524" s="5"/>
    </row>
    <row r="525">
      <c r="BB525" s="5"/>
    </row>
    <row r="526">
      <c r="BB526" s="5"/>
    </row>
    <row r="527">
      <c r="BB527" s="5"/>
    </row>
    <row r="528">
      <c r="BB528" s="5"/>
    </row>
    <row r="529">
      <c r="BB529" s="5"/>
    </row>
    <row r="530">
      <c r="BB530" s="5"/>
    </row>
    <row r="531">
      <c r="BB531" s="5"/>
    </row>
    <row r="532">
      <c r="BB532" s="5"/>
    </row>
    <row r="533">
      <c r="BB533" s="5"/>
    </row>
    <row r="534">
      <c r="BB534" s="5"/>
    </row>
    <row r="535">
      <c r="BB535" s="5"/>
    </row>
    <row r="536">
      <c r="BB536" s="5"/>
    </row>
    <row r="537">
      <c r="BB537" s="5"/>
    </row>
    <row r="538">
      <c r="BB538" s="5"/>
    </row>
    <row r="539">
      <c r="BB539" s="5"/>
    </row>
    <row r="540">
      <c r="BB540" s="5"/>
    </row>
    <row r="541">
      <c r="BB541" s="5"/>
    </row>
    <row r="542">
      <c r="BB542" s="5"/>
    </row>
    <row r="543">
      <c r="BB543" s="5"/>
    </row>
    <row r="544">
      <c r="BB544" s="5"/>
    </row>
    <row r="545">
      <c r="BB545" s="5"/>
    </row>
    <row r="546">
      <c r="BB546" s="5"/>
    </row>
    <row r="547">
      <c r="BB547" s="5"/>
    </row>
    <row r="548">
      <c r="BB548" s="5"/>
    </row>
    <row r="549">
      <c r="BB549" s="5"/>
    </row>
    <row r="550">
      <c r="BB550" s="5"/>
    </row>
    <row r="551">
      <c r="BB551" s="5"/>
    </row>
    <row r="552">
      <c r="BB552" s="5"/>
    </row>
    <row r="553">
      <c r="BB553" s="5"/>
    </row>
    <row r="554">
      <c r="BB554" s="5"/>
    </row>
    <row r="555">
      <c r="BB555" s="5"/>
    </row>
    <row r="556">
      <c r="BB556" s="5"/>
    </row>
    <row r="557">
      <c r="BB557" s="5"/>
    </row>
    <row r="558">
      <c r="BB558" s="5"/>
    </row>
    <row r="559">
      <c r="BB559" s="5"/>
    </row>
    <row r="560">
      <c r="BB560" s="5"/>
    </row>
    <row r="561">
      <c r="BB561" s="5"/>
    </row>
    <row r="562">
      <c r="BB562" s="5"/>
    </row>
    <row r="563">
      <c r="BB563" s="5"/>
    </row>
    <row r="564">
      <c r="BB564" s="5"/>
    </row>
    <row r="565">
      <c r="BB565" s="5"/>
    </row>
    <row r="566">
      <c r="BB566" s="5"/>
    </row>
    <row r="567">
      <c r="BB567" s="5"/>
    </row>
    <row r="568">
      <c r="BB568" s="5"/>
    </row>
    <row r="569">
      <c r="BB569" s="5"/>
    </row>
    <row r="570">
      <c r="BB570" s="5"/>
    </row>
    <row r="571">
      <c r="BB571" s="5"/>
    </row>
    <row r="572">
      <c r="BB572" s="5"/>
    </row>
    <row r="573">
      <c r="BB573" s="5"/>
    </row>
    <row r="574">
      <c r="BB574" s="5"/>
    </row>
    <row r="575">
      <c r="BB575" s="5"/>
    </row>
    <row r="576">
      <c r="BB576" s="5"/>
    </row>
    <row r="577">
      <c r="BB577" s="5"/>
    </row>
    <row r="578">
      <c r="BB578" s="5"/>
    </row>
    <row r="579">
      <c r="BB579" s="5"/>
    </row>
    <row r="580">
      <c r="BB580" s="5"/>
    </row>
    <row r="581">
      <c r="BB581" s="5"/>
    </row>
    <row r="582">
      <c r="BB582" s="5"/>
    </row>
    <row r="583">
      <c r="BB583" s="5"/>
    </row>
    <row r="584">
      <c r="BB584" s="5"/>
    </row>
    <row r="585">
      <c r="BB585" s="5"/>
    </row>
    <row r="586">
      <c r="BB586" s="5"/>
    </row>
    <row r="587">
      <c r="BB587" s="5"/>
    </row>
    <row r="588">
      <c r="BB588" s="5"/>
    </row>
    <row r="589">
      <c r="BB589" s="5"/>
    </row>
    <row r="590">
      <c r="BB590" s="5"/>
    </row>
    <row r="591">
      <c r="BB591" s="5"/>
    </row>
    <row r="592">
      <c r="BB592" s="5"/>
    </row>
    <row r="593">
      <c r="BB593" s="5"/>
    </row>
    <row r="594">
      <c r="BB594" s="5"/>
    </row>
    <row r="595">
      <c r="BB595" s="5"/>
    </row>
    <row r="596">
      <c r="BB596" s="5"/>
    </row>
    <row r="597">
      <c r="BB597" s="5"/>
    </row>
    <row r="598">
      <c r="BB598" s="5"/>
    </row>
    <row r="599">
      <c r="BB599" s="5"/>
    </row>
    <row r="600">
      <c r="BB600" s="5"/>
    </row>
    <row r="601">
      <c r="BB601" s="5"/>
    </row>
    <row r="602">
      <c r="BB602" s="5"/>
    </row>
    <row r="603">
      <c r="BB603" s="5"/>
    </row>
    <row r="604">
      <c r="BB604" s="5"/>
    </row>
    <row r="605">
      <c r="BB605" s="5"/>
    </row>
    <row r="606">
      <c r="BB606" s="5"/>
    </row>
    <row r="607">
      <c r="BB607" s="5"/>
    </row>
    <row r="608">
      <c r="BB608" s="5"/>
    </row>
    <row r="609">
      <c r="BB609" s="5"/>
    </row>
    <row r="610">
      <c r="BB610" s="5"/>
    </row>
    <row r="611">
      <c r="BB611" s="5"/>
    </row>
    <row r="612">
      <c r="BB612" s="5"/>
    </row>
    <row r="613">
      <c r="BB613" s="5"/>
    </row>
    <row r="614">
      <c r="BB614" s="5"/>
    </row>
    <row r="615">
      <c r="BB615" s="5"/>
    </row>
    <row r="616">
      <c r="BB616" s="5"/>
    </row>
    <row r="617">
      <c r="BB617" s="5"/>
    </row>
    <row r="618">
      <c r="BB618" s="5"/>
    </row>
    <row r="619">
      <c r="BB619" s="5"/>
    </row>
    <row r="620">
      <c r="BB620" s="5"/>
    </row>
    <row r="621">
      <c r="BB621" s="5"/>
    </row>
    <row r="622">
      <c r="BB622" s="5"/>
    </row>
    <row r="623">
      <c r="BB623" s="5"/>
    </row>
    <row r="624">
      <c r="BB624" s="5"/>
    </row>
    <row r="625">
      <c r="BB625" s="5"/>
    </row>
    <row r="626">
      <c r="BB626" s="5"/>
    </row>
    <row r="627">
      <c r="BB627" s="5"/>
    </row>
    <row r="628">
      <c r="BB628" s="5"/>
    </row>
    <row r="629">
      <c r="BB629" s="5"/>
    </row>
    <row r="630">
      <c r="BB630" s="5"/>
    </row>
    <row r="631">
      <c r="BB631" s="5"/>
    </row>
    <row r="632">
      <c r="BB632" s="5"/>
    </row>
    <row r="633">
      <c r="BB633" s="5"/>
    </row>
    <row r="634">
      <c r="BB634" s="5"/>
    </row>
    <row r="635">
      <c r="BB635" s="5"/>
    </row>
    <row r="636">
      <c r="BB636" s="5"/>
    </row>
    <row r="637">
      <c r="BB637" s="5"/>
    </row>
    <row r="638">
      <c r="BB638" s="5"/>
    </row>
    <row r="639">
      <c r="BB639" s="5"/>
    </row>
    <row r="640">
      <c r="BB640" s="5"/>
    </row>
    <row r="641">
      <c r="BB641" s="5"/>
    </row>
    <row r="642">
      <c r="BB642" s="5"/>
    </row>
    <row r="643">
      <c r="BB643" s="5"/>
    </row>
    <row r="644">
      <c r="BB644" s="5"/>
    </row>
    <row r="645">
      <c r="BB645" s="5"/>
    </row>
    <row r="646">
      <c r="BB646" s="5"/>
    </row>
    <row r="647">
      <c r="BB647" s="5"/>
    </row>
    <row r="648">
      <c r="BB648" s="5"/>
    </row>
    <row r="649">
      <c r="BB649" s="5"/>
    </row>
    <row r="650">
      <c r="BB650" s="5"/>
    </row>
    <row r="651">
      <c r="BB651" s="5"/>
    </row>
    <row r="652">
      <c r="BB652" s="5"/>
    </row>
    <row r="653">
      <c r="BB653" s="5"/>
    </row>
    <row r="654">
      <c r="BB654" s="5"/>
    </row>
    <row r="655">
      <c r="BB655" s="5"/>
    </row>
    <row r="656">
      <c r="BB656" s="5"/>
    </row>
    <row r="657">
      <c r="BB657" s="5"/>
    </row>
    <row r="658">
      <c r="BB658" s="5"/>
    </row>
    <row r="659">
      <c r="BB659" s="5"/>
    </row>
    <row r="660">
      <c r="BB660" s="5"/>
    </row>
    <row r="661">
      <c r="BB661" s="5"/>
    </row>
    <row r="662">
      <c r="BB662" s="5"/>
    </row>
    <row r="663">
      <c r="BB663" s="5"/>
    </row>
    <row r="664">
      <c r="BB664" s="5"/>
    </row>
    <row r="665">
      <c r="BB665" s="5"/>
    </row>
    <row r="666">
      <c r="BB666" s="5"/>
    </row>
    <row r="667">
      <c r="BB667" s="5"/>
    </row>
    <row r="668">
      <c r="BB668" s="5"/>
    </row>
    <row r="669">
      <c r="BB669" s="5"/>
    </row>
    <row r="670">
      <c r="BB670" s="5"/>
    </row>
    <row r="671">
      <c r="BB671" s="5"/>
    </row>
    <row r="672">
      <c r="BB672" s="5"/>
    </row>
    <row r="673">
      <c r="BB673" s="5"/>
    </row>
    <row r="674">
      <c r="BB674" s="5"/>
    </row>
    <row r="675">
      <c r="BB675" s="5"/>
    </row>
    <row r="676">
      <c r="BB676" s="5"/>
    </row>
    <row r="677">
      <c r="BB677" s="5"/>
    </row>
    <row r="678">
      <c r="BB678" s="5"/>
    </row>
    <row r="679">
      <c r="BB679" s="5"/>
    </row>
    <row r="680">
      <c r="BB680" s="5"/>
    </row>
    <row r="681">
      <c r="BB681" s="5"/>
    </row>
    <row r="682">
      <c r="BB682" s="5"/>
    </row>
    <row r="683">
      <c r="BB683" s="5"/>
    </row>
    <row r="684">
      <c r="BB684" s="5"/>
    </row>
    <row r="685">
      <c r="BB685" s="5"/>
    </row>
    <row r="686">
      <c r="BB686" s="5"/>
    </row>
    <row r="687">
      <c r="BB687" s="5"/>
    </row>
    <row r="688">
      <c r="BB688" s="5"/>
    </row>
    <row r="689">
      <c r="BB689" s="5"/>
    </row>
    <row r="690">
      <c r="BB690" s="5"/>
    </row>
    <row r="691">
      <c r="BB691" s="5"/>
    </row>
    <row r="692">
      <c r="BB692" s="5"/>
    </row>
    <row r="693">
      <c r="BB693" s="5"/>
    </row>
    <row r="694">
      <c r="BB694" s="5"/>
    </row>
    <row r="695">
      <c r="BB695" s="5"/>
    </row>
    <row r="696">
      <c r="BB696" s="5"/>
    </row>
    <row r="697">
      <c r="BB697" s="5"/>
    </row>
    <row r="698">
      <c r="BB698" s="5"/>
    </row>
    <row r="699">
      <c r="BB699" s="5"/>
    </row>
    <row r="700">
      <c r="BB700" s="5"/>
    </row>
    <row r="701">
      <c r="BB701" s="5"/>
    </row>
    <row r="702">
      <c r="BB702" s="5"/>
    </row>
    <row r="703">
      <c r="BB703" s="5"/>
    </row>
    <row r="704">
      <c r="BB704" s="5"/>
    </row>
    <row r="705">
      <c r="BB705" s="5"/>
    </row>
    <row r="706">
      <c r="BB706" s="5"/>
    </row>
    <row r="707">
      <c r="BB707" s="5"/>
    </row>
    <row r="708">
      <c r="BB708" s="5"/>
    </row>
    <row r="709">
      <c r="BB709" s="5"/>
    </row>
    <row r="710">
      <c r="BB710" s="5"/>
    </row>
    <row r="711">
      <c r="BB711" s="5"/>
    </row>
    <row r="712">
      <c r="BB712" s="5"/>
    </row>
    <row r="713">
      <c r="BB713" s="5"/>
    </row>
    <row r="714">
      <c r="BB714" s="5"/>
    </row>
    <row r="715">
      <c r="BB715" s="5"/>
    </row>
    <row r="716">
      <c r="BB716" s="5"/>
    </row>
    <row r="717">
      <c r="BB717" s="5"/>
    </row>
    <row r="718">
      <c r="BB718" s="5"/>
    </row>
    <row r="719">
      <c r="BB719" s="5"/>
    </row>
    <row r="720">
      <c r="BB720" s="5"/>
    </row>
    <row r="721">
      <c r="BB721" s="5"/>
    </row>
    <row r="722">
      <c r="BB722" s="5"/>
    </row>
    <row r="723">
      <c r="BB723" s="5"/>
    </row>
    <row r="724">
      <c r="BB724" s="5"/>
    </row>
    <row r="725">
      <c r="BB725" s="5"/>
    </row>
    <row r="726">
      <c r="BB726" s="5"/>
    </row>
    <row r="727">
      <c r="BB727" s="5"/>
    </row>
    <row r="728">
      <c r="BB728" s="5"/>
    </row>
    <row r="729">
      <c r="BB729" s="5"/>
    </row>
    <row r="730">
      <c r="BB730" s="5"/>
    </row>
    <row r="731">
      <c r="BB731" s="5"/>
    </row>
    <row r="732">
      <c r="BB732" s="5"/>
    </row>
    <row r="733">
      <c r="BB733" s="5"/>
    </row>
    <row r="734">
      <c r="BB734" s="5"/>
    </row>
    <row r="735">
      <c r="BB735" s="5"/>
    </row>
    <row r="736">
      <c r="BB736" s="5"/>
    </row>
    <row r="737">
      <c r="BB737" s="5"/>
    </row>
    <row r="738">
      <c r="BB738" s="5"/>
    </row>
    <row r="739">
      <c r="BB739" s="5"/>
    </row>
    <row r="740">
      <c r="BB740" s="5"/>
    </row>
    <row r="741">
      <c r="BB741" s="5"/>
    </row>
    <row r="742">
      <c r="BB742" s="5"/>
    </row>
    <row r="743">
      <c r="BB743" s="5"/>
    </row>
    <row r="744">
      <c r="BB744" s="5"/>
    </row>
    <row r="745">
      <c r="BB745" s="5"/>
    </row>
    <row r="746">
      <c r="BB746" s="5"/>
    </row>
    <row r="747">
      <c r="BB747" s="5"/>
    </row>
    <row r="748">
      <c r="BB748" s="5"/>
    </row>
    <row r="749">
      <c r="BB749" s="5"/>
    </row>
    <row r="750">
      <c r="BB750" s="5"/>
    </row>
    <row r="751">
      <c r="BB751" s="5"/>
    </row>
    <row r="752">
      <c r="BB752" s="5"/>
    </row>
    <row r="753">
      <c r="BB753" s="5"/>
    </row>
    <row r="754">
      <c r="BB754" s="5"/>
    </row>
    <row r="755">
      <c r="BB755" s="5"/>
    </row>
    <row r="756">
      <c r="BB756" s="5"/>
    </row>
    <row r="757">
      <c r="BB757" s="5"/>
    </row>
    <row r="758">
      <c r="BB758" s="5"/>
    </row>
    <row r="759">
      <c r="BB759" s="5"/>
    </row>
    <row r="760">
      <c r="BB760" s="5"/>
    </row>
    <row r="761">
      <c r="BB761" s="5"/>
    </row>
    <row r="762">
      <c r="BB762" s="5"/>
    </row>
    <row r="763">
      <c r="BB763" s="5"/>
    </row>
    <row r="764">
      <c r="BB764" s="5"/>
    </row>
    <row r="765">
      <c r="BB765" s="5"/>
    </row>
    <row r="766">
      <c r="BB766" s="5"/>
    </row>
    <row r="767">
      <c r="BB767" s="5"/>
    </row>
    <row r="768">
      <c r="BB768" s="5"/>
    </row>
    <row r="769">
      <c r="BB769" s="5"/>
    </row>
    <row r="770">
      <c r="BB770" s="5"/>
    </row>
    <row r="771">
      <c r="BB771" s="5"/>
    </row>
    <row r="772">
      <c r="BB772" s="5"/>
    </row>
    <row r="773">
      <c r="BB773" s="5"/>
    </row>
    <row r="774">
      <c r="BB774" s="5"/>
    </row>
    <row r="775">
      <c r="BB775" s="5"/>
    </row>
    <row r="776">
      <c r="BB776" s="5"/>
    </row>
    <row r="777">
      <c r="BB777" s="5"/>
    </row>
    <row r="778">
      <c r="BB778" s="5"/>
    </row>
    <row r="779">
      <c r="BB779" s="5"/>
    </row>
    <row r="780">
      <c r="BB780" s="5"/>
    </row>
    <row r="781">
      <c r="BB781" s="5"/>
    </row>
    <row r="782">
      <c r="BB782" s="5"/>
    </row>
    <row r="783">
      <c r="BB783" s="5"/>
    </row>
    <row r="784">
      <c r="BB784" s="5"/>
    </row>
    <row r="785">
      <c r="BB785" s="5"/>
    </row>
    <row r="786">
      <c r="BB786" s="5"/>
    </row>
    <row r="787">
      <c r="BB787" s="5"/>
    </row>
    <row r="788">
      <c r="BB788" s="5"/>
    </row>
    <row r="789">
      <c r="BB789" s="5"/>
    </row>
    <row r="790">
      <c r="BB790" s="5"/>
    </row>
    <row r="791">
      <c r="BB791" s="5"/>
    </row>
    <row r="792">
      <c r="BB792" s="5"/>
    </row>
    <row r="793">
      <c r="BB793" s="5"/>
    </row>
    <row r="794">
      <c r="BB794" s="5"/>
    </row>
    <row r="795">
      <c r="BB795" s="5"/>
    </row>
    <row r="796">
      <c r="BB796" s="5"/>
    </row>
    <row r="797">
      <c r="BB797" s="5"/>
    </row>
    <row r="798">
      <c r="BB798" s="5"/>
    </row>
    <row r="799">
      <c r="BB799" s="5"/>
    </row>
    <row r="800">
      <c r="BB800" s="5"/>
    </row>
    <row r="801">
      <c r="BB801" s="5"/>
    </row>
    <row r="802">
      <c r="BB802" s="5"/>
    </row>
    <row r="803">
      <c r="BB803" s="5"/>
    </row>
    <row r="804">
      <c r="BB804" s="5"/>
    </row>
    <row r="805">
      <c r="BB805" s="5"/>
    </row>
    <row r="806">
      <c r="BB806" s="5"/>
    </row>
    <row r="807">
      <c r="BB807" s="5"/>
    </row>
    <row r="808">
      <c r="BB808" s="5"/>
    </row>
    <row r="809">
      <c r="BB809" s="5"/>
    </row>
    <row r="810">
      <c r="BB810" s="5"/>
    </row>
    <row r="811">
      <c r="BB811" s="5"/>
    </row>
    <row r="812">
      <c r="BB812" s="5"/>
    </row>
    <row r="813">
      <c r="BB813" s="5"/>
    </row>
    <row r="814">
      <c r="BB814" s="5"/>
    </row>
    <row r="815">
      <c r="BB815" s="5"/>
    </row>
    <row r="816">
      <c r="BB816" s="5"/>
    </row>
    <row r="817">
      <c r="BB817" s="5"/>
    </row>
    <row r="818">
      <c r="BB818" s="5"/>
    </row>
    <row r="819">
      <c r="BB819" s="5"/>
    </row>
    <row r="820">
      <c r="BB820" s="5"/>
    </row>
    <row r="821">
      <c r="BB821" s="5"/>
    </row>
    <row r="822">
      <c r="BB822" s="5"/>
    </row>
    <row r="823">
      <c r="BB823" s="5"/>
    </row>
    <row r="824">
      <c r="BB824" s="5"/>
    </row>
    <row r="825">
      <c r="BB825" s="5"/>
    </row>
    <row r="826">
      <c r="BB826" s="5"/>
    </row>
    <row r="827">
      <c r="BB827" s="5"/>
    </row>
    <row r="828">
      <c r="BB828" s="5"/>
    </row>
    <row r="829">
      <c r="BB829" s="5"/>
    </row>
    <row r="830">
      <c r="BB830" s="5"/>
    </row>
    <row r="831">
      <c r="BB831" s="5"/>
    </row>
    <row r="832">
      <c r="BB832" s="5"/>
    </row>
    <row r="833">
      <c r="BB833" s="5"/>
    </row>
    <row r="834">
      <c r="BB834" s="5"/>
    </row>
    <row r="835">
      <c r="BB835" s="5"/>
    </row>
    <row r="836">
      <c r="BB836" s="5"/>
    </row>
    <row r="837">
      <c r="BB837" s="5"/>
    </row>
    <row r="838">
      <c r="BB838" s="5"/>
    </row>
    <row r="839">
      <c r="BB839" s="5"/>
    </row>
    <row r="840">
      <c r="BB840" s="5"/>
    </row>
    <row r="841">
      <c r="BB841" s="5"/>
    </row>
    <row r="842">
      <c r="BB842" s="5"/>
    </row>
    <row r="843">
      <c r="BB843" s="5"/>
    </row>
    <row r="844">
      <c r="BB844" s="5"/>
    </row>
    <row r="845">
      <c r="BB845" s="5"/>
    </row>
    <row r="846">
      <c r="BB846" s="5"/>
    </row>
    <row r="847">
      <c r="BB847" s="5"/>
    </row>
    <row r="848">
      <c r="BB848" s="5"/>
    </row>
    <row r="849">
      <c r="BB849" s="5"/>
    </row>
    <row r="850">
      <c r="BB850" s="5"/>
    </row>
    <row r="851">
      <c r="BB851" s="5"/>
    </row>
    <row r="852">
      <c r="BB852" s="5"/>
    </row>
    <row r="853">
      <c r="BB853" s="5"/>
    </row>
    <row r="854">
      <c r="BB854" s="5"/>
    </row>
    <row r="855">
      <c r="BB855" s="5"/>
    </row>
    <row r="856">
      <c r="BB856" s="5"/>
    </row>
    <row r="857">
      <c r="BB857" s="5"/>
    </row>
    <row r="858">
      <c r="BB858" s="5"/>
    </row>
    <row r="859">
      <c r="BB859" s="5"/>
    </row>
    <row r="860">
      <c r="BB860" s="5"/>
    </row>
    <row r="861">
      <c r="BB861" s="5"/>
    </row>
    <row r="862">
      <c r="BB862" s="5"/>
    </row>
    <row r="863">
      <c r="BB863" s="5"/>
    </row>
    <row r="864">
      <c r="BB864" s="5"/>
    </row>
    <row r="865">
      <c r="BB865" s="5"/>
    </row>
    <row r="866">
      <c r="BB866" s="5"/>
    </row>
    <row r="867">
      <c r="BB867" s="5"/>
    </row>
    <row r="868">
      <c r="BB868" s="5"/>
    </row>
    <row r="869">
      <c r="BB869" s="5"/>
    </row>
    <row r="870">
      <c r="BB870" s="5"/>
    </row>
    <row r="871">
      <c r="BB871" s="5"/>
    </row>
    <row r="872">
      <c r="BB872" s="5"/>
    </row>
    <row r="873">
      <c r="BB873" s="5"/>
    </row>
    <row r="874">
      <c r="BB874" s="5"/>
    </row>
    <row r="875">
      <c r="BB875" s="5"/>
    </row>
    <row r="876">
      <c r="BB876" s="5"/>
    </row>
    <row r="877">
      <c r="BB877" s="5"/>
    </row>
    <row r="878">
      <c r="BB878" s="5"/>
    </row>
    <row r="879">
      <c r="BB879" s="5"/>
    </row>
    <row r="880">
      <c r="BB880" s="5"/>
    </row>
    <row r="881">
      <c r="BB881" s="5"/>
    </row>
    <row r="882">
      <c r="BB882" s="5"/>
    </row>
    <row r="883">
      <c r="BB883" s="5"/>
    </row>
    <row r="884">
      <c r="BB884" s="5"/>
    </row>
    <row r="885">
      <c r="BB885" s="5"/>
    </row>
    <row r="886">
      <c r="BB886" s="5"/>
    </row>
    <row r="887">
      <c r="BB887" s="5"/>
    </row>
    <row r="888">
      <c r="BB888" s="5"/>
    </row>
    <row r="889">
      <c r="BB889" s="5"/>
    </row>
    <row r="890">
      <c r="BB890" s="5"/>
    </row>
    <row r="891">
      <c r="BB891" s="5"/>
    </row>
    <row r="892">
      <c r="BB892" s="5"/>
    </row>
    <row r="893">
      <c r="BB893" s="5"/>
    </row>
    <row r="894">
      <c r="BB894" s="5"/>
    </row>
    <row r="895">
      <c r="BB895" s="5"/>
    </row>
    <row r="896">
      <c r="BB896" s="5"/>
    </row>
    <row r="897">
      <c r="BB897" s="5"/>
    </row>
    <row r="898">
      <c r="BB898" s="5"/>
    </row>
    <row r="899">
      <c r="BB899" s="5"/>
    </row>
    <row r="900">
      <c r="BB900" s="5"/>
    </row>
    <row r="901">
      <c r="BB901" s="5"/>
    </row>
    <row r="902">
      <c r="BB902" s="5"/>
    </row>
    <row r="903">
      <c r="BB903" s="5"/>
    </row>
    <row r="904">
      <c r="BB904" s="5"/>
    </row>
    <row r="905">
      <c r="BB905" s="5"/>
    </row>
    <row r="906">
      <c r="BB906" s="5"/>
    </row>
    <row r="907">
      <c r="BB907" s="5"/>
    </row>
    <row r="908">
      <c r="BB908" s="5"/>
    </row>
    <row r="909">
      <c r="BB909" s="5"/>
    </row>
    <row r="910">
      <c r="BB910" s="5"/>
    </row>
    <row r="911">
      <c r="BB911" s="5"/>
    </row>
    <row r="912">
      <c r="BB912" s="5"/>
    </row>
    <row r="913">
      <c r="BB913" s="5"/>
    </row>
    <row r="914">
      <c r="BB914" s="5"/>
    </row>
    <row r="915">
      <c r="BB915" s="5"/>
    </row>
    <row r="916">
      <c r="BB916" s="5"/>
    </row>
    <row r="917">
      <c r="BB917" s="5"/>
    </row>
    <row r="918">
      <c r="BB918" s="5"/>
    </row>
    <row r="919">
      <c r="BB919" s="5"/>
    </row>
    <row r="920">
      <c r="BB920" s="5"/>
    </row>
    <row r="921">
      <c r="BB921" s="5"/>
    </row>
    <row r="922">
      <c r="BB922" s="5"/>
    </row>
    <row r="923">
      <c r="BB923" s="5"/>
    </row>
    <row r="924">
      <c r="BB924" s="5"/>
    </row>
    <row r="925">
      <c r="BB925" s="5"/>
    </row>
    <row r="926">
      <c r="BB926" s="5"/>
    </row>
    <row r="927">
      <c r="BB927" s="5"/>
    </row>
    <row r="928">
      <c r="BB928" s="5"/>
    </row>
    <row r="929">
      <c r="BB929" s="5"/>
    </row>
    <row r="930">
      <c r="BB930" s="5"/>
    </row>
    <row r="931">
      <c r="BB931" s="5"/>
    </row>
    <row r="932">
      <c r="BB932" s="5"/>
    </row>
    <row r="933">
      <c r="BB933" s="5"/>
    </row>
    <row r="934">
      <c r="BB934" s="5"/>
    </row>
    <row r="935">
      <c r="BB935" s="5"/>
    </row>
    <row r="936">
      <c r="BB936" s="5"/>
    </row>
    <row r="937">
      <c r="BB937" s="5"/>
    </row>
    <row r="938">
      <c r="BB938" s="5"/>
    </row>
    <row r="939">
      <c r="BB939" s="5"/>
    </row>
    <row r="940">
      <c r="BB940" s="5"/>
    </row>
    <row r="941">
      <c r="BB941" s="5"/>
    </row>
    <row r="942">
      <c r="BB942" s="5"/>
    </row>
    <row r="943">
      <c r="BB943" s="5"/>
    </row>
    <row r="944">
      <c r="BB944" s="5"/>
    </row>
    <row r="945">
      <c r="BB945" s="5"/>
    </row>
    <row r="946">
      <c r="BB946" s="5"/>
    </row>
    <row r="947">
      <c r="BB947" s="5"/>
    </row>
    <row r="948">
      <c r="BB948" s="5"/>
    </row>
    <row r="949">
      <c r="BB949" s="5"/>
    </row>
    <row r="950">
      <c r="BB950" s="5"/>
    </row>
    <row r="951">
      <c r="BB951" s="5"/>
    </row>
    <row r="952">
      <c r="BB952" s="5"/>
    </row>
    <row r="953">
      <c r="BB953" s="5"/>
    </row>
    <row r="954">
      <c r="BB954" s="5"/>
    </row>
    <row r="955">
      <c r="BB955" s="5"/>
    </row>
    <row r="956">
      <c r="BB956" s="5"/>
    </row>
    <row r="957">
      <c r="BB957" s="5"/>
    </row>
    <row r="958">
      <c r="BB958" s="5"/>
    </row>
    <row r="959">
      <c r="BB959" s="5"/>
    </row>
    <row r="960">
      <c r="BB960" s="5"/>
    </row>
    <row r="961">
      <c r="BB961" s="5"/>
    </row>
    <row r="962">
      <c r="BB962" s="5"/>
    </row>
    <row r="963">
      <c r="BB963" s="5"/>
    </row>
    <row r="964">
      <c r="BB964" s="5"/>
    </row>
    <row r="965">
      <c r="BB965" s="5"/>
    </row>
    <row r="966">
      <c r="BB966" s="5"/>
    </row>
    <row r="967">
      <c r="BB967" s="5"/>
    </row>
    <row r="968">
      <c r="BB968" s="5"/>
    </row>
    <row r="969">
      <c r="BB969" s="5"/>
    </row>
    <row r="970">
      <c r="BB970" s="5"/>
    </row>
    <row r="971">
      <c r="BB971" s="5"/>
    </row>
    <row r="972">
      <c r="BB972" s="5"/>
    </row>
    <row r="973">
      <c r="BB973" s="5"/>
    </row>
    <row r="974">
      <c r="BB974" s="5"/>
    </row>
    <row r="975">
      <c r="BB975" s="5"/>
    </row>
    <row r="976">
      <c r="BB976" s="5"/>
    </row>
    <row r="977">
      <c r="BB977" s="5"/>
    </row>
    <row r="978">
      <c r="BB978" s="5"/>
    </row>
    <row r="979">
      <c r="BB979" s="5"/>
    </row>
    <row r="980">
      <c r="BB980" s="5"/>
    </row>
    <row r="981">
      <c r="BB981" s="5"/>
    </row>
    <row r="982">
      <c r="BB982" s="5"/>
    </row>
    <row r="983">
      <c r="BB983" s="5"/>
    </row>
    <row r="984">
      <c r="BB984" s="5"/>
    </row>
    <row r="985">
      <c r="BB985" s="5"/>
    </row>
    <row r="986">
      <c r="BB986" s="5"/>
    </row>
    <row r="987">
      <c r="BB987" s="5"/>
    </row>
    <row r="988">
      <c r="BB988" s="5"/>
    </row>
    <row r="989">
      <c r="BB989" s="5"/>
    </row>
    <row r="990">
      <c r="BB990" s="5"/>
    </row>
    <row r="991">
      <c r="BB991" s="5"/>
    </row>
    <row r="992">
      <c r="BB992" s="5"/>
    </row>
    <row r="993">
      <c r="BB993" s="5"/>
    </row>
    <row r="994">
      <c r="BB994" s="5"/>
    </row>
    <row r="995">
      <c r="BB995" s="5"/>
    </row>
    <row r="996">
      <c r="BB996" s="5"/>
    </row>
    <row r="997">
      <c r="BB997" s="5"/>
    </row>
    <row r="998">
      <c r="BB998" s="5"/>
    </row>
    <row r="999">
      <c r="BB999" s="5"/>
    </row>
    <row r="1000">
      <c r="BB1000" s="5"/>
    </row>
    <row r="1001">
      <c r="BB1001" s="5"/>
    </row>
    <row r="1002">
      <c r="BB1002" s="5"/>
    </row>
    <row r="1003">
      <c r="BB1003" s="5"/>
    </row>
    <row r="1004">
      <c r="BB1004" s="5"/>
    </row>
    <row r="1005">
      <c r="BB1005" s="5"/>
    </row>
    <row r="1006">
      <c r="BB1006" s="5"/>
    </row>
    <row r="1007">
      <c r="BB1007" s="5"/>
    </row>
    <row r="1008">
      <c r="BB1008" s="5"/>
    </row>
    <row r="1009">
      <c r="BB1009" s="5"/>
    </row>
    <row r="1010">
      <c r="BB1010" s="5"/>
    </row>
    <row r="1011">
      <c r="BB1011" s="5"/>
    </row>
    <row r="1012">
      <c r="BB1012" s="5"/>
    </row>
    <row r="1013">
      <c r="BB1013" s="5"/>
    </row>
    <row r="1014">
      <c r="BB1014" s="5"/>
    </row>
    <row r="1015">
      <c r="BB1015" s="5"/>
    </row>
    <row r="1016">
      <c r="BB1016" s="5"/>
    </row>
    <row r="1017">
      <c r="BB1017" s="5"/>
    </row>
    <row r="1018">
      <c r="BB1018" s="5"/>
    </row>
    <row r="1019">
      <c r="BB1019" s="5"/>
    </row>
    <row r="1020">
      <c r="BB1020" s="5"/>
    </row>
    <row r="1021">
      <c r="BB1021" s="5"/>
    </row>
    <row r="1022">
      <c r="BB1022" s="5"/>
    </row>
    <row r="1023">
      <c r="BB1023" s="5"/>
    </row>
    <row r="1024">
      <c r="BB1024" s="5"/>
    </row>
    <row r="1025">
      <c r="BB1025" s="5"/>
    </row>
    <row r="1026">
      <c r="BB1026" s="5"/>
    </row>
    <row r="1027">
      <c r="BB1027" s="5"/>
    </row>
    <row r="1028">
      <c r="BB1028" s="5"/>
    </row>
    <row r="1029">
      <c r="BB1029" s="5"/>
    </row>
    <row r="1030">
      <c r="BB1030" s="5"/>
    </row>
    <row r="1031">
      <c r="BB1031" s="5"/>
    </row>
    <row r="1032">
      <c r="BB1032" s="5"/>
    </row>
  </sheetData>
  <mergeCells count="29">
    <mergeCell ref="BJ2:BL2"/>
    <mergeCell ref="A6:B6"/>
    <mergeCell ref="C6:F6"/>
    <mergeCell ref="BJ6:BL6"/>
    <mergeCell ref="AU92:AU93"/>
    <mergeCell ref="AX92:AX93"/>
    <mergeCell ref="BA92:BA93"/>
    <mergeCell ref="AN93:AN94"/>
    <mergeCell ref="AP94:AP95"/>
    <mergeCell ref="AN96:AN97"/>
    <mergeCell ref="AV93:AV94"/>
    <mergeCell ref="AW94:AW95"/>
    <mergeCell ref="AV96:AV97"/>
    <mergeCell ref="AY96:AY97"/>
    <mergeCell ref="AX101:AX102"/>
    <mergeCell ref="BA101:BA102"/>
    <mergeCell ref="BB93:BB94"/>
    <mergeCell ref="BC94:BC95"/>
    <mergeCell ref="BB96:BB97"/>
    <mergeCell ref="BE96:BE97"/>
    <mergeCell ref="BD101:BD102"/>
    <mergeCell ref="BG101:BG102"/>
    <mergeCell ref="AM92:AM93"/>
    <mergeCell ref="AK93:AK94"/>
    <mergeCell ref="AY93:AY94"/>
    <mergeCell ref="J94:J95"/>
    <mergeCell ref="AL94:AL95"/>
    <mergeCell ref="AQ94:AQ95"/>
    <mergeCell ref="AZ94:AZ95"/>
  </mergeCells>
  <conditionalFormatting sqref="AP15:AQ32 AP44:AQ61">
    <cfRule type="colorScale" priority="1">
      <colorScale>
        <cfvo type="min"/>
        <cfvo type="percentile" val="50"/>
        <cfvo type="max"/>
        <color rgb="FF57BB8A"/>
        <color rgb="FFFFD666"/>
        <color rgb="FFE67C73"/>
      </colorScale>
    </cfRule>
  </conditionalFormatting>
  <conditionalFormatting sqref="CO15:CQ32 CO43:CQ61">
    <cfRule type="expression" dxfId="1" priority="2">
      <formula>$CN15&lt;10</formula>
    </cfRule>
  </conditionalFormatting>
  <conditionalFormatting sqref="AR15:AT32 CO15:CQ32 CV15:CV32 CX15:CX32 AR44:AT61 CO44:CQ61 CV44:CV61 CX44:CX61">
    <cfRule type="colorScale" priority="3">
      <colorScale>
        <cfvo type="formula" val="-5"/>
        <cfvo type="formula" val="0"/>
        <cfvo type="formula" val="10"/>
        <color rgb="FFF8962E"/>
        <color rgb="FFFFFFFF"/>
        <color rgb="FF4E9DFF"/>
      </colorScale>
    </cfRule>
  </conditionalFormatting>
  <conditionalFormatting sqref="CU15:CU32 CU44:CU61">
    <cfRule type="colorScale" priority="4">
      <colorScale>
        <cfvo type="min"/>
        <cfvo type="formula" val="0"/>
        <cfvo type="max"/>
        <color rgb="FFEA9999"/>
        <color rgb="FFFFFFFF"/>
        <color rgb="FF57BB8A"/>
      </colorScale>
    </cfRule>
  </conditionalFormatting>
  <conditionalFormatting sqref="CL15:CM32 CL44:CM61">
    <cfRule type="colorScale" priority="5">
      <colorScale>
        <cfvo type="min"/>
        <cfvo type="max"/>
        <color rgb="FFFFFFFF"/>
        <color rgb="FF57BB8A"/>
      </colorScale>
    </cfRule>
  </conditionalFormatting>
  <hyperlinks>
    <hyperlink r:id="rId1" ref="A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4.43" defaultRowHeight="15.75"/>
  <cols>
    <col customWidth="1" min="1" max="1" width="3.43"/>
    <col customWidth="1" min="2" max="2" width="20.86"/>
    <col customWidth="1" min="3" max="3" width="5.29"/>
    <col customWidth="1" min="4" max="15" width="6.43"/>
    <col customWidth="1" min="16" max="16" width="6.29"/>
    <col customWidth="1" min="17" max="17" width="4.71"/>
    <col customWidth="1" min="18" max="18" width="5.71"/>
    <col customWidth="1" min="19" max="19" width="5.14"/>
    <col customWidth="1" min="20" max="20" width="5.0"/>
    <col customWidth="1" min="21" max="22" width="4.86"/>
    <col customWidth="1" min="23" max="23" width="4.71"/>
    <col customWidth="1" min="24" max="24" width="4.86"/>
    <col customWidth="1" min="25" max="25" width="5.0"/>
    <col customWidth="1" min="26" max="26" width="4.71"/>
    <col customWidth="1" min="27" max="27" width="4.86"/>
    <col customWidth="1" min="28" max="28" width="5.29"/>
    <col customWidth="1" min="29" max="29" width="5.43"/>
    <col customWidth="1" min="30" max="30" width="7.29"/>
    <col customWidth="1" min="31" max="31" width="8.0"/>
    <col customWidth="1" min="32" max="32" width="12.29"/>
    <col customWidth="1" min="33" max="44" width="6.57"/>
    <col customWidth="1" min="45" max="45" width="8.14"/>
    <col customWidth="1" min="46" max="46" width="9.14"/>
    <col customWidth="1" min="47" max="47" width="10.71"/>
    <col customWidth="1" min="48" max="48" width="14.29"/>
    <col customWidth="1" min="49" max="49" width="15.71"/>
    <col customWidth="1" min="50" max="50" width="16.43"/>
    <col customWidth="1" min="51" max="51" width="16.29"/>
    <col customWidth="1" min="52" max="52" width="18.14"/>
    <col customWidth="1" min="53" max="64" width="7.71"/>
    <col customWidth="1" min="65" max="65" width="8.71"/>
    <col customWidth="1" min="66" max="66" width="12.71"/>
    <col customWidth="1" min="67" max="67" width="12.14"/>
    <col customWidth="1" min="68" max="68" width="8.43"/>
    <col customWidth="1" min="69" max="69" width="10.57"/>
    <col customWidth="1" min="70" max="70" width="9.86"/>
    <col customWidth="1" min="71" max="71" width="6.43"/>
    <col customWidth="1" min="72" max="72" width="7.71"/>
    <col customWidth="1" min="73" max="73" width="12.14"/>
    <col customWidth="1" min="74" max="85" width="8.14"/>
    <col customWidth="1" min="86" max="86" width="10.71"/>
    <col customWidth="1" min="87" max="87" width="12.71"/>
    <col customWidth="1" min="88" max="88" width="12.14"/>
    <col customWidth="1" min="89" max="89" width="8.43"/>
    <col customWidth="1" min="90" max="90" width="10.57"/>
    <col customWidth="1" min="91" max="91" width="11.29"/>
    <col customWidth="1" min="92" max="92" width="6.43"/>
    <col customWidth="1" min="93" max="93" width="7.71"/>
    <col customWidth="1" min="94" max="94" width="21.71"/>
    <col customWidth="1" min="95" max="95" width="6.43"/>
    <col customWidth="1" min="96" max="103" width="7.86"/>
    <col customWidth="1" min="104" max="104" width="7.71"/>
    <col customWidth="1" min="105" max="106" width="8.57"/>
    <col customWidth="1" min="107" max="107" width="7.57"/>
    <col customWidth="1" min="108" max="108" width="9.0"/>
    <col customWidth="1" min="109" max="112" width="8.86"/>
  </cols>
  <sheetData>
    <row r="1">
      <c r="AU1" s="1"/>
      <c r="AV1" s="3"/>
      <c r="AW1" s="3"/>
      <c r="AX1" s="3"/>
      <c r="AY1" s="3"/>
      <c r="AZ1" s="3" t="s">
        <v>0</v>
      </c>
      <c r="BA1" s="1"/>
      <c r="BB1" s="1"/>
      <c r="BC1" s="1"/>
      <c r="BD1" s="1"/>
      <c r="BE1" s="1"/>
      <c r="BF1" s="1"/>
      <c r="BG1" s="1"/>
      <c r="BH1" s="1"/>
      <c r="BI1" s="1"/>
      <c r="BJ1" s="1"/>
      <c r="BK1" s="1"/>
      <c r="BL1" s="1"/>
      <c r="CU1" s="4"/>
      <c r="CZ1" s="5"/>
      <c r="DA1" s="5"/>
      <c r="DB1" s="5"/>
      <c r="DC1" s="5"/>
      <c r="DD1" s="5"/>
      <c r="DE1" s="5"/>
      <c r="DF1" s="5"/>
      <c r="DG1" s="5"/>
      <c r="DH1" s="5"/>
    </row>
    <row r="2">
      <c r="A2" s="6"/>
      <c r="B2" s="7" t="s">
        <v>1</v>
      </c>
      <c r="C2" s="6"/>
      <c r="D2" s="6"/>
      <c r="E2" s="6"/>
      <c r="F2" s="6"/>
      <c r="G2" s="8" t="s">
        <v>2</v>
      </c>
      <c r="H2" s="6"/>
      <c r="I2" s="6"/>
      <c r="J2" s="6"/>
      <c r="K2" s="6"/>
      <c r="L2" s="6"/>
      <c r="M2" s="6"/>
      <c r="N2" s="6"/>
      <c r="O2" s="6"/>
      <c r="P2" s="6"/>
      <c r="Q2" s="6"/>
      <c r="R2" s="6"/>
      <c r="S2" s="6"/>
      <c r="T2" s="6"/>
      <c r="U2" s="6"/>
      <c r="V2" s="6"/>
      <c r="W2" s="6"/>
      <c r="X2" s="6"/>
      <c r="Y2" s="6"/>
      <c r="Z2" s="6"/>
      <c r="AA2" s="6"/>
      <c r="AB2" s="6"/>
      <c r="AC2" s="6"/>
      <c r="AD2" s="6"/>
      <c r="AE2" s="6"/>
      <c r="AF2" s="6"/>
      <c r="AV2" s="11"/>
      <c r="AW2" s="11"/>
      <c r="AX2" s="11"/>
      <c r="AY2" s="11"/>
      <c r="AZ2" s="12" t="s">
        <v>11</v>
      </c>
      <c r="BA2" s="12" t="s">
        <v>12</v>
      </c>
      <c r="BB2" s="13" t="s">
        <v>13</v>
      </c>
      <c r="BC2" s="13" t="s">
        <v>14</v>
      </c>
      <c r="BD2" s="12" t="s">
        <v>15</v>
      </c>
      <c r="BE2" s="12" t="s">
        <v>16</v>
      </c>
      <c r="BF2" s="12" t="s">
        <v>17</v>
      </c>
      <c r="BG2" s="12" t="s">
        <v>18</v>
      </c>
      <c r="BH2" s="12" t="s">
        <v>19</v>
      </c>
      <c r="BI2" s="12" t="s">
        <v>20</v>
      </c>
      <c r="BJ2" s="12" t="s">
        <v>21</v>
      </c>
      <c r="BK2" s="12" t="s">
        <v>22</v>
      </c>
      <c r="BL2" s="12" t="s">
        <v>23</v>
      </c>
      <c r="BM2" s="6"/>
      <c r="BN2" s="14"/>
      <c r="BO2" s="15" t="s">
        <v>24</v>
      </c>
      <c r="BP2" s="16"/>
      <c r="BQ2" s="17"/>
      <c r="BR2" s="18"/>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20"/>
      <c r="CV2" s="19"/>
      <c r="CW2" s="19"/>
      <c r="CX2" s="19"/>
      <c r="CY2" s="19"/>
      <c r="CZ2" s="21"/>
      <c r="DA2" s="21"/>
      <c r="DB2" s="21"/>
      <c r="DC2" s="21"/>
      <c r="DD2" s="21"/>
      <c r="DE2" s="21"/>
      <c r="DF2" s="21"/>
      <c r="DG2" s="21"/>
      <c r="DH2" s="21"/>
    </row>
    <row r="3">
      <c r="A3" s="6"/>
      <c r="B3" s="22" t="s">
        <v>25</v>
      </c>
      <c r="C3" s="22">
        <v>2017.0</v>
      </c>
      <c r="D3" s="6"/>
      <c r="F3" s="6"/>
      <c r="G3" s="6"/>
      <c r="H3" s="6"/>
      <c r="I3" s="6"/>
      <c r="J3" s="6"/>
      <c r="K3" s="6"/>
      <c r="L3" s="6"/>
      <c r="M3" s="6"/>
      <c r="N3" s="6"/>
      <c r="O3" s="6"/>
      <c r="P3" s="6"/>
      <c r="Q3" s="6"/>
      <c r="R3" s="6"/>
      <c r="S3" s="6"/>
      <c r="T3" s="6"/>
      <c r="U3" s="6"/>
      <c r="V3" s="6"/>
      <c r="W3" s="23"/>
      <c r="X3" s="6"/>
      <c r="Y3" s="6"/>
      <c r="Z3" s="6"/>
      <c r="AA3" s="6"/>
      <c r="AB3" s="6"/>
      <c r="AC3" s="6"/>
      <c r="AD3" s="6"/>
      <c r="AE3" s="6"/>
      <c r="AF3" s="6"/>
      <c r="AV3" s="26"/>
      <c r="AW3" s="26"/>
      <c r="AX3" s="26"/>
      <c r="AY3" s="26"/>
      <c r="AZ3" s="27" t="s">
        <v>27</v>
      </c>
      <c r="BA3" s="28">
        <v>0.86</v>
      </c>
      <c r="BB3" s="28">
        <v>-0.56</v>
      </c>
      <c r="BC3" s="29">
        <f t="shared" ref="BC3:BC4" si="1">0.44*BB3</f>
        <v>-0.2464</v>
      </c>
      <c r="BD3" s="28">
        <v>0.389</v>
      </c>
      <c r="BE3" s="28">
        <v>0.58</v>
      </c>
      <c r="BF3" s="28">
        <v>-0.964</v>
      </c>
      <c r="BG3" s="28">
        <v>0.613</v>
      </c>
      <c r="BH3" s="28">
        <v>0.116</v>
      </c>
      <c r="BI3" s="28">
        <v>0.0</v>
      </c>
      <c r="BJ3" s="28">
        <v>1.369</v>
      </c>
      <c r="BK3" s="28">
        <v>1.327</v>
      </c>
      <c r="BL3" s="28">
        <v>-0.367</v>
      </c>
      <c r="BM3" s="6"/>
      <c r="BN3" s="30"/>
      <c r="BO3" s="27" t="s">
        <v>27</v>
      </c>
      <c r="BP3" s="27" t="s">
        <v>28</v>
      </c>
      <c r="BQ3" s="27" t="s">
        <v>29</v>
      </c>
      <c r="BR3" s="13" t="s">
        <v>30</v>
      </c>
      <c r="BT3" s="31"/>
      <c r="BU3" s="31"/>
      <c r="BV3" s="31"/>
      <c r="BW3" s="31"/>
      <c r="BX3" s="31"/>
      <c r="BY3" s="31"/>
      <c r="BZ3" s="31"/>
      <c r="CA3" s="31"/>
      <c r="CB3" s="31"/>
      <c r="CC3" s="31"/>
      <c r="CD3" s="31"/>
      <c r="CE3" s="31"/>
      <c r="CF3" s="31"/>
      <c r="CG3" s="31"/>
      <c r="CH3" s="31"/>
      <c r="CI3" s="31"/>
      <c r="CJ3" s="31"/>
      <c r="CK3" s="31"/>
      <c r="CL3" s="31"/>
      <c r="CM3" s="31"/>
      <c r="CN3" s="31"/>
      <c r="CO3" s="31"/>
      <c r="CP3" s="31"/>
      <c r="CQ3" s="31"/>
      <c r="CR3" s="31"/>
      <c r="CS3" s="31"/>
      <c r="CT3" s="31"/>
      <c r="CU3" s="32"/>
      <c r="CV3" s="31"/>
      <c r="CW3" s="31"/>
      <c r="CX3" s="31"/>
      <c r="CY3" s="31"/>
      <c r="CZ3" s="31"/>
      <c r="DA3" s="31"/>
      <c r="DB3" s="31"/>
      <c r="DC3" s="31"/>
      <c r="DD3" s="31"/>
      <c r="DE3" s="31"/>
      <c r="DF3" s="31"/>
      <c r="DG3" s="31"/>
      <c r="DH3" s="31"/>
    </row>
    <row r="4">
      <c r="A4" s="6"/>
      <c r="B4" s="33" t="s">
        <v>31</v>
      </c>
      <c r="C4" s="227">
        <f>if(M90="",D130, vlookup($A$11,$B$90:$Z$121,22,false))</f>
        <v>16.86085091</v>
      </c>
      <c r="D4" s="6"/>
      <c r="E4" s="35" t="s">
        <v>32</v>
      </c>
      <c r="F4" s="36">
        <f>C4*C7/100/2</f>
        <v>8.11006929</v>
      </c>
      <c r="G4" s="6"/>
      <c r="H4" s="6"/>
      <c r="I4" s="6"/>
      <c r="J4" s="6"/>
      <c r="K4" s="6"/>
      <c r="L4" s="6"/>
      <c r="M4" s="6"/>
      <c r="N4" s="6"/>
      <c r="O4" s="6"/>
      <c r="P4" s="6"/>
      <c r="Q4" s="35" t="s">
        <v>33</v>
      </c>
      <c r="R4" s="6">
        <f>sum(AB14:AB42)</f>
        <v>2092</v>
      </c>
      <c r="S4" s="6"/>
      <c r="T4" s="6"/>
      <c r="U4" s="6"/>
      <c r="V4" s="6"/>
      <c r="W4" s="35" t="s">
        <v>34</v>
      </c>
      <c r="X4" s="6">
        <f>sum(V14:V44)</f>
        <v>759</v>
      </c>
      <c r="Y4" s="6"/>
      <c r="Z4" s="6"/>
      <c r="AA4" s="35" t="s">
        <v>35</v>
      </c>
      <c r="AB4" s="6" t="str">
        <f>sum(#REF!)</f>
        <v>#REF!</v>
      </c>
      <c r="AC4" s="6"/>
      <c r="AD4" s="6"/>
      <c r="AE4" s="6"/>
      <c r="AF4" s="6"/>
      <c r="AG4" s="6"/>
      <c r="AH4" s="6"/>
      <c r="AI4" s="6"/>
      <c r="AJ4" s="31"/>
      <c r="AK4" s="31"/>
      <c r="AL4" s="6"/>
      <c r="AM4" s="6"/>
      <c r="AV4" s="26"/>
      <c r="AW4" s="26"/>
      <c r="AX4" s="26"/>
      <c r="AY4" s="26"/>
      <c r="AZ4" s="27" t="s">
        <v>29</v>
      </c>
      <c r="BA4" s="29">
        <f>BA3</f>
        <v>0.86</v>
      </c>
      <c r="BB4" s="28">
        <v>-0.78</v>
      </c>
      <c r="BC4" s="29">
        <f t="shared" si="1"/>
        <v>-0.3432</v>
      </c>
      <c r="BD4" s="29">
        <f>BD3</f>
        <v>0.389</v>
      </c>
      <c r="BE4" s="28">
        <v>1.034</v>
      </c>
      <c r="BF4" s="29">
        <f>BF3</f>
        <v>-0.964</v>
      </c>
      <c r="BG4" s="40">
        <v>0.181</v>
      </c>
      <c r="BH4" s="29">
        <f>BG4</f>
        <v>0.181</v>
      </c>
      <c r="BI4" s="28">
        <v>0.0</v>
      </c>
      <c r="BJ4" s="28">
        <v>1.008</v>
      </c>
      <c r="BK4" s="28">
        <v>0.703</v>
      </c>
      <c r="BL4" s="29">
        <f>BL3</f>
        <v>-0.367</v>
      </c>
      <c r="BM4" s="6"/>
      <c r="BN4" s="41" t="s">
        <v>24</v>
      </c>
      <c r="BO4" s="42">
        <f>-0.409*2</f>
        <v>-0.818</v>
      </c>
      <c r="BP4" s="43">
        <v>0.0</v>
      </c>
      <c r="BQ4" s="43">
        <v>0.0</v>
      </c>
      <c r="BR4" s="44">
        <v>1.387</v>
      </c>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2"/>
      <c r="CV4" s="31"/>
      <c r="CW4" s="31"/>
      <c r="CX4" s="31"/>
      <c r="CY4" s="31"/>
      <c r="CZ4" s="31"/>
      <c r="DA4" s="31"/>
      <c r="DB4" s="31"/>
      <c r="DC4" s="31"/>
      <c r="DD4" s="31"/>
      <c r="DE4" s="31"/>
      <c r="DF4" s="31"/>
      <c r="DG4" s="31"/>
      <c r="DH4" s="31"/>
    </row>
    <row r="5">
      <c r="A5" s="45"/>
      <c r="B5" s="33" t="s">
        <v>37</v>
      </c>
      <c r="C5" s="227">
        <f>if(M90="",N130, vlookup($A$11,$B$90:$Z$121,23,false))</f>
        <v>15.12790708</v>
      </c>
      <c r="D5" s="6"/>
      <c r="E5" s="35" t="s">
        <v>38</v>
      </c>
      <c r="F5" s="36">
        <f>0.35/2*F4</f>
        <v>1.419262126</v>
      </c>
      <c r="G5" s="6"/>
      <c r="H5" s="6"/>
      <c r="I5" s="6"/>
      <c r="J5" s="6"/>
      <c r="K5" s="6"/>
      <c r="L5" s="6"/>
      <c r="M5" s="6"/>
      <c r="N5" s="6"/>
      <c r="O5" s="6"/>
      <c r="P5" s="6"/>
      <c r="Q5" s="35" t="s">
        <v>39</v>
      </c>
      <c r="R5" s="6">
        <f>sum(H14:H42)</f>
        <v>1495</v>
      </c>
      <c r="S5" s="6"/>
      <c r="T5" s="6"/>
      <c r="U5" s="6"/>
      <c r="V5" s="6"/>
      <c r="W5" s="35" t="s">
        <v>40</v>
      </c>
      <c r="X5" s="6">
        <f>sum(X14:X43)</f>
        <v>133</v>
      </c>
      <c r="Y5" s="6"/>
      <c r="Z5" s="6"/>
      <c r="AA5" s="6"/>
      <c r="AB5" s="6"/>
      <c r="AC5" s="6"/>
      <c r="AD5" s="6"/>
      <c r="AE5" s="6"/>
      <c r="AF5" s="6"/>
      <c r="AG5" s="6"/>
      <c r="AH5" s="6"/>
      <c r="AI5" s="6"/>
      <c r="AJ5" s="46"/>
      <c r="AK5" s="46"/>
      <c r="AL5" s="46"/>
      <c r="AM5" s="46"/>
      <c r="AV5" s="48"/>
      <c r="AW5" s="48"/>
      <c r="AX5" s="48"/>
      <c r="AY5" s="48"/>
      <c r="AZ5" s="48" t="s">
        <v>41</v>
      </c>
      <c r="BA5" s="49"/>
      <c r="BB5" s="49"/>
      <c r="BC5" s="49"/>
      <c r="BD5" s="49"/>
      <c r="BE5" s="49"/>
      <c r="BF5" s="49"/>
      <c r="BG5" s="49"/>
      <c r="BH5" s="49"/>
      <c r="BI5" s="49"/>
      <c r="BJ5" s="49"/>
      <c r="BK5" s="49"/>
      <c r="BL5" s="49"/>
      <c r="BM5" s="46"/>
      <c r="BN5" s="46"/>
      <c r="BO5" s="46"/>
      <c r="BP5" s="46"/>
      <c r="BQ5" s="46"/>
      <c r="BR5" s="50"/>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51"/>
      <c r="CV5" s="46"/>
      <c r="CW5" s="46"/>
      <c r="CX5" s="46"/>
      <c r="CY5" s="46"/>
      <c r="CZ5" s="52"/>
      <c r="DA5" s="52"/>
      <c r="DB5" s="52"/>
      <c r="DC5" s="52"/>
      <c r="DD5" s="52"/>
      <c r="DE5" s="52"/>
      <c r="DF5" s="52"/>
      <c r="DG5" s="52"/>
      <c r="DH5" s="52"/>
    </row>
    <row r="6">
      <c r="A6" s="45"/>
      <c r="B6" s="33" t="s">
        <v>42</v>
      </c>
      <c r="C6" s="228">
        <f>C4-C5</f>
        <v>1.732943832</v>
      </c>
      <c r="D6" s="6"/>
      <c r="E6" s="54" t="s">
        <v>43</v>
      </c>
      <c r="F6" s="55">
        <f>C4+F5</f>
        <v>18.28011304</v>
      </c>
      <c r="G6" s="6"/>
      <c r="H6" s="6"/>
      <c r="I6" s="6"/>
      <c r="J6" s="6"/>
      <c r="K6" s="6"/>
      <c r="L6" s="6"/>
      <c r="M6" s="6"/>
      <c r="N6" s="6"/>
      <c r="O6" s="6"/>
      <c r="P6" s="6"/>
      <c r="Q6" s="35" t="s">
        <v>44</v>
      </c>
      <c r="R6" s="6">
        <f>sum(R14:R42)</f>
        <v>472</v>
      </c>
      <c r="S6" s="6">
        <f>BC3/BB3</f>
        <v>0.44</v>
      </c>
      <c r="T6" s="6"/>
      <c r="U6" s="6"/>
      <c r="V6" s="6"/>
      <c r="W6" s="35" t="s">
        <v>45</v>
      </c>
      <c r="X6" s="6">
        <f>sum(AA14:AA45)</f>
        <v>338</v>
      </c>
      <c r="Y6" s="6"/>
      <c r="Z6" s="6"/>
      <c r="AA6" s="6"/>
      <c r="AB6" s="6"/>
      <c r="AC6" s="6"/>
      <c r="AD6" s="6"/>
      <c r="AE6" s="6"/>
      <c r="AF6" s="6"/>
      <c r="AG6" s="6"/>
      <c r="AH6" s="6"/>
      <c r="AI6" s="6"/>
      <c r="AJ6" s="31"/>
      <c r="AK6" s="31"/>
      <c r="AL6" s="31"/>
      <c r="AM6" s="31"/>
      <c r="AV6" s="11"/>
      <c r="AW6" s="11"/>
      <c r="AX6" s="11"/>
      <c r="AY6" s="11"/>
      <c r="AZ6" s="12" t="s">
        <v>11</v>
      </c>
      <c r="BA6" s="56" t="s">
        <v>12</v>
      </c>
      <c r="BB6" s="57" t="s">
        <v>13</v>
      </c>
      <c r="BC6" s="57" t="s">
        <v>14</v>
      </c>
      <c r="BD6" s="56" t="s">
        <v>15</v>
      </c>
      <c r="BE6" s="56" t="s">
        <v>16</v>
      </c>
      <c r="BF6" s="56" t="s">
        <v>17</v>
      </c>
      <c r="BG6" s="56" t="s">
        <v>18</v>
      </c>
      <c r="BH6" s="56" t="s">
        <v>19</v>
      </c>
      <c r="BI6" s="56" t="s">
        <v>20</v>
      </c>
      <c r="BJ6" s="56" t="s">
        <v>21</v>
      </c>
      <c r="BK6" s="56" t="s">
        <v>22</v>
      </c>
      <c r="BL6" s="56" t="s">
        <v>23</v>
      </c>
      <c r="BM6" s="31"/>
      <c r="BN6" s="14"/>
      <c r="BO6" s="15" t="s">
        <v>24</v>
      </c>
      <c r="BP6" s="16"/>
      <c r="BQ6" s="17"/>
      <c r="BR6" s="58"/>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2"/>
      <c r="CV6" s="31"/>
      <c r="CW6" s="31"/>
      <c r="CX6" s="31"/>
      <c r="CY6" s="31"/>
      <c r="CZ6" s="31"/>
      <c r="DA6" s="31"/>
      <c r="DB6" s="31"/>
      <c r="DC6" s="31"/>
      <c r="DD6" s="31"/>
      <c r="DE6" s="31"/>
      <c r="DF6" s="31"/>
      <c r="DG6" s="31"/>
      <c r="DH6" s="31"/>
    </row>
    <row r="7">
      <c r="A7" s="45"/>
      <c r="B7" s="33" t="s">
        <v>51</v>
      </c>
      <c r="C7" s="59">
        <f>value(trim(right(left(vlookup("Pace",$D$136:$E$150,2,false),7),6)))</f>
        <v>96.2</v>
      </c>
      <c r="D7" s="6"/>
      <c r="E7" s="54" t="s">
        <v>52</v>
      </c>
      <c r="F7" s="55">
        <f>C5+F5/2</f>
        <v>15.83753814</v>
      </c>
      <c r="G7" s="6"/>
      <c r="H7" s="6"/>
      <c r="I7" s="6"/>
      <c r="J7" s="6"/>
      <c r="K7" s="6"/>
      <c r="L7" s="6"/>
      <c r="M7" s="6"/>
      <c r="N7" s="6"/>
      <c r="O7" s="6"/>
      <c r="P7" s="6"/>
      <c r="Q7" s="35" t="s">
        <v>53</v>
      </c>
      <c r="R7" s="36">
        <f>R4/(R5+R6*S6)</f>
        <v>1.228651303</v>
      </c>
      <c r="S7" s="6"/>
      <c r="T7" s="6"/>
      <c r="U7" s="6"/>
      <c r="V7" s="6"/>
      <c r="W7" s="35" t="s">
        <v>54</v>
      </c>
      <c r="X7" s="6">
        <f>sum(W14:W44)</f>
        <v>397</v>
      </c>
      <c r="Y7" s="6"/>
      <c r="Z7" s="6"/>
      <c r="AA7" s="6"/>
      <c r="AB7" s="6"/>
      <c r="AC7" s="6"/>
      <c r="AD7" s="6"/>
      <c r="AE7" s="6"/>
      <c r="AF7" s="6"/>
      <c r="AG7" s="6"/>
      <c r="AH7" s="6"/>
      <c r="AI7" s="6"/>
      <c r="AJ7" s="31"/>
      <c r="AK7" s="31"/>
      <c r="AL7" s="31"/>
      <c r="AM7" s="31"/>
      <c r="AV7" s="26"/>
      <c r="AW7" s="26"/>
      <c r="AX7" s="26"/>
      <c r="AY7" s="26"/>
      <c r="AZ7" s="27" t="s">
        <v>27</v>
      </c>
      <c r="BA7" s="28">
        <v>0.605</v>
      </c>
      <c r="BB7" s="28">
        <v>-0.33</v>
      </c>
      <c r="BC7" s="29">
        <f t="shared" ref="BC7:BC8" si="2">0.44*BB7</f>
        <v>-0.1452</v>
      </c>
      <c r="BD7" s="28">
        <v>0.477</v>
      </c>
      <c r="BE7" s="28">
        <v>0.476</v>
      </c>
      <c r="BF7" s="28">
        <v>-0.579</v>
      </c>
      <c r="BG7" s="28">
        <v>0.606</v>
      </c>
      <c r="BH7" s="28">
        <v>-0.112</v>
      </c>
      <c r="BI7" s="28">
        <v>0.0</v>
      </c>
      <c r="BJ7" s="28">
        <v>0.177</v>
      </c>
      <c r="BK7" s="28">
        <v>0.725</v>
      </c>
      <c r="BL7" s="28">
        <v>-0.439</v>
      </c>
      <c r="BM7" s="31"/>
      <c r="BN7" s="30"/>
      <c r="BO7" s="27" t="s">
        <v>27</v>
      </c>
      <c r="BP7" s="27" t="s">
        <v>28</v>
      </c>
      <c r="BQ7" s="27" t="s">
        <v>29</v>
      </c>
      <c r="BR7" s="13" t="s">
        <v>30</v>
      </c>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2"/>
      <c r="CV7" s="31"/>
      <c r="CW7" s="31"/>
      <c r="CX7" s="31"/>
      <c r="CY7" s="31"/>
      <c r="CZ7" s="52"/>
      <c r="DA7" s="52"/>
      <c r="DB7" s="52"/>
      <c r="DC7" s="52"/>
      <c r="DD7" s="52"/>
      <c r="DE7" s="52"/>
      <c r="DF7" s="52"/>
      <c r="DG7" s="52"/>
      <c r="DH7" s="52"/>
    </row>
    <row r="8">
      <c r="A8" s="45"/>
      <c r="B8" s="61" t="s">
        <v>55</v>
      </c>
      <c r="D8" s="6"/>
      <c r="E8" s="6"/>
      <c r="F8" s="6"/>
      <c r="G8" s="6"/>
      <c r="H8" s="6"/>
      <c r="I8" s="6"/>
      <c r="J8" s="6"/>
      <c r="K8" s="6"/>
      <c r="L8" s="6"/>
      <c r="M8" s="6"/>
      <c r="N8" s="6"/>
      <c r="O8" s="6"/>
      <c r="P8" s="6"/>
      <c r="Q8" s="35" t="s">
        <v>56</v>
      </c>
      <c r="R8" s="62">
        <v>1.0</v>
      </c>
      <c r="S8" s="6"/>
      <c r="T8" s="6"/>
      <c r="U8" s="6"/>
      <c r="V8" s="6"/>
      <c r="W8" s="35" t="s">
        <v>57</v>
      </c>
      <c r="X8" s="6">
        <f>sum(Y14:Y47)</f>
        <v>84</v>
      </c>
      <c r="Y8" s="6"/>
      <c r="Z8" s="6"/>
      <c r="AA8" s="6"/>
      <c r="AB8" s="6"/>
      <c r="AC8" s="6"/>
      <c r="AD8" s="6"/>
      <c r="AE8" s="6"/>
      <c r="AF8" s="6"/>
      <c r="AG8" s="6"/>
      <c r="AH8" s="6"/>
      <c r="AI8" s="6"/>
      <c r="AJ8" s="46"/>
      <c r="AK8" s="46"/>
      <c r="AL8" s="46"/>
      <c r="AM8" s="46"/>
      <c r="AU8" s="47"/>
      <c r="AV8" s="26"/>
      <c r="AW8" s="26"/>
      <c r="AX8" s="26"/>
      <c r="AY8" s="26"/>
      <c r="AZ8" s="27" t="s">
        <v>29</v>
      </c>
      <c r="BA8" s="29">
        <f>BA7</f>
        <v>0.605</v>
      </c>
      <c r="BB8" s="28">
        <v>-0.472</v>
      </c>
      <c r="BC8" s="29">
        <f t="shared" si="2"/>
        <v>-0.20768</v>
      </c>
      <c r="BD8" s="29">
        <f t="shared" ref="BD8:BE8" si="3">BD7</f>
        <v>0.477</v>
      </c>
      <c r="BE8" s="29">
        <f t="shared" si="3"/>
        <v>0.476</v>
      </c>
      <c r="BF8" s="28">
        <v>-0.882</v>
      </c>
      <c r="BG8" s="40">
        <v>0.422</v>
      </c>
      <c r="BH8" s="40">
        <v>0.103</v>
      </c>
      <c r="BI8" s="28">
        <v>0.0</v>
      </c>
      <c r="BJ8" s="28">
        <v>0.294</v>
      </c>
      <c r="BK8" s="28">
        <v>0.097</v>
      </c>
      <c r="BL8" s="64">
        <f>BL7</f>
        <v>-0.439</v>
      </c>
      <c r="BM8" s="46"/>
      <c r="BN8" s="41" t="s">
        <v>24</v>
      </c>
      <c r="BO8" s="43">
        <f>-0.849*2</f>
        <v>-1.698</v>
      </c>
      <c r="BP8" s="43">
        <v>0.0</v>
      </c>
      <c r="BQ8" s="43">
        <f>0</f>
        <v>0</v>
      </c>
      <c r="BR8" s="44">
        <v>0.43</v>
      </c>
      <c r="BT8" s="65" t="s">
        <v>58</v>
      </c>
      <c r="BU8" s="46"/>
      <c r="BV8" s="46"/>
      <c r="BW8" s="46"/>
      <c r="BX8" s="46"/>
      <c r="BY8" s="46"/>
      <c r="CA8" s="46"/>
      <c r="CC8" s="46"/>
      <c r="CD8" s="46"/>
      <c r="CE8" s="46"/>
      <c r="CF8" s="46"/>
      <c r="CG8" s="46"/>
      <c r="CH8" s="46"/>
      <c r="CI8" s="46"/>
      <c r="CJ8" s="46"/>
      <c r="CK8" s="46"/>
      <c r="CL8" s="46"/>
      <c r="CM8" s="46"/>
      <c r="CN8" s="46"/>
      <c r="CO8" s="65" t="s">
        <v>58</v>
      </c>
      <c r="CP8" s="46"/>
      <c r="CQ8" s="46"/>
      <c r="CR8" s="46"/>
      <c r="CS8" s="46"/>
      <c r="CT8" s="46"/>
      <c r="CU8" s="51"/>
      <c r="CV8" s="46"/>
      <c r="CW8" s="46"/>
      <c r="CX8" s="46"/>
      <c r="CY8" s="46"/>
      <c r="CZ8" s="31"/>
      <c r="DA8" s="31"/>
      <c r="DB8" s="31"/>
      <c r="DC8" s="31"/>
      <c r="DD8" s="31"/>
      <c r="DE8" s="31"/>
      <c r="DF8" s="31"/>
      <c r="DG8" s="31"/>
      <c r="DH8" s="31"/>
    </row>
    <row r="9">
      <c r="A9" s="45"/>
      <c r="B9" s="66" t="str">
        <f>concatenate("https://www.basketball-reference.com/teams/",B3,"/",C3,".html")</f>
        <v>https://www.basketball-reference.com/teams/CLE/2017.html</v>
      </c>
      <c r="C9" s="6"/>
      <c r="D9" s="6"/>
      <c r="E9" s="6"/>
      <c r="F9" s="6"/>
      <c r="G9" s="6"/>
      <c r="H9" s="6"/>
      <c r="I9" s="6"/>
      <c r="J9" s="6"/>
      <c r="K9" s="6"/>
      <c r="L9" s="6"/>
      <c r="M9" s="6"/>
      <c r="N9" s="6"/>
      <c r="O9" s="6"/>
      <c r="P9" s="6"/>
      <c r="Q9" s="35" t="s">
        <v>59</v>
      </c>
      <c r="R9" s="6">
        <f>sum(F13:F42)</f>
        <v>4321</v>
      </c>
      <c r="S9" s="6"/>
      <c r="T9" s="6"/>
      <c r="U9" s="6"/>
      <c r="V9" s="6"/>
      <c r="W9" s="35" t="s">
        <v>60</v>
      </c>
      <c r="X9" s="6">
        <f>round(sum(E14:E36)/5,0)</f>
        <v>18</v>
      </c>
      <c r="Y9" s="6"/>
      <c r="Z9" s="6"/>
      <c r="AA9" s="6"/>
      <c r="AB9" s="6"/>
      <c r="AC9" s="6"/>
      <c r="AD9" s="6"/>
      <c r="AE9" s="6"/>
      <c r="AF9" s="6"/>
      <c r="AG9" s="6"/>
      <c r="AH9" s="6"/>
      <c r="AI9" s="6"/>
      <c r="AJ9" s="31"/>
      <c r="AK9" s="31"/>
      <c r="AL9" s="31"/>
      <c r="AM9" s="31"/>
      <c r="AN9" s="31"/>
      <c r="AO9" s="31"/>
      <c r="AP9" s="31"/>
      <c r="AQ9" s="60"/>
      <c r="AR9" s="60"/>
      <c r="AS9" s="1"/>
      <c r="AT9" s="1"/>
      <c r="AU9" s="60"/>
      <c r="AV9" s="229"/>
      <c r="AW9" s="109" t="s">
        <v>379</v>
      </c>
      <c r="AX9" s="229" t="s">
        <v>414</v>
      </c>
      <c r="AY9" s="229" t="s">
        <v>415</v>
      </c>
      <c r="AZ9" s="68"/>
      <c r="BA9" s="31"/>
      <c r="BB9" s="31"/>
      <c r="BC9" s="31"/>
      <c r="BD9" s="31"/>
      <c r="BE9" s="31"/>
      <c r="BF9" s="31"/>
      <c r="BH9" s="31"/>
      <c r="BI9" s="31"/>
      <c r="BJ9" s="31"/>
      <c r="BK9" s="31"/>
      <c r="BL9" s="31"/>
      <c r="BM9" s="31"/>
      <c r="BN9" s="31"/>
      <c r="BO9" s="31"/>
      <c r="BP9" s="31"/>
      <c r="BQ9" s="31"/>
      <c r="BR9" s="31"/>
      <c r="BS9" s="31"/>
      <c r="BT9" s="69">
        <f>sum($BT$14:$BT$41)</f>
        <v>45.13775977</v>
      </c>
      <c r="BU9" s="31"/>
      <c r="BV9" s="31"/>
      <c r="BW9" s="31"/>
      <c r="BX9" s="31"/>
      <c r="BY9" s="31"/>
      <c r="BZ9" s="31"/>
      <c r="CA9" s="31"/>
      <c r="CC9" s="31"/>
      <c r="CD9" s="31"/>
      <c r="CE9" s="31"/>
      <c r="CF9" s="31"/>
      <c r="CG9" s="31"/>
      <c r="CH9" s="31"/>
      <c r="CI9" s="31"/>
      <c r="CJ9" s="31"/>
      <c r="CK9" s="31"/>
      <c r="CL9" s="31"/>
      <c r="CM9" s="31"/>
      <c r="CN9" s="31"/>
      <c r="CO9" s="69">
        <f>sum($CO$14:$CO$44)</f>
        <v>28.43786849</v>
      </c>
      <c r="CP9" s="31"/>
      <c r="CQ9" s="31"/>
      <c r="CR9" s="31"/>
      <c r="CS9" s="31"/>
      <c r="CT9" s="31"/>
      <c r="CU9" s="32"/>
      <c r="CV9" s="31"/>
      <c r="CW9" s="31"/>
      <c r="CX9" s="31"/>
      <c r="CY9" s="31"/>
      <c r="CZ9" s="31"/>
      <c r="DA9" s="31"/>
      <c r="DB9" s="31"/>
      <c r="DC9" s="31"/>
      <c r="DD9" s="31"/>
      <c r="DE9" s="31"/>
      <c r="DF9" s="31"/>
      <c r="DG9" s="31"/>
      <c r="DH9" s="31"/>
    </row>
    <row r="10">
      <c r="AS10" s="1"/>
      <c r="AT10" s="1"/>
      <c r="AU10" s="1"/>
      <c r="AV10" s="158" t="s">
        <v>416</v>
      </c>
      <c r="AW10" s="159">
        <f t="shared" ref="AW10:AY10" si="4">SUMPRODUCT($BS$14:$BS$35,AW14:AW35)</f>
        <v>6.784493055</v>
      </c>
      <c r="AX10" s="159">
        <f t="shared" si="4"/>
        <v>9.20989119</v>
      </c>
      <c r="AY10" s="159">
        <f t="shared" si="4"/>
        <v>-2.425398135</v>
      </c>
      <c r="AZ10" s="67" t="s">
        <v>417</v>
      </c>
      <c r="BA10" s="1"/>
      <c r="BB10" s="1"/>
      <c r="BC10" s="1"/>
      <c r="BD10" s="1"/>
      <c r="BT10" s="70" t="s">
        <v>61</v>
      </c>
      <c r="CO10" s="70" t="s">
        <v>61</v>
      </c>
      <c r="CU10" s="4"/>
      <c r="CZ10" s="31"/>
      <c r="DA10" s="31"/>
      <c r="DB10" s="31"/>
      <c r="DC10" s="31"/>
      <c r="DD10" s="31"/>
      <c r="DE10" s="31"/>
      <c r="DF10" s="31"/>
      <c r="DG10" s="31"/>
      <c r="DH10" s="31"/>
    </row>
    <row r="11">
      <c r="A11" s="71" t="s">
        <v>62</v>
      </c>
      <c r="B11" s="72"/>
      <c r="D11" s="71" t="str">
        <f>left(C138,find(",",C138)-1)</f>
        <v> 51-31</v>
      </c>
      <c r="AS11" s="1"/>
      <c r="AT11" s="1"/>
      <c r="AU11" s="1"/>
      <c r="AV11" s="1"/>
      <c r="AW11" s="68" t="s">
        <v>418</v>
      </c>
      <c r="AX11" s="1"/>
      <c r="AY11" s="1"/>
      <c r="AZ11" s="1"/>
      <c r="BA11" s="1"/>
      <c r="BB11" s="1"/>
      <c r="BC11" s="1"/>
      <c r="BD11" s="1"/>
      <c r="BT11" s="69">
        <f>($F$6-BT9)/5</f>
        <v>-5.371529346</v>
      </c>
      <c r="CO11" s="69">
        <f>($F$7-CO9)/5</f>
        <v>-2.520066068</v>
      </c>
      <c r="CP11" s="73" t="str">
        <f>CONCATENATE(C3," ",A11," (",trim(D11),")")</f>
        <v>2017 Cleveland Cavaliers (51-31)</v>
      </c>
      <c r="CQ11" s="74"/>
      <c r="CR11" s="74"/>
      <c r="CS11" s="75"/>
      <c r="CT11" s="76"/>
      <c r="CU11" s="77"/>
      <c r="CV11" s="76"/>
      <c r="CW11" s="76"/>
      <c r="CX11" s="76"/>
      <c r="CY11" s="78"/>
      <c r="CZ11" s="31"/>
      <c r="DB11" s="230" t="s">
        <v>419</v>
      </c>
      <c r="DC11" s="31"/>
      <c r="DD11" s="31"/>
      <c r="DE11" s="31"/>
      <c r="DF11" s="31"/>
      <c r="DG11" s="31"/>
      <c r="DH11" s="31"/>
    </row>
    <row r="12">
      <c r="A12" s="70" t="s">
        <v>420</v>
      </c>
      <c r="B12" s="70"/>
      <c r="C12" s="79"/>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0" t="s">
        <v>64</v>
      </c>
      <c r="AD12" s="79"/>
      <c r="AE12" s="79"/>
      <c r="AF12" s="79"/>
      <c r="AG12" s="70" t="s">
        <v>65</v>
      </c>
      <c r="AH12" s="79"/>
      <c r="AI12" s="79"/>
      <c r="AJ12" s="79"/>
      <c r="AK12" s="79"/>
      <c r="AL12" s="79"/>
      <c r="AM12" s="79"/>
      <c r="AN12" s="79"/>
      <c r="AO12" s="79"/>
      <c r="AP12" s="79"/>
      <c r="AQ12" s="79"/>
      <c r="AR12" s="79"/>
      <c r="AS12" s="80" t="s">
        <v>421</v>
      </c>
      <c r="AT12" s="81"/>
      <c r="AU12" s="82"/>
      <c r="AV12" s="83"/>
      <c r="AW12" s="3" t="s">
        <v>422</v>
      </c>
      <c r="AX12" s="3"/>
      <c r="AY12" s="3"/>
      <c r="AZ12" s="3" t="s">
        <v>69</v>
      </c>
      <c r="BA12" s="84"/>
      <c r="BB12" s="84"/>
      <c r="BC12" s="84"/>
      <c r="BD12" s="84"/>
      <c r="BE12" s="84"/>
      <c r="BF12" s="84"/>
      <c r="BG12" s="84"/>
      <c r="BH12" s="84"/>
      <c r="BI12" s="84"/>
      <c r="BJ12" s="84"/>
      <c r="BK12" s="84"/>
      <c r="BL12" s="84"/>
      <c r="BM12" s="11" t="s">
        <v>70</v>
      </c>
      <c r="BN12" s="79"/>
      <c r="BO12" s="79"/>
      <c r="BP12" s="79"/>
      <c r="BQ12" s="79"/>
      <c r="BR12" s="79"/>
      <c r="BS12" s="79"/>
      <c r="BT12" s="79"/>
      <c r="BU12" s="3" t="s">
        <v>71</v>
      </c>
      <c r="BV12" s="84"/>
      <c r="BW12" s="84"/>
      <c r="BX12" s="84"/>
      <c r="BY12" s="84"/>
      <c r="BZ12" s="84"/>
      <c r="CA12" s="84"/>
      <c r="CB12" s="84"/>
      <c r="CC12" s="84"/>
      <c r="CD12" s="84"/>
      <c r="CE12" s="84"/>
      <c r="CF12" s="84"/>
      <c r="CG12" s="84"/>
      <c r="CH12" s="11" t="s">
        <v>72</v>
      </c>
      <c r="CI12" s="79"/>
      <c r="CJ12" s="79"/>
      <c r="CK12" s="79"/>
      <c r="CL12" s="79"/>
      <c r="CM12" s="79"/>
      <c r="CN12" s="79"/>
      <c r="CO12" s="79"/>
      <c r="CP12" s="85"/>
      <c r="CQ12" s="86"/>
      <c r="CR12" s="86"/>
      <c r="CS12" s="87"/>
      <c r="CT12" s="88" t="s">
        <v>73</v>
      </c>
      <c r="CU12" s="89">
        <f>C7</f>
        <v>96.2</v>
      </c>
      <c r="CV12" s="88" t="s">
        <v>74</v>
      </c>
      <c r="CW12" s="89">
        <f>C4</f>
        <v>16.86085091</v>
      </c>
      <c r="CX12" s="88" t="s">
        <v>75</v>
      </c>
      <c r="CY12" s="90">
        <f>C5</f>
        <v>15.12790708</v>
      </c>
      <c r="CZ12" s="31"/>
      <c r="DB12" s="125" t="s">
        <v>423</v>
      </c>
      <c r="DC12" s="31"/>
      <c r="DD12" s="31"/>
      <c r="DE12" s="31" t="s">
        <v>424</v>
      </c>
      <c r="DF12" s="31"/>
      <c r="DG12" s="31"/>
      <c r="DH12" s="31"/>
    </row>
    <row r="13">
      <c r="A13" s="91" t="s">
        <v>76</v>
      </c>
      <c r="B13" s="92"/>
      <c r="C13" s="91" t="s">
        <v>77</v>
      </c>
      <c r="D13" s="91" t="s">
        <v>78</v>
      </c>
      <c r="E13" s="91" t="s">
        <v>79</v>
      </c>
      <c r="F13" s="91" t="s">
        <v>80</v>
      </c>
      <c r="G13" s="91" t="s">
        <v>81</v>
      </c>
      <c r="H13" s="91" t="s">
        <v>13</v>
      </c>
      <c r="I13" s="91" t="s">
        <v>82</v>
      </c>
      <c r="J13" s="91" t="s">
        <v>83</v>
      </c>
      <c r="K13" s="91" t="s">
        <v>84</v>
      </c>
      <c r="L13" s="91" t="s">
        <v>85</v>
      </c>
      <c r="M13" s="91" t="s">
        <v>86</v>
      </c>
      <c r="N13" s="91" t="s">
        <v>87</v>
      </c>
      <c r="O13" s="91" t="s">
        <v>88</v>
      </c>
      <c r="P13" s="91" t="s">
        <v>89</v>
      </c>
      <c r="Q13" s="91" t="s">
        <v>90</v>
      </c>
      <c r="R13" s="91" t="s">
        <v>14</v>
      </c>
      <c r="S13" s="91" t="s">
        <v>91</v>
      </c>
      <c r="T13" s="91" t="s">
        <v>18</v>
      </c>
      <c r="U13" s="91" t="s">
        <v>19</v>
      </c>
      <c r="V13" s="91" t="s">
        <v>20</v>
      </c>
      <c r="W13" s="91" t="s">
        <v>16</v>
      </c>
      <c r="X13" s="91" t="s">
        <v>21</v>
      </c>
      <c r="Y13" s="91" t="s">
        <v>22</v>
      </c>
      <c r="Z13" s="91" t="s">
        <v>92</v>
      </c>
      <c r="AA13" s="91" t="s">
        <v>23</v>
      </c>
      <c r="AB13" s="91" t="s">
        <v>93</v>
      </c>
      <c r="AC13" s="93" t="s">
        <v>94</v>
      </c>
      <c r="AD13" s="93" t="s">
        <v>95</v>
      </c>
      <c r="AE13" s="93" t="s">
        <v>96</v>
      </c>
      <c r="AF13" s="93" t="s">
        <v>97</v>
      </c>
      <c r="AG13" s="95" t="s">
        <v>99</v>
      </c>
      <c r="AH13" s="95" t="s">
        <v>13</v>
      </c>
      <c r="AI13" s="95" t="s">
        <v>14</v>
      </c>
      <c r="AJ13" s="95" t="s">
        <v>100</v>
      </c>
      <c r="AK13" s="96" t="s">
        <v>16</v>
      </c>
      <c r="AL13" s="96" t="s">
        <v>17</v>
      </c>
      <c r="AM13" s="95" t="s">
        <v>18</v>
      </c>
      <c r="AN13" s="95" t="s">
        <v>19</v>
      </c>
      <c r="AO13" s="95" t="s">
        <v>20</v>
      </c>
      <c r="AP13" s="95" t="s">
        <v>21</v>
      </c>
      <c r="AQ13" s="95" t="s">
        <v>22</v>
      </c>
      <c r="AR13" s="95" t="s">
        <v>23</v>
      </c>
      <c r="AS13" s="97" t="s">
        <v>102</v>
      </c>
      <c r="AT13" s="97" t="s">
        <v>103</v>
      </c>
      <c r="AU13" s="97" t="s">
        <v>102</v>
      </c>
      <c r="AV13" s="97" t="s">
        <v>68</v>
      </c>
      <c r="AW13" s="194" t="s">
        <v>395</v>
      </c>
      <c r="AX13" s="194" t="s">
        <v>396</v>
      </c>
      <c r="AY13" s="194" t="s">
        <v>397</v>
      </c>
      <c r="AZ13" s="98" t="s">
        <v>119</v>
      </c>
      <c r="BA13" s="99" t="s">
        <v>12</v>
      </c>
      <c r="BB13" s="100" t="s">
        <v>13</v>
      </c>
      <c r="BC13" s="100" t="s">
        <v>14</v>
      </c>
      <c r="BD13" s="99" t="s">
        <v>100</v>
      </c>
      <c r="BE13" s="99" t="s">
        <v>16</v>
      </c>
      <c r="BF13" s="99" t="s">
        <v>17</v>
      </c>
      <c r="BG13" s="99" t="s">
        <v>18</v>
      </c>
      <c r="BH13" s="99" t="s">
        <v>19</v>
      </c>
      <c r="BI13" s="101" t="s">
        <v>20</v>
      </c>
      <c r="BJ13" s="99" t="s">
        <v>21</v>
      </c>
      <c r="BK13" s="99" t="s">
        <v>22</v>
      </c>
      <c r="BL13" s="102" t="s">
        <v>23</v>
      </c>
      <c r="BM13" s="103" t="s">
        <v>120</v>
      </c>
      <c r="BN13" s="103" t="s">
        <v>121</v>
      </c>
      <c r="BO13" s="103" t="s">
        <v>122</v>
      </c>
      <c r="BP13" s="103" t="s">
        <v>123</v>
      </c>
      <c r="BQ13" s="97" t="s">
        <v>124</v>
      </c>
      <c r="BR13" s="103" t="s">
        <v>125</v>
      </c>
      <c r="BS13" s="103" t="s">
        <v>126</v>
      </c>
      <c r="BT13" s="103" t="s">
        <v>127</v>
      </c>
      <c r="BU13" s="98" t="s">
        <v>119</v>
      </c>
      <c r="BV13" s="99" t="s">
        <v>12</v>
      </c>
      <c r="BW13" s="100" t="s">
        <v>13</v>
      </c>
      <c r="BX13" s="100" t="s">
        <v>14</v>
      </c>
      <c r="BY13" s="99" t="s">
        <v>100</v>
      </c>
      <c r="BZ13" s="99" t="s">
        <v>16</v>
      </c>
      <c r="CA13" s="99" t="s">
        <v>17</v>
      </c>
      <c r="CB13" s="99" t="s">
        <v>18</v>
      </c>
      <c r="CC13" s="99" t="s">
        <v>19</v>
      </c>
      <c r="CD13" s="101" t="s">
        <v>20</v>
      </c>
      <c r="CE13" s="99" t="s">
        <v>21</v>
      </c>
      <c r="CF13" s="99" t="s">
        <v>22</v>
      </c>
      <c r="CG13" s="102" t="s">
        <v>23</v>
      </c>
      <c r="CH13" s="103" t="s">
        <v>120</v>
      </c>
      <c r="CI13" s="103" t="s">
        <v>121</v>
      </c>
      <c r="CJ13" s="103" t="s">
        <v>122</v>
      </c>
      <c r="CK13" s="103" t="s">
        <v>123</v>
      </c>
      <c r="CL13" s="97" t="s">
        <v>124</v>
      </c>
      <c r="CM13" s="103" t="s">
        <v>128</v>
      </c>
      <c r="CN13" s="103" t="s">
        <v>126</v>
      </c>
      <c r="CO13" s="103" t="s">
        <v>127</v>
      </c>
      <c r="CP13" s="104" t="s">
        <v>119</v>
      </c>
      <c r="CQ13" s="104" t="s">
        <v>129</v>
      </c>
      <c r="CR13" s="104" t="s">
        <v>130</v>
      </c>
      <c r="CS13" s="104" t="s">
        <v>131</v>
      </c>
      <c r="CT13" s="104" t="s">
        <v>132</v>
      </c>
      <c r="CU13" s="105" t="s">
        <v>133</v>
      </c>
      <c r="CV13" s="104" t="s">
        <v>134</v>
      </c>
      <c r="CW13" s="104" t="s">
        <v>135</v>
      </c>
      <c r="CX13" s="104" t="s">
        <v>127</v>
      </c>
      <c r="CY13" s="106" t="s">
        <v>136</v>
      </c>
      <c r="CZ13" s="31"/>
      <c r="DB13" s="105" t="s">
        <v>133</v>
      </c>
      <c r="DC13" s="104" t="s">
        <v>134</v>
      </c>
      <c r="DD13" s="104" t="s">
        <v>135</v>
      </c>
      <c r="DE13" s="105" t="s">
        <v>133</v>
      </c>
      <c r="DF13" s="104" t="s">
        <v>134</v>
      </c>
      <c r="DG13" s="104" t="s">
        <v>135</v>
      </c>
      <c r="DH13" s="31"/>
    </row>
    <row r="14">
      <c r="A14" s="108">
        <v>1.0</v>
      </c>
      <c r="B14" s="109" t="s">
        <v>143</v>
      </c>
      <c r="C14" s="109">
        <v>32.0</v>
      </c>
      <c r="D14" s="109">
        <v>18.0</v>
      </c>
      <c r="E14" s="109">
        <v>18.0</v>
      </c>
      <c r="F14" s="109">
        <v>744.0</v>
      </c>
      <c r="G14" s="109">
        <v>217.0</v>
      </c>
      <c r="H14" s="109">
        <v>384.0</v>
      </c>
      <c r="I14" s="109">
        <v>0.565</v>
      </c>
      <c r="J14" s="109">
        <v>44.0</v>
      </c>
      <c r="K14" s="109">
        <v>107.0</v>
      </c>
      <c r="L14" s="109">
        <v>0.411</v>
      </c>
      <c r="M14" s="109">
        <v>173.0</v>
      </c>
      <c r="N14" s="109">
        <v>277.0</v>
      </c>
      <c r="O14" s="109">
        <v>0.625</v>
      </c>
      <c r="P14" s="109">
        <v>0.622</v>
      </c>
      <c r="Q14" s="109">
        <v>113.0</v>
      </c>
      <c r="R14" s="109">
        <v>162.0</v>
      </c>
      <c r="S14" s="109">
        <v>0.698</v>
      </c>
      <c r="T14" s="109">
        <v>19.0</v>
      </c>
      <c r="U14" s="109">
        <v>145.0</v>
      </c>
      <c r="V14" s="109">
        <v>164.0</v>
      </c>
      <c r="W14" s="109">
        <v>141.0</v>
      </c>
      <c r="X14" s="109">
        <v>35.0</v>
      </c>
      <c r="Y14" s="109">
        <v>23.0</v>
      </c>
      <c r="Z14" s="109">
        <v>72.0</v>
      </c>
      <c r="AA14" s="109">
        <v>43.0</v>
      </c>
      <c r="AB14" s="109">
        <v>591.0</v>
      </c>
      <c r="AC14" s="110">
        <f t="shared" ref="AC14:AC26" si="13">H14+$S$6*R14</f>
        <v>455.28</v>
      </c>
      <c r="AD14" s="111">
        <f t="shared" ref="AD14:AD26" si="14">if(AC14=0,0,AB14/AC14)</f>
        <v>1.298102267</v>
      </c>
      <c r="AE14" s="4">
        <f t="shared" ref="AE14:AE26" si="15">((AD14-$R$7)+$R$8)*AC14</f>
        <v>486.8996349</v>
      </c>
      <c r="AF14" s="110">
        <f t="shared" ref="AF14:AF26" si="16">F14*$C$7/48</f>
        <v>1491.1</v>
      </c>
      <c r="AG14" s="113">
        <f t="shared" ref="AG14:AG26" si="17">AE14/$AF14*100</f>
        <v>32.65372107</v>
      </c>
      <c r="AH14" s="113">
        <f t="shared" ref="AH14:AH26" si="18">H14/$AF14*100</f>
        <v>25.75279995</v>
      </c>
      <c r="AI14" s="113">
        <f t="shared" ref="AI14:AI26" si="19">R14/$AF14*100</f>
        <v>10.86446248</v>
      </c>
      <c r="AJ14" s="113">
        <f t="shared" ref="AJ14:AJ26" si="20">J14/$AF14*100</f>
        <v>2.950841661</v>
      </c>
      <c r="AK14" s="113">
        <f t="shared" ref="AK14:AK26" si="21">W14/$AF14*100</f>
        <v>9.45610623</v>
      </c>
      <c r="AL14" s="113">
        <f t="shared" ref="AL14:AL26" si="22">Z14/$AF14*100</f>
        <v>4.82864999</v>
      </c>
      <c r="AM14" s="113">
        <f t="shared" ref="AM14:AO14" si="5">T14/$AF14*100</f>
        <v>1.274227081</v>
      </c>
      <c r="AN14" s="113">
        <f t="shared" si="5"/>
        <v>9.724364563</v>
      </c>
      <c r="AO14" s="113">
        <f t="shared" si="5"/>
        <v>10.99859164</v>
      </c>
      <c r="AP14" s="113">
        <f t="shared" ref="AP14:AQ14" si="6">X14/$AF14*100</f>
        <v>2.347260412</v>
      </c>
      <c r="AQ14" s="113">
        <f t="shared" si="6"/>
        <v>1.542485413</v>
      </c>
      <c r="AR14" s="113">
        <f t="shared" ref="AR14:AR26" si="25">AA14/$AF14*100</f>
        <v>2.883777077</v>
      </c>
      <c r="AS14" s="116" t="str">
        <f t="shared" ref="AS14:AS26" si="26">if(iserror(index($C$51:$C$81,match(B14,$N$51:$N$81,false))),"?",index($C$51:$C$81,match(B14,$N$51:$N$81,false)))</f>
        <v>SF</v>
      </c>
      <c r="AT14" s="117">
        <f t="shared" ref="AT14:AT26" si="27">vlookup(AS14,$S$51:$T$65,2,false)</f>
        <v>3</v>
      </c>
      <c r="AU14" s="118">
        <f t="array" ref="AU14">if(iserror(index('BPM 2.0 Season CLE 2017'!$BM$14:$BM$38,match($B14,'BPM 2.0 Season CLE 2017'!$B$14:$B$38,false))),3,index('BPM 2.0 Season CLE 2017'!$BM$14:$BM$38,match($B14,'BPM 2.0 Season CLE 2017'!$B$14:$B$38,false)))</f>
        <v>2.297178256</v>
      </c>
      <c r="AV14" s="118">
        <f t="array" ref="AV14">if(iserror(index('BPM 2.0 Season CLE 2017'!$BY$14:$BY$38,match($B14,'BPM 2.0 Season CLE 2017'!$B$14:$B$38,false))),3,index('BPM 2.0 Season CLE 2017'!$BY$14:$BY$38,match($B14,'BPM 2.0 Season CLE 2017'!$B$14:$B$38,false)))</f>
        <v>1</v>
      </c>
      <c r="AW14" s="210">
        <f t="array" ref="AW14">if(iserror(index('BPM 2.0 Season CLE 2017'!$EC$14:$EC$38,(match($B14,'BPM 2.0 Season CLE 2017'!$CU$14:$CU$38,false)))),-4,index('BPM 2.0 Season CLE 2017'!$EC$14:$EC$38,(match($B14,'BPM 2.0 Season CLE 2017'!$CU$14:$CU$38,false))))</f>
        <v>7.587560846</v>
      </c>
      <c r="AX14" s="210">
        <f t="array" ref="AX14">if(iserror(index('BPM 2.0 Season CLE 2017'!$ED$14:$ED$38,(match($B14,'BPM 2.0 Season CLE 2017'!$CU$14:$CU$38,false)))),-4,index('BPM 2.0 Season CLE 2017'!$ED$14:$ED$38,(match($B14,'BPM 2.0 Season CLE 2017'!$CU$14:$CU$38,false))))</f>
        <v>6.331534003</v>
      </c>
      <c r="AY14" s="210">
        <f t="shared" ref="AY14:AY26" si="28">AW14-AX14</f>
        <v>1.256026843</v>
      </c>
      <c r="AZ14" s="61" t="str">
        <f t="shared" ref="AZ14:AZ26" si="29">B14</f>
        <v>LeBron James</v>
      </c>
      <c r="BA14" s="121">
        <f t="shared" ref="BA14:BA26" si="30">(5-$AU14)/4*BA$3+($AU14-1)/4*BA$4</f>
        <v>0.86</v>
      </c>
      <c r="BB14" s="122">
        <f t="shared" ref="BB14:BC14" si="7">(5-$AV14)/4*BB$3+($AV14-1)/4*BB$4</f>
        <v>-0.56</v>
      </c>
      <c r="BC14" s="122">
        <f t="shared" si="7"/>
        <v>-0.2464</v>
      </c>
      <c r="BD14" s="121">
        <f t="shared" ref="BD14:BL14" si="8">(5-$AU14)/4*BD$3+($AU14-1)/4*BD$4</f>
        <v>0.389</v>
      </c>
      <c r="BE14" s="121">
        <f t="shared" si="8"/>
        <v>0.7272297321</v>
      </c>
      <c r="BF14" s="121">
        <f t="shared" si="8"/>
        <v>-0.964</v>
      </c>
      <c r="BG14" s="121">
        <f t="shared" si="8"/>
        <v>0.4729047483</v>
      </c>
      <c r="BH14" s="121">
        <f t="shared" si="8"/>
        <v>0.1370791467</v>
      </c>
      <c r="BI14" s="121">
        <f t="shared" si="8"/>
        <v>0</v>
      </c>
      <c r="BJ14" s="121">
        <f t="shared" si="8"/>
        <v>1.251929662</v>
      </c>
      <c r="BK14" s="121">
        <f t="shared" si="8"/>
        <v>1.124640192</v>
      </c>
      <c r="BL14" s="121">
        <f t="shared" si="8"/>
        <v>-0.367</v>
      </c>
      <c r="BM14" s="118">
        <f t="shared" ref="BM14:BM26" si="33">sumproduct(BA14:BD14,AG14:AJ14)</f>
        <v>12.131506</v>
      </c>
      <c r="BN14" s="118">
        <f t="shared" ref="BN14:BN26" si="34">sumproduct(BE14:BF14,AK14:AL14)</f>
        <v>2.22194301</v>
      </c>
      <c r="BO14" s="118">
        <f t="shared" ref="BO14:BO26" si="35">sumproduct(BG14:BI14,AM14:AO14)</f>
        <v>1.935595633</v>
      </c>
      <c r="BP14" s="118">
        <f t="shared" ref="BP14:BP26" si="36">SUMPRODUCT(BJ14:BL14,AP14:AR14)</f>
        <v>3.614999839</v>
      </c>
      <c r="BQ14" s="123">
        <f t="shared" ref="BQ14:BQ26" si="37">if(AU14&lt;3,(AU14-1)/2*$BP$4+(3-AU14)/2*$BO$4,(AU14-3)/2*$BQ$4+(5-AU14)/2*$BP$4)+$BR$4*(AV14-3)</f>
        <v>-3.061454093</v>
      </c>
      <c r="BR14" s="124">
        <f t="shared" ref="BR14:BR26" si="38">sum(BM14:BQ14)</f>
        <v>16.84259039</v>
      </c>
      <c r="BS14" s="114">
        <f t="shared" ref="BS14:BS26" si="39">F14/($R$9/5)</f>
        <v>0.860911826</v>
      </c>
      <c r="BT14" s="118">
        <f t="shared" ref="BT14:BT26" si="40">BS14*BR14</f>
        <v>14.49998525</v>
      </c>
      <c r="BU14" s="125" t="str">
        <f t="shared" ref="BU14:BU26" si="41">AZ14</f>
        <v>LeBron James</v>
      </c>
      <c r="BV14" s="121">
        <f t="shared" ref="BV14:BV26" si="42">(5-$AU14)/4*BA$7+($AU14-1)/4*BA$8</f>
        <v>0.605</v>
      </c>
      <c r="BW14" s="122">
        <f t="shared" ref="BW14:BX14" si="9">(5-$AV14)/4*BB$7+($AV14-1)/4*BB$8</f>
        <v>-0.33</v>
      </c>
      <c r="BX14" s="122">
        <f t="shared" si="9"/>
        <v>-0.1452</v>
      </c>
      <c r="BY14" s="121">
        <f t="shared" ref="BY14:CG14" si="10">(5-$AU14)/4*BD$7+($AU14-1)/4*BD$8</f>
        <v>0.477</v>
      </c>
      <c r="BZ14" s="121">
        <f t="shared" si="10"/>
        <v>0.476</v>
      </c>
      <c r="CA14" s="121">
        <f t="shared" si="10"/>
        <v>-0.6772612529</v>
      </c>
      <c r="CB14" s="121">
        <f t="shared" si="10"/>
        <v>0.5463298002</v>
      </c>
      <c r="CC14" s="121">
        <f t="shared" si="10"/>
        <v>-0.04227666872</v>
      </c>
      <c r="CD14" s="121">
        <f t="shared" si="10"/>
        <v>0</v>
      </c>
      <c r="CE14" s="121">
        <f t="shared" si="10"/>
        <v>0.214942464</v>
      </c>
      <c r="CF14" s="121">
        <f t="shared" si="10"/>
        <v>0.5213430138</v>
      </c>
      <c r="CG14" s="121">
        <f t="shared" si="10"/>
        <v>-0.439</v>
      </c>
      <c r="CH14" s="118">
        <f t="shared" ref="CH14:CH26" si="45">sumproduct(BV14:BY14,AG14:AJ14)</f>
        <v>11.08710879</v>
      </c>
      <c r="CI14" s="118">
        <f t="shared" ref="CI14:CI26" si="46">sumproduct(BZ14:CA14,AK14:AL14)</f>
        <v>1.230849024</v>
      </c>
      <c r="CJ14" s="118">
        <f t="shared" ref="CJ14:CJ26" si="47">sumproduct(CB14:CD14,AM14:AO14)</f>
        <v>0.2850344872</v>
      </c>
      <c r="CK14" s="118">
        <f t="shared" ref="CK14:CK26" si="48">SUMPRODUCT(CE14:CG14,AP14:AR14)</f>
        <v>0.04271179373</v>
      </c>
      <c r="CL14" s="123">
        <f t="shared" ref="CL14:CL26" si="49">if(AU14&lt;3,(AU14-1)/2*$BP$8+(3-AU14)/2*$BO$8,(AU14-3)/2*$BQ$8+(5-AU14)/2*$BP$8)+$BR$8*(AV14-3)</f>
        <v>-1.45669566</v>
      </c>
      <c r="CM14" s="124">
        <f t="shared" ref="CM14:CM26" si="50">sum(CH14:CL14)</f>
        <v>11.18900843</v>
      </c>
      <c r="CN14" s="114">
        <f t="shared" ref="CN14:CN26" si="51">BS14</f>
        <v>0.860911826</v>
      </c>
      <c r="CO14" s="118">
        <f t="shared" ref="CO14:CO26" si="52">CN14*CM14</f>
        <v>9.63274968</v>
      </c>
      <c r="CP14" s="126" t="str">
        <f t="shared" ref="CP14:CP26" si="53">concatenate(B14,if(iserror(vlookup(B14,$N$51:$O$81,2,false)),"",concatenate(" (",vlookup(B14,$N$51:$O$81,2,false),")")))</f>
        <v>LeBron James (14th)</v>
      </c>
      <c r="CQ14" s="127">
        <f t="shared" ref="CQ14:CR14" si="11">AU14</f>
        <v>2.297178256</v>
      </c>
      <c r="CR14" s="127">
        <f t="shared" si="11"/>
        <v>1</v>
      </c>
      <c r="CS14" s="128">
        <f t="shared" ref="CS14:CS26" si="55">F14</f>
        <v>744</v>
      </c>
      <c r="CT14" s="127">
        <f t="shared" ref="CT14:CT26" si="56">F14/D14</f>
        <v>41.33333333</v>
      </c>
      <c r="CU14" s="127">
        <f t="shared" ref="CU14:CU26" si="57">BR14+$BT$11</f>
        <v>11.47106105</v>
      </c>
      <c r="CV14" s="127">
        <f t="shared" ref="CV14:CV26" si="58">CM14+$CO$11</f>
        <v>8.668942364</v>
      </c>
      <c r="CW14" s="127">
        <f t="shared" ref="CW14:CW26" si="59">CU14-CV14</f>
        <v>2.802118685</v>
      </c>
      <c r="CX14" s="127">
        <f t="shared" ref="CX14:CX26" si="60">CU14*BS14</f>
        <v>9.875572113</v>
      </c>
      <c r="CY14" s="129">
        <f t="shared" ref="CY14:CY26" si="61">(CU14+2)* CN14*$X$9/82</f>
        <v>2.545769802</v>
      </c>
      <c r="CZ14" s="31"/>
      <c r="DA14" s="31"/>
      <c r="DB14" s="127">
        <f t="array" ref="DB14">if(iserror(index('BPM 2.0 Season CLE 2017'!DU$14:DU$38,(match($B14,'BPM 2.0 Season CLE 2017'!$CU$14:$CU$38,false)))),-4,index('BPM 2.0 Season CLE 2017'!DU$14:DU$38,(match($B14,'BPM 2.0 Season CLE 2017'!$CU$14:$CU$38,false))))</f>
        <v>7.587560846</v>
      </c>
      <c r="DC14" s="127">
        <f t="array" ref="DC14">if(iserror(index('BPM 2.0 Season CLE 2017'!DV$14:DV$38,(match($B14,'BPM 2.0 Season CLE 2017'!$CU$14:$CU$38,false)))),-4,index('BPM 2.0 Season CLE 2017'!DV$14:DV$38,(match($B14,'BPM 2.0 Season CLE 2017'!$CU$14:$CU$38,false))))</f>
        <v>6.331534003</v>
      </c>
      <c r="DD14" s="127">
        <f t="array" ref="DD14">if(iserror(index('BPM 2.0 Season CLE 2017'!DW$14:DW$38,(match($B14,'BPM 2.0 Season CLE 2017'!$CU$14:$CU$38,false)))),-4,index('BPM 2.0 Season CLE 2017'!DW$14:DW$38,(match($B14,'BPM 2.0 Season CLE 2017'!$CU$14:$CU$38,false))))</f>
        <v>1.256026843</v>
      </c>
      <c r="DE14" s="127">
        <f t="shared" ref="DE14:DG14" si="12">CU14-DB14</f>
        <v>3.883500202</v>
      </c>
      <c r="DF14" s="127">
        <f t="shared" si="12"/>
        <v>2.33740836</v>
      </c>
      <c r="DG14" s="127">
        <f t="shared" si="12"/>
        <v>1.546091842</v>
      </c>
      <c r="DH14" s="31"/>
    </row>
    <row r="15">
      <c r="A15" s="108">
        <v>2.0</v>
      </c>
      <c r="B15" s="109" t="s">
        <v>144</v>
      </c>
      <c r="C15" s="109">
        <v>24.0</v>
      </c>
      <c r="D15" s="109">
        <v>18.0</v>
      </c>
      <c r="E15" s="109">
        <v>18.0</v>
      </c>
      <c r="F15" s="109">
        <v>653.0</v>
      </c>
      <c r="G15" s="109">
        <v>173.0</v>
      </c>
      <c r="H15" s="109">
        <v>370.0</v>
      </c>
      <c r="I15" s="109">
        <v>0.468</v>
      </c>
      <c r="J15" s="109">
        <v>44.0</v>
      </c>
      <c r="K15" s="109">
        <v>118.0</v>
      </c>
      <c r="L15" s="109">
        <v>0.373</v>
      </c>
      <c r="M15" s="109">
        <v>129.0</v>
      </c>
      <c r="N15" s="109">
        <v>252.0</v>
      </c>
      <c r="O15" s="109">
        <v>0.512</v>
      </c>
      <c r="P15" s="109">
        <v>0.527</v>
      </c>
      <c r="Q15" s="109">
        <v>76.0</v>
      </c>
      <c r="R15" s="109">
        <v>84.0</v>
      </c>
      <c r="S15" s="109">
        <v>0.905</v>
      </c>
      <c r="T15" s="109">
        <v>13.0</v>
      </c>
      <c r="U15" s="109">
        <v>38.0</v>
      </c>
      <c r="V15" s="109">
        <v>51.0</v>
      </c>
      <c r="W15" s="109">
        <v>95.0</v>
      </c>
      <c r="X15" s="109">
        <v>23.0</v>
      </c>
      <c r="Y15" s="109">
        <v>8.0</v>
      </c>
      <c r="Z15" s="109">
        <v>48.0</v>
      </c>
      <c r="AA15" s="109">
        <v>38.0</v>
      </c>
      <c r="AB15" s="109">
        <v>466.0</v>
      </c>
      <c r="AC15" s="110">
        <f t="shared" si="13"/>
        <v>406.96</v>
      </c>
      <c r="AD15" s="111">
        <f t="shared" si="14"/>
        <v>1.145075683</v>
      </c>
      <c r="AE15" s="4">
        <f t="shared" si="15"/>
        <v>372.9480659</v>
      </c>
      <c r="AF15" s="110">
        <f t="shared" si="16"/>
        <v>1308.720833</v>
      </c>
      <c r="AG15" s="113">
        <f t="shared" si="17"/>
        <v>28.49714442</v>
      </c>
      <c r="AH15" s="113">
        <f t="shared" si="18"/>
        <v>28.27188126</v>
      </c>
      <c r="AI15" s="113">
        <f t="shared" si="19"/>
        <v>6.41848115</v>
      </c>
      <c r="AJ15" s="113">
        <f t="shared" si="20"/>
        <v>3.362061555</v>
      </c>
      <c r="AK15" s="113">
        <f t="shared" si="21"/>
        <v>7.258996539</v>
      </c>
      <c r="AL15" s="113">
        <f t="shared" si="22"/>
        <v>3.667703515</v>
      </c>
      <c r="AM15" s="113">
        <f t="shared" ref="AM15:AO15" si="23">T15/$AF15*100</f>
        <v>0.9933363685</v>
      </c>
      <c r="AN15" s="113">
        <f t="shared" si="23"/>
        <v>2.903598616</v>
      </c>
      <c r="AO15" s="113">
        <f t="shared" si="23"/>
        <v>3.896934984</v>
      </c>
      <c r="AP15" s="113">
        <f t="shared" ref="AP15:AQ15" si="24">X15/$AF15*100</f>
        <v>1.757441267</v>
      </c>
      <c r="AQ15" s="113">
        <f t="shared" si="24"/>
        <v>0.6112839191</v>
      </c>
      <c r="AR15" s="113">
        <f t="shared" si="25"/>
        <v>2.903598616</v>
      </c>
      <c r="AS15" s="116" t="str">
        <f t="shared" si="26"/>
        <v>PG</v>
      </c>
      <c r="AT15" s="117">
        <f t="shared" si="27"/>
        <v>1</v>
      </c>
      <c r="AU15" s="118">
        <f t="array" ref="AU15">if(iserror(index('BPM 2.0 Season CLE 2017'!$BM$14:$BM$38,match($B15,'BPM 2.0 Season CLE 2017'!$B$14:$B$38,false))),3,index('BPM 2.0 Season CLE 2017'!$BM$14:$BM$38,match($B15,'BPM 2.0 Season CLE 2017'!$B$14:$B$38,false)))</f>
        <v>1.364072421</v>
      </c>
      <c r="AV15" s="118">
        <f t="array" ref="AV15">if(iserror(index('BPM 2.0 Season CLE 2017'!$BY$14:$BY$38,match($B15,'BPM 2.0 Season CLE 2017'!$B$14:$B$38,false))),3,index('BPM 2.0 Season CLE 2017'!$BY$14:$BY$38,match($B15,'BPM 2.0 Season CLE 2017'!$B$14:$B$38,false)))</f>
        <v>1</v>
      </c>
      <c r="AW15" s="214">
        <f t="array" ref="AW15">if(iserror(index('BPM 2.0 Season CLE 2017'!$EC$14:$EC$38,(match($B15,'BPM 2.0 Season CLE 2017'!$CU$14:$CU$38,false)))),-4,index('BPM 2.0 Season CLE 2017'!$EC$14:$EC$38,(match($B15,'BPM 2.0 Season CLE 2017'!$CU$14:$CU$38,false))))</f>
        <v>3.643493752</v>
      </c>
      <c r="AX15" s="214">
        <f t="array" ref="AX15">if(iserror(index('BPM 2.0 Season CLE 2017'!$ED$14:$ED$38,(match($B15,'BPM 2.0 Season CLE 2017'!$CU$14:$CU$38,false)))),-4,index('BPM 2.0 Season CLE 2017'!$ED$14:$ED$38,(match($B15,'BPM 2.0 Season CLE 2017'!$CU$14:$CU$38,false))))</f>
        <v>4.824183959</v>
      </c>
      <c r="AY15" s="214">
        <f t="shared" si="28"/>
        <v>-1.180690207</v>
      </c>
      <c r="AZ15" s="61" t="str">
        <f t="shared" si="29"/>
        <v>Kyrie Irving</v>
      </c>
      <c r="BA15" s="121">
        <f t="shared" si="30"/>
        <v>0.86</v>
      </c>
      <c r="BB15" s="122">
        <f t="shared" ref="BB15:BC15" si="31">(5-$AV15)/4*BB$3+($AV15-1)/4*BB$4</f>
        <v>-0.56</v>
      </c>
      <c r="BC15" s="122">
        <f t="shared" si="31"/>
        <v>-0.2464</v>
      </c>
      <c r="BD15" s="121">
        <f t="shared" ref="BD15:BL15" si="32">(5-$AU15)/4*BD$3+($AU15-1)/4*BD$4</f>
        <v>0.389</v>
      </c>
      <c r="BE15" s="121">
        <f t="shared" si="32"/>
        <v>0.6213222198</v>
      </c>
      <c r="BF15" s="121">
        <f t="shared" si="32"/>
        <v>-0.964</v>
      </c>
      <c r="BG15" s="121">
        <f t="shared" si="32"/>
        <v>0.5736801786</v>
      </c>
      <c r="BH15" s="121">
        <f t="shared" si="32"/>
        <v>0.1219161768</v>
      </c>
      <c r="BI15" s="121">
        <f t="shared" si="32"/>
        <v>0</v>
      </c>
      <c r="BJ15" s="121">
        <f t="shared" si="32"/>
        <v>1.336142464</v>
      </c>
      <c r="BK15" s="121">
        <f t="shared" si="32"/>
        <v>1.270204702</v>
      </c>
      <c r="BL15" s="121">
        <f t="shared" si="32"/>
        <v>-0.367</v>
      </c>
      <c r="BM15" s="118">
        <f t="shared" si="33"/>
        <v>8.401618882</v>
      </c>
      <c r="BN15" s="118">
        <f t="shared" si="34"/>
        <v>0.9745096549</v>
      </c>
      <c r="BO15" s="118">
        <f t="shared" si="35"/>
        <v>0.9238530276</v>
      </c>
      <c r="BP15" s="118">
        <f t="shared" si="36"/>
        <v>2.059026922</v>
      </c>
      <c r="BQ15" s="123">
        <f t="shared" si="37"/>
        <v>-3.44309438</v>
      </c>
      <c r="BR15" s="124">
        <f t="shared" si="38"/>
        <v>8.915914107</v>
      </c>
      <c r="BS15" s="114">
        <f t="shared" si="39"/>
        <v>0.7556121268</v>
      </c>
      <c r="BT15" s="118">
        <f t="shared" si="40"/>
        <v>6.736972821</v>
      </c>
      <c r="BU15" s="125" t="str">
        <f t="shared" si="41"/>
        <v>Kyrie Irving</v>
      </c>
      <c r="BV15" s="121">
        <f t="shared" si="42"/>
        <v>0.605</v>
      </c>
      <c r="BW15" s="122">
        <f t="shared" ref="BW15:BX15" si="43">(5-$AV15)/4*BB$7+($AV15-1)/4*BB$8</f>
        <v>-0.33</v>
      </c>
      <c r="BX15" s="122">
        <f t="shared" si="43"/>
        <v>-0.1452</v>
      </c>
      <c r="BY15" s="121">
        <f t="shared" ref="BY15:CG15" si="44">(5-$AU15)/4*BD$7+($AU15-1)/4*BD$8</f>
        <v>0.477</v>
      </c>
      <c r="BZ15" s="121">
        <f t="shared" si="44"/>
        <v>0.476</v>
      </c>
      <c r="CA15" s="121">
        <f t="shared" si="44"/>
        <v>-0.6065784859</v>
      </c>
      <c r="CB15" s="121">
        <f t="shared" si="44"/>
        <v>0.5892526686</v>
      </c>
      <c r="CC15" s="121">
        <f t="shared" si="44"/>
        <v>-0.09243110738</v>
      </c>
      <c r="CD15" s="121">
        <f t="shared" si="44"/>
        <v>0</v>
      </c>
      <c r="CE15" s="121">
        <f t="shared" si="44"/>
        <v>0.1876491183</v>
      </c>
      <c r="CF15" s="121">
        <f t="shared" si="44"/>
        <v>0.6678406299</v>
      </c>
      <c r="CG15" s="121">
        <f t="shared" si="44"/>
        <v>-0.439</v>
      </c>
      <c r="CH15" s="118">
        <f t="shared" si="45"/>
        <v>8.582791455</v>
      </c>
      <c r="CI15" s="118">
        <f t="shared" si="46"/>
        <v>1.230532308</v>
      </c>
      <c r="CJ15" s="118">
        <f t="shared" si="47"/>
        <v>0.3169432706</v>
      </c>
      <c r="CK15" s="118">
        <f t="shared" si="48"/>
        <v>-0.5366572504</v>
      </c>
      <c r="CL15" s="123">
        <f t="shared" si="49"/>
        <v>-2.248902515</v>
      </c>
      <c r="CM15" s="124">
        <f t="shared" si="50"/>
        <v>7.344707269</v>
      </c>
      <c r="CN15" s="114">
        <f t="shared" si="51"/>
        <v>0.7556121268</v>
      </c>
      <c r="CO15" s="118">
        <f t="shared" si="52"/>
        <v>5.54974988</v>
      </c>
      <c r="CP15" s="126" t="str">
        <f t="shared" si="53"/>
        <v>Kyrie Irving (6th)</v>
      </c>
      <c r="CQ15" s="127">
        <f t="shared" ref="CQ15:CR15" si="54">AU15</f>
        <v>1.364072421</v>
      </c>
      <c r="CR15" s="127">
        <f t="shared" si="54"/>
        <v>1</v>
      </c>
      <c r="CS15" s="128">
        <f t="shared" si="55"/>
        <v>653</v>
      </c>
      <c r="CT15" s="127">
        <f t="shared" si="56"/>
        <v>36.27777778</v>
      </c>
      <c r="CU15" s="127">
        <f t="shared" si="57"/>
        <v>3.544384761</v>
      </c>
      <c r="CV15" s="127">
        <f t="shared" si="58"/>
        <v>4.8246412</v>
      </c>
      <c r="CW15" s="127">
        <f t="shared" si="59"/>
        <v>-1.280256439</v>
      </c>
      <c r="CX15" s="127">
        <f t="shared" si="60"/>
        <v>2.678180108</v>
      </c>
      <c r="CY15" s="129">
        <f t="shared" si="61"/>
        <v>0.9196253476</v>
      </c>
      <c r="CZ15" s="31"/>
      <c r="DA15" s="31"/>
      <c r="DB15" s="127">
        <f t="array" ref="DB15">if(iserror(index('BPM 2.0 Season CLE 2017'!DU$14:DU$38,(match($B15,'BPM 2.0 Season CLE 2017'!$CU$14:$CU$38,false)))),-4,index('BPM 2.0 Season CLE 2017'!DU$14:DU$38,(match($B15,'BPM 2.0 Season CLE 2017'!$CU$14:$CU$38,false))))</f>
        <v>3.643493752</v>
      </c>
      <c r="DC15" s="127">
        <f t="array" ref="DC15">if(iserror(index('BPM 2.0 Season CLE 2017'!DV$14:DV$38,(match($B15,'BPM 2.0 Season CLE 2017'!$CU$14:$CU$38,false)))),-4,index('BPM 2.0 Season CLE 2017'!DV$14:DV$38,(match($B15,'BPM 2.0 Season CLE 2017'!$CU$14:$CU$38,false))))</f>
        <v>4.824183959</v>
      </c>
      <c r="DD15" s="127">
        <f t="array" ref="DD15">if(iserror(index('BPM 2.0 Season CLE 2017'!DW$14:DW$38,(match($B15,'BPM 2.0 Season CLE 2017'!$CU$14:$CU$38,false)))),-4,index('BPM 2.0 Season CLE 2017'!DW$14:DW$38,(match($B15,'BPM 2.0 Season CLE 2017'!$CU$14:$CU$38,false))))</f>
        <v>-1.180690207</v>
      </c>
      <c r="DE15" s="127">
        <f t="shared" ref="DE15:DG15" si="62">CU15-DB15</f>
        <v>-0.09910899062</v>
      </c>
      <c r="DF15" s="127">
        <f t="shared" si="62"/>
        <v>0.0004572413511</v>
      </c>
      <c r="DG15" s="127">
        <f t="shared" si="62"/>
        <v>-0.09956623197</v>
      </c>
      <c r="DH15" s="31"/>
    </row>
    <row r="16">
      <c r="A16" s="108">
        <v>3.0</v>
      </c>
      <c r="B16" s="109" t="s">
        <v>147</v>
      </c>
      <c r="C16" s="109">
        <v>28.0</v>
      </c>
      <c r="D16" s="109">
        <v>18.0</v>
      </c>
      <c r="E16" s="109">
        <v>18.0</v>
      </c>
      <c r="F16" s="109">
        <v>578.0</v>
      </c>
      <c r="G16" s="109">
        <v>95.0</v>
      </c>
      <c r="H16" s="109">
        <v>218.0</v>
      </c>
      <c r="I16" s="109">
        <v>0.436</v>
      </c>
      <c r="J16" s="109">
        <v>50.0</v>
      </c>
      <c r="K16" s="109">
        <v>111.0</v>
      </c>
      <c r="L16" s="109">
        <v>0.45</v>
      </c>
      <c r="M16" s="109">
        <v>45.0</v>
      </c>
      <c r="N16" s="109">
        <v>107.0</v>
      </c>
      <c r="O16" s="109">
        <v>0.421</v>
      </c>
      <c r="P16" s="109">
        <v>0.55</v>
      </c>
      <c r="Q16" s="109">
        <v>63.0</v>
      </c>
      <c r="R16" s="109">
        <v>75.0</v>
      </c>
      <c r="S16" s="109">
        <v>0.84</v>
      </c>
      <c r="T16" s="109">
        <v>36.0</v>
      </c>
      <c r="U16" s="109">
        <v>155.0</v>
      </c>
      <c r="V16" s="109">
        <v>191.0</v>
      </c>
      <c r="W16" s="109">
        <v>30.0</v>
      </c>
      <c r="X16" s="109">
        <v>21.0</v>
      </c>
      <c r="Y16" s="109">
        <v>16.0</v>
      </c>
      <c r="Z16" s="109">
        <v>31.0</v>
      </c>
      <c r="AA16" s="109">
        <v>46.0</v>
      </c>
      <c r="AB16" s="109">
        <v>303.0</v>
      </c>
      <c r="AC16" s="110">
        <f t="shared" si="13"/>
        <v>251</v>
      </c>
      <c r="AD16" s="111">
        <f t="shared" si="14"/>
        <v>1.207171315</v>
      </c>
      <c r="AE16" s="4">
        <f t="shared" si="15"/>
        <v>245.608523</v>
      </c>
      <c r="AF16" s="110">
        <f t="shared" si="16"/>
        <v>1158.408333</v>
      </c>
      <c r="AG16" s="113">
        <f t="shared" si="17"/>
        <v>21.20224069</v>
      </c>
      <c r="AH16" s="113">
        <f t="shared" si="18"/>
        <v>18.81892539</v>
      </c>
      <c r="AI16" s="113">
        <f t="shared" si="19"/>
        <v>6.474400938</v>
      </c>
      <c r="AJ16" s="113">
        <f t="shared" si="20"/>
        <v>4.316267292</v>
      </c>
      <c r="AK16" s="113">
        <f t="shared" si="21"/>
        <v>2.589760375</v>
      </c>
      <c r="AL16" s="113">
        <f t="shared" si="22"/>
        <v>2.676085721</v>
      </c>
      <c r="AM16" s="113">
        <f t="shared" ref="AM16:AO16" si="63">T16/$AF16*100</f>
        <v>3.10771245</v>
      </c>
      <c r="AN16" s="113">
        <f t="shared" si="63"/>
        <v>13.38042861</v>
      </c>
      <c r="AO16" s="113">
        <f t="shared" si="63"/>
        <v>16.48814106</v>
      </c>
      <c r="AP16" s="113">
        <f t="shared" ref="AP16:AQ16" si="64">X16/$AF16*100</f>
        <v>1.812832263</v>
      </c>
      <c r="AQ16" s="113">
        <f t="shared" si="64"/>
        <v>1.381205533</v>
      </c>
      <c r="AR16" s="113">
        <f t="shared" si="25"/>
        <v>3.970965909</v>
      </c>
      <c r="AS16" s="116" t="str">
        <f t="shared" si="26"/>
        <v>PF</v>
      </c>
      <c r="AT16" s="117">
        <f t="shared" si="27"/>
        <v>4</v>
      </c>
      <c r="AU16" s="118">
        <f t="array" ref="AU16">if(iserror(index('BPM 2.0 Season CLE 2017'!$BM$14:$BM$38,match($B16,'BPM 2.0 Season CLE 2017'!$B$14:$B$38,false))),3,index('BPM 2.0 Season CLE 2017'!$BM$14:$BM$38,match($B16,'BPM 2.0 Season CLE 2017'!$B$14:$B$38,false)))</f>
        <v>4.787373585</v>
      </c>
      <c r="AV16" s="118">
        <f t="array" ref="AV16">if(iserror(index('BPM 2.0 Season CLE 2017'!$BY$14:$BY$38,match($B16,'BPM 2.0 Season CLE 2017'!$B$14:$B$38,false))),3,index('BPM 2.0 Season CLE 2017'!$BY$14:$BY$38,match($B16,'BPM 2.0 Season CLE 2017'!$B$14:$B$38,false)))</f>
        <v>2.731994347</v>
      </c>
      <c r="AW16" s="214">
        <f t="array" ref="AW16">if(iserror(index('BPM 2.0 Season CLE 2017'!$EC$14:$EC$38,(match($B16,'BPM 2.0 Season CLE 2017'!$CU$14:$CU$38,false)))),-4,index('BPM 2.0 Season CLE 2017'!$EC$14:$EC$38,(match($B16,'BPM 2.0 Season CLE 2017'!$CU$14:$CU$38,false))))</f>
        <v>2.104500115</v>
      </c>
      <c r="AX16" s="214">
        <f t="array" ref="AX16">if(iserror(index('BPM 2.0 Season CLE 2017'!$ED$14:$ED$38,(match($B16,'BPM 2.0 Season CLE 2017'!$CU$14:$CU$38,false)))),-4,index('BPM 2.0 Season CLE 2017'!$ED$14:$ED$38,(match($B16,'BPM 2.0 Season CLE 2017'!$CU$14:$CU$38,false))))</f>
        <v>3.324672608</v>
      </c>
      <c r="AY16" s="214">
        <f t="shared" si="28"/>
        <v>-1.220172492</v>
      </c>
      <c r="AZ16" s="61" t="str">
        <f t="shared" si="29"/>
        <v>Kevin Love</v>
      </c>
      <c r="BA16" s="121">
        <f t="shared" si="30"/>
        <v>0.86</v>
      </c>
      <c r="BB16" s="122">
        <f t="shared" ref="BB16:BC16" si="65">(5-$AV16)/4*BB$3+($AV16-1)/4*BB$4</f>
        <v>-0.6552596891</v>
      </c>
      <c r="BC16" s="122">
        <f t="shared" si="65"/>
        <v>-0.2883142632</v>
      </c>
      <c r="BD16" s="121">
        <f t="shared" ref="BD16:BL16" si="66">(5-$AU16)/4*BD$3+($AU16-1)/4*BD$4</f>
        <v>0.389</v>
      </c>
      <c r="BE16" s="121">
        <f t="shared" si="66"/>
        <v>1.009866902</v>
      </c>
      <c r="BF16" s="121">
        <f t="shared" si="66"/>
        <v>-0.964</v>
      </c>
      <c r="BG16" s="121">
        <f t="shared" si="66"/>
        <v>0.2039636528</v>
      </c>
      <c r="BH16" s="121">
        <f t="shared" si="66"/>
        <v>0.1775448208</v>
      </c>
      <c r="BI16" s="121">
        <f t="shared" si="66"/>
        <v>0</v>
      </c>
      <c r="BJ16" s="121">
        <f t="shared" si="66"/>
        <v>1.027189534</v>
      </c>
      <c r="BK16" s="121">
        <f t="shared" si="66"/>
        <v>0.7361697207</v>
      </c>
      <c r="BL16" s="121">
        <f t="shared" si="66"/>
        <v>-0.367</v>
      </c>
      <c r="BM16" s="118">
        <f t="shared" si="33"/>
        <v>5.715009634</v>
      </c>
      <c r="BN16" s="118">
        <f t="shared" si="34"/>
        <v>0.03556665179</v>
      </c>
      <c r="BO16" s="118">
        <f t="shared" si="35"/>
        <v>3.009486182</v>
      </c>
      <c r="BP16" s="118">
        <f t="shared" si="36"/>
        <v>1.42157953</v>
      </c>
      <c r="BQ16" s="123">
        <f t="shared" si="37"/>
        <v>-0.3717238412</v>
      </c>
      <c r="BR16" s="124">
        <f t="shared" si="38"/>
        <v>9.809918157</v>
      </c>
      <c r="BS16" s="114">
        <f t="shared" si="39"/>
        <v>0.6688266605</v>
      </c>
      <c r="BT16" s="118">
        <f t="shared" si="40"/>
        <v>6.5611348</v>
      </c>
      <c r="BU16" s="125" t="str">
        <f t="shared" si="41"/>
        <v>Kevin Love</v>
      </c>
      <c r="BV16" s="121">
        <f t="shared" si="42"/>
        <v>0.605</v>
      </c>
      <c r="BW16" s="122">
        <f t="shared" ref="BW16:BX16" si="67">(5-$AV16)/4*BB$7+($AV16-1)/4*BB$8</f>
        <v>-0.3914857993</v>
      </c>
      <c r="BX16" s="122">
        <f t="shared" si="67"/>
        <v>-0.1722537517</v>
      </c>
      <c r="BY16" s="121">
        <f t="shared" ref="BY16:CG16" si="68">(5-$AU16)/4*BD$7+($AU16-1)/4*BD$8</f>
        <v>0.477</v>
      </c>
      <c r="BZ16" s="121">
        <f t="shared" si="68"/>
        <v>0.476</v>
      </c>
      <c r="CA16" s="121">
        <f t="shared" si="68"/>
        <v>-0.8658935491</v>
      </c>
      <c r="CB16" s="121">
        <f t="shared" si="68"/>
        <v>0.4317808151</v>
      </c>
      <c r="CC16" s="121">
        <f t="shared" si="68"/>
        <v>0.09157133021</v>
      </c>
      <c r="CD16" s="121">
        <f t="shared" si="68"/>
        <v>0</v>
      </c>
      <c r="CE16" s="121">
        <f t="shared" si="68"/>
        <v>0.2877806774</v>
      </c>
      <c r="CF16" s="121">
        <f t="shared" si="68"/>
        <v>0.1303823471</v>
      </c>
      <c r="CG16" s="121">
        <f t="shared" si="68"/>
        <v>-0.439</v>
      </c>
      <c r="CH16" s="118">
        <f t="shared" si="45"/>
        <v>6.403633216</v>
      </c>
      <c r="CI16" s="118">
        <f t="shared" si="46"/>
        <v>-1.084479424</v>
      </c>
      <c r="CJ16" s="118">
        <f t="shared" si="47"/>
        <v>2.567114261</v>
      </c>
      <c r="CK16" s="118">
        <f t="shared" si="48"/>
        <v>-1.041471118</v>
      </c>
      <c r="CL16" s="123">
        <f t="shared" si="49"/>
        <v>-0.115242431</v>
      </c>
      <c r="CM16" s="124">
        <f t="shared" si="50"/>
        <v>6.729554504</v>
      </c>
      <c r="CN16" s="114">
        <f t="shared" si="51"/>
        <v>0.6688266605</v>
      </c>
      <c r="CO16" s="118">
        <f t="shared" si="52"/>
        <v>4.500905465</v>
      </c>
      <c r="CP16" s="126" t="str">
        <f t="shared" si="53"/>
        <v>Kevin Love (9th)</v>
      </c>
      <c r="CQ16" s="127">
        <f t="shared" ref="CQ16:CR16" si="69">AU16</f>
        <v>4.787373585</v>
      </c>
      <c r="CR16" s="127">
        <f t="shared" si="69"/>
        <v>2.731994347</v>
      </c>
      <c r="CS16" s="128">
        <f t="shared" si="55"/>
        <v>578</v>
      </c>
      <c r="CT16" s="127">
        <f t="shared" si="56"/>
        <v>32.11111111</v>
      </c>
      <c r="CU16" s="127">
        <f t="shared" si="57"/>
        <v>4.438388811</v>
      </c>
      <c r="CV16" s="127">
        <f t="shared" si="58"/>
        <v>4.209488436</v>
      </c>
      <c r="CW16" s="127">
        <f t="shared" si="59"/>
        <v>0.2289003754</v>
      </c>
      <c r="CX16" s="127">
        <f t="shared" si="60"/>
        <v>2.968512767</v>
      </c>
      <c r="CY16" s="129">
        <f t="shared" si="61"/>
        <v>0.9452559704</v>
      </c>
      <c r="CZ16" s="31"/>
      <c r="DA16" s="31"/>
      <c r="DB16" s="127">
        <f t="array" ref="DB16">if(iserror(index('BPM 2.0 Season CLE 2017'!DU$14:DU$38,(match($B16,'BPM 2.0 Season CLE 2017'!$CU$14:$CU$38,false)))),-4,index('BPM 2.0 Season CLE 2017'!DU$14:DU$38,(match($B16,'BPM 2.0 Season CLE 2017'!$CU$14:$CU$38,false))))</f>
        <v>2.104500115</v>
      </c>
      <c r="DC16" s="127">
        <f t="array" ref="DC16">if(iserror(index('BPM 2.0 Season CLE 2017'!DV$14:DV$38,(match($B16,'BPM 2.0 Season CLE 2017'!$CU$14:$CU$38,false)))),-4,index('BPM 2.0 Season CLE 2017'!DV$14:DV$38,(match($B16,'BPM 2.0 Season CLE 2017'!$CU$14:$CU$38,false))))</f>
        <v>3.324672608</v>
      </c>
      <c r="DD16" s="127">
        <f t="array" ref="DD16">if(iserror(index('BPM 2.0 Season CLE 2017'!DW$14:DW$38,(match($B16,'BPM 2.0 Season CLE 2017'!$CU$14:$CU$38,false)))),-4,index('BPM 2.0 Season CLE 2017'!DW$14:DW$38,(match($B16,'BPM 2.0 Season CLE 2017'!$CU$14:$CU$38,false))))</f>
        <v>-1.220172492</v>
      </c>
      <c r="DE16" s="127">
        <f t="shared" ref="DE16:DG16" si="70">CU16-DB16</f>
        <v>2.333888696</v>
      </c>
      <c r="DF16" s="127">
        <f t="shared" si="70"/>
        <v>0.8848158279</v>
      </c>
      <c r="DG16" s="127">
        <f t="shared" si="70"/>
        <v>1.449072868</v>
      </c>
      <c r="DH16" s="31"/>
    </row>
    <row r="17">
      <c r="A17" s="108">
        <v>4.0</v>
      </c>
      <c r="B17" s="109" t="s">
        <v>145</v>
      </c>
      <c r="C17" s="109">
        <v>25.0</v>
      </c>
      <c r="D17" s="109">
        <v>18.0</v>
      </c>
      <c r="E17" s="109">
        <v>18.0</v>
      </c>
      <c r="F17" s="109">
        <v>562.0</v>
      </c>
      <c r="G17" s="109">
        <v>54.0</v>
      </c>
      <c r="H17" s="109">
        <v>92.0</v>
      </c>
      <c r="I17" s="109">
        <v>0.587</v>
      </c>
      <c r="J17" s="109">
        <v>0.0</v>
      </c>
      <c r="K17" s="109">
        <v>0.0</v>
      </c>
      <c r="L17" s="132"/>
      <c r="M17" s="109">
        <v>54.0</v>
      </c>
      <c r="N17" s="109">
        <v>92.0</v>
      </c>
      <c r="O17" s="109">
        <v>0.587</v>
      </c>
      <c r="P17" s="109">
        <v>0.587</v>
      </c>
      <c r="Q17" s="109">
        <v>40.0</v>
      </c>
      <c r="R17" s="109">
        <v>60.0</v>
      </c>
      <c r="S17" s="109">
        <v>0.667</v>
      </c>
      <c r="T17" s="109">
        <v>69.0</v>
      </c>
      <c r="U17" s="109">
        <v>81.0</v>
      </c>
      <c r="V17" s="109">
        <v>150.0</v>
      </c>
      <c r="W17" s="109">
        <v>26.0</v>
      </c>
      <c r="X17" s="109">
        <v>9.0</v>
      </c>
      <c r="Y17" s="109">
        <v>13.0</v>
      </c>
      <c r="Z17" s="109">
        <v>21.0</v>
      </c>
      <c r="AA17" s="109">
        <v>36.0</v>
      </c>
      <c r="AB17" s="109">
        <v>148.0</v>
      </c>
      <c r="AC17" s="110">
        <f t="shared" si="13"/>
        <v>118.4</v>
      </c>
      <c r="AD17" s="111">
        <f t="shared" si="14"/>
        <v>1.25</v>
      </c>
      <c r="AE17" s="4">
        <f t="shared" si="15"/>
        <v>120.9276858</v>
      </c>
      <c r="AF17" s="110">
        <f t="shared" si="16"/>
        <v>1126.341667</v>
      </c>
      <c r="AG17" s="113">
        <f t="shared" si="17"/>
        <v>10.73632356</v>
      </c>
      <c r="AH17" s="113">
        <f t="shared" si="18"/>
        <v>8.168036638</v>
      </c>
      <c r="AI17" s="113">
        <f t="shared" si="19"/>
        <v>5.326980416</v>
      </c>
      <c r="AJ17" s="113">
        <f t="shared" si="20"/>
        <v>0</v>
      </c>
      <c r="AK17" s="113">
        <f t="shared" si="21"/>
        <v>2.30835818</v>
      </c>
      <c r="AL17" s="113">
        <f t="shared" si="22"/>
        <v>1.864443146</v>
      </c>
      <c r="AM17" s="113">
        <f t="shared" ref="AM17:AO17" si="71">T17/$AF17*100</f>
        <v>6.126027478</v>
      </c>
      <c r="AN17" s="113">
        <f t="shared" si="71"/>
        <v>7.191423562</v>
      </c>
      <c r="AO17" s="113">
        <f t="shared" si="71"/>
        <v>13.31745104</v>
      </c>
      <c r="AP17" s="113">
        <f t="shared" ref="AP17:AQ17" si="72">X17/$AF17*100</f>
        <v>0.7990470624</v>
      </c>
      <c r="AQ17" s="113">
        <f t="shared" si="72"/>
        <v>1.15417909</v>
      </c>
      <c r="AR17" s="113">
        <f t="shared" si="25"/>
        <v>3.19618825</v>
      </c>
      <c r="AS17" s="116" t="str">
        <f t="shared" si="26"/>
        <v>C</v>
      </c>
      <c r="AT17" s="117">
        <f t="shared" si="27"/>
        <v>5</v>
      </c>
      <c r="AU17" s="118">
        <f t="array" ref="AU17">if(iserror(index('BPM 2.0 Season CLE 2017'!$BM$14:$BM$38,match($B17,'BPM 2.0 Season CLE 2017'!$B$14:$B$38,false))),3,index('BPM 2.0 Season CLE 2017'!$BM$14:$BM$38,match($B17,'BPM 2.0 Season CLE 2017'!$B$14:$B$38,false)))</f>
        <v>5</v>
      </c>
      <c r="AV17" s="118">
        <f t="array" ref="AV17">if(iserror(index('BPM 2.0 Season CLE 2017'!$BY$14:$BY$38,match($B17,'BPM 2.0 Season CLE 2017'!$B$14:$B$38,false))),3,index('BPM 2.0 Season CLE 2017'!$BY$14:$BY$38,match($B17,'BPM 2.0 Season CLE 2017'!$B$14:$B$38,false)))</f>
        <v>4.23517601</v>
      </c>
      <c r="AW17" s="214">
        <f t="array" ref="AW17">if(iserror(index('BPM 2.0 Season CLE 2017'!$EC$14:$EC$38,(match($B17,'BPM 2.0 Season CLE 2017'!$CU$14:$CU$38,false)))),-4,index('BPM 2.0 Season CLE 2017'!$EC$14:$EC$38,(match($B17,'BPM 2.0 Season CLE 2017'!$CU$14:$CU$38,false))))</f>
        <v>-0.7307180159</v>
      </c>
      <c r="AX17" s="214">
        <f t="array" ref="AX17">if(iserror(index('BPM 2.0 Season CLE 2017'!$ED$14:$ED$38,(match($B17,'BPM 2.0 Season CLE 2017'!$CU$14:$CU$38,false)))),-4,index('BPM 2.0 Season CLE 2017'!$ED$14:$ED$38,(match($B17,'BPM 2.0 Season CLE 2017'!$CU$14:$CU$38,false))))</f>
        <v>-0.03841868958</v>
      </c>
      <c r="AY17" s="214">
        <f t="shared" si="28"/>
        <v>-0.6922993263</v>
      </c>
      <c r="AZ17" s="61" t="str">
        <f t="shared" si="29"/>
        <v>Tristan Thompson</v>
      </c>
      <c r="BA17" s="121">
        <f t="shared" si="30"/>
        <v>0.86</v>
      </c>
      <c r="BB17" s="122">
        <f t="shared" ref="BB17:BC17" si="73">(5-$AV17)/4*BB$3+($AV17-1)/4*BB$4</f>
        <v>-0.7379346806</v>
      </c>
      <c r="BC17" s="122">
        <f t="shared" si="73"/>
        <v>-0.3246912595</v>
      </c>
      <c r="BD17" s="121">
        <f t="shared" ref="BD17:BL17" si="74">(5-$AU17)/4*BD$3+($AU17-1)/4*BD$4</f>
        <v>0.389</v>
      </c>
      <c r="BE17" s="121">
        <f t="shared" si="74"/>
        <v>1.034</v>
      </c>
      <c r="BF17" s="121">
        <f t="shared" si="74"/>
        <v>-0.964</v>
      </c>
      <c r="BG17" s="121">
        <f t="shared" si="74"/>
        <v>0.181</v>
      </c>
      <c r="BH17" s="121">
        <f t="shared" si="74"/>
        <v>0.181</v>
      </c>
      <c r="BI17" s="121">
        <f t="shared" si="74"/>
        <v>0</v>
      </c>
      <c r="BJ17" s="121">
        <f t="shared" si="74"/>
        <v>1.008</v>
      </c>
      <c r="BK17" s="121">
        <f t="shared" si="74"/>
        <v>0.703</v>
      </c>
      <c r="BL17" s="121">
        <f t="shared" si="74"/>
        <v>-0.367</v>
      </c>
      <c r="BM17" s="118">
        <f t="shared" si="33"/>
        <v>1.476136777</v>
      </c>
      <c r="BN17" s="118">
        <f t="shared" si="34"/>
        <v>0.589519166</v>
      </c>
      <c r="BO17" s="118">
        <f t="shared" si="35"/>
        <v>2.410458638</v>
      </c>
      <c r="BP17" s="118">
        <f t="shared" si="36"/>
        <v>0.4438262517</v>
      </c>
      <c r="BQ17" s="123">
        <f t="shared" si="37"/>
        <v>1.713189126</v>
      </c>
      <c r="BR17" s="124">
        <f t="shared" si="38"/>
        <v>6.63312996</v>
      </c>
      <c r="BS17" s="114">
        <f t="shared" si="39"/>
        <v>0.6503124277</v>
      </c>
      <c r="BT17" s="118">
        <f t="shared" si="40"/>
        <v>4.313606847</v>
      </c>
      <c r="BU17" s="125" t="str">
        <f t="shared" si="41"/>
        <v>Tristan Thompson</v>
      </c>
      <c r="BV17" s="121">
        <f t="shared" si="42"/>
        <v>0.605</v>
      </c>
      <c r="BW17" s="122">
        <f t="shared" ref="BW17:BX17" si="75">(5-$AV17)/4*BB$7+($AV17-1)/4*BB$8</f>
        <v>-0.4448487484</v>
      </c>
      <c r="BX17" s="122">
        <f t="shared" si="75"/>
        <v>-0.1957334493</v>
      </c>
      <c r="BY17" s="121">
        <f t="shared" ref="BY17:CG17" si="76">(5-$AU17)/4*BD$7+($AU17-1)/4*BD$8</f>
        <v>0.477</v>
      </c>
      <c r="BZ17" s="121">
        <f t="shared" si="76"/>
        <v>0.476</v>
      </c>
      <c r="CA17" s="121">
        <f t="shared" si="76"/>
        <v>-0.882</v>
      </c>
      <c r="CB17" s="121">
        <f t="shared" si="76"/>
        <v>0.422</v>
      </c>
      <c r="CC17" s="121">
        <f t="shared" si="76"/>
        <v>0.103</v>
      </c>
      <c r="CD17" s="121">
        <f t="shared" si="76"/>
        <v>0</v>
      </c>
      <c r="CE17" s="121">
        <f t="shared" si="76"/>
        <v>0.294</v>
      </c>
      <c r="CF17" s="121">
        <f t="shared" si="76"/>
        <v>0.097</v>
      </c>
      <c r="CG17" s="121">
        <f t="shared" si="76"/>
        <v>-0.439</v>
      </c>
      <c r="CH17" s="118">
        <f t="shared" si="45"/>
        <v>1.81926663</v>
      </c>
      <c r="CI17" s="118">
        <f t="shared" si="46"/>
        <v>-0.5456603606</v>
      </c>
      <c r="CJ17" s="118">
        <f t="shared" si="47"/>
        <v>3.325900223</v>
      </c>
      <c r="CK17" s="118">
        <f t="shared" si="48"/>
        <v>-1.056251433</v>
      </c>
      <c r="CL17" s="123">
        <f t="shared" si="49"/>
        <v>0.5311256845</v>
      </c>
      <c r="CM17" s="124">
        <f t="shared" si="50"/>
        <v>4.074380743</v>
      </c>
      <c r="CN17" s="114">
        <f t="shared" si="51"/>
        <v>0.6503124277</v>
      </c>
      <c r="CO17" s="118">
        <f t="shared" si="52"/>
        <v>2.649620432</v>
      </c>
      <c r="CP17" s="126" t="str">
        <f t="shared" si="53"/>
        <v>Tristan Thompson (6th)</v>
      </c>
      <c r="CQ17" s="127">
        <f t="shared" ref="CQ17:CR17" si="77">AU17</f>
        <v>5</v>
      </c>
      <c r="CR17" s="127">
        <f t="shared" si="77"/>
        <v>4.23517601</v>
      </c>
      <c r="CS17" s="128">
        <f t="shared" si="55"/>
        <v>562</v>
      </c>
      <c r="CT17" s="127">
        <f t="shared" si="56"/>
        <v>31.22222222</v>
      </c>
      <c r="CU17" s="127">
        <f t="shared" si="57"/>
        <v>1.261600614</v>
      </c>
      <c r="CV17" s="127">
        <f t="shared" si="58"/>
        <v>1.554314675</v>
      </c>
      <c r="CW17" s="127">
        <f t="shared" si="59"/>
        <v>-0.2927140609</v>
      </c>
      <c r="CX17" s="127">
        <f t="shared" si="60"/>
        <v>0.8204345581</v>
      </c>
      <c r="CY17" s="129">
        <f t="shared" si="61"/>
        <v>0.4655984078</v>
      </c>
      <c r="CZ17" s="31"/>
      <c r="DA17" s="31"/>
      <c r="DB17" s="127">
        <f t="array" ref="DB17">if(iserror(index('BPM 2.0 Season CLE 2017'!DU$14:DU$38,(match($B17,'BPM 2.0 Season CLE 2017'!$CU$14:$CU$38,false)))),-4,index('BPM 2.0 Season CLE 2017'!DU$14:DU$38,(match($B17,'BPM 2.0 Season CLE 2017'!$CU$14:$CU$38,false))))</f>
        <v>-0.7307180159</v>
      </c>
      <c r="DC17" s="127">
        <f t="array" ref="DC17">if(iserror(index('BPM 2.0 Season CLE 2017'!DV$14:DV$38,(match($B17,'BPM 2.0 Season CLE 2017'!$CU$14:$CU$38,false)))),-4,index('BPM 2.0 Season CLE 2017'!DV$14:DV$38,(match($B17,'BPM 2.0 Season CLE 2017'!$CU$14:$CU$38,false))))</f>
        <v>-0.03841868958</v>
      </c>
      <c r="DD17" s="127">
        <f t="array" ref="DD17">if(iserror(index('BPM 2.0 Season CLE 2017'!DW$14:DW$38,(match($B17,'BPM 2.0 Season CLE 2017'!$CU$14:$CU$38,false)))),-4,index('BPM 2.0 Season CLE 2017'!DW$14:DW$38,(match($B17,'BPM 2.0 Season CLE 2017'!$CU$14:$CU$38,false))))</f>
        <v>-0.6922993263</v>
      </c>
      <c r="DE17" s="127">
        <f t="shared" ref="DE17:DG17" si="78">CU17-DB17</f>
        <v>1.99231863</v>
      </c>
      <c r="DF17" s="127">
        <f t="shared" si="78"/>
        <v>1.592733365</v>
      </c>
      <c r="DG17" s="127">
        <f t="shared" si="78"/>
        <v>0.3995852654</v>
      </c>
      <c r="DH17" s="31"/>
    </row>
    <row r="18">
      <c r="A18" s="108">
        <v>5.0</v>
      </c>
      <c r="B18" s="109" t="s">
        <v>150</v>
      </c>
      <c r="C18" s="109">
        <v>31.0</v>
      </c>
      <c r="D18" s="109">
        <v>18.0</v>
      </c>
      <c r="E18" s="109">
        <v>18.0</v>
      </c>
      <c r="F18" s="109">
        <v>487.0</v>
      </c>
      <c r="G18" s="109">
        <v>50.0</v>
      </c>
      <c r="H18" s="109">
        <v>99.0</v>
      </c>
      <c r="I18" s="109">
        <v>0.505</v>
      </c>
      <c r="J18" s="109">
        <v>40.0</v>
      </c>
      <c r="K18" s="109">
        <v>80.0</v>
      </c>
      <c r="L18" s="109">
        <v>0.5</v>
      </c>
      <c r="M18" s="109">
        <v>10.0</v>
      </c>
      <c r="N18" s="109">
        <v>19.0</v>
      </c>
      <c r="O18" s="109">
        <v>0.526</v>
      </c>
      <c r="P18" s="109">
        <v>0.707</v>
      </c>
      <c r="Q18" s="109">
        <v>5.0</v>
      </c>
      <c r="R18" s="109">
        <v>11.0</v>
      </c>
      <c r="S18" s="109">
        <v>0.455</v>
      </c>
      <c r="T18" s="109">
        <v>5.0</v>
      </c>
      <c r="U18" s="109">
        <v>37.0</v>
      </c>
      <c r="V18" s="109">
        <v>42.0</v>
      </c>
      <c r="W18" s="109">
        <v>13.0</v>
      </c>
      <c r="X18" s="109">
        <v>13.0</v>
      </c>
      <c r="Y18" s="109">
        <v>6.0</v>
      </c>
      <c r="Z18" s="109">
        <v>12.0</v>
      </c>
      <c r="AA18" s="109">
        <v>41.0</v>
      </c>
      <c r="AB18" s="109">
        <v>145.0</v>
      </c>
      <c r="AC18" s="110">
        <f t="shared" si="13"/>
        <v>103.84</v>
      </c>
      <c r="AD18" s="111">
        <f t="shared" si="14"/>
        <v>1.396379045</v>
      </c>
      <c r="AE18" s="4">
        <f t="shared" si="15"/>
        <v>121.2568487</v>
      </c>
      <c r="AF18" s="110">
        <f t="shared" si="16"/>
        <v>976.0291667</v>
      </c>
      <c r="AG18" s="113">
        <f t="shared" si="17"/>
        <v>12.42348619</v>
      </c>
      <c r="AH18" s="113">
        <f t="shared" si="18"/>
        <v>10.14313951</v>
      </c>
      <c r="AI18" s="113">
        <f t="shared" si="19"/>
        <v>1.127015501</v>
      </c>
      <c r="AJ18" s="113">
        <f t="shared" si="20"/>
        <v>4.098238184</v>
      </c>
      <c r="AK18" s="113">
        <f t="shared" si="21"/>
        <v>1.33192741</v>
      </c>
      <c r="AL18" s="113">
        <f t="shared" si="22"/>
        <v>1.229471455</v>
      </c>
      <c r="AM18" s="113">
        <f t="shared" ref="AM18:AO18" si="79">T18/$AF18*100</f>
        <v>0.5122797731</v>
      </c>
      <c r="AN18" s="113">
        <f t="shared" si="79"/>
        <v>3.790870321</v>
      </c>
      <c r="AO18" s="113">
        <f t="shared" si="79"/>
        <v>4.303150094</v>
      </c>
      <c r="AP18" s="113">
        <f t="shared" ref="AP18:AQ18" si="80">X18/$AF18*100</f>
        <v>1.33192741</v>
      </c>
      <c r="AQ18" s="113">
        <f t="shared" si="80"/>
        <v>0.6147357277</v>
      </c>
      <c r="AR18" s="113">
        <f t="shared" si="25"/>
        <v>4.200694139</v>
      </c>
      <c r="AS18" s="116" t="str">
        <f t="shared" si="26"/>
        <v>SG</v>
      </c>
      <c r="AT18" s="117">
        <f t="shared" si="27"/>
        <v>2</v>
      </c>
      <c r="AU18" s="118">
        <f t="array" ref="AU18">if(iserror(index('BPM 2.0 Season CLE 2017'!$BM$14:$BM$38,match($B18,'BPM 2.0 Season CLE 2017'!$B$14:$B$38,false))),3,index('BPM 2.0 Season CLE 2017'!$BM$14:$BM$38,match($B18,'BPM 2.0 Season CLE 2017'!$B$14:$B$38,false)))</f>
        <v>2.242219601</v>
      </c>
      <c r="AV18" s="118">
        <f t="array" ref="AV18">if(iserror(index('BPM 2.0 Season CLE 2017'!$BY$14:$BY$38,match($B18,'BPM 2.0 Season CLE 2017'!$B$14:$B$38,false))),3,index('BPM 2.0 Season CLE 2017'!$BY$14:$BY$38,match($B18,'BPM 2.0 Season CLE 2017'!$B$14:$B$38,false)))</f>
        <v>4.455903067</v>
      </c>
      <c r="AW18" s="214">
        <f t="array" ref="AW18">if(iserror(index('BPM 2.0 Season CLE 2017'!$EC$14:$EC$38,(match($B18,'BPM 2.0 Season CLE 2017'!$CU$14:$CU$38,false)))),-4,index('BPM 2.0 Season CLE 2017'!$EC$14:$EC$38,(match($B18,'BPM 2.0 Season CLE 2017'!$CU$14:$CU$38,false))))</f>
        <v>-2.369228306</v>
      </c>
      <c r="AX18" s="214">
        <f t="array" ref="AX18">if(iserror(index('BPM 2.0 Season CLE 2017'!$ED$14:$ED$38,(match($B18,'BPM 2.0 Season CLE 2017'!$CU$14:$CU$38,false)))),-4,index('BPM 2.0 Season CLE 2017'!$ED$14:$ED$38,(match($B18,'BPM 2.0 Season CLE 2017'!$CU$14:$CU$38,false))))</f>
        <v>-2.100406998</v>
      </c>
      <c r="AY18" s="214">
        <f t="shared" si="28"/>
        <v>-0.2688213076</v>
      </c>
      <c r="AZ18" s="61" t="str">
        <f t="shared" si="29"/>
        <v>J.R. Smith</v>
      </c>
      <c r="BA18" s="121">
        <f t="shared" si="30"/>
        <v>0.86</v>
      </c>
      <c r="BB18" s="122">
        <f t="shared" ref="BB18:BC18" si="81">(5-$AV18)/4*BB$3+($AV18-1)/4*BB$4</f>
        <v>-0.7500746687</v>
      </c>
      <c r="BC18" s="122">
        <f t="shared" si="81"/>
        <v>-0.3300328542</v>
      </c>
      <c r="BD18" s="121">
        <f t="shared" ref="BD18:BL18" si="82">(5-$AU18)/4*BD$3+($AU18-1)/4*BD$4</f>
        <v>0.389</v>
      </c>
      <c r="BE18" s="121">
        <f t="shared" si="82"/>
        <v>0.7209919247</v>
      </c>
      <c r="BF18" s="121">
        <f t="shared" si="82"/>
        <v>-0.964</v>
      </c>
      <c r="BG18" s="121">
        <f t="shared" si="82"/>
        <v>0.4788402831</v>
      </c>
      <c r="BH18" s="121">
        <f t="shared" si="82"/>
        <v>0.1361860685</v>
      </c>
      <c r="BI18" s="121">
        <f t="shared" si="82"/>
        <v>0</v>
      </c>
      <c r="BJ18" s="121">
        <f t="shared" si="82"/>
        <v>1.256889681</v>
      </c>
      <c r="BK18" s="121">
        <f t="shared" si="82"/>
        <v>1.133213742</v>
      </c>
      <c r="BL18" s="121">
        <f t="shared" si="82"/>
        <v>-0.367</v>
      </c>
      <c r="BM18" s="118">
        <f t="shared" si="33"/>
        <v>4.29834863</v>
      </c>
      <c r="BN18" s="118">
        <f t="shared" si="34"/>
        <v>-0.2249015761</v>
      </c>
      <c r="BO18" s="118">
        <f t="shared" si="35"/>
        <v>0.7615639168</v>
      </c>
      <c r="BP18" s="118">
        <f t="shared" si="36"/>
        <v>0.8290580429</v>
      </c>
      <c r="BQ18" s="123">
        <f t="shared" si="37"/>
        <v>1.70940537</v>
      </c>
      <c r="BR18" s="124">
        <f t="shared" si="38"/>
        <v>7.373474384</v>
      </c>
      <c r="BS18" s="114">
        <f t="shared" si="39"/>
        <v>0.5635269614</v>
      </c>
      <c r="BT18" s="118">
        <f t="shared" si="40"/>
        <v>4.155151614</v>
      </c>
      <c r="BU18" s="125" t="str">
        <f t="shared" si="41"/>
        <v>J.R. Smith</v>
      </c>
      <c r="BV18" s="121">
        <f t="shared" si="42"/>
        <v>0.605</v>
      </c>
      <c r="BW18" s="122">
        <f t="shared" ref="BW18:BX18" si="83">(5-$AV18)/4*BB$7+($AV18-1)/4*BB$8</f>
        <v>-0.4526845589</v>
      </c>
      <c r="BX18" s="122">
        <f t="shared" si="83"/>
        <v>-0.1991812059</v>
      </c>
      <c r="BY18" s="121">
        <f t="shared" ref="BY18:CG18" si="84">(5-$AU18)/4*BD$7+($AU18-1)/4*BD$8</f>
        <v>0.477</v>
      </c>
      <c r="BZ18" s="121">
        <f t="shared" si="84"/>
        <v>0.476</v>
      </c>
      <c r="CA18" s="121">
        <f t="shared" si="84"/>
        <v>-0.6730981347</v>
      </c>
      <c r="CB18" s="121">
        <f t="shared" si="84"/>
        <v>0.5488578984</v>
      </c>
      <c r="CC18" s="121">
        <f t="shared" si="84"/>
        <v>-0.04523069647</v>
      </c>
      <c r="CD18" s="121">
        <f t="shared" si="84"/>
        <v>0</v>
      </c>
      <c r="CE18" s="121">
        <f t="shared" si="84"/>
        <v>0.2133349233</v>
      </c>
      <c r="CF18" s="121">
        <f t="shared" si="84"/>
        <v>0.5299715227</v>
      </c>
      <c r="CG18" s="121">
        <f t="shared" si="84"/>
        <v>-0.439</v>
      </c>
      <c r="CH18" s="118">
        <f t="shared" si="45"/>
        <v>4.654945819</v>
      </c>
      <c r="CI18" s="118">
        <f t="shared" si="46"/>
        <v>-0.1935574962</v>
      </c>
      <c r="CJ18" s="118">
        <f t="shared" si="47"/>
        <v>0.1097050948</v>
      </c>
      <c r="CK18" s="118">
        <f t="shared" si="48"/>
        <v>-1.234165666</v>
      </c>
      <c r="CL18" s="123">
        <f t="shared" si="49"/>
        <v>-0.01731724037</v>
      </c>
      <c r="CM18" s="124">
        <f t="shared" si="50"/>
        <v>3.319610512</v>
      </c>
      <c r="CN18" s="114">
        <f t="shared" si="51"/>
        <v>0.5635269614</v>
      </c>
      <c r="CO18" s="118">
        <f t="shared" si="52"/>
        <v>1.870690025</v>
      </c>
      <c r="CP18" s="126" t="str">
        <f t="shared" si="53"/>
        <v>J.R. Smith (13th)</v>
      </c>
      <c r="CQ18" s="127">
        <f t="shared" ref="CQ18:CR18" si="85">AU18</f>
        <v>2.242219601</v>
      </c>
      <c r="CR18" s="127">
        <f t="shared" si="85"/>
        <v>4.455903067</v>
      </c>
      <c r="CS18" s="128">
        <f t="shared" si="55"/>
        <v>487</v>
      </c>
      <c r="CT18" s="127">
        <f t="shared" si="56"/>
        <v>27.05555556</v>
      </c>
      <c r="CU18" s="127">
        <f t="shared" si="57"/>
        <v>2.001945039</v>
      </c>
      <c r="CV18" s="127">
        <f t="shared" si="58"/>
        <v>0.799544444</v>
      </c>
      <c r="CW18" s="127">
        <f t="shared" si="59"/>
        <v>1.202400594</v>
      </c>
      <c r="CX18" s="127">
        <f t="shared" si="60"/>
        <v>1.128150004</v>
      </c>
      <c r="CY18" s="129">
        <f t="shared" si="61"/>
        <v>0.4950447645</v>
      </c>
      <c r="CZ18" s="31"/>
      <c r="DA18" s="31"/>
      <c r="DB18" s="127">
        <f t="array" ref="DB18">if(iserror(index('BPM 2.0 Season CLE 2017'!DU$14:DU$38,(match($B18,'BPM 2.0 Season CLE 2017'!$CU$14:$CU$38,false)))),-4,index('BPM 2.0 Season CLE 2017'!DU$14:DU$38,(match($B18,'BPM 2.0 Season CLE 2017'!$CU$14:$CU$38,false))))</f>
        <v>-2.369228306</v>
      </c>
      <c r="DC18" s="127">
        <f t="array" ref="DC18">if(iserror(index('BPM 2.0 Season CLE 2017'!DV$14:DV$38,(match($B18,'BPM 2.0 Season CLE 2017'!$CU$14:$CU$38,false)))),-4,index('BPM 2.0 Season CLE 2017'!DV$14:DV$38,(match($B18,'BPM 2.0 Season CLE 2017'!$CU$14:$CU$38,false))))</f>
        <v>-2.100406998</v>
      </c>
      <c r="DD18" s="127">
        <f t="array" ref="DD18">if(iserror(index('BPM 2.0 Season CLE 2017'!DW$14:DW$38,(match($B18,'BPM 2.0 Season CLE 2017'!$CU$14:$CU$38,false)))),-4,index('BPM 2.0 Season CLE 2017'!DW$14:DW$38,(match($B18,'BPM 2.0 Season CLE 2017'!$CU$14:$CU$38,false))))</f>
        <v>-0.2688213076</v>
      </c>
      <c r="DE18" s="127">
        <f t="shared" ref="DE18:DG18" si="86">CU18-DB18</f>
        <v>4.371173344</v>
      </c>
      <c r="DF18" s="127">
        <f t="shared" si="86"/>
        <v>2.899951442</v>
      </c>
      <c r="DG18" s="127">
        <f t="shared" si="86"/>
        <v>1.471221902</v>
      </c>
      <c r="DH18" s="31"/>
    </row>
    <row r="19">
      <c r="A19" s="108">
        <v>6.0</v>
      </c>
      <c r="B19" s="109" t="s">
        <v>151</v>
      </c>
      <c r="C19" s="109">
        <v>35.0</v>
      </c>
      <c r="D19" s="109">
        <v>18.0</v>
      </c>
      <c r="E19" s="109">
        <v>0.0</v>
      </c>
      <c r="F19" s="109">
        <v>326.0</v>
      </c>
      <c r="G19" s="109">
        <v>34.0</v>
      </c>
      <c r="H19" s="109">
        <v>80.0</v>
      </c>
      <c r="I19" s="109">
        <v>0.425</v>
      </c>
      <c r="J19" s="109">
        <v>27.0</v>
      </c>
      <c r="K19" s="109">
        <v>69.0</v>
      </c>
      <c r="L19" s="109">
        <v>0.391</v>
      </c>
      <c r="M19" s="109">
        <v>7.0</v>
      </c>
      <c r="N19" s="109">
        <v>11.0</v>
      </c>
      <c r="O19" s="109">
        <v>0.636</v>
      </c>
      <c r="P19" s="109">
        <v>0.594</v>
      </c>
      <c r="Q19" s="109">
        <v>10.0</v>
      </c>
      <c r="R19" s="109">
        <v>10.0</v>
      </c>
      <c r="S19" s="109">
        <v>1.0</v>
      </c>
      <c r="T19" s="109">
        <v>2.0</v>
      </c>
      <c r="U19" s="109">
        <v>28.0</v>
      </c>
      <c r="V19" s="109">
        <v>30.0</v>
      </c>
      <c r="W19" s="109">
        <v>13.0</v>
      </c>
      <c r="X19" s="109">
        <v>7.0</v>
      </c>
      <c r="Y19" s="109">
        <v>5.0</v>
      </c>
      <c r="Z19" s="109">
        <v>7.0</v>
      </c>
      <c r="AA19" s="109">
        <v>22.0</v>
      </c>
      <c r="AB19" s="109">
        <v>105.0</v>
      </c>
      <c r="AC19" s="110">
        <f t="shared" si="13"/>
        <v>84.4</v>
      </c>
      <c r="AD19" s="111">
        <f t="shared" si="14"/>
        <v>1.244075829</v>
      </c>
      <c r="AE19" s="4">
        <f t="shared" si="15"/>
        <v>85.70183006</v>
      </c>
      <c r="AF19" s="110">
        <f t="shared" si="16"/>
        <v>653.3583333</v>
      </c>
      <c r="AG19" s="113">
        <f t="shared" si="17"/>
        <v>13.11712512</v>
      </c>
      <c r="AH19" s="113">
        <f t="shared" si="18"/>
        <v>12.24442942</v>
      </c>
      <c r="AI19" s="113">
        <f t="shared" si="19"/>
        <v>1.530553678</v>
      </c>
      <c r="AJ19" s="113">
        <f t="shared" si="20"/>
        <v>4.13249493</v>
      </c>
      <c r="AK19" s="113">
        <f t="shared" si="21"/>
        <v>1.989719781</v>
      </c>
      <c r="AL19" s="113">
        <f t="shared" si="22"/>
        <v>1.071387574</v>
      </c>
      <c r="AM19" s="113">
        <f t="shared" ref="AM19:AO19" si="87">T19/$AF19*100</f>
        <v>0.3061107356</v>
      </c>
      <c r="AN19" s="113">
        <f t="shared" si="87"/>
        <v>4.285550298</v>
      </c>
      <c r="AO19" s="113">
        <f t="shared" si="87"/>
        <v>4.591661033</v>
      </c>
      <c r="AP19" s="113">
        <f t="shared" ref="AP19:AQ19" si="88">X19/$AF19*100</f>
        <v>1.071387574</v>
      </c>
      <c r="AQ19" s="113">
        <f t="shared" si="88"/>
        <v>0.7652768389</v>
      </c>
      <c r="AR19" s="113">
        <f t="shared" si="25"/>
        <v>3.367218091</v>
      </c>
      <c r="AS19" s="116" t="str">
        <f t="shared" si="26"/>
        <v>SG</v>
      </c>
      <c r="AT19" s="117">
        <f t="shared" si="27"/>
        <v>2</v>
      </c>
      <c r="AU19" s="118">
        <f t="array" ref="AU19">if(iserror(index('BPM 2.0 Season CLE 2017'!$BM$14:$BM$38,match($B19,'BPM 2.0 Season CLE 2017'!$B$14:$B$38,false))),3,index('BPM 2.0 Season CLE 2017'!$BM$14:$BM$38,match($B19,'BPM 2.0 Season CLE 2017'!$B$14:$B$38,false)))</f>
        <v>2.85506101</v>
      </c>
      <c r="AV19" s="118">
        <f t="array" ref="AV19">if(iserror(index('BPM 2.0 Season CLE 2017'!$BY$14:$BY$38,match($B19,'BPM 2.0 Season CLE 2017'!$B$14:$B$38,false))),3,index('BPM 2.0 Season CLE 2017'!$BY$14:$BY$38,match($B19,'BPM 2.0 Season CLE 2017'!$B$14:$B$38,false)))</f>
        <v>3.032126157</v>
      </c>
      <c r="AW19" s="214">
        <f t="array" ref="AW19">if(iserror(index('BPM 2.0 Season CLE 2017'!$EC$14:$EC$38,(match($B19,'BPM 2.0 Season CLE 2017'!$CU$14:$CU$38,false)))),-4,index('BPM 2.0 Season CLE 2017'!$EC$14:$EC$38,(match($B19,'BPM 2.0 Season CLE 2017'!$CU$14:$CU$38,false))))</f>
        <v>0.7820299763</v>
      </c>
      <c r="AX19" s="214">
        <f t="array" ref="AX19">if(iserror(index('BPM 2.0 Season CLE 2017'!$ED$14:$ED$38,(match($B19,'BPM 2.0 Season CLE 2017'!$CU$14:$CU$38,false)))),-4,index('BPM 2.0 Season CLE 2017'!$ED$14:$ED$38,(match($B19,'BPM 2.0 Season CLE 2017'!$CU$14:$CU$38,false))))</f>
        <v>1.985332474</v>
      </c>
      <c r="AY19" s="214">
        <f t="shared" si="28"/>
        <v>-1.203302498</v>
      </c>
      <c r="AZ19" s="61" t="str">
        <f t="shared" si="29"/>
        <v>Kyle Korver</v>
      </c>
      <c r="BA19" s="121">
        <f t="shared" si="30"/>
        <v>0.86</v>
      </c>
      <c r="BB19" s="122">
        <f t="shared" ref="BB19:BC19" si="89">(5-$AV19)/4*BB$3+($AV19-1)/4*BB$4</f>
        <v>-0.6717669386</v>
      </c>
      <c r="BC19" s="122">
        <f t="shared" si="89"/>
        <v>-0.295577453</v>
      </c>
      <c r="BD19" s="121">
        <f t="shared" ref="BD19:BL19" si="90">(5-$AU19)/4*BD$3+($AU19-1)/4*BD$4</f>
        <v>0.389</v>
      </c>
      <c r="BE19" s="121">
        <f t="shared" si="90"/>
        <v>0.7905494246</v>
      </c>
      <c r="BF19" s="121">
        <f t="shared" si="90"/>
        <v>-0.964</v>
      </c>
      <c r="BG19" s="121">
        <f t="shared" si="90"/>
        <v>0.4126534109</v>
      </c>
      <c r="BH19" s="121">
        <f t="shared" si="90"/>
        <v>0.1461447414</v>
      </c>
      <c r="BI19" s="121">
        <f t="shared" si="90"/>
        <v>0</v>
      </c>
      <c r="BJ19" s="121">
        <f t="shared" si="90"/>
        <v>1.201580744</v>
      </c>
      <c r="BK19" s="121">
        <f t="shared" si="90"/>
        <v>1.037610482</v>
      </c>
      <c r="BL19" s="121">
        <f t="shared" si="90"/>
        <v>-0.367</v>
      </c>
      <c r="BM19" s="118">
        <f t="shared" si="33"/>
        <v>4.210468104</v>
      </c>
      <c r="BN19" s="118">
        <f t="shared" si="34"/>
        <v>0.5401542063</v>
      </c>
      <c r="BO19" s="118">
        <f t="shared" si="35"/>
        <v>0.7526282792</v>
      </c>
      <c r="BP19" s="118">
        <f t="shared" si="36"/>
        <v>0.8456489093</v>
      </c>
      <c r="BQ19" s="123">
        <f t="shared" si="37"/>
        <v>-0.01472106755</v>
      </c>
      <c r="BR19" s="124">
        <f t="shared" si="38"/>
        <v>6.334178431</v>
      </c>
      <c r="BS19" s="114">
        <f t="shared" si="39"/>
        <v>0.3772274936</v>
      </c>
      <c r="BT19" s="118">
        <f t="shared" si="40"/>
        <v>2.389426254</v>
      </c>
      <c r="BU19" s="125" t="str">
        <f t="shared" si="41"/>
        <v>Kyle Korver</v>
      </c>
      <c r="BV19" s="121">
        <f t="shared" si="42"/>
        <v>0.605</v>
      </c>
      <c r="BW19" s="122">
        <f t="shared" ref="BW19:BX19" si="91">(5-$AV19)/4*BB$7+($AV19-1)/4*BB$8</f>
        <v>-0.4021404786</v>
      </c>
      <c r="BX19" s="122">
        <f t="shared" si="91"/>
        <v>-0.1769418106</v>
      </c>
      <c r="BY19" s="121">
        <f t="shared" ref="BY19:CG19" si="92">(5-$AU19)/4*BD$7+($AU19-1)/4*BD$8</f>
        <v>0.477</v>
      </c>
      <c r="BZ19" s="121">
        <f t="shared" si="92"/>
        <v>0.476</v>
      </c>
      <c r="CA19" s="121">
        <f t="shared" si="92"/>
        <v>-0.7195208715</v>
      </c>
      <c r="CB19" s="121">
        <f t="shared" si="92"/>
        <v>0.5206671935</v>
      </c>
      <c r="CC19" s="121">
        <f t="shared" si="92"/>
        <v>-0.01229047072</v>
      </c>
      <c r="CD19" s="121">
        <f t="shared" si="92"/>
        <v>0</v>
      </c>
      <c r="CE19" s="121">
        <f t="shared" si="92"/>
        <v>0.2312605345</v>
      </c>
      <c r="CF19" s="121">
        <f t="shared" si="92"/>
        <v>0.4337554215</v>
      </c>
      <c r="CG19" s="121">
        <f t="shared" si="92"/>
        <v>-0.439</v>
      </c>
      <c r="CH19" s="118">
        <f t="shared" si="45"/>
        <v>4.712261132</v>
      </c>
      <c r="CI19" s="118">
        <f t="shared" si="46"/>
        <v>0.1762208945</v>
      </c>
      <c r="CJ19" s="118">
        <f t="shared" si="47"/>
        <v>0.1067103871</v>
      </c>
      <c r="CK19" s="118">
        <f t="shared" si="48"/>
        <v>-0.8984961011</v>
      </c>
      <c r="CL19" s="123">
        <f t="shared" si="49"/>
        <v>-0.1092389553</v>
      </c>
      <c r="CM19" s="124">
        <f t="shared" si="50"/>
        <v>3.987457357</v>
      </c>
      <c r="CN19" s="114">
        <f t="shared" si="51"/>
        <v>0.3772274936</v>
      </c>
      <c r="CO19" s="118">
        <f t="shared" si="52"/>
        <v>1.504178545</v>
      </c>
      <c r="CP19" s="126" t="str">
        <f t="shared" si="53"/>
        <v>Kyle Korver (14th)</v>
      </c>
      <c r="CQ19" s="127">
        <f t="shared" ref="CQ19:CR19" si="93">AU19</f>
        <v>2.85506101</v>
      </c>
      <c r="CR19" s="127">
        <f t="shared" si="93"/>
        <v>3.032126157</v>
      </c>
      <c r="CS19" s="128">
        <f t="shared" si="55"/>
        <v>326</v>
      </c>
      <c r="CT19" s="127">
        <f t="shared" si="56"/>
        <v>18.11111111</v>
      </c>
      <c r="CU19" s="127">
        <f t="shared" si="57"/>
        <v>0.9626490856</v>
      </c>
      <c r="CV19" s="127">
        <f t="shared" si="58"/>
        <v>1.467391289</v>
      </c>
      <c r="CW19" s="127">
        <f t="shared" si="59"/>
        <v>-0.5047422035</v>
      </c>
      <c r="CX19" s="127">
        <f t="shared" si="60"/>
        <v>0.3631377018</v>
      </c>
      <c r="CY19" s="129">
        <f t="shared" si="61"/>
        <v>0.2453252244</v>
      </c>
      <c r="CZ19" s="31"/>
      <c r="DA19" s="31"/>
      <c r="DB19" s="127">
        <f t="array" ref="DB19">if(iserror(index('BPM 2.0 Season CLE 2017'!DU$14:DU$38,(match($B19,'BPM 2.0 Season CLE 2017'!$CU$14:$CU$38,false)))),-4,index('BPM 2.0 Season CLE 2017'!DU$14:DU$38,(match($B19,'BPM 2.0 Season CLE 2017'!$CU$14:$CU$38,false))))</f>
        <v>0.7820299763</v>
      </c>
      <c r="DC19" s="127">
        <f t="array" ref="DC19">if(iserror(index('BPM 2.0 Season CLE 2017'!DV$14:DV$38,(match($B19,'BPM 2.0 Season CLE 2017'!$CU$14:$CU$38,false)))),-4,index('BPM 2.0 Season CLE 2017'!DV$14:DV$38,(match($B19,'BPM 2.0 Season CLE 2017'!$CU$14:$CU$38,false))))</f>
        <v>1.985332474</v>
      </c>
      <c r="DD19" s="127">
        <f t="array" ref="DD19">if(iserror(index('BPM 2.0 Season CLE 2017'!DW$14:DW$38,(match($B19,'BPM 2.0 Season CLE 2017'!$CU$14:$CU$38,false)))),-4,index('BPM 2.0 Season CLE 2017'!DW$14:DW$38,(match($B19,'BPM 2.0 Season CLE 2017'!$CU$14:$CU$38,false))))</f>
        <v>-1.203302498</v>
      </c>
      <c r="DE19" s="127">
        <f t="shared" ref="DE19:DG19" si="94">CU19-DB19</f>
        <v>0.1806191093</v>
      </c>
      <c r="DF19" s="127">
        <f t="shared" si="94"/>
        <v>-0.5179411852</v>
      </c>
      <c r="DG19" s="127">
        <f t="shared" si="94"/>
        <v>0.6985602944</v>
      </c>
      <c r="DH19" s="31"/>
    </row>
    <row r="20">
      <c r="A20" s="108">
        <v>7.0</v>
      </c>
      <c r="B20" s="109" t="s">
        <v>146</v>
      </c>
      <c r="C20" s="109">
        <v>26.0</v>
      </c>
      <c r="D20" s="109">
        <v>17.0</v>
      </c>
      <c r="E20" s="109">
        <v>0.0</v>
      </c>
      <c r="F20" s="109">
        <v>275.0</v>
      </c>
      <c r="G20" s="109">
        <v>25.0</v>
      </c>
      <c r="H20" s="109">
        <v>60.0</v>
      </c>
      <c r="I20" s="109">
        <v>0.417</v>
      </c>
      <c r="J20" s="109">
        <v>10.0</v>
      </c>
      <c r="K20" s="109">
        <v>26.0</v>
      </c>
      <c r="L20" s="109">
        <v>0.385</v>
      </c>
      <c r="M20" s="109">
        <v>15.0</v>
      </c>
      <c r="N20" s="109">
        <v>34.0</v>
      </c>
      <c r="O20" s="109">
        <v>0.441</v>
      </c>
      <c r="P20" s="109">
        <v>0.5</v>
      </c>
      <c r="Q20" s="109">
        <v>14.0</v>
      </c>
      <c r="R20" s="109">
        <v>17.0</v>
      </c>
      <c r="S20" s="109">
        <v>0.824</v>
      </c>
      <c r="T20" s="109">
        <v>6.0</v>
      </c>
      <c r="U20" s="109">
        <v>41.0</v>
      </c>
      <c r="V20" s="109">
        <v>47.0</v>
      </c>
      <c r="W20" s="109">
        <v>16.0</v>
      </c>
      <c r="X20" s="109">
        <v>10.0</v>
      </c>
      <c r="Y20" s="109">
        <v>3.0</v>
      </c>
      <c r="Z20" s="109">
        <v>6.0</v>
      </c>
      <c r="AA20" s="109">
        <v>32.0</v>
      </c>
      <c r="AB20" s="109">
        <v>74.0</v>
      </c>
      <c r="AC20" s="110">
        <f t="shared" si="13"/>
        <v>67.48</v>
      </c>
      <c r="AD20" s="111">
        <f t="shared" si="14"/>
        <v>1.096621221</v>
      </c>
      <c r="AE20" s="4">
        <f t="shared" si="15"/>
        <v>58.5706101</v>
      </c>
      <c r="AF20" s="110">
        <f t="shared" si="16"/>
        <v>551.1458333</v>
      </c>
      <c r="AG20" s="113">
        <f t="shared" si="17"/>
        <v>10.62706212</v>
      </c>
      <c r="AH20" s="113">
        <f t="shared" si="18"/>
        <v>10.88641089</v>
      </c>
      <c r="AI20" s="113">
        <f t="shared" si="19"/>
        <v>3.084483084</v>
      </c>
      <c r="AJ20" s="113">
        <f t="shared" si="20"/>
        <v>1.814401814</v>
      </c>
      <c r="AK20" s="113">
        <f t="shared" si="21"/>
        <v>2.903042903</v>
      </c>
      <c r="AL20" s="113">
        <f t="shared" si="22"/>
        <v>1.088641089</v>
      </c>
      <c r="AM20" s="113">
        <f t="shared" ref="AM20:AO20" si="95">T20/$AF20*100</f>
        <v>1.088641089</v>
      </c>
      <c r="AN20" s="113">
        <f t="shared" si="95"/>
        <v>7.439047439</v>
      </c>
      <c r="AO20" s="113">
        <f t="shared" si="95"/>
        <v>8.527688528</v>
      </c>
      <c r="AP20" s="113">
        <f t="shared" ref="AP20:AQ20" si="96">X20/$AF20*100</f>
        <v>1.814401814</v>
      </c>
      <c r="AQ20" s="113">
        <f t="shared" si="96"/>
        <v>0.5443205443</v>
      </c>
      <c r="AR20" s="113">
        <f t="shared" si="25"/>
        <v>5.806085806</v>
      </c>
      <c r="AS20" s="116" t="str">
        <f t="shared" si="26"/>
        <v>SG</v>
      </c>
      <c r="AT20" s="117">
        <f t="shared" si="27"/>
        <v>2</v>
      </c>
      <c r="AU20" s="118">
        <f t="array" ref="AU20">if(iserror(index('BPM 2.0 Season CLE 2017'!$BM$14:$BM$38,match($B20,'BPM 2.0 Season CLE 2017'!$B$14:$B$38,false))),3,index('BPM 2.0 Season CLE 2017'!$BM$14:$BM$38,match($B20,'BPM 2.0 Season CLE 2017'!$B$14:$B$38,false)))</f>
        <v>2.535916713</v>
      </c>
      <c r="AV20" s="118">
        <f t="array" ref="AV20">if(iserror(index('BPM 2.0 Season CLE 2017'!$BY$14:$BY$38,match($B20,'BPM 2.0 Season CLE 2017'!$B$14:$B$38,false))),3,index('BPM 2.0 Season CLE 2017'!$BY$14:$BY$38,match($B20,'BPM 2.0 Season CLE 2017'!$B$14:$B$38,false)))</f>
        <v>4.101519955</v>
      </c>
      <c r="AW20" s="214">
        <f t="array" ref="AW20">if(iserror(index('BPM 2.0 Season CLE 2017'!$EC$14:$EC$38,(match($B20,'BPM 2.0 Season CLE 2017'!$CU$14:$CU$38,false)))),-4,index('BPM 2.0 Season CLE 2017'!$EC$14:$EC$38,(match($B20,'BPM 2.0 Season CLE 2017'!$CU$14:$CU$38,false))))</f>
        <v>-2.355905334</v>
      </c>
      <c r="AX20" s="214">
        <f t="array" ref="AX20">if(iserror(index('BPM 2.0 Season CLE 2017'!$ED$14:$ED$38,(match($B20,'BPM 2.0 Season CLE 2017'!$CU$14:$CU$38,false)))),-4,index('BPM 2.0 Season CLE 2017'!$ED$14:$ED$38,(match($B20,'BPM 2.0 Season CLE 2017'!$CU$14:$CU$38,false))))</f>
        <v>-2.340748248</v>
      </c>
      <c r="AY20" s="214">
        <f t="shared" si="28"/>
        <v>-0.01515708618</v>
      </c>
      <c r="AZ20" s="61" t="str">
        <f t="shared" si="29"/>
        <v>Iman Shumpert</v>
      </c>
      <c r="BA20" s="121">
        <f t="shared" si="30"/>
        <v>0.86</v>
      </c>
      <c r="BB20" s="122">
        <f t="shared" ref="BB20:BC20" si="97">(5-$AV20)/4*BB$3+($AV20-1)/4*BB$4</f>
        <v>-0.7305835975</v>
      </c>
      <c r="BC20" s="122">
        <f t="shared" si="97"/>
        <v>-0.3214567829</v>
      </c>
      <c r="BD20" s="121">
        <f t="shared" ref="BD20:BL20" si="98">(5-$AU20)/4*BD$3+($AU20-1)/4*BD$4</f>
        <v>0.389</v>
      </c>
      <c r="BE20" s="121">
        <f t="shared" si="98"/>
        <v>0.7543265469</v>
      </c>
      <c r="BF20" s="121">
        <f t="shared" si="98"/>
        <v>-0.964</v>
      </c>
      <c r="BG20" s="121">
        <f t="shared" si="98"/>
        <v>0.447120995</v>
      </c>
      <c r="BH20" s="121">
        <f t="shared" si="98"/>
        <v>0.1409586466</v>
      </c>
      <c r="BI20" s="121">
        <f t="shared" si="98"/>
        <v>0</v>
      </c>
      <c r="BJ20" s="121">
        <f t="shared" si="98"/>
        <v>1.230383517</v>
      </c>
      <c r="BK20" s="121">
        <f t="shared" si="98"/>
        <v>1.087396993</v>
      </c>
      <c r="BL20" s="121">
        <f t="shared" si="98"/>
        <v>-0.367</v>
      </c>
      <c r="BM20" s="118">
        <f t="shared" si="33"/>
        <v>0.9001144927</v>
      </c>
      <c r="BN20" s="118">
        <f t="shared" si="34"/>
        <v>1.140392319</v>
      </c>
      <c r="BO20" s="118">
        <f t="shared" si="35"/>
        <v>1.535352346</v>
      </c>
      <c r="BP20" s="118">
        <f t="shared" si="36"/>
        <v>0.6934691172</v>
      </c>
      <c r="BQ20" s="123">
        <f t="shared" si="37"/>
        <v>1.337998113</v>
      </c>
      <c r="BR20" s="124">
        <f t="shared" si="38"/>
        <v>5.607326388</v>
      </c>
      <c r="BS20" s="114">
        <f t="shared" si="39"/>
        <v>0.3182133765</v>
      </c>
      <c r="BT20" s="118">
        <f t="shared" si="40"/>
        <v>1.784326263</v>
      </c>
      <c r="BU20" s="125" t="str">
        <f t="shared" si="41"/>
        <v>Iman Shumpert</v>
      </c>
      <c r="BV20" s="121">
        <f t="shared" si="42"/>
        <v>0.605</v>
      </c>
      <c r="BW20" s="122">
        <f t="shared" ref="BW20:BX20" si="99">(5-$AV20)/4*BB$7+($AV20-1)/4*BB$8</f>
        <v>-0.4401039584</v>
      </c>
      <c r="BX20" s="122">
        <f t="shared" si="99"/>
        <v>-0.1936457417</v>
      </c>
      <c r="BY20" s="121">
        <f t="shared" ref="BY20:CG20" si="100">(5-$AU20)/4*BD$7+($AU20-1)/4*BD$8</f>
        <v>0.477</v>
      </c>
      <c r="BZ20" s="121">
        <f t="shared" si="100"/>
        <v>0.476</v>
      </c>
      <c r="CA20" s="121">
        <f t="shared" si="100"/>
        <v>-0.695345691</v>
      </c>
      <c r="CB20" s="121">
        <f t="shared" si="100"/>
        <v>0.5353478312</v>
      </c>
      <c r="CC20" s="121">
        <f t="shared" si="100"/>
        <v>-0.02944447669</v>
      </c>
      <c r="CD20" s="121">
        <f t="shared" si="100"/>
        <v>0</v>
      </c>
      <c r="CE20" s="121">
        <f t="shared" si="100"/>
        <v>0.2219255638</v>
      </c>
      <c r="CF20" s="121">
        <f t="shared" si="100"/>
        <v>0.4838610761</v>
      </c>
      <c r="CG20" s="121">
        <f t="shared" si="100"/>
        <v>-0.439</v>
      </c>
      <c r="CH20" s="118">
        <f t="shared" si="45"/>
        <v>1.906392711</v>
      </c>
      <c r="CI20" s="118">
        <f t="shared" si="46"/>
        <v>0.6248665318</v>
      </c>
      <c r="CJ20" s="118">
        <f t="shared" si="47"/>
        <v>0.3637627869</v>
      </c>
      <c r="CK20" s="118">
        <f t="shared" si="48"/>
        <v>-1.882833999</v>
      </c>
      <c r="CL20" s="123">
        <f t="shared" si="49"/>
        <v>0.07964686989</v>
      </c>
      <c r="CM20" s="124">
        <f t="shared" si="50"/>
        <v>1.091834901</v>
      </c>
      <c r="CN20" s="114">
        <f t="shared" si="51"/>
        <v>0.3182133765</v>
      </c>
      <c r="CO20" s="118">
        <f t="shared" si="52"/>
        <v>0.3474364705</v>
      </c>
      <c r="CP20" s="126" t="str">
        <f t="shared" si="53"/>
        <v>Iman Shumpert (6th)</v>
      </c>
      <c r="CQ20" s="127">
        <f t="shared" ref="CQ20:CR20" si="101">AU20</f>
        <v>2.535916713</v>
      </c>
      <c r="CR20" s="127">
        <f t="shared" si="101"/>
        <v>4.101519955</v>
      </c>
      <c r="CS20" s="128">
        <f t="shared" si="55"/>
        <v>275</v>
      </c>
      <c r="CT20" s="127">
        <f t="shared" si="56"/>
        <v>16.17647059</v>
      </c>
      <c r="CU20" s="127">
        <f t="shared" si="57"/>
        <v>0.2357970425</v>
      </c>
      <c r="CV20" s="127">
        <f t="shared" si="58"/>
        <v>-1.428231167</v>
      </c>
      <c r="CW20" s="127">
        <f t="shared" si="59"/>
        <v>1.66402821</v>
      </c>
      <c r="CX20" s="127">
        <f t="shared" si="60"/>
        <v>0.07503377308</v>
      </c>
      <c r="CY20" s="129">
        <f t="shared" si="61"/>
        <v>0.1561742618</v>
      </c>
      <c r="CZ20" s="31"/>
      <c r="DA20" s="31"/>
      <c r="DB20" s="127">
        <f t="array" ref="DB20">if(iserror(index('BPM 2.0 Season CLE 2017'!DU$14:DU$38,(match($B20,'BPM 2.0 Season CLE 2017'!$CU$14:$CU$38,false)))),-4,index('BPM 2.0 Season CLE 2017'!DU$14:DU$38,(match($B20,'BPM 2.0 Season CLE 2017'!$CU$14:$CU$38,false))))</f>
        <v>-2.355905334</v>
      </c>
      <c r="DC20" s="127">
        <f t="array" ref="DC20">if(iserror(index('BPM 2.0 Season CLE 2017'!DV$14:DV$38,(match($B20,'BPM 2.0 Season CLE 2017'!$CU$14:$CU$38,false)))),-4,index('BPM 2.0 Season CLE 2017'!DV$14:DV$38,(match($B20,'BPM 2.0 Season CLE 2017'!$CU$14:$CU$38,false))))</f>
        <v>-2.340748248</v>
      </c>
      <c r="DD20" s="127">
        <f t="array" ref="DD20">if(iserror(index('BPM 2.0 Season CLE 2017'!DW$14:DW$38,(match($B20,'BPM 2.0 Season CLE 2017'!$CU$14:$CU$38,false)))),-4,index('BPM 2.0 Season CLE 2017'!DW$14:DW$38,(match($B20,'BPM 2.0 Season CLE 2017'!$CU$14:$CU$38,false))))</f>
        <v>-0.01515708618</v>
      </c>
      <c r="DE20" s="127">
        <f t="shared" ref="DE20:DG20" si="102">CU20-DB20</f>
        <v>2.591702377</v>
      </c>
      <c r="DF20" s="127">
        <f t="shared" si="102"/>
        <v>0.9125170811</v>
      </c>
      <c r="DG20" s="127">
        <f t="shared" si="102"/>
        <v>1.679185296</v>
      </c>
      <c r="DH20" s="31"/>
    </row>
    <row r="21">
      <c r="A21" s="108">
        <v>8.0</v>
      </c>
      <c r="B21" s="109" t="s">
        <v>153</v>
      </c>
      <c r="C21" s="109">
        <v>32.0</v>
      </c>
      <c r="D21" s="109">
        <v>18.0</v>
      </c>
      <c r="E21" s="109">
        <v>0.0</v>
      </c>
      <c r="F21" s="109">
        <v>262.0</v>
      </c>
      <c r="G21" s="109">
        <v>28.0</v>
      </c>
      <c r="H21" s="109">
        <v>64.0</v>
      </c>
      <c r="I21" s="109">
        <v>0.438</v>
      </c>
      <c r="J21" s="109">
        <v>12.0</v>
      </c>
      <c r="K21" s="109">
        <v>31.0</v>
      </c>
      <c r="L21" s="109">
        <v>0.387</v>
      </c>
      <c r="M21" s="109">
        <v>16.0</v>
      </c>
      <c r="N21" s="109">
        <v>33.0</v>
      </c>
      <c r="O21" s="109">
        <v>0.485</v>
      </c>
      <c r="P21" s="109">
        <v>0.531</v>
      </c>
      <c r="Q21" s="109">
        <v>10.0</v>
      </c>
      <c r="R21" s="109">
        <v>11.0</v>
      </c>
      <c r="S21" s="109">
        <v>0.909</v>
      </c>
      <c r="T21" s="109">
        <v>3.0</v>
      </c>
      <c r="U21" s="109">
        <v>20.0</v>
      </c>
      <c r="V21" s="109">
        <v>23.0</v>
      </c>
      <c r="W21" s="109">
        <v>38.0</v>
      </c>
      <c r="X21" s="109">
        <v>10.0</v>
      </c>
      <c r="Y21" s="109">
        <v>1.0</v>
      </c>
      <c r="Z21" s="109">
        <v>17.0</v>
      </c>
      <c r="AA21" s="109">
        <v>29.0</v>
      </c>
      <c r="AB21" s="109">
        <v>78.0</v>
      </c>
      <c r="AC21" s="110">
        <f t="shared" si="13"/>
        <v>68.84</v>
      </c>
      <c r="AD21" s="111">
        <f t="shared" si="14"/>
        <v>1.133062173</v>
      </c>
      <c r="AE21" s="4">
        <f t="shared" si="15"/>
        <v>62.25964433</v>
      </c>
      <c r="AF21" s="110">
        <f t="shared" si="16"/>
        <v>525.0916667</v>
      </c>
      <c r="AG21" s="113">
        <f t="shared" si="17"/>
        <v>11.85690962</v>
      </c>
      <c r="AH21" s="113">
        <f t="shared" si="18"/>
        <v>12.18834807</v>
      </c>
      <c r="AI21" s="113">
        <f t="shared" si="19"/>
        <v>2.094872324</v>
      </c>
      <c r="AJ21" s="113">
        <f t="shared" si="20"/>
        <v>2.285315262</v>
      </c>
      <c r="AK21" s="113">
        <f t="shared" si="21"/>
        <v>7.236831664</v>
      </c>
      <c r="AL21" s="113">
        <f t="shared" si="22"/>
        <v>3.237529955</v>
      </c>
      <c r="AM21" s="113">
        <f t="shared" ref="AM21:AO21" si="103">T21/$AF21*100</f>
        <v>0.5713288156</v>
      </c>
      <c r="AN21" s="113">
        <f t="shared" si="103"/>
        <v>3.808858771</v>
      </c>
      <c r="AO21" s="113">
        <f t="shared" si="103"/>
        <v>4.380187586</v>
      </c>
      <c r="AP21" s="113">
        <f t="shared" ref="AP21:AQ21" si="104">X21/$AF21*100</f>
        <v>1.904429385</v>
      </c>
      <c r="AQ21" s="113">
        <f t="shared" si="104"/>
        <v>0.1904429385</v>
      </c>
      <c r="AR21" s="113">
        <f t="shared" si="25"/>
        <v>5.522845218</v>
      </c>
      <c r="AS21" s="116" t="str">
        <f t="shared" si="26"/>
        <v>PG</v>
      </c>
      <c r="AT21" s="117">
        <f t="shared" si="27"/>
        <v>1</v>
      </c>
      <c r="AU21" s="118">
        <f t="array" ref="AU21">if(iserror(index('BPM 2.0 Season CLE 2017'!$BM$14:$BM$38,match($B21,'BPM 2.0 Season CLE 2017'!$B$14:$B$38,false))),3,index('BPM 2.0 Season CLE 2017'!$BM$14:$BM$38,match($B21,'BPM 2.0 Season CLE 2017'!$B$14:$B$38,false)))</f>
        <v>1.713311616</v>
      </c>
      <c r="AV21" s="118">
        <f t="array" ref="AV21">if(iserror(index('BPM 2.0 Season CLE 2017'!$BY$14:$BY$38,match($B21,'BPM 2.0 Season CLE 2017'!$B$14:$B$38,false))),3,index('BPM 2.0 Season CLE 2017'!$BY$14:$BY$38,match($B21,'BPM 2.0 Season CLE 2017'!$B$14:$B$38,false)))</f>
        <v>2.137872911</v>
      </c>
      <c r="AW21" s="214">
        <f t="array" ref="AW21">if(iserror(index('BPM 2.0 Season CLE 2017'!$EC$14:$EC$38,(match($B21,'BPM 2.0 Season CLE 2017'!$CU$14:$CU$38,false)))),-4,index('BPM 2.0 Season CLE 2017'!$EC$14:$EC$38,(match($B21,'BPM 2.0 Season CLE 2017'!$CU$14:$CU$38,false))))</f>
        <v>-2.848605443</v>
      </c>
      <c r="AX21" s="214">
        <f t="array" ref="AX21">if(iserror(index('BPM 2.0 Season CLE 2017'!$ED$14:$ED$38,(match($B21,'BPM 2.0 Season CLE 2017'!$CU$14:$CU$38,false)))),-4,index('BPM 2.0 Season CLE 2017'!$ED$14:$ED$38,(match($B21,'BPM 2.0 Season CLE 2017'!$CU$14:$CU$38,false))))</f>
        <v>-1.346322252</v>
      </c>
      <c r="AY21" s="214">
        <f t="shared" si="28"/>
        <v>-1.502283191</v>
      </c>
      <c r="AZ21" s="61" t="str">
        <f t="shared" si="29"/>
        <v>Deron Williams</v>
      </c>
      <c r="BA21" s="121">
        <f t="shared" si="30"/>
        <v>0.86</v>
      </c>
      <c r="BB21" s="122">
        <f t="shared" ref="BB21:BC21" si="105">(5-$AV21)/4*BB$3+($AV21-1)/4*BB$4</f>
        <v>-0.6225830101</v>
      </c>
      <c r="BC21" s="122">
        <f t="shared" si="105"/>
        <v>-0.2739365244</v>
      </c>
      <c r="BD21" s="121">
        <f t="shared" ref="BD21:BL21" si="106">(5-$AU21)/4*BD$3+($AU21-1)/4*BD$4</f>
        <v>0.389</v>
      </c>
      <c r="BE21" s="121">
        <f t="shared" si="106"/>
        <v>0.6609608684</v>
      </c>
      <c r="BF21" s="121">
        <f t="shared" si="106"/>
        <v>-0.964</v>
      </c>
      <c r="BG21" s="121">
        <f t="shared" si="106"/>
        <v>0.5359623455</v>
      </c>
      <c r="BH21" s="121">
        <f t="shared" si="106"/>
        <v>0.1275913138</v>
      </c>
      <c r="BI21" s="121">
        <f t="shared" si="106"/>
        <v>0</v>
      </c>
      <c r="BJ21" s="121">
        <f t="shared" si="106"/>
        <v>1.304623627</v>
      </c>
      <c r="BK21" s="121">
        <f t="shared" si="106"/>
        <v>1.215723388</v>
      </c>
      <c r="BL21" s="121">
        <f t="shared" si="106"/>
        <v>-0.367</v>
      </c>
      <c r="BM21" s="118">
        <f t="shared" si="33"/>
        <v>2.923809437</v>
      </c>
      <c r="BN21" s="118">
        <f t="shared" si="34"/>
        <v>1.662283664</v>
      </c>
      <c r="BO21" s="118">
        <f t="shared" si="35"/>
        <v>0.7921880265</v>
      </c>
      <c r="BP21" s="118">
        <f t="shared" si="36"/>
        <v>0.6892053111</v>
      </c>
      <c r="BQ21" s="123">
        <f t="shared" si="37"/>
        <v>-1.722025822</v>
      </c>
      <c r="BR21" s="124">
        <f t="shared" si="38"/>
        <v>4.345460618</v>
      </c>
      <c r="BS21" s="114">
        <f t="shared" si="39"/>
        <v>0.3031705624</v>
      </c>
      <c r="BT21" s="118">
        <f t="shared" si="40"/>
        <v>1.317415739</v>
      </c>
      <c r="BU21" s="125" t="str">
        <f t="shared" si="41"/>
        <v>Deron Williams</v>
      </c>
      <c r="BV21" s="121">
        <f t="shared" si="42"/>
        <v>0.605</v>
      </c>
      <c r="BW21" s="122">
        <f t="shared" ref="BW21:BX21" si="107">(5-$AV21)/4*BB$7+($AV21-1)/4*BB$8</f>
        <v>-0.3703944883</v>
      </c>
      <c r="BX21" s="122">
        <f t="shared" si="107"/>
        <v>-0.1629735749</v>
      </c>
      <c r="BY21" s="121">
        <f t="shared" ref="BY21:CG21" si="108">(5-$AU21)/4*BD$7+($AU21-1)/4*BD$8</f>
        <v>0.477</v>
      </c>
      <c r="BZ21" s="121">
        <f t="shared" si="108"/>
        <v>0.476</v>
      </c>
      <c r="CA21" s="121">
        <f t="shared" si="108"/>
        <v>-0.6330333549</v>
      </c>
      <c r="CB21" s="121">
        <f t="shared" si="108"/>
        <v>0.5731876657</v>
      </c>
      <c r="CC21" s="121">
        <f t="shared" si="108"/>
        <v>-0.07365950066</v>
      </c>
      <c r="CD21" s="121">
        <f t="shared" si="108"/>
        <v>0</v>
      </c>
      <c r="CE21" s="121">
        <f t="shared" si="108"/>
        <v>0.1978643648</v>
      </c>
      <c r="CF21" s="121">
        <f t="shared" si="108"/>
        <v>0.6130100763</v>
      </c>
      <c r="CG21" s="121">
        <f t="shared" si="108"/>
        <v>-0.439</v>
      </c>
      <c r="CH21" s="118">
        <f t="shared" si="45"/>
        <v>3.407619922</v>
      </c>
      <c r="CI21" s="118">
        <f t="shared" si="46"/>
        <v>1.395267423</v>
      </c>
      <c r="CJ21" s="118">
        <f t="shared" si="47"/>
        <v>0.04691999503</v>
      </c>
      <c r="CK21" s="118">
        <f t="shared" si="48"/>
        <v>-1.9309669</v>
      </c>
      <c r="CL21" s="123">
        <f t="shared" si="49"/>
        <v>-1.463113087</v>
      </c>
      <c r="CM21" s="124">
        <f t="shared" si="50"/>
        <v>1.455727354</v>
      </c>
      <c r="CN21" s="114">
        <f t="shared" si="51"/>
        <v>0.3031705624</v>
      </c>
      <c r="CO21" s="118">
        <f t="shared" si="52"/>
        <v>0.4413336804</v>
      </c>
      <c r="CP21" s="126" t="str">
        <f t="shared" si="53"/>
        <v>Deron Williams (12th)</v>
      </c>
      <c r="CQ21" s="127">
        <f t="shared" ref="CQ21:CR21" si="109">AU21</f>
        <v>1.713311616</v>
      </c>
      <c r="CR21" s="127">
        <f t="shared" si="109"/>
        <v>2.137872911</v>
      </c>
      <c r="CS21" s="128">
        <f t="shared" si="55"/>
        <v>262</v>
      </c>
      <c r="CT21" s="127">
        <f t="shared" si="56"/>
        <v>14.55555556</v>
      </c>
      <c r="CU21" s="127">
        <f t="shared" si="57"/>
        <v>-1.026068728</v>
      </c>
      <c r="CV21" s="127">
        <f t="shared" si="58"/>
        <v>-1.064338715</v>
      </c>
      <c r="CW21" s="127">
        <f t="shared" si="59"/>
        <v>0.03826998661</v>
      </c>
      <c r="CX21" s="127">
        <f t="shared" si="60"/>
        <v>-0.3110738333</v>
      </c>
      <c r="CY21" s="129">
        <f t="shared" si="61"/>
        <v>0.0648147713</v>
      </c>
      <c r="CZ21" s="31"/>
      <c r="DA21" s="31"/>
      <c r="DB21" s="127">
        <f t="array" ref="DB21">if(iserror(index('BPM 2.0 Season CLE 2017'!DU$14:DU$38,(match($B21,'BPM 2.0 Season CLE 2017'!$CU$14:$CU$38,false)))),-4,index('BPM 2.0 Season CLE 2017'!DU$14:DU$38,(match($B21,'BPM 2.0 Season CLE 2017'!$CU$14:$CU$38,false))))</f>
        <v>-2.848605443</v>
      </c>
      <c r="DC21" s="127">
        <f t="array" ref="DC21">if(iserror(index('BPM 2.0 Season CLE 2017'!DV$14:DV$38,(match($B21,'BPM 2.0 Season CLE 2017'!$CU$14:$CU$38,false)))),-4,index('BPM 2.0 Season CLE 2017'!DV$14:DV$38,(match($B21,'BPM 2.0 Season CLE 2017'!$CU$14:$CU$38,false))))</f>
        <v>-1.346322252</v>
      </c>
      <c r="DD21" s="127">
        <f t="array" ref="DD21">if(iserror(index('BPM 2.0 Season CLE 2017'!DW$14:DW$38,(match($B21,'BPM 2.0 Season CLE 2017'!$CU$14:$CU$38,false)))),-4,index('BPM 2.0 Season CLE 2017'!DW$14:DW$38,(match($B21,'BPM 2.0 Season CLE 2017'!$CU$14:$CU$38,false))))</f>
        <v>-1.502283191</v>
      </c>
      <c r="DE21" s="127">
        <f t="shared" ref="DE21:DG21" si="110">CU21-DB21</f>
        <v>1.822536715</v>
      </c>
      <c r="DF21" s="127">
        <f t="shared" si="110"/>
        <v>0.2819835379</v>
      </c>
      <c r="DG21" s="127">
        <f t="shared" si="110"/>
        <v>1.540553178</v>
      </c>
      <c r="DH21" s="31"/>
    </row>
    <row r="22">
      <c r="A22" s="108">
        <v>9.0</v>
      </c>
      <c r="B22" s="109" t="s">
        <v>148</v>
      </c>
      <c r="C22" s="109">
        <v>36.0</v>
      </c>
      <c r="D22" s="109">
        <v>14.0</v>
      </c>
      <c r="E22" s="109">
        <v>0.0</v>
      </c>
      <c r="F22" s="109">
        <v>179.0</v>
      </c>
      <c r="G22" s="109">
        <v>16.0</v>
      </c>
      <c r="H22" s="109">
        <v>38.0</v>
      </c>
      <c r="I22" s="109">
        <v>0.421</v>
      </c>
      <c r="J22" s="109">
        <v>5.0</v>
      </c>
      <c r="K22" s="109">
        <v>19.0</v>
      </c>
      <c r="L22" s="109">
        <v>0.263</v>
      </c>
      <c r="M22" s="109">
        <v>11.0</v>
      </c>
      <c r="N22" s="109">
        <v>19.0</v>
      </c>
      <c r="O22" s="109">
        <v>0.579</v>
      </c>
      <c r="P22" s="109">
        <v>0.487</v>
      </c>
      <c r="Q22" s="109">
        <v>18.0</v>
      </c>
      <c r="R22" s="109">
        <v>28.0</v>
      </c>
      <c r="S22" s="109">
        <v>0.643</v>
      </c>
      <c r="T22" s="109">
        <v>10.0</v>
      </c>
      <c r="U22" s="109">
        <v>15.0</v>
      </c>
      <c r="V22" s="109">
        <v>25.0</v>
      </c>
      <c r="W22" s="109">
        <v>7.0</v>
      </c>
      <c r="X22" s="109">
        <v>2.0</v>
      </c>
      <c r="Y22" s="109">
        <v>3.0</v>
      </c>
      <c r="Z22" s="109">
        <v>8.0</v>
      </c>
      <c r="AA22" s="109">
        <v>30.0</v>
      </c>
      <c r="AB22" s="109">
        <v>55.0</v>
      </c>
      <c r="AC22" s="110">
        <f t="shared" si="13"/>
        <v>50.32</v>
      </c>
      <c r="AD22" s="111">
        <f t="shared" si="14"/>
        <v>1.093004769</v>
      </c>
      <c r="AE22" s="4">
        <f t="shared" si="15"/>
        <v>43.49426645</v>
      </c>
      <c r="AF22" s="110">
        <f t="shared" si="16"/>
        <v>358.7458333</v>
      </c>
      <c r="AG22" s="113">
        <f t="shared" si="17"/>
        <v>12.12397815</v>
      </c>
      <c r="AH22" s="113">
        <f t="shared" si="18"/>
        <v>10.59245752</v>
      </c>
      <c r="AI22" s="113">
        <f t="shared" si="19"/>
        <v>7.804968699</v>
      </c>
      <c r="AJ22" s="113">
        <f t="shared" si="20"/>
        <v>1.393744411</v>
      </c>
      <c r="AK22" s="113">
        <f t="shared" si="21"/>
        <v>1.951242175</v>
      </c>
      <c r="AL22" s="113">
        <f t="shared" si="22"/>
        <v>2.229991057</v>
      </c>
      <c r="AM22" s="113">
        <f t="shared" ref="AM22:AO22" si="111">T22/$AF22*100</f>
        <v>2.787488821</v>
      </c>
      <c r="AN22" s="113">
        <f t="shared" si="111"/>
        <v>4.181233232</v>
      </c>
      <c r="AO22" s="113">
        <f t="shared" si="111"/>
        <v>6.968722053</v>
      </c>
      <c r="AP22" s="113">
        <f t="shared" ref="AP22:AQ22" si="112">X22/$AF22*100</f>
        <v>0.5574977642</v>
      </c>
      <c r="AQ22" s="113">
        <f t="shared" si="112"/>
        <v>0.8362466463</v>
      </c>
      <c r="AR22" s="113">
        <f t="shared" si="25"/>
        <v>8.362466463</v>
      </c>
      <c r="AS22" s="116" t="str">
        <f t="shared" si="26"/>
        <v>SF</v>
      </c>
      <c r="AT22" s="117">
        <f t="shared" si="27"/>
        <v>3</v>
      </c>
      <c r="AU22" s="118">
        <f t="array" ref="AU22">if(iserror(index('BPM 2.0 Season CLE 2017'!$BM$14:$BM$38,match($B22,'BPM 2.0 Season CLE 2017'!$B$14:$B$38,false))),3,index('BPM 2.0 Season CLE 2017'!$BM$14:$BM$38,match($B22,'BPM 2.0 Season CLE 2017'!$B$14:$B$38,false)))</f>
        <v>2.919503981</v>
      </c>
      <c r="AV22" s="118">
        <f t="array" ref="AV22">if(iserror(index('BPM 2.0 Season CLE 2017'!$BY$14:$BY$38,match($B22,'BPM 2.0 Season CLE 2017'!$B$14:$B$38,false))),3,index('BPM 2.0 Season CLE 2017'!$BY$14:$BY$38,match($B22,'BPM 2.0 Season CLE 2017'!$B$14:$B$38,false)))</f>
        <v>4.075036524</v>
      </c>
      <c r="AW22" s="214">
        <f t="array" ref="AW22">if(iserror(index('BPM 2.0 Season CLE 2017'!$EC$14:$EC$38,(match($B22,'BPM 2.0 Season CLE 2017'!$CU$14:$CU$38,false)))),-4,index('BPM 2.0 Season CLE 2017'!$EC$14:$EC$38,(match($B22,'BPM 2.0 Season CLE 2017'!$CU$14:$CU$38,false))))</f>
        <v>-3.244123068</v>
      </c>
      <c r="AX22" s="214">
        <f t="array" ref="AX22">if(iserror(index('BPM 2.0 Season CLE 2017'!$ED$14:$ED$38,(match($B22,'BPM 2.0 Season CLE 2017'!$CU$14:$CU$38,false)))),-4,index('BPM 2.0 Season CLE 2017'!$ED$14:$ED$38,(match($B22,'BPM 2.0 Season CLE 2017'!$CU$14:$CU$38,false))))</f>
        <v>-2.595575832</v>
      </c>
      <c r="AY22" s="214">
        <f t="shared" si="28"/>
        <v>-0.6485472358</v>
      </c>
      <c r="AZ22" s="61" t="str">
        <f t="shared" si="29"/>
        <v>Richard Jefferson</v>
      </c>
      <c r="BA22" s="121">
        <f t="shared" si="30"/>
        <v>0.86</v>
      </c>
      <c r="BB22" s="122">
        <f t="shared" ref="BB22:BC22" si="113">(5-$AV22)/4*BB$3+($AV22-1)/4*BB$4</f>
        <v>-0.7291270088</v>
      </c>
      <c r="BC22" s="122">
        <f t="shared" si="113"/>
        <v>-0.3208158839</v>
      </c>
      <c r="BD22" s="121">
        <f t="shared" ref="BD22:BL22" si="114">(5-$AU22)/4*BD$3+($AU22-1)/4*BD$4</f>
        <v>0.389</v>
      </c>
      <c r="BE22" s="121">
        <f t="shared" si="114"/>
        <v>0.7978637018</v>
      </c>
      <c r="BF22" s="121">
        <f t="shared" si="114"/>
        <v>-0.964</v>
      </c>
      <c r="BG22" s="121">
        <f t="shared" si="114"/>
        <v>0.4056935701</v>
      </c>
      <c r="BH22" s="121">
        <f t="shared" si="114"/>
        <v>0.1471919397</v>
      </c>
      <c r="BI22" s="121">
        <f t="shared" si="114"/>
        <v>0</v>
      </c>
      <c r="BJ22" s="121">
        <f t="shared" si="114"/>
        <v>1.195764766</v>
      </c>
      <c r="BK22" s="121">
        <f t="shared" si="114"/>
        <v>1.027557379</v>
      </c>
      <c r="BL22" s="121">
        <f t="shared" si="114"/>
        <v>-0.367</v>
      </c>
      <c r="BM22" s="118">
        <f t="shared" si="33"/>
        <v>0.7415829863</v>
      </c>
      <c r="BN22" s="118">
        <f t="shared" si="34"/>
        <v>-0.5928860741</v>
      </c>
      <c r="BO22" s="118">
        <f t="shared" si="35"/>
        <v>1.746310121</v>
      </c>
      <c r="BP22" s="118">
        <f t="shared" si="36"/>
        <v>-1.543097596</v>
      </c>
      <c r="BQ22" s="123">
        <f t="shared" si="37"/>
        <v>1.458152787</v>
      </c>
      <c r="BR22" s="124">
        <f t="shared" si="38"/>
        <v>1.810062223</v>
      </c>
      <c r="BS22" s="114">
        <f t="shared" si="39"/>
        <v>0.2071279796</v>
      </c>
      <c r="BT22" s="118">
        <f t="shared" si="40"/>
        <v>0.3749145314</v>
      </c>
      <c r="BU22" s="125" t="str">
        <f t="shared" si="41"/>
        <v>Richard Jefferson</v>
      </c>
      <c r="BV22" s="121">
        <f t="shared" si="42"/>
        <v>0.605</v>
      </c>
      <c r="BW22" s="122">
        <f t="shared" ref="BW22:BX22" si="115">(5-$AV22)/4*BB$7+($AV22-1)/4*BB$8</f>
        <v>-0.4391637966</v>
      </c>
      <c r="BX22" s="122">
        <f t="shared" si="115"/>
        <v>-0.1932320705</v>
      </c>
      <c r="BY22" s="121">
        <f t="shared" ref="BY22:CG22" si="116">(5-$AU22)/4*BD$7+($AU22-1)/4*BD$8</f>
        <v>0.477</v>
      </c>
      <c r="BZ22" s="121">
        <f t="shared" si="116"/>
        <v>0.476</v>
      </c>
      <c r="CA22" s="121">
        <f t="shared" si="116"/>
        <v>-0.7244024265</v>
      </c>
      <c r="CB22" s="121">
        <f t="shared" si="116"/>
        <v>0.5177028169</v>
      </c>
      <c r="CC22" s="121">
        <f t="shared" si="116"/>
        <v>-0.008826661037</v>
      </c>
      <c r="CD22" s="121">
        <f t="shared" si="116"/>
        <v>0</v>
      </c>
      <c r="CE22" s="121">
        <f t="shared" si="116"/>
        <v>0.2331454914</v>
      </c>
      <c r="CF22" s="121">
        <f t="shared" si="116"/>
        <v>0.423637875</v>
      </c>
      <c r="CG22" s="121">
        <f t="shared" si="116"/>
        <v>-0.439</v>
      </c>
      <c r="CH22" s="118">
        <f t="shared" si="45"/>
        <v>1.839828743</v>
      </c>
      <c r="CI22" s="118">
        <f t="shared" si="46"/>
        <v>-0.6866196576</v>
      </c>
      <c r="CJ22" s="118">
        <f t="shared" si="47"/>
        <v>1.406184486</v>
      </c>
      <c r="CK22" s="118">
        <f t="shared" si="48"/>
        <v>-3.186878935</v>
      </c>
      <c r="CL22" s="123">
        <f t="shared" si="49"/>
        <v>0.3939245849</v>
      </c>
      <c r="CM22" s="124">
        <f t="shared" si="50"/>
        <v>-0.2335607778</v>
      </c>
      <c r="CN22" s="114">
        <f t="shared" si="51"/>
        <v>0.2071279796</v>
      </c>
      <c r="CO22" s="118">
        <f t="shared" si="52"/>
        <v>-0.04837697202</v>
      </c>
      <c r="CP22" s="126" t="str">
        <f t="shared" si="53"/>
        <v>Richard Jefferson (16th)</v>
      </c>
      <c r="CQ22" s="127">
        <f t="shared" ref="CQ22:CR22" si="117">AU22</f>
        <v>2.919503981</v>
      </c>
      <c r="CR22" s="127">
        <f t="shared" si="117"/>
        <v>4.075036524</v>
      </c>
      <c r="CS22" s="128">
        <f t="shared" si="55"/>
        <v>179</v>
      </c>
      <c r="CT22" s="127">
        <f t="shared" si="56"/>
        <v>12.78571429</v>
      </c>
      <c r="CU22" s="127">
        <f t="shared" si="57"/>
        <v>-3.561467122</v>
      </c>
      <c r="CV22" s="127">
        <f t="shared" si="58"/>
        <v>-2.753626846</v>
      </c>
      <c r="CW22" s="127">
        <f t="shared" si="59"/>
        <v>-0.8078402762</v>
      </c>
      <c r="CX22" s="127">
        <f t="shared" si="60"/>
        <v>-0.7376794895</v>
      </c>
      <c r="CY22" s="129">
        <f t="shared" si="61"/>
        <v>-0.07099540908</v>
      </c>
      <c r="CZ22" s="31"/>
      <c r="DA22" s="31"/>
      <c r="DB22" s="127">
        <f t="array" ref="DB22">if(iserror(index('BPM 2.0 Season CLE 2017'!DU$14:DU$38,(match($B22,'BPM 2.0 Season CLE 2017'!$CU$14:$CU$38,false)))),-4,index('BPM 2.0 Season CLE 2017'!DU$14:DU$38,(match($B22,'BPM 2.0 Season CLE 2017'!$CU$14:$CU$38,false))))</f>
        <v>-3.244123068</v>
      </c>
      <c r="DC22" s="127">
        <f t="array" ref="DC22">if(iserror(index('BPM 2.0 Season CLE 2017'!DV$14:DV$38,(match($B22,'BPM 2.0 Season CLE 2017'!$CU$14:$CU$38,false)))),-4,index('BPM 2.0 Season CLE 2017'!DV$14:DV$38,(match($B22,'BPM 2.0 Season CLE 2017'!$CU$14:$CU$38,false))))</f>
        <v>-2.595575832</v>
      </c>
      <c r="DD22" s="127">
        <f t="array" ref="DD22">if(iserror(index('BPM 2.0 Season CLE 2017'!DW$14:DW$38,(match($B22,'BPM 2.0 Season CLE 2017'!$CU$14:$CU$38,false)))),-4,index('BPM 2.0 Season CLE 2017'!DW$14:DW$38,(match($B22,'BPM 2.0 Season CLE 2017'!$CU$14:$CU$38,false))))</f>
        <v>-0.6485472358</v>
      </c>
      <c r="DE22" s="127">
        <f t="shared" ref="DE22:DG22" si="118">CU22-DB22</f>
        <v>-0.3173440539</v>
      </c>
      <c r="DF22" s="127">
        <f t="shared" si="118"/>
        <v>-0.1580510136</v>
      </c>
      <c r="DG22" s="127">
        <f t="shared" si="118"/>
        <v>-0.1592930404</v>
      </c>
      <c r="DH22" s="31"/>
    </row>
    <row r="23">
      <c r="A23" s="108">
        <v>10.0</v>
      </c>
      <c r="B23" s="109" t="s">
        <v>149</v>
      </c>
      <c r="C23" s="109">
        <v>33.0</v>
      </c>
      <c r="D23" s="109">
        <v>12.0</v>
      </c>
      <c r="E23" s="109">
        <v>0.0</v>
      </c>
      <c r="F23" s="109">
        <v>154.0</v>
      </c>
      <c r="G23" s="109">
        <v>31.0</v>
      </c>
      <c r="H23" s="109">
        <v>60.0</v>
      </c>
      <c r="I23" s="109">
        <v>0.517</v>
      </c>
      <c r="J23" s="109">
        <v>20.0</v>
      </c>
      <c r="K23" s="109">
        <v>39.0</v>
      </c>
      <c r="L23" s="109">
        <v>0.513</v>
      </c>
      <c r="M23" s="109">
        <v>11.0</v>
      </c>
      <c r="N23" s="109">
        <v>21.0</v>
      </c>
      <c r="O23" s="109">
        <v>0.524</v>
      </c>
      <c r="P23" s="109">
        <v>0.683</v>
      </c>
      <c r="Q23" s="109">
        <v>6.0</v>
      </c>
      <c r="R23" s="109">
        <v>7.0</v>
      </c>
      <c r="S23" s="109">
        <v>0.857</v>
      </c>
      <c r="T23" s="109">
        <v>0.0</v>
      </c>
      <c r="U23" s="109">
        <v>22.0</v>
      </c>
      <c r="V23" s="109">
        <v>22.0</v>
      </c>
      <c r="W23" s="109">
        <v>13.0</v>
      </c>
      <c r="X23" s="109">
        <v>3.0</v>
      </c>
      <c r="Y23" s="109">
        <v>4.0</v>
      </c>
      <c r="Z23" s="109">
        <v>2.0</v>
      </c>
      <c r="AA23" s="109">
        <v>11.0</v>
      </c>
      <c r="AB23" s="109">
        <v>88.0</v>
      </c>
      <c r="AC23" s="110">
        <f t="shared" si="13"/>
        <v>63.08</v>
      </c>
      <c r="AD23" s="111">
        <f t="shared" si="14"/>
        <v>1.3950539</v>
      </c>
      <c r="AE23" s="4">
        <f t="shared" si="15"/>
        <v>73.57667583</v>
      </c>
      <c r="AF23" s="110">
        <f t="shared" si="16"/>
        <v>308.6416667</v>
      </c>
      <c r="AG23" s="113">
        <f t="shared" si="17"/>
        <v>23.83886681</v>
      </c>
      <c r="AH23" s="113">
        <f t="shared" si="18"/>
        <v>19.44001944</v>
      </c>
      <c r="AI23" s="113">
        <f t="shared" si="19"/>
        <v>2.268002268</v>
      </c>
      <c r="AJ23" s="113">
        <f t="shared" si="20"/>
        <v>6.48000648</v>
      </c>
      <c r="AK23" s="113">
        <f t="shared" si="21"/>
        <v>4.212004212</v>
      </c>
      <c r="AL23" s="113">
        <f t="shared" si="22"/>
        <v>0.648000648</v>
      </c>
      <c r="AM23" s="113">
        <f t="shared" ref="AM23:AO23" si="119">T23/$AF23*100</f>
        <v>0</v>
      </c>
      <c r="AN23" s="113">
        <f t="shared" si="119"/>
        <v>7.128007128</v>
      </c>
      <c r="AO23" s="113">
        <f t="shared" si="119"/>
        <v>7.128007128</v>
      </c>
      <c r="AP23" s="113">
        <f t="shared" ref="AP23:AQ23" si="120">X23/$AF23*100</f>
        <v>0.972000972</v>
      </c>
      <c r="AQ23" s="113">
        <f t="shared" si="120"/>
        <v>1.296001296</v>
      </c>
      <c r="AR23" s="113">
        <f t="shared" si="25"/>
        <v>3.564003564</v>
      </c>
      <c r="AS23" s="116" t="str">
        <f t="shared" si="26"/>
        <v>C</v>
      </c>
      <c r="AT23" s="117">
        <f t="shared" si="27"/>
        <v>5</v>
      </c>
      <c r="AU23" s="118">
        <f t="array" ref="AU23">if(iserror(index('BPM 2.0 Season CLE 2017'!$BM$14:$BM$38,match($B23,'BPM 2.0 Season CLE 2017'!$B$14:$B$38,false))),3,index('BPM 2.0 Season CLE 2017'!$BM$14:$BM$38,match($B23,'BPM 2.0 Season CLE 2017'!$B$14:$B$38,false)))</f>
        <v>4.13775811</v>
      </c>
      <c r="AV23" s="118">
        <f t="array" ref="AV23">if(iserror(index('BPM 2.0 Season CLE 2017'!$BY$14:$BY$38,match($B23,'BPM 2.0 Season CLE 2017'!$B$14:$B$38,false))),3,index('BPM 2.0 Season CLE 2017'!$BY$14:$BY$38,match($B23,'BPM 2.0 Season CLE 2017'!$B$14:$B$38,false)))</f>
        <v>3.290976458</v>
      </c>
      <c r="AW23" s="214">
        <f t="array" ref="AW23">if(iserror(index('BPM 2.0 Season CLE 2017'!$EC$14:$EC$38,(match($B23,'BPM 2.0 Season CLE 2017'!$CU$14:$CU$38,false)))),-4,index('BPM 2.0 Season CLE 2017'!$EC$14:$EC$38,(match($B23,'BPM 2.0 Season CLE 2017'!$CU$14:$CU$38,false))))</f>
        <v>0.9846227458</v>
      </c>
      <c r="AX23" s="214">
        <f t="array" ref="AX23">if(iserror(index('BPM 2.0 Season CLE 2017'!$ED$14:$ED$38,(match($B23,'BPM 2.0 Season CLE 2017'!$CU$14:$CU$38,false)))),-4,index('BPM 2.0 Season CLE 2017'!$ED$14:$ED$38,(match($B23,'BPM 2.0 Season CLE 2017'!$CU$14:$CU$38,false))))</f>
        <v>1.400819185</v>
      </c>
      <c r="AY23" s="214">
        <f t="shared" si="28"/>
        <v>-0.416196439</v>
      </c>
      <c r="AZ23" s="61" t="str">
        <f t="shared" si="29"/>
        <v>Channing Frye</v>
      </c>
      <c r="BA23" s="121">
        <f t="shared" si="30"/>
        <v>0.86</v>
      </c>
      <c r="BB23" s="122">
        <f t="shared" ref="BB23:BC23" si="121">(5-$AV23)/4*BB$3+($AV23-1)/4*BB$4</f>
        <v>-0.6860037052</v>
      </c>
      <c r="BC23" s="122">
        <f t="shared" si="121"/>
        <v>-0.3018416303</v>
      </c>
      <c r="BD23" s="121">
        <f t="shared" ref="BD23:BL23" si="122">(5-$AU23)/4*BD$3+($AU23-1)/4*BD$4</f>
        <v>0.389</v>
      </c>
      <c r="BE23" s="121">
        <f t="shared" si="122"/>
        <v>0.9361355454</v>
      </c>
      <c r="BF23" s="121">
        <f t="shared" si="122"/>
        <v>-0.964</v>
      </c>
      <c r="BG23" s="121">
        <f t="shared" si="122"/>
        <v>0.2741221242</v>
      </c>
      <c r="BH23" s="121">
        <f t="shared" si="122"/>
        <v>0.1669885693</v>
      </c>
      <c r="BI23" s="121">
        <f t="shared" si="122"/>
        <v>0</v>
      </c>
      <c r="BJ23" s="121">
        <f t="shared" si="122"/>
        <v>1.085817331</v>
      </c>
      <c r="BK23" s="121">
        <f t="shared" si="122"/>
        <v>0.8375097349</v>
      </c>
      <c r="BL23" s="121">
        <f t="shared" si="122"/>
        <v>-0.367</v>
      </c>
      <c r="BM23" s="118">
        <f t="shared" si="33"/>
        <v>9.001645108</v>
      </c>
      <c r="BN23" s="118">
        <f t="shared" si="34"/>
        <v>3.318334236</v>
      </c>
      <c r="BO23" s="118">
        <f t="shared" si="35"/>
        <v>1.190295712</v>
      </c>
      <c r="BP23" s="118">
        <f t="shared" si="36"/>
        <v>0.8328398946</v>
      </c>
      <c r="BQ23" s="123">
        <f t="shared" si="37"/>
        <v>0.4035843474</v>
      </c>
      <c r="BR23" s="124">
        <f t="shared" si="38"/>
        <v>14.7466993</v>
      </c>
      <c r="BS23" s="114">
        <f t="shared" si="39"/>
        <v>0.1781994909</v>
      </c>
      <c r="BT23" s="118">
        <f t="shared" si="40"/>
        <v>2.627854307</v>
      </c>
      <c r="BU23" s="125" t="str">
        <f t="shared" si="41"/>
        <v>Channing Frye</v>
      </c>
      <c r="BV23" s="121">
        <f t="shared" si="42"/>
        <v>0.605</v>
      </c>
      <c r="BW23" s="122">
        <f t="shared" ref="BW23:BX23" si="123">(5-$AV23)/4*BB$7+($AV23-1)/4*BB$8</f>
        <v>-0.4113296643</v>
      </c>
      <c r="BX23" s="122">
        <f t="shared" si="123"/>
        <v>-0.1809850523</v>
      </c>
      <c r="BY23" s="121">
        <f t="shared" ref="BY23:CG23" si="124">(5-$AU23)/4*BD$7+($AU23-1)/4*BD$8</f>
        <v>0.477</v>
      </c>
      <c r="BZ23" s="121">
        <f t="shared" si="124"/>
        <v>0.476</v>
      </c>
      <c r="CA23" s="121">
        <f t="shared" si="124"/>
        <v>-0.8166851768</v>
      </c>
      <c r="CB23" s="121">
        <f t="shared" si="124"/>
        <v>0.461663127</v>
      </c>
      <c r="CC23" s="121">
        <f t="shared" si="124"/>
        <v>0.05665449839</v>
      </c>
      <c r="CD23" s="121">
        <f t="shared" si="124"/>
        <v>0</v>
      </c>
      <c r="CE23" s="121">
        <f t="shared" si="124"/>
        <v>0.2687794247</v>
      </c>
      <c r="CF23" s="121">
        <f t="shared" si="124"/>
        <v>0.2323719768</v>
      </c>
      <c r="CG23" s="121">
        <f t="shared" si="124"/>
        <v>-0.439</v>
      </c>
      <c r="CH23" s="118">
        <f t="shared" si="45"/>
        <v>9.106746331</v>
      </c>
      <c r="CI23" s="118">
        <f t="shared" si="46"/>
        <v>1.475701481</v>
      </c>
      <c r="CJ23" s="118">
        <f t="shared" si="47"/>
        <v>0.4038336683</v>
      </c>
      <c r="CK23" s="118">
        <f t="shared" si="48"/>
        <v>-1.002189319</v>
      </c>
      <c r="CL23" s="123">
        <f t="shared" si="49"/>
        <v>0.125119877</v>
      </c>
      <c r="CM23" s="124">
        <f t="shared" si="50"/>
        <v>10.10921204</v>
      </c>
      <c r="CN23" s="114">
        <f t="shared" si="51"/>
        <v>0.1781994909</v>
      </c>
      <c r="CO23" s="118">
        <f t="shared" si="52"/>
        <v>1.801456438</v>
      </c>
      <c r="CP23" s="126" t="str">
        <f t="shared" si="53"/>
        <v>Channing Frye (11th)</v>
      </c>
      <c r="CQ23" s="127">
        <f t="shared" ref="CQ23:CR23" si="125">AU23</f>
        <v>4.13775811</v>
      </c>
      <c r="CR23" s="127">
        <f t="shared" si="125"/>
        <v>3.290976458</v>
      </c>
      <c r="CS23" s="128">
        <f t="shared" si="55"/>
        <v>154</v>
      </c>
      <c r="CT23" s="127">
        <f t="shared" si="56"/>
        <v>12.83333333</v>
      </c>
      <c r="CU23" s="127">
        <f t="shared" si="57"/>
        <v>9.375169952</v>
      </c>
      <c r="CV23" s="127">
        <f t="shared" si="58"/>
        <v>7.58914597</v>
      </c>
      <c r="CW23" s="127">
        <f t="shared" si="59"/>
        <v>1.786023983</v>
      </c>
      <c r="CX23" s="127">
        <f t="shared" si="60"/>
        <v>1.670650512</v>
      </c>
      <c r="CY23" s="129">
        <f t="shared" si="61"/>
        <v>0.444962084</v>
      </c>
      <c r="CZ23" s="31"/>
      <c r="DA23" s="31"/>
      <c r="DB23" s="127">
        <f t="array" ref="DB23">if(iserror(index('BPM 2.0 Season CLE 2017'!DU$14:DU$38,(match($B23,'BPM 2.0 Season CLE 2017'!$CU$14:$CU$38,false)))),-4,index('BPM 2.0 Season CLE 2017'!DU$14:DU$38,(match($B23,'BPM 2.0 Season CLE 2017'!$CU$14:$CU$38,false))))</f>
        <v>0.9846227458</v>
      </c>
      <c r="DC23" s="127">
        <f t="array" ref="DC23">if(iserror(index('BPM 2.0 Season CLE 2017'!DV$14:DV$38,(match($B23,'BPM 2.0 Season CLE 2017'!$CU$14:$CU$38,false)))),-4,index('BPM 2.0 Season CLE 2017'!DV$14:DV$38,(match($B23,'BPM 2.0 Season CLE 2017'!$CU$14:$CU$38,false))))</f>
        <v>1.400819185</v>
      </c>
      <c r="DD23" s="127">
        <f t="array" ref="DD23">if(iserror(index('BPM 2.0 Season CLE 2017'!DW$14:DW$38,(match($B23,'BPM 2.0 Season CLE 2017'!$CU$14:$CU$38,false)))),-4,index('BPM 2.0 Season CLE 2017'!DW$14:DW$38,(match($B23,'BPM 2.0 Season CLE 2017'!$CU$14:$CU$38,false))))</f>
        <v>-0.416196439</v>
      </c>
      <c r="DE23" s="127">
        <f t="shared" ref="DE23:DG23" si="126">CU23-DB23</f>
        <v>8.390547207</v>
      </c>
      <c r="DF23" s="127">
        <f t="shared" si="126"/>
        <v>6.188326785</v>
      </c>
      <c r="DG23" s="127">
        <f t="shared" si="126"/>
        <v>2.202220422</v>
      </c>
      <c r="DH23" s="31"/>
    </row>
    <row r="24">
      <c r="A24" s="108">
        <v>11.0</v>
      </c>
      <c r="B24" s="109" t="s">
        <v>154</v>
      </c>
      <c r="C24" s="109">
        <v>25.0</v>
      </c>
      <c r="D24" s="109">
        <v>8.0</v>
      </c>
      <c r="E24" s="109">
        <v>0.0</v>
      </c>
      <c r="F24" s="109">
        <v>38.0</v>
      </c>
      <c r="G24" s="109">
        <v>8.0</v>
      </c>
      <c r="H24" s="109">
        <v>15.0</v>
      </c>
      <c r="I24" s="109">
        <v>0.533</v>
      </c>
      <c r="J24" s="109">
        <v>3.0</v>
      </c>
      <c r="K24" s="109">
        <v>5.0</v>
      </c>
      <c r="L24" s="109">
        <v>0.6</v>
      </c>
      <c r="M24" s="109">
        <v>5.0</v>
      </c>
      <c r="N24" s="109">
        <v>10.0</v>
      </c>
      <c r="O24" s="109">
        <v>0.5</v>
      </c>
      <c r="P24" s="109">
        <v>0.633</v>
      </c>
      <c r="Q24" s="109">
        <v>2.0</v>
      </c>
      <c r="R24" s="109">
        <v>2.0</v>
      </c>
      <c r="S24" s="109">
        <v>1.0</v>
      </c>
      <c r="T24" s="109">
        <v>1.0</v>
      </c>
      <c r="U24" s="109">
        <v>2.0</v>
      </c>
      <c r="V24" s="109">
        <v>3.0</v>
      </c>
      <c r="W24" s="109">
        <v>4.0</v>
      </c>
      <c r="X24" s="109">
        <v>0.0</v>
      </c>
      <c r="Y24" s="109">
        <v>1.0</v>
      </c>
      <c r="Z24" s="109">
        <v>3.0</v>
      </c>
      <c r="AA24" s="109">
        <v>0.0</v>
      </c>
      <c r="AB24" s="109">
        <v>21.0</v>
      </c>
      <c r="AC24" s="110">
        <f t="shared" si="13"/>
        <v>15.88</v>
      </c>
      <c r="AD24" s="111">
        <f t="shared" si="14"/>
        <v>1.322418136</v>
      </c>
      <c r="AE24" s="4">
        <f t="shared" si="15"/>
        <v>17.36901731</v>
      </c>
      <c r="AF24" s="110">
        <f t="shared" si="16"/>
        <v>76.15833333</v>
      </c>
      <c r="AG24" s="113">
        <f t="shared" si="17"/>
        <v>22.8064567</v>
      </c>
      <c r="AH24" s="113">
        <f t="shared" si="18"/>
        <v>19.69580917</v>
      </c>
      <c r="AI24" s="113">
        <f t="shared" si="19"/>
        <v>2.626107889</v>
      </c>
      <c r="AJ24" s="113">
        <f t="shared" si="20"/>
        <v>3.939161834</v>
      </c>
      <c r="AK24" s="113">
        <f t="shared" si="21"/>
        <v>5.252215779</v>
      </c>
      <c r="AL24" s="113">
        <f t="shared" si="22"/>
        <v>3.939161834</v>
      </c>
      <c r="AM24" s="113">
        <f t="shared" ref="AM24:AO24" si="127">T24/$AF24*100</f>
        <v>1.313053945</v>
      </c>
      <c r="AN24" s="113">
        <f t="shared" si="127"/>
        <v>2.626107889</v>
      </c>
      <c r="AO24" s="113">
        <f t="shared" si="127"/>
        <v>3.939161834</v>
      </c>
      <c r="AP24" s="113">
        <f t="shared" ref="AP24:AQ24" si="128">X24/$AF24*100</f>
        <v>0</v>
      </c>
      <c r="AQ24" s="113">
        <f t="shared" si="128"/>
        <v>1.313053945</v>
      </c>
      <c r="AR24" s="113">
        <f t="shared" si="25"/>
        <v>0</v>
      </c>
      <c r="AS24" s="116" t="str">
        <f t="shared" si="26"/>
        <v>PF</v>
      </c>
      <c r="AT24" s="117">
        <f t="shared" si="27"/>
        <v>4</v>
      </c>
      <c r="AU24" s="118">
        <f t="array" ref="AU24">if(iserror(index('BPM 2.0 Season CLE 2017'!$BM$14:$BM$38,match($B24,'BPM 2.0 Season CLE 2017'!$B$14:$B$38,false))),3,index('BPM 2.0 Season CLE 2017'!$BM$14:$BM$38,match($B24,'BPM 2.0 Season CLE 2017'!$B$14:$B$38,false)))</f>
        <v>3.161704101</v>
      </c>
      <c r="AV24" s="118">
        <f t="array" ref="AV24">if(iserror(index('BPM 2.0 Season CLE 2017'!$BY$14:$BY$38,match($B24,'BPM 2.0 Season CLE 2017'!$B$14:$B$38,false))),3,index('BPM 2.0 Season CLE 2017'!$BY$14:$BY$38,match($B24,'BPM 2.0 Season CLE 2017'!$B$14:$B$38,false)))</f>
        <v>3.692088345</v>
      </c>
      <c r="AW24" s="214">
        <f t="array" ref="AW24">if(iserror(index('BPM 2.0 Season CLE 2017'!$EC$14:$EC$38,(match($B24,'BPM 2.0 Season CLE 2017'!$CU$14:$CU$38,false)))),-4,index('BPM 2.0 Season CLE 2017'!$EC$14:$EC$38,(match($B24,'BPM 2.0 Season CLE 2017'!$CU$14:$CU$38,false))))</f>
        <v>-2.019446421</v>
      </c>
      <c r="AX24" s="214">
        <f t="array" ref="AX24">if(iserror(index('BPM 2.0 Season CLE 2017'!$ED$14:$ED$38,(match($B24,'BPM 2.0 Season CLE 2017'!$CU$14:$CU$38,false)))),-4,index('BPM 2.0 Season CLE 2017'!$ED$14:$ED$38,(match($B24,'BPM 2.0 Season CLE 2017'!$CU$14:$CU$38,false))))</f>
        <v>-0.9282128241</v>
      </c>
      <c r="AY24" s="214">
        <f t="shared" si="28"/>
        <v>-1.091233597</v>
      </c>
      <c r="AZ24" s="61" t="str">
        <f t="shared" si="29"/>
        <v>Derrick Williams</v>
      </c>
      <c r="BA24" s="121">
        <f t="shared" si="30"/>
        <v>0.86</v>
      </c>
      <c r="BB24" s="122">
        <f t="shared" ref="BB24:BC24" si="129">(5-$AV24)/4*BB$3+($AV24-1)/4*BB$4</f>
        <v>-0.708064859</v>
      </c>
      <c r="BC24" s="122">
        <f t="shared" si="129"/>
        <v>-0.3115485379</v>
      </c>
      <c r="BD24" s="121">
        <f t="shared" ref="BD24:BL24" si="130">(5-$AU24)/4*BD$3+($AU24-1)/4*BD$4</f>
        <v>0.389</v>
      </c>
      <c r="BE24" s="121">
        <f t="shared" si="130"/>
        <v>0.8253534155</v>
      </c>
      <c r="BF24" s="121">
        <f t="shared" si="130"/>
        <v>-0.964</v>
      </c>
      <c r="BG24" s="121">
        <f t="shared" si="130"/>
        <v>0.3795359571</v>
      </c>
      <c r="BH24" s="121">
        <f t="shared" si="130"/>
        <v>0.1511276916</v>
      </c>
      <c r="BI24" s="121">
        <f t="shared" si="130"/>
        <v>0</v>
      </c>
      <c r="BJ24" s="121">
        <f t="shared" si="130"/>
        <v>1.173906205</v>
      </c>
      <c r="BK24" s="121">
        <f t="shared" si="130"/>
        <v>0.9897741602</v>
      </c>
      <c r="BL24" s="121">
        <f t="shared" si="130"/>
        <v>-0.367</v>
      </c>
      <c r="BM24" s="118">
        <f t="shared" si="33"/>
        <v>6.381816299</v>
      </c>
      <c r="BN24" s="118">
        <f t="shared" si="34"/>
        <v>0.5375822239</v>
      </c>
      <c r="BO24" s="118">
        <f t="shared" si="35"/>
        <v>0.8952288089</v>
      </c>
      <c r="BP24" s="118">
        <f t="shared" si="36"/>
        <v>1.299626865</v>
      </c>
      <c r="BQ24" s="123">
        <f t="shared" si="37"/>
        <v>0.959926534</v>
      </c>
      <c r="BR24" s="124">
        <f t="shared" si="38"/>
        <v>10.07418073</v>
      </c>
      <c r="BS24" s="114">
        <f t="shared" si="39"/>
        <v>0.04397130294</v>
      </c>
      <c r="BT24" s="118">
        <f t="shared" si="40"/>
        <v>0.4429748528</v>
      </c>
      <c r="BU24" s="125" t="str">
        <f t="shared" si="41"/>
        <v>Derrick Williams</v>
      </c>
      <c r="BV24" s="121">
        <f t="shared" si="42"/>
        <v>0.605</v>
      </c>
      <c r="BW24" s="122">
        <f t="shared" ref="BW24:BX24" si="131">(5-$AV24)/4*BB$7+($AV24-1)/4*BB$8</f>
        <v>-0.4255691362</v>
      </c>
      <c r="BX24" s="122">
        <f t="shared" si="131"/>
        <v>-0.1872504199</v>
      </c>
      <c r="BY24" s="121">
        <f t="shared" ref="BY24:CG24" si="132">(5-$AU24)/4*BD$7+($AU24-1)/4*BD$8</f>
        <v>0.477</v>
      </c>
      <c r="BZ24" s="121">
        <f t="shared" si="132"/>
        <v>0.476</v>
      </c>
      <c r="CA24" s="121">
        <f t="shared" si="132"/>
        <v>-0.7427490857</v>
      </c>
      <c r="CB24" s="121">
        <f t="shared" si="132"/>
        <v>0.5065616113</v>
      </c>
      <c r="CC24" s="121">
        <f t="shared" si="132"/>
        <v>0.004191595447</v>
      </c>
      <c r="CD24" s="121">
        <f t="shared" si="132"/>
        <v>0</v>
      </c>
      <c r="CE24" s="121">
        <f t="shared" si="132"/>
        <v>0.240229845</v>
      </c>
      <c r="CF24" s="121">
        <f t="shared" si="132"/>
        <v>0.3856124561</v>
      </c>
      <c r="CG24" s="121">
        <f t="shared" si="132"/>
        <v>-0.439</v>
      </c>
      <c r="CH24" s="118">
        <f t="shared" si="45"/>
        <v>6.803218197</v>
      </c>
      <c r="CI24" s="118">
        <f t="shared" si="46"/>
        <v>-0.4257541399</v>
      </c>
      <c r="CJ24" s="118">
        <f t="shared" si="47"/>
        <v>0.6761503038</v>
      </c>
      <c r="CK24" s="118">
        <f t="shared" si="48"/>
        <v>0.5063299566</v>
      </c>
      <c r="CL24" s="123">
        <f t="shared" si="49"/>
        <v>0.2975979882</v>
      </c>
      <c r="CM24" s="124">
        <f t="shared" si="50"/>
        <v>7.857542305</v>
      </c>
      <c r="CN24" s="114">
        <f t="shared" si="51"/>
        <v>0.04397130294</v>
      </c>
      <c r="CO24" s="118">
        <f t="shared" si="52"/>
        <v>0.3455063731</v>
      </c>
      <c r="CP24" s="126" t="str">
        <f t="shared" si="53"/>
        <v>Derrick Williams (6th)</v>
      </c>
      <c r="CQ24" s="127">
        <f t="shared" ref="CQ24:CR24" si="133">AU24</f>
        <v>3.161704101</v>
      </c>
      <c r="CR24" s="127">
        <f t="shared" si="133"/>
        <v>3.692088345</v>
      </c>
      <c r="CS24" s="128">
        <f t="shared" si="55"/>
        <v>38</v>
      </c>
      <c r="CT24" s="127">
        <f t="shared" si="56"/>
        <v>4.75</v>
      </c>
      <c r="CU24" s="127">
        <f t="shared" si="57"/>
        <v>4.702651386</v>
      </c>
      <c r="CV24" s="127">
        <f t="shared" si="58"/>
        <v>5.337476237</v>
      </c>
      <c r="CW24" s="127">
        <f t="shared" si="59"/>
        <v>-0.6348248516</v>
      </c>
      <c r="CX24" s="127">
        <f t="shared" si="60"/>
        <v>0.2067817087</v>
      </c>
      <c r="CY24" s="129">
        <f t="shared" si="61"/>
        <v>0.06469558125</v>
      </c>
      <c r="CZ24" s="31"/>
      <c r="DA24" s="31"/>
      <c r="DB24" s="127">
        <f t="array" ref="DB24">if(iserror(index('BPM 2.0 Season CLE 2017'!DU$14:DU$38,(match($B24,'BPM 2.0 Season CLE 2017'!$CU$14:$CU$38,false)))),-4,index('BPM 2.0 Season CLE 2017'!DU$14:DU$38,(match($B24,'BPM 2.0 Season CLE 2017'!$CU$14:$CU$38,false))))</f>
        <v>-2.016684456</v>
      </c>
      <c r="DC24" s="127">
        <f t="array" ref="DC24">if(iserror(index('BPM 2.0 Season CLE 2017'!DV$14:DV$38,(match($B24,'BPM 2.0 Season CLE 2017'!$CU$14:$CU$38,false)))),-4,index('BPM 2.0 Season CLE 2017'!DV$14:DV$38,(match($B24,'BPM 2.0 Season CLE 2017'!$CU$14:$CU$38,false))))</f>
        <v>-0.9058580623</v>
      </c>
      <c r="DD24" s="127">
        <f t="array" ref="DD24">if(iserror(index('BPM 2.0 Season CLE 2017'!DW$14:DW$38,(match($B24,'BPM 2.0 Season CLE 2017'!$CU$14:$CU$38,false)))),-4,index('BPM 2.0 Season CLE 2017'!DW$14:DW$38,(match($B24,'BPM 2.0 Season CLE 2017'!$CU$14:$CU$38,false))))</f>
        <v>-1.110826393</v>
      </c>
      <c r="DE24" s="127">
        <f t="shared" ref="DE24:DG24" si="134">CU24-DB24</f>
        <v>6.719335841</v>
      </c>
      <c r="DF24" s="127">
        <f t="shared" si="134"/>
        <v>6.243334299</v>
      </c>
      <c r="DG24" s="127">
        <f t="shared" si="134"/>
        <v>0.4760015418</v>
      </c>
      <c r="DH24" s="31"/>
    </row>
    <row r="25">
      <c r="A25" s="108">
        <v>12.0</v>
      </c>
      <c r="B25" s="109" t="s">
        <v>162</v>
      </c>
      <c r="C25" s="109">
        <v>36.0</v>
      </c>
      <c r="D25" s="109">
        <v>10.0</v>
      </c>
      <c r="E25" s="109">
        <v>0.0</v>
      </c>
      <c r="F25" s="109">
        <v>33.0</v>
      </c>
      <c r="G25" s="109">
        <v>5.0</v>
      </c>
      <c r="H25" s="109">
        <v>10.0</v>
      </c>
      <c r="I25" s="109">
        <v>0.5</v>
      </c>
      <c r="J25" s="109">
        <v>1.0</v>
      </c>
      <c r="K25" s="109">
        <v>2.0</v>
      </c>
      <c r="L25" s="109">
        <v>0.5</v>
      </c>
      <c r="M25" s="109">
        <v>4.0</v>
      </c>
      <c r="N25" s="109">
        <v>8.0</v>
      </c>
      <c r="O25" s="109">
        <v>0.5</v>
      </c>
      <c r="P25" s="109">
        <v>0.55</v>
      </c>
      <c r="Q25" s="109">
        <v>5.0</v>
      </c>
      <c r="R25" s="109">
        <v>5.0</v>
      </c>
      <c r="S25" s="109">
        <v>1.0</v>
      </c>
      <c r="T25" s="109">
        <v>1.0</v>
      </c>
      <c r="U25" s="109">
        <v>6.0</v>
      </c>
      <c r="V25" s="109">
        <v>7.0</v>
      </c>
      <c r="W25" s="109">
        <v>1.0</v>
      </c>
      <c r="X25" s="109">
        <v>0.0</v>
      </c>
      <c r="Y25" s="109">
        <v>1.0</v>
      </c>
      <c r="Z25" s="109">
        <v>1.0</v>
      </c>
      <c r="AA25" s="109">
        <v>7.0</v>
      </c>
      <c r="AB25" s="109">
        <v>16.0</v>
      </c>
      <c r="AC25" s="110">
        <f t="shared" si="13"/>
        <v>12.2</v>
      </c>
      <c r="AD25" s="111">
        <f t="shared" si="14"/>
        <v>1.31147541</v>
      </c>
      <c r="AE25" s="4">
        <f t="shared" si="15"/>
        <v>13.21045411</v>
      </c>
      <c r="AF25" s="110">
        <f t="shared" si="16"/>
        <v>66.1375</v>
      </c>
      <c r="AG25" s="113">
        <f t="shared" si="17"/>
        <v>19.97422658</v>
      </c>
      <c r="AH25" s="113">
        <f t="shared" si="18"/>
        <v>15.12001512</v>
      </c>
      <c r="AI25" s="113">
        <f t="shared" si="19"/>
        <v>7.56000756</v>
      </c>
      <c r="AJ25" s="113">
        <f t="shared" si="20"/>
        <v>1.512001512</v>
      </c>
      <c r="AK25" s="113">
        <f t="shared" si="21"/>
        <v>1.512001512</v>
      </c>
      <c r="AL25" s="113">
        <f t="shared" si="22"/>
        <v>1.512001512</v>
      </c>
      <c r="AM25" s="113">
        <f t="shared" ref="AM25:AO25" si="135">T25/$AF25*100</f>
        <v>1.512001512</v>
      </c>
      <c r="AN25" s="113">
        <f t="shared" si="135"/>
        <v>9.072009072</v>
      </c>
      <c r="AO25" s="113">
        <f t="shared" si="135"/>
        <v>10.58401058</v>
      </c>
      <c r="AP25" s="113">
        <f t="shared" ref="AP25:AQ25" si="136">X25/$AF25*100</f>
        <v>0</v>
      </c>
      <c r="AQ25" s="113">
        <f t="shared" si="136"/>
        <v>1.512001512</v>
      </c>
      <c r="AR25" s="113">
        <f t="shared" si="25"/>
        <v>10.58401058</v>
      </c>
      <c r="AS25" s="116" t="str">
        <f t="shared" si="26"/>
        <v>SF</v>
      </c>
      <c r="AT25" s="117">
        <f t="shared" si="27"/>
        <v>3</v>
      </c>
      <c r="AU25" s="118">
        <f t="array" ref="AU25">if(iserror(index('BPM 2.0 Season CLE 2017'!$BM$14:$BM$38,match($B25,'BPM 2.0 Season CLE 2017'!$B$14:$B$38,false))),3,index('BPM 2.0 Season CLE 2017'!$BM$14:$BM$38,match($B25,'BPM 2.0 Season CLE 2017'!$B$14:$B$38,false)))</f>
        <v>2.929257478</v>
      </c>
      <c r="AV25" s="118">
        <f t="array" ref="AV25">if(iserror(index('BPM 2.0 Season CLE 2017'!$BY$14:$BY$38,match($B25,'BPM 2.0 Season CLE 2017'!$B$14:$B$38,false))),3,index('BPM 2.0 Season CLE 2017'!$BY$14:$BY$38,match($B25,'BPM 2.0 Season CLE 2017'!$B$14:$B$38,false)))</f>
        <v>3.750548019</v>
      </c>
      <c r="AW25" s="214">
        <f t="array" ref="AW25">if(iserror(index('BPM 2.0 Season CLE 2017'!$EC$14:$EC$38,(match($B25,'BPM 2.0 Season CLE 2017'!$CU$14:$CU$38,false)))),-4,index('BPM 2.0 Season CLE 2017'!$EC$14:$EC$38,(match($B25,'BPM 2.0 Season CLE 2017'!$CU$14:$CU$38,false))))</f>
        <v>-4.693312037</v>
      </c>
      <c r="AX25" s="214">
        <f t="array" ref="AX25">if(iserror(index('BPM 2.0 Season CLE 2017'!$ED$14:$ED$38,(match($B25,'BPM 2.0 Season CLE 2017'!$CU$14:$CU$38,false)))),-4,index('BPM 2.0 Season CLE 2017'!$ED$14:$ED$38,(match($B25,'BPM 2.0 Season CLE 2017'!$CU$14:$CU$38,false))))</f>
        <v>-4.270827668</v>
      </c>
      <c r="AY25" s="214">
        <f t="shared" si="28"/>
        <v>-0.4224843688</v>
      </c>
      <c r="AZ25" s="61" t="str">
        <f t="shared" si="29"/>
        <v>Dahntay Jones</v>
      </c>
      <c r="BA25" s="121">
        <f t="shared" si="30"/>
        <v>0.86</v>
      </c>
      <c r="BB25" s="122">
        <f t="shared" ref="BB25:BC25" si="137">(5-$AV25)/4*BB$3+($AV25-1)/4*BB$4</f>
        <v>-0.7112801411</v>
      </c>
      <c r="BC25" s="122">
        <f t="shared" si="137"/>
        <v>-0.3129632621</v>
      </c>
      <c r="BD25" s="121">
        <f t="shared" ref="BD25:BL25" si="138">(5-$AU25)/4*BD$3+($AU25-1)/4*BD$4</f>
        <v>0.389</v>
      </c>
      <c r="BE25" s="121">
        <f t="shared" si="138"/>
        <v>0.7989707237</v>
      </c>
      <c r="BF25" s="121">
        <f t="shared" si="138"/>
        <v>-0.964</v>
      </c>
      <c r="BG25" s="121">
        <f t="shared" si="138"/>
        <v>0.4046401924</v>
      </c>
      <c r="BH25" s="121">
        <f t="shared" si="138"/>
        <v>0.147350434</v>
      </c>
      <c r="BI25" s="121">
        <f t="shared" si="138"/>
        <v>0</v>
      </c>
      <c r="BJ25" s="121">
        <f t="shared" si="138"/>
        <v>1.194884513</v>
      </c>
      <c r="BK25" s="121">
        <f t="shared" si="138"/>
        <v>1.026035833</v>
      </c>
      <c r="BL25" s="121">
        <f t="shared" si="138"/>
        <v>-0.367</v>
      </c>
      <c r="BM25" s="118">
        <f t="shared" si="33"/>
        <v>4.645432337</v>
      </c>
      <c r="BN25" s="118">
        <f t="shared" si="34"/>
        <v>-0.2495245152</v>
      </c>
      <c r="BO25" s="118">
        <f t="shared" si="35"/>
        <v>1.948581057</v>
      </c>
      <c r="BP25" s="118">
        <f t="shared" si="36"/>
        <v>-2.332964153</v>
      </c>
      <c r="BQ25" s="123">
        <f t="shared" si="37"/>
        <v>1.012076411</v>
      </c>
      <c r="BR25" s="124">
        <f t="shared" si="38"/>
        <v>5.023601137</v>
      </c>
      <c r="BS25" s="114">
        <f t="shared" si="39"/>
        <v>0.03818560518</v>
      </c>
      <c r="BT25" s="118">
        <f t="shared" si="40"/>
        <v>0.1918292496</v>
      </c>
      <c r="BU25" s="125" t="str">
        <f t="shared" si="41"/>
        <v>Dahntay Jones</v>
      </c>
      <c r="BV25" s="121">
        <f t="shared" si="42"/>
        <v>0.605</v>
      </c>
      <c r="BW25" s="122">
        <f t="shared" ref="BW25:BX25" si="139">(5-$AV25)/4*BB$7+($AV25-1)/4*BB$8</f>
        <v>-0.4276444547</v>
      </c>
      <c r="BX25" s="122">
        <f t="shared" si="139"/>
        <v>-0.1881635601</v>
      </c>
      <c r="BY25" s="121">
        <f t="shared" ref="BY25:CG25" si="140">(5-$AU25)/4*BD$7+($AU25-1)/4*BD$8</f>
        <v>0.477</v>
      </c>
      <c r="BZ25" s="121">
        <f t="shared" si="140"/>
        <v>0.476</v>
      </c>
      <c r="CA25" s="121">
        <f t="shared" si="140"/>
        <v>-0.7251412539</v>
      </c>
      <c r="CB25" s="121">
        <f t="shared" si="140"/>
        <v>0.517254156</v>
      </c>
      <c r="CC25" s="121">
        <f t="shared" si="140"/>
        <v>-0.008302410569</v>
      </c>
      <c r="CD25" s="121">
        <f t="shared" si="140"/>
        <v>0</v>
      </c>
      <c r="CE25" s="121">
        <f t="shared" si="140"/>
        <v>0.2334307812</v>
      </c>
      <c r="CF25" s="121">
        <f t="shared" si="140"/>
        <v>0.422106576</v>
      </c>
      <c r="CG25" s="121">
        <f t="shared" si="140"/>
        <v>-0.439</v>
      </c>
      <c r="CH25" s="118">
        <f t="shared" si="45"/>
        <v>4.917123248</v>
      </c>
      <c r="CI25" s="118">
        <f t="shared" si="46"/>
        <v>-0.3767019527</v>
      </c>
      <c r="CJ25" s="118">
        <f t="shared" si="47"/>
        <v>0.706769522</v>
      </c>
      <c r="CK25" s="118">
        <f t="shared" si="48"/>
        <v>-4.008154865</v>
      </c>
      <c r="CL25" s="123">
        <f t="shared" si="49"/>
        <v>0.2626752469</v>
      </c>
      <c r="CM25" s="124">
        <f t="shared" si="50"/>
        <v>1.501711199</v>
      </c>
      <c r="CN25" s="114">
        <f t="shared" si="51"/>
        <v>0.03818560518</v>
      </c>
      <c r="CO25" s="118">
        <f t="shared" si="52"/>
        <v>0.05734375094</v>
      </c>
      <c r="CP25" s="126" t="str">
        <f t="shared" si="53"/>
        <v>Dahntay Jones (13th)</v>
      </c>
      <c r="CQ25" s="127">
        <f t="shared" ref="CQ25:CR25" si="141">AU25</f>
        <v>2.929257478</v>
      </c>
      <c r="CR25" s="127">
        <f t="shared" si="141"/>
        <v>3.750548019</v>
      </c>
      <c r="CS25" s="128">
        <f t="shared" si="55"/>
        <v>33</v>
      </c>
      <c r="CT25" s="127">
        <f t="shared" si="56"/>
        <v>3.3</v>
      </c>
      <c r="CU25" s="127">
        <f t="shared" si="57"/>
        <v>-0.3479282089</v>
      </c>
      <c r="CV25" s="127">
        <f t="shared" si="58"/>
        <v>-1.018354869</v>
      </c>
      <c r="CW25" s="127">
        <f t="shared" si="59"/>
        <v>0.6704266605</v>
      </c>
      <c r="CX25" s="127">
        <f t="shared" si="60"/>
        <v>-0.01328584922</v>
      </c>
      <c r="CY25" s="129">
        <f t="shared" si="61"/>
        <v>0.01384800611</v>
      </c>
      <c r="CZ25" s="31"/>
      <c r="DA25" s="31"/>
      <c r="DB25" s="127">
        <f t="array" ref="DB25">if(iserror(index('BPM 2.0 Season CLE 2017'!DU$14:DU$38,(match($B25,'BPM 2.0 Season CLE 2017'!$CU$14:$CU$38,false)))),-4,index('BPM 2.0 Season CLE 2017'!DU$14:DU$38,(match($B25,'BPM 2.0 Season CLE 2017'!$CU$14:$CU$38,false))))</f>
        <v>-9.113608491</v>
      </c>
      <c r="DC25" s="127">
        <f t="array" ref="DC25">if(iserror(index('BPM 2.0 Season CLE 2017'!DV$14:DV$38,(match($B25,'BPM 2.0 Season CLE 2017'!$CU$14:$CU$38,false)))),-4,index('BPM 2.0 Season CLE 2017'!DV$14:DV$38,(match($B25,'BPM 2.0 Season CLE 2017'!$CU$14:$CU$38,false))))</f>
        <v>-3.550897635</v>
      </c>
      <c r="DD25" s="127">
        <f t="array" ref="DD25">if(iserror(index('BPM 2.0 Season CLE 2017'!DW$14:DW$38,(match($B25,'BPM 2.0 Season CLE 2017'!$CU$14:$CU$38,false)))),-4,index('BPM 2.0 Season CLE 2017'!DW$14:DW$38,(match($B25,'BPM 2.0 Season CLE 2017'!$CU$14:$CU$38,false))))</f>
        <v>-5.562710856</v>
      </c>
      <c r="DE25" s="127">
        <f t="shared" ref="DE25:DG25" si="142">CU25-DB25</f>
        <v>8.765680282</v>
      </c>
      <c r="DF25" s="127">
        <f t="shared" si="142"/>
        <v>2.532542766</v>
      </c>
      <c r="DG25" s="127">
        <f t="shared" si="142"/>
        <v>6.233137517</v>
      </c>
      <c r="DH25" s="31"/>
    </row>
    <row r="26">
      <c r="A26" s="108">
        <v>13.0</v>
      </c>
      <c r="B26" s="109" t="s">
        <v>157</v>
      </c>
      <c r="C26" s="109">
        <v>36.0</v>
      </c>
      <c r="D26" s="109">
        <v>8.0</v>
      </c>
      <c r="E26" s="109">
        <v>0.0</v>
      </c>
      <c r="F26" s="109">
        <v>30.0</v>
      </c>
      <c r="G26" s="109">
        <v>1.0</v>
      </c>
      <c r="H26" s="109">
        <v>5.0</v>
      </c>
      <c r="I26" s="109">
        <v>0.2</v>
      </c>
      <c r="J26" s="109">
        <v>0.0</v>
      </c>
      <c r="K26" s="109">
        <v>3.0</v>
      </c>
      <c r="L26" s="109">
        <v>0.0</v>
      </c>
      <c r="M26" s="109">
        <v>1.0</v>
      </c>
      <c r="N26" s="109">
        <v>2.0</v>
      </c>
      <c r="O26" s="109">
        <v>0.5</v>
      </c>
      <c r="P26" s="109">
        <v>0.2</v>
      </c>
      <c r="Q26" s="109">
        <v>0.0</v>
      </c>
      <c r="R26" s="109">
        <v>0.0</v>
      </c>
      <c r="S26" s="132"/>
      <c r="T26" s="109">
        <v>1.0</v>
      </c>
      <c r="U26" s="109">
        <v>3.0</v>
      </c>
      <c r="V26" s="109">
        <v>4.0</v>
      </c>
      <c r="W26" s="109">
        <v>0.0</v>
      </c>
      <c r="X26" s="109">
        <v>0.0</v>
      </c>
      <c r="Y26" s="109">
        <v>0.0</v>
      </c>
      <c r="Z26" s="109">
        <v>2.0</v>
      </c>
      <c r="AA26" s="109">
        <v>3.0</v>
      </c>
      <c r="AB26" s="109">
        <v>2.0</v>
      </c>
      <c r="AC26" s="110">
        <f t="shared" si="13"/>
        <v>5</v>
      </c>
      <c r="AD26" s="111">
        <f t="shared" si="14"/>
        <v>0.4</v>
      </c>
      <c r="AE26" s="4">
        <f t="shared" si="15"/>
        <v>0.8567434867</v>
      </c>
      <c r="AF26" s="110">
        <f t="shared" si="16"/>
        <v>60.125</v>
      </c>
      <c r="AG26" s="113">
        <f t="shared" si="17"/>
        <v>1.424937192</v>
      </c>
      <c r="AH26" s="113">
        <f t="shared" si="18"/>
        <v>8.316008316</v>
      </c>
      <c r="AI26" s="113">
        <f t="shared" si="19"/>
        <v>0</v>
      </c>
      <c r="AJ26" s="113">
        <f t="shared" si="20"/>
        <v>0</v>
      </c>
      <c r="AK26" s="113">
        <f t="shared" si="21"/>
        <v>0</v>
      </c>
      <c r="AL26" s="113">
        <f t="shared" si="22"/>
        <v>3.326403326</v>
      </c>
      <c r="AM26" s="113">
        <f t="shared" ref="AM26:AO26" si="143">T26/$AF26*100</f>
        <v>1.663201663</v>
      </c>
      <c r="AN26" s="113">
        <f t="shared" si="143"/>
        <v>4.98960499</v>
      </c>
      <c r="AO26" s="113">
        <f t="shared" si="143"/>
        <v>6.652806653</v>
      </c>
      <c r="AP26" s="113">
        <f t="shared" ref="AP26:AQ26" si="144">X26/$AF26*100</f>
        <v>0</v>
      </c>
      <c r="AQ26" s="113">
        <f t="shared" si="144"/>
        <v>0</v>
      </c>
      <c r="AR26" s="113">
        <f t="shared" si="25"/>
        <v>4.98960499</v>
      </c>
      <c r="AS26" s="116" t="str">
        <f t="shared" si="26"/>
        <v>SF</v>
      </c>
      <c r="AT26" s="117">
        <f t="shared" si="27"/>
        <v>3</v>
      </c>
      <c r="AU26" s="118">
        <f t="array" ref="AU26">if(iserror(index('BPM 2.0 Season CLE 2017'!$BM$14:$BM$38,match($B26,'BPM 2.0 Season CLE 2017'!$B$14:$B$38,false))),3,index('BPM 2.0 Season CLE 2017'!$BM$14:$BM$38,match($B26,'BPM 2.0 Season CLE 2017'!$B$14:$B$38,false)))</f>
        <v>3.119447049</v>
      </c>
      <c r="AV26" s="118">
        <f t="array" ref="AV26">if(iserror(index('BPM 2.0 Season CLE 2017'!$BY$14:$BY$38,match($B26,'BPM 2.0 Season CLE 2017'!$B$14:$B$38,false))),3,index('BPM 2.0 Season CLE 2017'!$BY$14:$BY$38,match($B26,'BPM 2.0 Season CLE 2017'!$B$14:$B$38,false)))</f>
        <v>3.610291028</v>
      </c>
      <c r="AW26" s="214">
        <f t="array" ref="AW26">if(iserror(index('BPM 2.0 Season CLE 2017'!$EC$14:$EC$38,(match($B26,'BPM 2.0 Season CLE 2017'!$CU$14:$CU$38,false)))),-4,index('BPM 2.0 Season CLE 2017'!$EC$14:$EC$38,(match($B26,'BPM 2.0 Season CLE 2017'!$CU$14:$CU$38,false))))</f>
        <v>-0.4386646509</v>
      </c>
      <c r="AX26" s="214">
        <f t="array" ref="AX26">if(iserror(index('BPM 2.0 Season CLE 2017'!$ED$14:$ED$38,(match($B26,'BPM 2.0 Season CLE 2017'!$CU$14:$CU$38,false)))),-4,index('BPM 2.0 Season CLE 2017'!$ED$14:$ED$38,(match($B26,'BPM 2.0 Season CLE 2017'!$CU$14:$CU$38,false))))</f>
        <v>-0.1507193655</v>
      </c>
      <c r="AY26" s="214">
        <f t="shared" si="28"/>
        <v>-0.2879452854</v>
      </c>
      <c r="AZ26" s="61" t="str">
        <f t="shared" si="29"/>
        <v>James Jones</v>
      </c>
      <c r="BA26" s="121">
        <f t="shared" si="30"/>
        <v>0.86</v>
      </c>
      <c r="BB26" s="122">
        <f t="shared" ref="BB26:BC26" si="145">(5-$AV26)/4*BB$3+($AV26-1)/4*BB$4</f>
        <v>-0.7035660065</v>
      </c>
      <c r="BC26" s="122">
        <f t="shared" si="145"/>
        <v>-0.3095690429</v>
      </c>
      <c r="BD26" s="121">
        <f t="shared" ref="BD26:BL26" si="146">(5-$AU26)/4*BD$3+($AU26-1)/4*BD$4</f>
        <v>0.389</v>
      </c>
      <c r="BE26" s="121">
        <f t="shared" si="146"/>
        <v>0.8205572401</v>
      </c>
      <c r="BF26" s="121">
        <f t="shared" si="146"/>
        <v>-0.964</v>
      </c>
      <c r="BG26" s="121">
        <f t="shared" si="146"/>
        <v>0.3840997187</v>
      </c>
      <c r="BH26" s="121">
        <f t="shared" si="146"/>
        <v>0.1504410146</v>
      </c>
      <c r="BI26" s="121">
        <f t="shared" si="146"/>
        <v>0</v>
      </c>
      <c r="BJ26" s="121">
        <f t="shared" si="146"/>
        <v>1.177719904</v>
      </c>
      <c r="BK26" s="121">
        <f t="shared" si="146"/>
        <v>0.9963662603</v>
      </c>
      <c r="BL26" s="121">
        <f t="shared" si="146"/>
        <v>-0.367</v>
      </c>
      <c r="BM26" s="118">
        <f t="shared" si="33"/>
        <v>-4.625414776</v>
      </c>
      <c r="BN26" s="118">
        <f t="shared" si="34"/>
        <v>-3.206652807</v>
      </c>
      <c r="BO26" s="118">
        <f t="shared" si="35"/>
        <v>1.389476528</v>
      </c>
      <c r="BP26" s="118">
        <f t="shared" si="36"/>
        <v>-1.831185031</v>
      </c>
      <c r="BQ26" s="123">
        <f t="shared" si="37"/>
        <v>0.8464736561</v>
      </c>
      <c r="BR26" s="124">
        <f t="shared" si="38"/>
        <v>-7.42730243</v>
      </c>
      <c r="BS26" s="114">
        <f t="shared" si="39"/>
        <v>0.03471418653</v>
      </c>
      <c r="BT26" s="118">
        <f t="shared" si="40"/>
        <v>-0.257832762</v>
      </c>
      <c r="BU26" s="125" t="str">
        <f t="shared" si="41"/>
        <v>James Jones</v>
      </c>
      <c r="BV26" s="121">
        <f t="shared" si="42"/>
        <v>0.605</v>
      </c>
      <c r="BW26" s="122">
        <f t="shared" ref="BW26:BX26" si="147">(5-$AV26)/4*BB$7+($AV26-1)/4*BB$8</f>
        <v>-0.4226653315</v>
      </c>
      <c r="BX26" s="122">
        <f t="shared" si="147"/>
        <v>-0.1859727459</v>
      </c>
      <c r="BY26" s="121">
        <f t="shared" ref="BY26:CG26" si="148">(5-$AU26)/4*BD$7+($AU26-1)/4*BD$8</f>
        <v>0.477</v>
      </c>
      <c r="BZ26" s="121">
        <f t="shared" si="148"/>
        <v>0.476</v>
      </c>
      <c r="CA26" s="121">
        <f t="shared" si="148"/>
        <v>-0.739548114</v>
      </c>
      <c r="CB26" s="121">
        <f t="shared" si="148"/>
        <v>0.5085054357</v>
      </c>
      <c r="CC26" s="121">
        <f t="shared" si="148"/>
        <v>0.001920278901</v>
      </c>
      <c r="CD26" s="121">
        <f t="shared" si="148"/>
        <v>0</v>
      </c>
      <c r="CE26" s="121">
        <f t="shared" si="148"/>
        <v>0.2389938262</v>
      </c>
      <c r="CF26" s="121">
        <f t="shared" si="148"/>
        <v>0.3922468133</v>
      </c>
      <c r="CG26" s="121">
        <f t="shared" si="148"/>
        <v>-0.439</v>
      </c>
      <c r="CH26" s="118">
        <f t="shared" si="45"/>
        <v>-2.65280141</v>
      </c>
      <c r="CI26" s="118">
        <f t="shared" si="46"/>
        <v>-2.460035306</v>
      </c>
      <c r="CJ26" s="118">
        <f t="shared" si="47"/>
        <v>0.8553285196</v>
      </c>
      <c r="CK26" s="118">
        <f t="shared" si="48"/>
        <v>-2.19043659</v>
      </c>
      <c r="CL26" s="123">
        <f t="shared" si="49"/>
        <v>0.2624251421</v>
      </c>
      <c r="CM26" s="124">
        <f t="shared" si="50"/>
        <v>-6.185519646</v>
      </c>
      <c r="CN26" s="114">
        <f t="shared" si="51"/>
        <v>0.03471418653</v>
      </c>
      <c r="CO26" s="118">
        <f t="shared" si="52"/>
        <v>-0.2147252828</v>
      </c>
      <c r="CP26" s="126" t="str">
        <f t="shared" si="53"/>
        <v>James Jones (14th)</v>
      </c>
      <c r="CQ26" s="127">
        <f t="shared" ref="CQ26:CR26" si="149">AU26</f>
        <v>3.119447049</v>
      </c>
      <c r="CR26" s="127">
        <f t="shared" si="149"/>
        <v>3.610291028</v>
      </c>
      <c r="CS26" s="128">
        <f t="shared" si="55"/>
        <v>30</v>
      </c>
      <c r="CT26" s="127">
        <f t="shared" si="56"/>
        <v>3.75</v>
      </c>
      <c r="CU26" s="127">
        <f t="shared" si="57"/>
        <v>-12.79883178</v>
      </c>
      <c r="CV26" s="127">
        <f t="shared" si="58"/>
        <v>-8.705585714</v>
      </c>
      <c r="CW26" s="127">
        <f t="shared" si="59"/>
        <v>-4.093246062</v>
      </c>
      <c r="CX26" s="127">
        <f t="shared" si="60"/>
        <v>-0.4443010336</v>
      </c>
      <c r="CY26" s="129">
        <f t="shared" si="61"/>
        <v>-0.08228912061</v>
      </c>
      <c r="CZ26" s="31"/>
      <c r="DA26" s="31"/>
      <c r="DB26" s="127">
        <f t="array" ref="DB26">if(iserror(index('BPM 2.0 Season CLE 2017'!DU$14:DU$38,(match($B26,'BPM 2.0 Season CLE 2017'!$CU$14:$CU$38,false)))),-4,index('BPM 2.0 Season CLE 2017'!DU$14:DU$38,(match($B26,'BPM 2.0 Season CLE 2017'!$CU$14:$CU$38,false))))</f>
        <v>-0.2558041584</v>
      </c>
      <c r="DC26" s="127">
        <f t="array" ref="DC26">if(iserror(index('BPM 2.0 Season CLE 2017'!DV$14:DV$38,(match($B26,'BPM 2.0 Season CLE 2017'!$CU$14:$CU$38,false)))),-4,index('BPM 2.0 Season CLE 2017'!DV$14:DV$38,(match($B26,'BPM 2.0 Season CLE 2017'!$CU$14:$CU$38,false))))</f>
        <v>0.04952365078</v>
      </c>
      <c r="DD26" s="127">
        <f t="array" ref="DD26">if(iserror(index('BPM 2.0 Season CLE 2017'!DW$14:DW$38,(match($B26,'BPM 2.0 Season CLE 2017'!$CU$14:$CU$38,false)))),-4,index('BPM 2.0 Season CLE 2017'!DW$14:DW$38,(match($B26,'BPM 2.0 Season CLE 2017'!$CU$14:$CU$38,false))))</f>
        <v>-0.3053278092</v>
      </c>
      <c r="DE26" s="127">
        <f t="shared" ref="DE26:DG26" si="150">CU26-DB26</f>
        <v>-12.54302762</v>
      </c>
      <c r="DF26" s="127">
        <f t="shared" si="150"/>
        <v>-8.755109364</v>
      </c>
      <c r="DG26" s="127">
        <f t="shared" si="150"/>
        <v>-3.787918253</v>
      </c>
      <c r="DH26" s="31"/>
    </row>
    <row r="27">
      <c r="A27" s="108"/>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c r="AA27" s="109"/>
      <c r="AB27" s="109"/>
      <c r="AC27" s="110"/>
      <c r="AD27" s="111"/>
      <c r="AE27" s="4"/>
      <c r="AF27" s="110"/>
      <c r="AG27" s="113"/>
      <c r="AH27" s="113"/>
      <c r="AI27" s="113"/>
      <c r="AJ27" s="113"/>
      <c r="AK27" s="113"/>
      <c r="AL27" s="113"/>
      <c r="AM27" s="113"/>
      <c r="AN27" s="113"/>
      <c r="AO27" s="113"/>
      <c r="AP27" s="113"/>
      <c r="AQ27" s="113"/>
      <c r="AR27" s="113"/>
      <c r="AS27" s="116"/>
      <c r="AT27" s="117"/>
      <c r="AU27" s="118"/>
      <c r="AV27" s="118"/>
      <c r="BA27" s="121"/>
      <c r="BB27" s="122"/>
      <c r="BC27" s="122"/>
      <c r="BD27" s="121"/>
      <c r="BE27" s="121"/>
      <c r="BF27" s="121"/>
      <c r="BG27" s="121"/>
      <c r="BH27" s="121"/>
      <c r="BI27" s="121"/>
      <c r="BJ27" s="121"/>
      <c r="BK27" s="121"/>
      <c r="BL27" s="121"/>
      <c r="BM27" s="118"/>
      <c r="BN27" s="118"/>
      <c r="BO27" s="118"/>
      <c r="BP27" s="118"/>
      <c r="BQ27" s="123"/>
      <c r="BR27" s="103"/>
      <c r="BS27" s="114"/>
      <c r="BT27" s="118"/>
      <c r="BU27" s="125"/>
      <c r="BV27" s="121"/>
      <c r="BW27" s="122"/>
      <c r="BX27" s="122"/>
      <c r="BY27" s="121"/>
      <c r="BZ27" s="121"/>
      <c r="CA27" s="121"/>
      <c r="CB27" s="121"/>
      <c r="CC27" s="121"/>
      <c r="CD27" s="121"/>
      <c r="CE27" s="121"/>
      <c r="CF27" s="121"/>
      <c r="CG27" s="121"/>
      <c r="CH27" s="118"/>
      <c r="CI27" s="118"/>
      <c r="CJ27" s="118"/>
      <c r="CK27" s="118"/>
      <c r="CL27" s="123"/>
      <c r="CM27" s="103"/>
      <c r="CN27" s="114"/>
      <c r="CO27" s="118"/>
      <c r="CP27" s="126"/>
      <c r="CQ27" s="127"/>
      <c r="CR27" s="127"/>
      <c r="CS27" s="128"/>
      <c r="CT27" s="127"/>
      <c r="CU27" s="127"/>
      <c r="CV27" s="127"/>
      <c r="CW27" s="127"/>
      <c r="CX27" s="127"/>
      <c r="CY27" s="129"/>
      <c r="CZ27" s="31"/>
      <c r="DA27" s="31"/>
      <c r="DB27" s="31"/>
      <c r="DC27" s="31"/>
      <c r="DD27" s="31"/>
      <c r="DE27" s="31"/>
      <c r="DF27" s="31"/>
      <c r="DG27" s="31"/>
      <c r="DH27" s="31"/>
    </row>
    <row r="28">
      <c r="A28" s="108"/>
      <c r="B28" s="109"/>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c r="AC28" s="110"/>
      <c r="AD28" s="111"/>
      <c r="AE28" s="4"/>
      <c r="AF28" s="110"/>
      <c r="AG28" s="113"/>
      <c r="AH28" s="113"/>
      <c r="AI28" s="113"/>
      <c r="AJ28" s="113"/>
      <c r="AK28" s="113"/>
      <c r="AL28" s="113"/>
      <c r="AM28" s="113"/>
      <c r="AN28" s="113"/>
      <c r="AO28" s="113"/>
      <c r="AP28" s="113"/>
      <c r="AQ28" s="113"/>
      <c r="AR28" s="113"/>
      <c r="AS28" s="116"/>
      <c r="AT28" s="117"/>
      <c r="AU28" s="118"/>
      <c r="AV28" s="118"/>
      <c r="BA28" s="121"/>
      <c r="BB28" s="122"/>
      <c r="BC28" s="122"/>
      <c r="BD28" s="121"/>
      <c r="BE28" s="121"/>
      <c r="BF28" s="121"/>
      <c r="BG28" s="121"/>
      <c r="BH28" s="121"/>
      <c r="BI28" s="121"/>
      <c r="BJ28" s="121"/>
      <c r="BK28" s="121"/>
      <c r="BL28" s="121"/>
      <c r="BM28" s="118"/>
      <c r="BN28" s="118"/>
      <c r="BO28" s="118"/>
      <c r="BP28" s="118"/>
      <c r="BQ28" s="123"/>
      <c r="BR28" s="103"/>
      <c r="BS28" s="114"/>
      <c r="BT28" s="118"/>
      <c r="BU28" s="125"/>
      <c r="BV28" s="121"/>
      <c r="BW28" s="122"/>
      <c r="BX28" s="122"/>
      <c r="BY28" s="121"/>
      <c r="BZ28" s="121"/>
      <c r="CA28" s="121"/>
      <c r="CB28" s="121"/>
      <c r="CC28" s="121"/>
      <c r="CD28" s="121"/>
      <c r="CE28" s="121"/>
      <c r="CF28" s="121"/>
      <c r="CG28" s="121"/>
      <c r="CH28" s="118"/>
      <c r="CI28" s="118"/>
      <c r="CJ28" s="118"/>
      <c r="CK28" s="118"/>
      <c r="CL28" s="123"/>
      <c r="CM28" s="103"/>
      <c r="CN28" s="114"/>
      <c r="CO28" s="118"/>
      <c r="CP28" s="126"/>
      <c r="CQ28" s="127"/>
      <c r="CR28" s="127"/>
      <c r="CS28" s="128"/>
      <c r="CT28" s="127"/>
      <c r="CU28" s="127"/>
      <c r="CV28" s="127"/>
      <c r="CW28" s="127"/>
      <c r="CX28" s="127"/>
      <c r="CY28" s="129"/>
      <c r="CZ28" s="31"/>
      <c r="DA28" s="31"/>
      <c r="DB28" s="31"/>
      <c r="DC28" s="31"/>
      <c r="DD28" s="31"/>
      <c r="DE28" s="31"/>
      <c r="DF28" s="31"/>
      <c r="DG28" s="31"/>
      <c r="DH28" s="31"/>
    </row>
    <row r="29">
      <c r="A29" s="108"/>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c r="Z29" s="109"/>
      <c r="AA29" s="109"/>
      <c r="AB29" s="109"/>
      <c r="AC29" s="110"/>
      <c r="AD29" s="111"/>
      <c r="AE29" s="4"/>
      <c r="AF29" s="110"/>
      <c r="AG29" s="113"/>
      <c r="AH29" s="113"/>
      <c r="AI29" s="113"/>
      <c r="AJ29" s="113"/>
      <c r="AK29" s="113"/>
      <c r="AL29" s="113"/>
      <c r="AM29" s="113"/>
      <c r="AN29" s="113"/>
      <c r="AO29" s="113"/>
      <c r="AP29" s="113"/>
      <c r="AQ29" s="113"/>
      <c r="AR29" s="113"/>
      <c r="AS29" s="116"/>
      <c r="AT29" s="117"/>
      <c r="AU29" s="118"/>
      <c r="AV29" s="118"/>
      <c r="BA29" s="121"/>
      <c r="BB29" s="122"/>
      <c r="BC29" s="122"/>
      <c r="BD29" s="121"/>
      <c r="BE29" s="121"/>
      <c r="BF29" s="121"/>
      <c r="BG29" s="121"/>
      <c r="BH29" s="121"/>
      <c r="BI29" s="121"/>
      <c r="BJ29" s="121"/>
      <c r="BK29" s="121"/>
      <c r="BL29" s="121"/>
      <c r="BM29" s="118"/>
      <c r="BN29" s="118"/>
      <c r="BO29" s="118"/>
      <c r="BP29" s="118"/>
      <c r="BQ29" s="123"/>
      <c r="BR29" s="103"/>
      <c r="BS29" s="114"/>
      <c r="BT29" s="118"/>
      <c r="BU29" s="125"/>
      <c r="BV29" s="121"/>
      <c r="BW29" s="122"/>
      <c r="BX29" s="122"/>
      <c r="BY29" s="121"/>
      <c r="BZ29" s="121"/>
      <c r="CA29" s="121"/>
      <c r="CB29" s="121"/>
      <c r="CC29" s="121"/>
      <c r="CD29" s="121"/>
      <c r="CE29" s="121"/>
      <c r="CF29" s="121"/>
      <c r="CG29" s="121"/>
      <c r="CH29" s="118"/>
      <c r="CI29" s="118"/>
      <c r="CJ29" s="118"/>
      <c r="CK29" s="118"/>
      <c r="CL29" s="123"/>
      <c r="CM29" s="103"/>
      <c r="CN29" s="114"/>
      <c r="CO29" s="118"/>
      <c r="CP29" s="126"/>
      <c r="CQ29" s="127"/>
      <c r="CR29" s="127"/>
      <c r="CS29" s="128"/>
      <c r="CT29" s="127"/>
      <c r="CU29" s="127"/>
      <c r="CV29" s="127"/>
      <c r="CW29" s="127"/>
      <c r="CX29" s="127"/>
      <c r="CY29" s="129"/>
      <c r="CZ29" s="31"/>
      <c r="DA29" s="31"/>
      <c r="DB29" s="31"/>
      <c r="DC29" s="31"/>
      <c r="DD29" s="31"/>
      <c r="DE29" s="31"/>
      <c r="DF29" s="31"/>
      <c r="DG29" s="31"/>
      <c r="DH29" s="31"/>
    </row>
    <row r="30">
      <c r="A30" s="108"/>
      <c r="B30" s="109"/>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c r="AA30" s="109"/>
      <c r="AB30" s="109"/>
      <c r="AC30" s="110"/>
      <c r="AD30" s="111"/>
      <c r="AE30" s="4"/>
      <c r="AF30" s="110"/>
      <c r="AG30" s="113"/>
      <c r="AH30" s="113"/>
      <c r="AI30" s="113"/>
      <c r="AJ30" s="113"/>
      <c r="AK30" s="113"/>
      <c r="AL30" s="113"/>
      <c r="AM30" s="113"/>
      <c r="AN30" s="113"/>
      <c r="AO30" s="113"/>
      <c r="AP30" s="113"/>
      <c r="AQ30" s="113"/>
      <c r="AR30" s="113"/>
      <c r="AS30" s="116"/>
      <c r="AT30" s="117"/>
      <c r="AU30" s="118"/>
      <c r="AV30" s="118"/>
      <c r="BA30" s="121"/>
      <c r="BB30" s="122"/>
      <c r="BC30" s="122"/>
      <c r="BD30" s="121"/>
      <c r="BE30" s="121"/>
      <c r="BF30" s="121"/>
      <c r="BG30" s="121"/>
      <c r="BH30" s="121"/>
      <c r="BI30" s="121"/>
      <c r="BJ30" s="121"/>
      <c r="BK30" s="121"/>
      <c r="BL30" s="121"/>
      <c r="BM30" s="118"/>
      <c r="BN30" s="118"/>
      <c r="BO30" s="118"/>
      <c r="BP30" s="118"/>
      <c r="BQ30" s="123"/>
      <c r="BR30" s="103"/>
      <c r="BS30" s="114"/>
      <c r="BT30" s="118"/>
      <c r="BU30" s="125"/>
      <c r="BV30" s="121"/>
      <c r="BW30" s="122"/>
      <c r="BX30" s="122"/>
      <c r="BY30" s="121"/>
      <c r="BZ30" s="121"/>
      <c r="CA30" s="121"/>
      <c r="CB30" s="121"/>
      <c r="CC30" s="121"/>
      <c r="CD30" s="121"/>
      <c r="CE30" s="121"/>
      <c r="CF30" s="121"/>
      <c r="CG30" s="121"/>
      <c r="CH30" s="118"/>
      <c r="CI30" s="118"/>
      <c r="CJ30" s="118"/>
      <c r="CK30" s="118"/>
      <c r="CL30" s="123"/>
      <c r="CM30" s="103"/>
      <c r="CN30" s="114"/>
      <c r="CO30" s="118"/>
      <c r="CP30" s="126"/>
      <c r="CQ30" s="127"/>
      <c r="CR30" s="127"/>
      <c r="CS30" s="128"/>
      <c r="CT30" s="127"/>
      <c r="CU30" s="127"/>
      <c r="CV30" s="127"/>
      <c r="CW30" s="127"/>
      <c r="CX30" s="127"/>
      <c r="CY30" s="129"/>
      <c r="CZ30" s="31"/>
      <c r="DA30" s="31"/>
      <c r="DB30" s="31"/>
      <c r="DC30" s="31"/>
      <c r="DD30" s="31"/>
      <c r="DE30" s="31"/>
      <c r="DF30" s="31"/>
      <c r="DG30" s="31"/>
      <c r="DH30" s="31"/>
    </row>
    <row r="31">
      <c r="A31" s="108"/>
      <c r="B31" s="109"/>
      <c r="C31" s="109"/>
      <c r="D31" s="109"/>
      <c r="E31" s="109"/>
      <c r="F31" s="109"/>
      <c r="G31" s="109"/>
      <c r="H31" s="109"/>
      <c r="I31" s="109"/>
      <c r="J31" s="109"/>
      <c r="K31" s="109"/>
      <c r="L31" s="132"/>
      <c r="M31" s="109"/>
      <c r="N31" s="109"/>
      <c r="O31" s="109"/>
      <c r="P31" s="109"/>
      <c r="Q31" s="109"/>
      <c r="R31" s="109"/>
      <c r="S31" s="109"/>
      <c r="T31" s="109"/>
      <c r="U31" s="109"/>
      <c r="V31" s="109"/>
      <c r="W31" s="109"/>
      <c r="X31" s="109"/>
      <c r="Y31" s="109"/>
      <c r="Z31" s="109"/>
      <c r="AA31" s="109"/>
      <c r="AB31" s="109"/>
      <c r="AC31" s="110"/>
      <c r="AD31" s="111"/>
      <c r="AE31" s="4"/>
      <c r="AF31" s="110"/>
      <c r="AG31" s="113"/>
      <c r="AH31" s="113"/>
      <c r="AI31" s="113"/>
      <c r="AJ31" s="113"/>
      <c r="AK31" s="113"/>
      <c r="AL31" s="113"/>
      <c r="AM31" s="113"/>
      <c r="AN31" s="113"/>
      <c r="AO31" s="113"/>
      <c r="AP31" s="113"/>
      <c r="AQ31" s="113"/>
      <c r="AR31" s="113"/>
      <c r="AS31" s="116"/>
      <c r="AT31" s="117"/>
      <c r="AU31" s="118"/>
      <c r="AV31" s="118"/>
      <c r="BA31" s="121"/>
      <c r="BB31" s="122"/>
      <c r="BC31" s="122"/>
      <c r="BD31" s="121"/>
      <c r="BE31" s="121"/>
      <c r="BF31" s="121"/>
      <c r="BG31" s="121"/>
      <c r="BH31" s="121"/>
      <c r="BI31" s="121"/>
      <c r="BJ31" s="121"/>
      <c r="BK31" s="121"/>
      <c r="BL31" s="121"/>
      <c r="BM31" s="118"/>
      <c r="BN31" s="118"/>
      <c r="BO31" s="118"/>
      <c r="BP31" s="118"/>
      <c r="BQ31" s="123"/>
      <c r="BR31" s="103"/>
      <c r="BS31" s="114"/>
      <c r="BT31" s="118"/>
      <c r="BU31" s="125"/>
      <c r="BV31" s="121"/>
      <c r="BW31" s="122"/>
      <c r="BX31" s="122"/>
      <c r="BY31" s="121"/>
      <c r="BZ31" s="121"/>
      <c r="CA31" s="121"/>
      <c r="CB31" s="121"/>
      <c r="CC31" s="121"/>
      <c r="CD31" s="121"/>
      <c r="CE31" s="121"/>
      <c r="CF31" s="121"/>
      <c r="CG31" s="121"/>
      <c r="CH31" s="118"/>
      <c r="CI31" s="118"/>
      <c r="CJ31" s="118"/>
      <c r="CK31" s="118"/>
      <c r="CL31" s="123"/>
      <c r="CM31" s="103"/>
      <c r="CN31" s="114"/>
      <c r="CO31" s="118"/>
      <c r="CP31" s="126"/>
      <c r="CQ31" s="127"/>
      <c r="CR31" s="127"/>
      <c r="CS31" s="128"/>
      <c r="CT31" s="127"/>
      <c r="CU31" s="127"/>
      <c r="CV31" s="127"/>
      <c r="CW31" s="127"/>
      <c r="CX31" s="127"/>
      <c r="CY31" s="129"/>
      <c r="CZ31" s="31"/>
      <c r="DA31" s="31"/>
      <c r="DB31" s="31"/>
      <c r="DC31" s="31"/>
      <c r="DD31" s="31"/>
      <c r="DE31" s="31"/>
      <c r="DF31" s="31"/>
      <c r="DG31" s="31"/>
      <c r="DH31" s="31"/>
    </row>
    <row r="32">
      <c r="A32" s="108"/>
      <c r="B32" s="109"/>
      <c r="C32" s="109"/>
      <c r="D32" s="109"/>
      <c r="E32" s="109"/>
      <c r="F32" s="109"/>
      <c r="G32" s="109"/>
      <c r="H32" s="109"/>
      <c r="I32" s="109"/>
      <c r="J32" s="109"/>
      <c r="K32" s="109"/>
      <c r="L32" s="132"/>
      <c r="M32" s="109"/>
      <c r="N32" s="109"/>
      <c r="O32" s="109"/>
      <c r="P32" s="109"/>
      <c r="Q32" s="109"/>
      <c r="R32" s="109"/>
      <c r="S32" s="109"/>
      <c r="T32" s="109"/>
      <c r="U32" s="109"/>
      <c r="V32" s="109"/>
      <c r="W32" s="109"/>
      <c r="X32" s="109"/>
      <c r="Y32" s="109"/>
      <c r="Z32" s="109"/>
      <c r="AA32" s="109"/>
      <c r="AB32" s="109"/>
      <c r="AC32" s="110"/>
      <c r="AD32" s="111"/>
      <c r="AE32" s="4"/>
      <c r="AF32" s="110"/>
      <c r="AG32" s="113"/>
      <c r="AH32" s="113"/>
      <c r="AI32" s="113"/>
      <c r="AJ32" s="113"/>
      <c r="AK32" s="113"/>
      <c r="AL32" s="113"/>
      <c r="AM32" s="113"/>
      <c r="AN32" s="113"/>
      <c r="AO32" s="113"/>
      <c r="AP32" s="113"/>
      <c r="AQ32" s="113"/>
      <c r="AR32" s="113"/>
      <c r="AS32" s="116"/>
      <c r="AT32" s="117"/>
      <c r="AU32" s="118"/>
      <c r="AV32" s="118"/>
      <c r="BA32" s="121"/>
      <c r="BB32" s="122"/>
      <c r="BC32" s="122"/>
      <c r="BD32" s="121"/>
      <c r="BE32" s="121"/>
      <c r="BF32" s="121"/>
      <c r="BG32" s="121"/>
      <c r="BH32" s="121"/>
      <c r="BI32" s="121"/>
      <c r="BJ32" s="121"/>
      <c r="BK32" s="121"/>
      <c r="BL32" s="121"/>
      <c r="BM32" s="118"/>
      <c r="BN32" s="118"/>
      <c r="BO32" s="118"/>
      <c r="BP32" s="118"/>
      <c r="BQ32" s="123"/>
      <c r="BR32" s="103"/>
      <c r="BS32" s="114"/>
      <c r="BT32" s="118"/>
      <c r="BU32" s="125"/>
      <c r="BV32" s="121"/>
      <c r="BW32" s="122"/>
      <c r="BX32" s="122"/>
      <c r="BY32" s="121"/>
      <c r="BZ32" s="121"/>
      <c r="CA32" s="121"/>
      <c r="CB32" s="121"/>
      <c r="CC32" s="121"/>
      <c r="CD32" s="121"/>
      <c r="CE32" s="121"/>
      <c r="CF32" s="121"/>
      <c r="CG32" s="121"/>
      <c r="CH32" s="118"/>
      <c r="CI32" s="118"/>
      <c r="CJ32" s="118"/>
      <c r="CK32" s="118"/>
      <c r="CL32" s="123"/>
      <c r="CM32" s="103"/>
      <c r="CN32" s="114"/>
      <c r="CO32" s="118"/>
      <c r="CP32" s="126"/>
      <c r="CQ32" s="127"/>
      <c r="CR32" s="127"/>
      <c r="CS32" s="128"/>
      <c r="CT32" s="127"/>
      <c r="CU32" s="127"/>
      <c r="CV32" s="127"/>
      <c r="CW32" s="127"/>
      <c r="CX32" s="127"/>
      <c r="CY32" s="129"/>
      <c r="CZ32" s="31"/>
      <c r="DA32" s="31"/>
      <c r="DB32" s="31"/>
      <c r="DC32" s="31"/>
      <c r="DD32" s="31"/>
      <c r="DE32" s="31"/>
      <c r="DF32" s="31"/>
      <c r="DG32" s="31"/>
      <c r="DH32" s="31"/>
    </row>
    <row r="33">
      <c r="A33" s="108"/>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c r="AA33" s="109"/>
      <c r="AB33" s="109"/>
      <c r="AC33" s="110"/>
      <c r="AD33" s="111"/>
      <c r="AE33" s="4"/>
      <c r="AF33" s="110"/>
      <c r="AG33" s="113"/>
      <c r="AH33" s="113"/>
      <c r="AI33" s="113"/>
      <c r="AJ33" s="113"/>
      <c r="AK33" s="113"/>
      <c r="AL33" s="113"/>
      <c r="AM33" s="113"/>
      <c r="AN33" s="113"/>
      <c r="AO33" s="113"/>
      <c r="AP33" s="113"/>
      <c r="AQ33" s="113"/>
      <c r="AR33" s="113"/>
      <c r="AS33" s="116"/>
      <c r="AT33" s="117"/>
      <c r="AU33" s="118"/>
      <c r="AV33" s="118"/>
      <c r="BA33" s="121"/>
      <c r="BB33" s="122"/>
      <c r="BC33" s="122"/>
      <c r="BD33" s="121"/>
      <c r="BE33" s="121"/>
      <c r="BF33" s="121"/>
      <c r="BG33" s="121"/>
      <c r="BH33" s="121"/>
      <c r="BI33" s="121"/>
      <c r="BJ33" s="121"/>
      <c r="BK33" s="121"/>
      <c r="BL33" s="121"/>
      <c r="BM33" s="118"/>
      <c r="BN33" s="118"/>
      <c r="BO33" s="118"/>
      <c r="BP33" s="118"/>
      <c r="BQ33" s="123"/>
      <c r="BR33" s="103"/>
      <c r="BS33" s="114"/>
      <c r="BT33" s="118"/>
      <c r="BU33" s="125"/>
      <c r="BV33" s="121"/>
      <c r="BW33" s="122"/>
      <c r="BX33" s="122"/>
      <c r="BY33" s="121"/>
      <c r="BZ33" s="121"/>
      <c r="CA33" s="121"/>
      <c r="CB33" s="121"/>
      <c r="CC33" s="121"/>
      <c r="CD33" s="121"/>
      <c r="CE33" s="121"/>
      <c r="CF33" s="121"/>
      <c r="CG33" s="121"/>
      <c r="CH33" s="118"/>
      <c r="CI33" s="118"/>
      <c r="CJ33" s="118"/>
      <c r="CK33" s="118"/>
      <c r="CL33" s="123"/>
      <c r="CM33" s="103"/>
      <c r="CN33" s="114"/>
      <c r="CO33" s="118"/>
      <c r="CP33" s="126"/>
      <c r="CQ33" s="127"/>
      <c r="CR33" s="127"/>
      <c r="CS33" s="128"/>
      <c r="CT33" s="127"/>
      <c r="CU33" s="127"/>
      <c r="CV33" s="127"/>
      <c r="CW33" s="127"/>
      <c r="CX33" s="127"/>
      <c r="CY33" s="129"/>
      <c r="CZ33" s="31"/>
      <c r="DA33" s="31"/>
      <c r="DB33" s="31"/>
      <c r="DC33" s="31"/>
      <c r="DD33" s="31"/>
      <c r="DE33" s="31"/>
      <c r="DF33" s="31"/>
      <c r="DG33" s="31"/>
      <c r="DH33" s="31"/>
    </row>
    <row r="34">
      <c r="A34" s="108"/>
      <c r="B34" s="109"/>
      <c r="C34" s="109"/>
      <c r="D34" s="109"/>
      <c r="E34" s="109"/>
      <c r="F34" s="109"/>
      <c r="G34" s="109"/>
      <c r="H34" s="109"/>
      <c r="I34" s="132"/>
      <c r="J34" s="109"/>
      <c r="K34" s="109"/>
      <c r="L34" s="132"/>
      <c r="M34" s="109"/>
      <c r="N34" s="109"/>
      <c r="O34" s="132"/>
      <c r="P34" s="132"/>
      <c r="Q34" s="109"/>
      <c r="R34" s="109"/>
      <c r="S34" s="132"/>
      <c r="T34" s="109"/>
      <c r="U34" s="109"/>
      <c r="V34" s="109"/>
      <c r="W34" s="109"/>
      <c r="X34" s="109"/>
      <c r="Y34" s="109"/>
      <c r="Z34" s="109"/>
      <c r="AA34" s="109"/>
      <c r="AB34" s="109"/>
      <c r="AC34" s="110"/>
      <c r="AD34" s="111"/>
      <c r="AE34" s="4"/>
      <c r="AF34" s="110"/>
      <c r="AG34" s="113"/>
      <c r="AH34" s="113"/>
      <c r="AI34" s="113"/>
      <c r="AJ34" s="113"/>
      <c r="AK34" s="113"/>
      <c r="AL34" s="113"/>
      <c r="AM34" s="113"/>
      <c r="AN34" s="113"/>
      <c r="AO34" s="113"/>
      <c r="AP34" s="113"/>
      <c r="AQ34" s="113"/>
      <c r="AR34" s="113"/>
      <c r="AS34" s="116"/>
      <c r="AT34" s="117"/>
      <c r="AU34" s="118"/>
      <c r="AV34" s="118"/>
      <c r="BA34" s="121"/>
      <c r="BB34" s="122"/>
      <c r="BC34" s="122"/>
      <c r="BD34" s="121"/>
      <c r="BE34" s="121"/>
      <c r="BF34" s="121"/>
      <c r="BG34" s="121"/>
      <c r="BH34" s="121"/>
      <c r="BI34" s="121"/>
      <c r="BJ34" s="121"/>
      <c r="BK34" s="121"/>
      <c r="BL34" s="121"/>
      <c r="BM34" s="118"/>
      <c r="BN34" s="118"/>
      <c r="BO34" s="118"/>
      <c r="BP34" s="118"/>
      <c r="BQ34" s="123"/>
      <c r="BR34" s="103"/>
      <c r="BS34" s="114"/>
      <c r="BT34" s="118"/>
      <c r="BU34" s="125"/>
      <c r="BV34" s="121"/>
      <c r="BW34" s="122"/>
      <c r="BX34" s="122"/>
      <c r="BY34" s="121"/>
      <c r="BZ34" s="121"/>
      <c r="CA34" s="121"/>
      <c r="CB34" s="121"/>
      <c r="CC34" s="121"/>
      <c r="CD34" s="121"/>
      <c r="CE34" s="121"/>
      <c r="CF34" s="121"/>
      <c r="CG34" s="121"/>
      <c r="CH34" s="118"/>
      <c r="CI34" s="118"/>
      <c r="CJ34" s="118"/>
      <c r="CK34" s="118"/>
      <c r="CL34" s="123"/>
      <c r="CM34" s="103"/>
      <c r="CN34" s="114"/>
      <c r="CO34" s="118"/>
      <c r="CP34" s="126"/>
      <c r="CQ34" s="127"/>
      <c r="CR34" s="127"/>
      <c r="CS34" s="128"/>
      <c r="CT34" s="127"/>
      <c r="CU34" s="127"/>
      <c r="CV34" s="127"/>
      <c r="CW34" s="127"/>
      <c r="CX34" s="127"/>
      <c r="CY34" s="129"/>
      <c r="CZ34" s="31"/>
      <c r="DA34" s="31"/>
      <c r="DB34" s="31"/>
      <c r="DC34" s="31"/>
      <c r="DD34" s="31"/>
      <c r="DE34" s="31"/>
      <c r="DF34" s="31"/>
      <c r="DG34" s="31"/>
      <c r="DH34" s="31"/>
    </row>
    <row r="35">
      <c r="A35" s="108"/>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10"/>
      <c r="AD35" s="111"/>
      <c r="AE35" s="4"/>
      <c r="AF35" s="110"/>
      <c r="AG35" s="113"/>
      <c r="AH35" s="113"/>
      <c r="AI35" s="113"/>
      <c r="AJ35" s="113"/>
      <c r="AK35" s="113"/>
      <c r="AL35" s="113"/>
      <c r="AM35" s="113"/>
      <c r="AN35" s="113"/>
      <c r="AO35" s="113"/>
      <c r="AP35" s="113"/>
      <c r="AQ35" s="113"/>
      <c r="AR35" s="113"/>
      <c r="AS35" s="116"/>
      <c r="AT35" s="117"/>
      <c r="AU35" s="118"/>
      <c r="BA35" s="121"/>
      <c r="BB35" s="122"/>
      <c r="BC35" s="122"/>
      <c r="BD35" s="121"/>
      <c r="BE35" s="121"/>
      <c r="BF35" s="121"/>
      <c r="BG35" s="121"/>
      <c r="BH35" s="121"/>
      <c r="BI35" s="121"/>
      <c r="BJ35" s="121"/>
      <c r="BK35" s="121"/>
      <c r="BL35" s="121"/>
      <c r="BM35" s="118"/>
      <c r="BN35" s="118"/>
      <c r="BO35" s="118"/>
      <c r="BP35" s="118"/>
      <c r="BQ35" s="123"/>
      <c r="BR35" s="103"/>
      <c r="BS35" s="114"/>
      <c r="BT35" s="118"/>
      <c r="BU35" s="125"/>
      <c r="BV35" s="121"/>
      <c r="BW35" s="122"/>
      <c r="BX35" s="122"/>
      <c r="BY35" s="121"/>
      <c r="BZ35" s="121"/>
      <c r="CA35" s="121"/>
      <c r="CB35" s="121"/>
      <c r="CC35" s="121"/>
      <c r="CD35" s="121"/>
      <c r="CE35" s="121"/>
      <c r="CF35" s="121"/>
      <c r="CG35" s="121"/>
      <c r="CH35" s="118"/>
      <c r="CI35" s="118"/>
      <c r="CJ35" s="118"/>
      <c r="CK35" s="118"/>
      <c r="CL35" s="123"/>
      <c r="CM35" s="103"/>
      <c r="CN35" s="114"/>
      <c r="CO35" s="118"/>
      <c r="CP35" s="126"/>
      <c r="CQ35" s="128"/>
      <c r="CR35" s="128"/>
      <c r="CS35" s="128"/>
      <c r="CT35" s="127"/>
      <c r="CU35" s="127"/>
      <c r="CV35" s="127"/>
      <c r="CW35" s="127"/>
      <c r="CX35" s="127"/>
      <c r="CY35" s="129"/>
      <c r="CZ35" s="31"/>
      <c r="DA35" s="31"/>
      <c r="DB35" s="31"/>
      <c r="DC35" s="31"/>
      <c r="DD35" s="31"/>
      <c r="DE35" s="31"/>
      <c r="DF35" s="31"/>
      <c r="DG35" s="31"/>
      <c r="DH35" s="31"/>
    </row>
    <row r="36">
      <c r="A36" s="108"/>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c r="AA36" s="109"/>
      <c r="AB36" s="109"/>
      <c r="AC36" s="110"/>
      <c r="AD36" s="111"/>
      <c r="AE36" s="4"/>
      <c r="AF36" s="110"/>
      <c r="AG36" s="113"/>
      <c r="AH36" s="113"/>
      <c r="AI36" s="113"/>
      <c r="AJ36" s="113"/>
      <c r="AK36" s="113"/>
      <c r="AL36" s="113"/>
      <c r="AM36" s="113"/>
      <c r="AN36" s="113"/>
      <c r="AO36" s="113"/>
      <c r="AP36" s="113"/>
      <c r="AQ36" s="113"/>
      <c r="AR36" s="113"/>
      <c r="AS36" s="116"/>
      <c r="AT36" s="117"/>
      <c r="AU36" s="118"/>
      <c r="BA36" s="121"/>
      <c r="BB36" s="122"/>
      <c r="BC36" s="122"/>
      <c r="BD36" s="121"/>
      <c r="BE36" s="121"/>
      <c r="BF36" s="121"/>
      <c r="BG36" s="121"/>
      <c r="BH36" s="121"/>
      <c r="BI36" s="121"/>
      <c r="BJ36" s="121"/>
      <c r="BK36" s="121"/>
      <c r="BL36" s="121"/>
      <c r="BM36" s="118"/>
      <c r="BN36" s="118"/>
      <c r="BO36" s="118"/>
      <c r="BP36" s="118"/>
      <c r="BQ36" s="123"/>
      <c r="BR36" s="103"/>
      <c r="BS36" s="114"/>
      <c r="BT36" s="118"/>
      <c r="BU36" s="125"/>
      <c r="BV36" s="121"/>
      <c r="BW36" s="122"/>
      <c r="BX36" s="122"/>
      <c r="BY36" s="121"/>
      <c r="BZ36" s="121"/>
      <c r="CA36" s="121"/>
      <c r="CB36" s="121"/>
      <c r="CC36" s="121"/>
      <c r="CD36" s="121"/>
      <c r="CE36" s="121"/>
      <c r="CF36" s="121"/>
      <c r="CG36" s="121"/>
      <c r="CH36" s="118"/>
      <c r="CI36" s="118"/>
      <c r="CJ36" s="118"/>
      <c r="CK36" s="118"/>
      <c r="CL36" s="123"/>
      <c r="CM36" s="103"/>
      <c r="CN36" s="114"/>
      <c r="CO36" s="118"/>
      <c r="CP36" s="126"/>
      <c r="CQ36" s="128"/>
      <c r="CR36" s="128"/>
      <c r="CS36" s="128"/>
      <c r="CT36" s="127"/>
      <c r="CU36" s="127"/>
      <c r="CV36" s="127"/>
      <c r="CW36" s="127"/>
      <c r="CX36" s="127"/>
      <c r="CY36" s="129"/>
      <c r="CZ36" s="60"/>
      <c r="DA36" s="60"/>
      <c r="DB36" s="60"/>
      <c r="DC36" s="60"/>
      <c r="DD36" s="31"/>
      <c r="DE36" s="31"/>
      <c r="DF36" s="31"/>
      <c r="DG36" s="31"/>
      <c r="DH36" s="31"/>
    </row>
    <row r="37">
      <c r="A37" s="108"/>
      <c r="B37" s="109"/>
      <c r="C37" s="109"/>
      <c r="D37" s="109"/>
      <c r="E37" s="109"/>
      <c r="F37" s="109"/>
      <c r="G37" s="109"/>
      <c r="H37" s="109"/>
      <c r="I37" s="109"/>
      <c r="J37" s="109"/>
      <c r="K37" s="109"/>
      <c r="L37" s="109"/>
      <c r="M37" s="109"/>
      <c r="N37" s="109"/>
      <c r="O37" s="109"/>
      <c r="P37" s="109"/>
      <c r="Q37" s="109"/>
      <c r="R37" s="109"/>
      <c r="S37" s="134"/>
      <c r="T37" s="109"/>
      <c r="U37" s="109"/>
      <c r="V37" s="109"/>
      <c r="W37" s="109"/>
      <c r="X37" s="109"/>
      <c r="Y37" s="109"/>
      <c r="Z37" s="109"/>
      <c r="AA37" s="109"/>
      <c r="AB37" s="109"/>
      <c r="AC37" s="110"/>
      <c r="AD37" s="111"/>
      <c r="AE37" s="4"/>
      <c r="AF37" s="110"/>
      <c r="AG37" s="113"/>
      <c r="AH37" s="113"/>
      <c r="AI37" s="113"/>
      <c r="AJ37" s="113"/>
      <c r="AK37" s="113"/>
      <c r="AL37" s="113"/>
      <c r="AM37" s="113"/>
      <c r="AN37" s="113"/>
      <c r="AO37" s="113"/>
      <c r="AP37" s="113"/>
      <c r="AQ37" s="113"/>
      <c r="AR37" s="113"/>
      <c r="AS37" s="116"/>
      <c r="AT37" s="117"/>
      <c r="AU37" s="118"/>
      <c r="BA37" s="121"/>
      <c r="BB37" s="122"/>
      <c r="BC37" s="122"/>
      <c r="BD37" s="121"/>
      <c r="BE37" s="121"/>
      <c r="BF37" s="121"/>
      <c r="BG37" s="121"/>
      <c r="BH37" s="121"/>
      <c r="BI37" s="121"/>
      <c r="BJ37" s="121"/>
      <c r="BK37" s="121"/>
      <c r="BL37" s="121"/>
      <c r="BM37" s="118"/>
      <c r="BN37" s="118"/>
      <c r="BO37" s="118"/>
      <c r="BP37" s="118"/>
      <c r="BQ37" s="123"/>
      <c r="BR37" s="103"/>
      <c r="BS37" s="114"/>
      <c r="BT37" s="118"/>
      <c r="BU37" s="125"/>
      <c r="BV37" s="121"/>
      <c r="BW37" s="122"/>
      <c r="BX37" s="122"/>
      <c r="BY37" s="121"/>
      <c r="BZ37" s="121"/>
      <c r="CA37" s="121"/>
      <c r="CB37" s="121"/>
      <c r="CC37" s="121"/>
      <c r="CD37" s="121"/>
      <c r="CE37" s="121"/>
      <c r="CF37" s="121"/>
      <c r="CG37" s="121"/>
      <c r="CH37" s="118"/>
      <c r="CI37" s="118"/>
      <c r="CJ37" s="118"/>
      <c r="CK37" s="118"/>
      <c r="CL37" s="123"/>
      <c r="CM37" s="103"/>
      <c r="CN37" s="114"/>
      <c r="CO37" s="118"/>
      <c r="CP37" s="126"/>
      <c r="CQ37" s="128"/>
      <c r="CR37" s="128"/>
      <c r="CS37" s="128"/>
      <c r="CT37" s="127"/>
      <c r="CU37" s="127"/>
      <c r="CV37" s="127"/>
      <c r="CW37" s="127"/>
      <c r="CX37" s="127"/>
      <c r="CY37" s="129"/>
      <c r="CZ37" s="60"/>
      <c r="DA37" s="60"/>
      <c r="DB37" s="60"/>
      <c r="DC37" s="60"/>
      <c r="DD37" s="31"/>
      <c r="DE37" s="31"/>
      <c r="DF37" s="31"/>
      <c r="DG37" s="31"/>
      <c r="DH37" s="31"/>
    </row>
    <row r="38">
      <c r="AC38" s="110"/>
      <c r="AD38" s="111"/>
      <c r="AE38" s="4"/>
      <c r="AF38" s="110"/>
      <c r="AG38" s="113"/>
      <c r="AH38" s="113"/>
      <c r="AI38" s="113"/>
      <c r="AJ38" s="113"/>
      <c r="AK38" s="113"/>
      <c r="AL38" s="113"/>
      <c r="AM38" s="113"/>
      <c r="AN38" s="113"/>
      <c r="AO38" s="113"/>
      <c r="AP38" s="113"/>
      <c r="AQ38" s="113"/>
      <c r="AR38" s="113"/>
      <c r="AS38" s="116"/>
      <c r="AT38" s="117"/>
      <c r="AU38" s="118"/>
      <c r="BA38" s="121"/>
      <c r="BB38" s="122"/>
      <c r="BC38" s="122"/>
      <c r="BD38" s="121"/>
      <c r="BE38" s="121"/>
      <c r="BF38" s="121"/>
      <c r="BG38" s="121"/>
      <c r="BH38" s="121"/>
      <c r="BI38" s="121"/>
      <c r="BJ38" s="121"/>
      <c r="BK38" s="121"/>
      <c r="BL38" s="121"/>
      <c r="BM38" s="118"/>
      <c r="BN38" s="118"/>
      <c r="BO38" s="118"/>
      <c r="BP38" s="118"/>
      <c r="BQ38" s="123"/>
      <c r="BR38" s="103"/>
      <c r="BS38" s="114"/>
      <c r="BT38" s="118"/>
      <c r="BU38" s="125"/>
      <c r="BV38" s="121"/>
      <c r="BW38" s="122"/>
      <c r="BX38" s="122"/>
      <c r="BY38" s="121"/>
      <c r="BZ38" s="121"/>
      <c r="CA38" s="121"/>
      <c r="CB38" s="121"/>
      <c r="CC38" s="121"/>
      <c r="CD38" s="121"/>
      <c r="CE38" s="121"/>
      <c r="CF38" s="121"/>
      <c r="CG38" s="121"/>
      <c r="CH38" s="118"/>
      <c r="CI38" s="118"/>
      <c r="CJ38" s="118"/>
      <c r="CK38" s="118"/>
      <c r="CL38" s="123"/>
      <c r="CM38" s="103"/>
      <c r="CN38" s="114"/>
      <c r="CO38" s="118"/>
      <c r="CP38" s="126"/>
      <c r="CQ38" s="127"/>
      <c r="CR38" s="127"/>
      <c r="CS38" s="127"/>
      <c r="CT38" s="127"/>
      <c r="CU38" s="127"/>
      <c r="CV38" s="127"/>
      <c r="CW38" s="127"/>
      <c r="CX38" s="127"/>
      <c r="CY38" s="129"/>
      <c r="CZ38" s="60"/>
      <c r="DA38" s="60"/>
      <c r="DB38" s="60"/>
      <c r="DC38" s="60"/>
      <c r="DD38" s="31"/>
      <c r="DE38" s="31"/>
      <c r="DF38" s="31"/>
      <c r="DG38" s="31"/>
      <c r="DH38" s="31"/>
    </row>
    <row r="39">
      <c r="AC39" s="110"/>
      <c r="AD39" s="111"/>
      <c r="AE39" s="4"/>
      <c r="AF39" s="110"/>
      <c r="AG39" s="113"/>
      <c r="AH39" s="113"/>
      <c r="AI39" s="113"/>
      <c r="AJ39" s="113"/>
      <c r="AK39" s="113"/>
      <c r="AL39" s="113"/>
      <c r="AM39" s="113"/>
      <c r="AN39" s="113"/>
      <c r="AO39" s="113"/>
      <c r="AP39" s="113"/>
      <c r="AQ39" s="113"/>
      <c r="AR39" s="113"/>
      <c r="AS39" s="116"/>
      <c r="AT39" s="117"/>
      <c r="AU39" s="118"/>
      <c r="BA39" s="121"/>
      <c r="BB39" s="122"/>
      <c r="BC39" s="122"/>
      <c r="BD39" s="121"/>
      <c r="BE39" s="121"/>
      <c r="BF39" s="121"/>
      <c r="BG39" s="121"/>
      <c r="BH39" s="121"/>
      <c r="BI39" s="121"/>
      <c r="BJ39" s="121"/>
      <c r="BK39" s="121"/>
      <c r="BL39" s="121"/>
      <c r="BM39" s="118"/>
      <c r="BN39" s="118"/>
      <c r="BO39" s="118"/>
      <c r="BP39" s="118"/>
      <c r="BQ39" s="123"/>
      <c r="BR39" s="103"/>
      <c r="BS39" s="114"/>
      <c r="BT39" s="118"/>
      <c r="BU39" s="125"/>
      <c r="BV39" s="121"/>
      <c r="BW39" s="122"/>
      <c r="BX39" s="122"/>
      <c r="BY39" s="121"/>
      <c r="BZ39" s="121"/>
      <c r="CA39" s="121"/>
      <c r="CB39" s="121"/>
      <c r="CC39" s="121"/>
      <c r="CD39" s="121"/>
      <c r="CE39" s="121"/>
      <c r="CF39" s="121"/>
      <c r="CG39" s="121"/>
      <c r="CH39" s="118"/>
      <c r="CI39" s="118"/>
      <c r="CJ39" s="118"/>
      <c r="CK39" s="118"/>
      <c r="CL39" s="123"/>
      <c r="CM39" s="103"/>
      <c r="CN39" s="114"/>
      <c r="CO39" s="118"/>
      <c r="CP39" s="126" t="str">
        <f t="shared" ref="CP39:CP40" si="151">concatenate(B39,if(iserror(vlookup(B39,$M$51:$O$81,2,false)),"",concatenate(" (",vlookup(B39,$M$51:$O$81,2,false),")")))</f>
        <v/>
      </c>
      <c r="CQ39" s="127"/>
      <c r="CR39" s="127"/>
      <c r="CS39" s="127"/>
      <c r="CT39" s="127"/>
      <c r="CU39" s="127"/>
      <c r="CV39" s="127"/>
      <c r="CW39" s="127"/>
      <c r="CX39" s="127"/>
      <c r="CY39" s="129"/>
      <c r="CZ39" s="2"/>
      <c r="DA39" s="2"/>
      <c r="DB39" s="2"/>
      <c r="DC39" s="2"/>
      <c r="DD39" s="5"/>
      <c r="DE39" s="5"/>
      <c r="DF39" s="5"/>
      <c r="DG39" s="5"/>
      <c r="DH39" s="5"/>
    </row>
    <row r="40">
      <c r="AC40" s="110"/>
      <c r="AD40" s="111"/>
      <c r="AE40" s="4"/>
      <c r="AF40" s="110"/>
      <c r="AG40" s="113"/>
      <c r="AH40" s="113"/>
      <c r="AI40" s="113"/>
      <c r="AJ40" s="113"/>
      <c r="AK40" s="113"/>
      <c r="AL40" s="113"/>
      <c r="AM40" s="113"/>
      <c r="AN40" s="113"/>
      <c r="AO40" s="113"/>
      <c r="AP40" s="113"/>
      <c r="AQ40" s="113"/>
      <c r="AR40" s="113"/>
      <c r="AS40" s="116"/>
      <c r="AT40" s="117"/>
      <c r="AU40" s="118"/>
      <c r="BA40" s="121"/>
      <c r="BB40" s="122"/>
      <c r="BC40" s="122"/>
      <c r="BD40" s="121"/>
      <c r="BE40" s="121"/>
      <c r="BF40" s="121"/>
      <c r="BG40" s="121"/>
      <c r="BH40" s="121"/>
      <c r="BI40" s="121"/>
      <c r="BJ40" s="121"/>
      <c r="BK40" s="121"/>
      <c r="BL40" s="121"/>
      <c r="BM40" s="118"/>
      <c r="BN40" s="118"/>
      <c r="BO40" s="118"/>
      <c r="BP40" s="118"/>
      <c r="BQ40" s="123"/>
      <c r="BR40" s="103"/>
      <c r="BS40" s="114"/>
      <c r="BT40" s="118"/>
      <c r="BU40" s="125"/>
      <c r="BV40" s="121"/>
      <c r="BW40" s="122"/>
      <c r="BX40" s="122"/>
      <c r="BY40" s="121"/>
      <c r="BZ40" s="121"/>
      <c r="CA40" s="121"/>
      <c r="CB40" s="121"/>
      <c r="CC40" s="121"/>
      <c r="CD40" s="121"/>
      <c r="CE40" s="121"/>
      <c r="CF40" s="121"/>
      <c r="CG40" s="121"/>
      <c r="CH40" s="118"/>
      <c r="CI40" s="118"/>
      <c r="CJ40" s="118"/>
      <c r="CK40" s="118"/>
      <c r="CL40" s="123"/>
      <c r="CM40" s="103"/>
      <c r="CN40" s="114"/>
      <c r="CO40" s="118"/>
      <c r="CP40" s="126" t="str">
        <f t="shared" si="151"/>
        <v/>
      </c>
      <c r="CQ40" s="127"/>
      <c r="CR40" s="127"/>
      <c r="CS40" s="127"/>
      <c r="CT40" s="127"/>
      <c r="CU40" s="127"/>
      <c r="CV40" s="127"/>
      <c r="CW40" s="127"/>
      <c r="CX40" s="127"/>
      <c r="CY40" s="129"/>
      <c r="CZ40" s="2"/>
      <c r="DA40" s="2"/>
      <c r="DB40" s="2"/>
      <c r="DC40" s="2"/>
      <c r="DD40" s="5"/>
      <c r="DE40" s="5"/>
      <c r="DF40" s="5"/>
      <c r="DG40" s="5"/>
      <c r="DH40" s="5"/>
    </row>
    <row r="41">
      <c r="CU41" s="4"/>
      <c r="CZ41" s="5"/>
      <c r="DA41" s="5"/>
      <c r="DB41" s="5"/>
      <c r="DC41" s="5"/>
      <c r="DD41" s="5"/>
      <c r="DE41" s="5"/>
      <c r="DF41" s="5"/>
      <c r="DG41" s="5"/>
      <c r="DH41" s="5"/>
    </row>
    <row r="42">
      <c r="CU42" s="4"/>
      <c r="CZ42" s="5"/>
      <c r="DA42" s="5"/>
      <c r="DB42" s="5"/>
      <c r="DC42" s="5"/>
      <c r="DD42" s="5"/>
      <c r="DE42" s="5"/>
      <c r="DF42" s="5"/>
      <c r="DG42" s="5"/>
      <c r="DH42" s="5"/>
    </row>
    <row r="43">
      <c r="CU43" s="4"/>
      <c r="CZ43" s="5"/>
      <c r="DA43" s="5"/>
      <c r="DB43" s="5"/>
      <c r="DC43" s="5"/>
      <c r="DD43" s="5"/>
      <c r="DE43" s="5"/>
      <c r="DF43" s="5"/>
      <c r="DG43" s="5"/>
      <c r="DH43" s="5"/>
    </row>
    <row r="44">
      <c r="CU44" s="4"/>
      <c r="CZ44" s="5"/>
      <c r="DA44" s="5"/>
      <c r="DB44" s="5"/>
      <c r="DC44" s="5"/>
      <c r="DD44" s="5"/>
      <c r="DE44" s="5"/>
      <c r="DF44" s="5"/>
      <c r="DG44" s="5"/>
      <c r="DH44" s="5"/>
    </row>
    <row r="45">
      <c r="CU45" s="4"/>
      <c r="CZ45" s="5"/>
      <c r="DA45" s="5"/>
      <c r="DB45" s="5"/>
      <c r="DC45" s="5"/>
      <c r="DD45" s="5"/>
      <c r="DE45" s="5"/>
      <c r="DF45" s="5"/>
      <c r="DG45" s="5"/>
      <c r="DH45" s="5"/>
    </row>
    <row r="46">
      <c r="CU46" s="4"/>
      <c r="CZ46" s="5"/>
      <c r="DA46" s="5"/>
      <c r="DB46" s="5"/>
      <c r="DC46" s="5"/>
      <c r="DD46" s="5"/>
      <c r="DE46" s="5"/>
      <c r="DF46" s="5"/>
      <c r="DG46" s="5"/>
      <c r="DH46" s="5"/>
    </row>
    <row r="47">
      <c r="CU47" s="4"/>
      <c r="CZ47" s="5"/>
      <c r="DA47" s="5"/>
      <c r="DB47" s="5"/>
      <c r="DC47" s="5"/>
      <c r="DD47" s="5"/>
      <c r="DE47" s="5"/>
      <c r="DF47" s="5"/>
      <c r="DG47" s="5"/>
      <c r="DH47" s="5"/>
    </row>
    <row r="48">
      <c r="L48" s="61" t="s">
        <v>164</v>
      </c>
      <c r="M48" s="61" t="s">
        <v>165</v>
      </c>
      <c r="N48" s="61" t="s">
        <v>166</v>
      </c>
      <c r="CU48" s="4"/>
      <c r="CZ48" s="5"/>
      <c r="DA48" s="5"/>
      <c r="DB48" s="5"/>
      <c r="DC48" s="5"/>
      <c r="DD48" s="5"/>
      <c r="DE48" s="5"/>
      <c r="DF48" s="5"/>
      <c r="DG48" s="5"/>
      <c r="DH48" s="5"/>
    </row>
    <row r="49">
      <c r="A49" s="61" t="s">
        <v>167</v>
      </c>
      <c r="CU49" s="4"/>
      <c r="CZ49" s="5"/>
      <c r="DA49" s="5"/>
      <c r="DB49" s="5"/>
      <c r="DC49" s="5"/>
      <c r="DD49" s="5"/>
      <c r="DE49" s="5"/>
      <c r="DF49" s="5"/>
      <c r="DG49" s="5"/>
      <c r="DH49" s="5"/>
    </row>
    <row r="50">
      <c r="A50" s="136" t="s">
        <v>168</v>
      </c>
      <c r="B50" s="136" t="s">
        <v>119</v>
      </c>
      <c r="C50" s="136" t="s">
        <v>129</v>
      </c>
      <c r="D50" s="136" t="s">
        <v>169</v>
      </c>
      <c r="E50" s="136" t="s">
        <v>170</v>
      </c>
      <c r="F50" s="136" t="s">
        <v>171</v>
      </c>
      <c r="G50" s="137"/>
      <c r="H50" s="136" t="s">
        <v>172</v>
      </c>
      <c r="I50" s="136" t="s">
        <v>173</v>
      </c>
      <c r="J50" s="138"/>
      <c r="K50" s="138"/>
      <c r="L50" s="61" t="s">
        <v>119</v>
      </c>
      <c r="M50" s="61" t="s">
        <v>119</v>
      </c>
      <c r="N50" s="61" t="s">
        <v>119</v>
      </c>
      <c r="O50" s="61" t="s">
        <v>174</v>
      </c>
      <c r="CU50" s="4"/>
      <c r="CZ50" s="5"/>
      <c r="DA50" s="5"/>
      <c r="DB50" s="5"/>
      <c r="DC50" s="5"/>
      <c r="DD50" s="5"/>
      <c r="DE50" s="5"/>
      <c r="DF50" s="5"/>
      <c r="DG50" s="5"/>
      <c r="DH50" s="5"/>
    </row>
    <row r="51">
      <c r="A51" s="136">
        <v>0.0</v>
      </c>
      <c r="B51" s="139" t="s">
        <v>159</v>
      </c>
      <c r="C51" s="139" t="s">
        <v>175</v>
      </c>
      <c r="D51" s="140">
        <v>43992.0</v>
      </c>
      <c r="E51" s="139">
        <v>245.0</v>
      </c>
      <c r="F51" s="141">
        <v>28678.0</v>
      </c>
      <c r="G51" s="139" t="s">
        <v>176</v>
      </c>
      <c r="H51" s="139">
        <v>14.0</v>
      </c>
      <c r="I51" s="139" t="s">
        <v>177</v>
      </c>
      <c r="J51" s="138"/>
      <c r="K51" s="138"/>
      <c r="L51" s="143" t="str">
        <f t="shared" ref="L51:L81" si="153">if(iserror(search(L$48,B51)),B51,trim(left(B51,search(L$48,B51)-1)))</f>
        <v>Chris Andersen</v>
      </c>
      <c r="M51" s="143" t="str">
        <f t="shared" ref="M51:N51" si="152">if(iserror(search(M$48,L51)),L51,trim(left(L51,search(M$48,L51)-1)))</f>
        <v>Chris Andersen</v>
      </c>
      <c r="N51" s="143" t="str">
        <f t="shared" si="152"/>
        <v>Chris Andersen</v>
      </c>
      <c r="O51" s="143" t="str">
        <f t="shared" ref="O51:O81" si="155">if(not(isnumber(H51)),H51,if(H51&lt;3,vlookup(H51,$Y$51:$Z$53,2,false),concatenate(H51+1,"th")))</f>
        <v>15th</v>
      </c>
      <c r="S51" s="61" t="s">
        <v>178</v>
      </c>
      <c r="T51" s="61">
        <v>1.0</v>
      </c>
      <c r="Y51" s="61">
        <v>1.0</v>
      </c>
      <c r="Z51" s="61" t="s">
        <v>179</v>
      </c>
      <c r="CU51" s="4"/>
      <c r="CZ51" s="5"/>
      <c r="DA51" s="5"/>
      <c r="DB51" s="5"/>
      <c r="DC51" s="5"/>
      <c r="DD51" s="5"/>
      <c r="DE51" s="5"/>
      <c r="DF51" s="5"/>
      <c r="DG51" s="5"/>
      <c r="DH51" s="5"/>
    </row>
    <row r="52">
      <c r="A52" s="136">
        <v>6.0</v>
      </c>
      <c r="B52" s="139" t="s">
        <v>163</v>
      </c>
      <c r="C52" s="139" t="s">
        <v>175</v>
      </c>
      <c r="D52" s="139" t="s">
        <v>180</v>
      </c>
      <c r="E52" s="139">
        <v>260.0</v>
      </c>
      <c r="F52" s="141">
        <v>31014.0</v>
      </c>
      <c r="G52" s="139" t="s">
        <v>181</v>
      </c>
      <c r="H52" s="139">
        <v>11.0</v>
      </c>
      <c r="I52" s="139" t="s">
        <v>182</v>
      </c>
      <c r="J52" s="138"/>
      <c r="K52" s="138"/>
      <c r="L52" s="143" t="str">
        <f t="shared" si="153"/>
        <v>Andrew Bogut</v>
      </c>
      <c r="M52" s="143" t="str">
        <f t="shared" ref="M52:N52" si="154">if(iserror(search(M$48,L52)),L52,trim(left(L52,search(M$48,L52)-1)))</f>
        <v>Andrew Bogut</v>
      </c>
      <c r="N52" s="143" t="str">
        <f t="shared" si="154"/>
        <v>Andrew Bogut</v>
      </c>
      <c r="O52" s="143" t="str">
        <f t="shared" si="155"/>
        <v>12th</v>
      </c>
      <c r="S52" s="61" t="s">
        <v>183</v>
      </c>
      <c r="T52" s="61">
        <v>2.0</v>
      </c>
      <c r="Y52" s="61">
        <v>2.0</v>
      </c>
      <c r="Z52" s="61" t="s">
        <v>184</v>
      </c>
      <c r="CU52" s="4"/>
      <c r="CZ52" s="5"/>
      <c r="DA52" s="5"/>
      <c r="DB52" s="5"/>
      <c r="DC52" s="5"/>
      <c r="DD52" s="5"/>
      <c r="DE52" s="5"/>
      <c r="DF52" s="5"/>
      <c r="DG52" s="5"/>
      <c r="DH52" s="5"/>
    </row>
    <row r="53">
      <c r="A53" s="136">
        <v>3.0</v>
      </c>
      <c r="B53" s="139" t="s">
        <v>158</v>
      </c>
      <c r="C53" s="139" t="s">
        <v>185</v>
      </c>
      <c r="D53" s="140">
        <v>43991.0</v>
      </c>
      <c r="E53" s="139">
        <v>230.0</v>
      </c>
      <c r="F53" s="141">
        <v>29479.0</v>
      </c>
      <c r="G53" s="139" t="s">
        <v>176</v>
      </c>
      <c r="H53" s="139">
        <v>14.0</v>
      </c>
      <c r="I53" s="139" t="s">
        <v>186</v>
      </c>
      <c r="J53" s="138"/>
      <c r="K53" s="138"/>
      <c r="L53" s="143" t="str">
        <f t="shared" si="153"/>
        <v>Mike Dunleavy</v>
      </c>
      <c r="M53" s="143" t="str">
        <f t="shared" ref="M53:N53" si="156">if(iserror(search(M$48,L53)),L53,trim(left(L53,search(M$48,L53)-1)))</f>
        <v>Mike Dunleavy</v>
      </c>
      <c r="N53" s="143" t="str">
        <f t="shared" si="156"/>
        <v>Mike Dunleavy</v>
      </c>
      <c r="O53" s="143" t="str">
        <f t="shared" si="155"/>
        <v>15th</v>
      </c>
      <c r="S53" s="61" t="s">
        <v>185</v>
      </c>
      <c r="T53" s="61">
        <v>3.0</v>
      </c>
      <c r="Y53" s="61">
        <v>3.0</v>
      </c>
      <c r="CU53" s="4"/>
      <c r="CZ53" s="5"/>
      <c r="DA53" s="5"/>
      <c r="DB53" s="5"/>
      <c r="DC53" s="5"/>
      <c r="DD53" s="5"/>
      <c r="DE53" s="5"/>
      <c r="DF53" s="5"/>
      <c r="DG53" s="5"/>
      <c r="DH53" s="5"/>
    </row>
    <row r="54">
      <c r="A54" s="136">
        <v>20.0</v>
      </c>
      <c r="B54" s="139" t="s">
        <v>155</v>
      </c>
      <c r="C54" s="139" t="s">
        <v>178</v>
      </c>
      <c r="D54" s="140">
        <v>43960.0</v>
      </c>
      <c r="E54" s="139">
        <v>176.0</v>
      </c>
      <c r="F54" s="141">
        <v>34787.0</v>
      </c>
      <c r="G54" s="139" t="s">
        <v>176</v>
      </c>
      <c r="H54" s="139" t="s">
        <v>187</v>
      </c>
      <c r="I54" s="139" t="s">
        <v>188</v>
      </c>
      <c r="J54" s="138"/>
      <c r="K54" s="138"/>
      <c r="L54" s="143" t="str">
        <f t="shared" si="153"/>
        <v>Kay Felder</v>
      </c>
      <c r="M54" s="143" t="str">
        <f t="shared" ref="M54:N54" si="157">if(iserror(search(M$48,L54)),L54,trim(left(L54,search(M$48,L54)-1)))</f>
        <v>Kay Felder</v>
      </c>
      <c r="N54" s="143" t="str">
        <f t="shared" si="157"/>
        <v>Kay Felder</v>
      </c>
      <c r="O54" s="143" t="str">
        <f t="shared" si="155"/>
        <v>R</v>
      </c>
      <c r="S54" s="61" t="s">
        <v>23</v>
      </c>
      <c r="T54" s="61">
        <v>4.0</v>
      </c>
      <c r="Y54" s="61">
        <v>4.0</v>
      </c>
      <c r="CU54" s="4"/>
      <c r="CZ54" s="5"/>
      <c r="DA54" s="5"/>
      <c r="DB54" s="5"/>
      <c r="DC54" s="5"/>
      <c r="DD54" s="5"/>
      <c r="DE54" s="5"/>
      <c r="DF54" s="5"/>
      <c r="DG54" s="5"/>
      <c r="DH54" s="5"/>
    </row>
    <row r="55">
      <c r="A55" s="136">
        <v>8.0</v>
      </c>
      <c r="B55" s="139" t="s">
        <v>149</v>
      </c>
      <c r="C55" s="139" t="s">
        <v>175</v>
      </c>
      <c r="D55" s="139" t="s">
        <v>180</v>
      </c>
      <c r="E55" s="139">
        <v>255.0</v>
      </c>
      <c r="F55" s="141">
        <v>30453.0</v>
      </c>
      <c r="G55" s="139" t="s">
        <v>176</v>
      </c>
      <c r="H55" s="139">
        <v>10.0</v>
      </c>
      <c r="I55" s="139" t="s">
        <v>189</v>
      </c>
      <c r="J55" s="138"/>
      <c r="K55" s="138"/>
      <c r="L55" s="143" t="str">
        <f t="shared" si="153"/>
        <v>Channing Frye</v>
      </c>
      <c r="M55" s="143" t="str">
        <f t="shared" ref="M55:N55" si="158">if(iserror(search(M$48,L55)),L55,trim(left(L55,search(M$48,L55)-1)))</f>
        <v>Channing Frye</v>
      </c>
      <c r="N55" s="143" t="str">
        <f t="shared" si="158"/>
        <v>Channing Frye</v>
      </c>
      <c r="O55" s="143" t="str">
        <f t="shared" si="155"/>
        <v>11th</v>
      </c>
      <c r="S55" s="61" t="s">
        <v>175</v>
      </c>
      <c r="T55" s="61">
        <v>5.0</v>
      </c>
      <c r="CU55" s="4"/>
      <c r="CZ55" s="5"/>
      <c r="DA55" s="5"/>
      <c r="DB55" s="5"/>
      <c r="DC55" s="5"/>
      <c r="DD55" s="5"/>
      <c r="DE55" s="5"/>
      <c r="DF55" s="5"/>
      <c r="DG55" s="5"/>
      <c r="DH55" s="5"/>
    </row>
    <row r="56">
      <c r="A56" s="136">
        <v>2.0</v>
      </c>
      <c r="B56" s="139" t="s">
        <v>144</v>
      </c>
      <c r="C56" s="139" t="s">
        <v>178</v>
      </c>
      <c r="D56" s="140">
        <v>43984.0</v>
      </c>
      <c r="E56" s="139">
        <v>195.0</v>
      </c>
      <c r="F56" s="141">
        <v>33686.0</v>
      </c>
      <c r="G56" s="139" t="s">
        <v>181</v>
      </c>
      <c r="H56" s="139">
        <v>5.0</v>
      </c>
      <c r="I56" s="139" t="s">
        <v>186</v>
      </c>
      <c r="J56" s="138"/>
      <c r="K56" s="138"/>
      <c r="L56" s="143" t="str">
        <f t="shared" si="153"/>
        <v>Kyrie Irving</v>
      </c>
      <c r="M56" s="143" t="str">
        <f t="shared" ref="M56:N56" si="159">if(iserror(search(M$48,L56)),L56,trim(left(L56,search(M$48,L56)-1)))</f>
        <v>Kyrie Irving</v>
      </c>
      <c r="N56" s="143" t="str">
        <f t="shared" si="159"/>
        <v>Kyrie Irving</v>
      </c>
      <c r="O56" s="143" t="str">
        <f t="shared" si="155"/>
        <v>6th</v>
      </c>
      <c r="S56" s="61" t="s">
        <v>190</v>
      </c>
      <c r="T56" s="61">
        <v>2.5</v>
      </c>
      <c r="CU56" s="4"/>
      <c r="CZ56" s="5"/>
      <c r="DA56" s="5"/>
      <c r="DB56" s="5"/>
      <c r="DC56" s="5"/>
      <c r="DD56" s="5"/>
      <c r="DE56" s="5"/>
      <c r="DF56" s="5"/>
      <c r="DG56" s="5"/>
      <c r="DH56" s="5"/>
    </row>
    <row r="57">
      <c r="A57" s="136">
        <v>23.0</v>
      </c>
      <c r="B57" s="139" t="s">
        <v>143</v>
      </c>
      <c r="C57" s="139" t="s">
        <v>185</v>
      </c>
      <c r="D57" s="140">
        <v>43991.0</v>
      </c>
      <c r="E57" s="139">
        <v>250.0</v>
      </c>
      <c r="F57" s="141">
        <v>31046.0</v>
      </c>
      <c r="G57" s="139" t="s">
        <v>176</v>
      </c>
      <c r="H57" s="139">
        <v>13.0</v>
      </c>
      <c r="I57" s="139"/>
      <c r="J57" s="138"/>
      <c r="K57" s="138"/>
      <c r="L57" s="143" t="str">
        <f t="shared" si="153"/>
        <v>LeBron James</v>
      </c>
      <c r="M57" s="143" t="str">
        <f t="shared" ref="M57:N57" si="160">if(iserror(search(M$48,L57)),L57,trim(left(L57,search(M$48,L57)-1)))</f>
        <v>LeBron James</v>
      </c>
      <c r="N57" s="143" t="str">
        <f t="shared" si="160"/>
        <v>LeBron James</v>
      </c>
      <c r="O57" s="143" t="str">
        <f t="shared" si="155"/>
        <v>14th</v>
      </c>
      <c r="S57" s="61" t="s">
        <v>191</v>
      </c>
      <c r="T57" s="61">
        <v>2.5</v>
      </c>
      <c r="CU57" s="4"/>
      <c r="CZ57" s="5"/>
      <c r="DA57" s="5"/>
      <c r="DB57" s="5"/>
      <c r="DC57" s="5"/>
      <c r="DD57" s="5"/>
      <c r="DE57" s="5"/>
      <c r="DF57" s="5"/>
      <c r="DG57" s="5"/>
      <c r="DH57" s="5"/>
    </row>
    <row r="58">
      <c r="A58" s="136">
        <v>24.0</v>
      </c>
      <c r="B58" s="139" t="s">
        <v>148</v>
      </c>
      <c r="C58" s="139" t="s">
        <v>185</v>
      </c>
      <c r="D58" s="140">
        <v>43989.0</v>
      </c>
      <c r="E58" s="139">
        <v>233.0</v>
      </c>
      <c r="F58" s="141">
        <v>29393.0</v>
      </c>
      <c r="G58" s="139" t="s">
        <v>176</v>
      </c>
      <c r="H58" s="139">
        <v>15.0</v>
      </c>
      <c r="I58" s="139" t="s">
        <v>189</v>
      </c>
      <c r="J58" s="138"/>
      <c r="K58" s="138"/>
      <c r="L58" s="143" t="str">
        <f t="shared" si="153"/>
        <v>Richard Jefferson</v>
      </c>
      <c r="M58" s="143" t="str">
        <f t="shared" ref="M58:N58" si="161">if(iserror(search(M$48,L58)),L58,trim(left(L58,search(M$48,L58)-1)))</f>
        <v>Richard Jefferson</v>
      </c>
      <c r="N58" s="143" t="str">
        <f t="shared" si="161"/>
        <v>Richard Jefferson</v>
      </c>
      <c r="O58" s="143" t="str">
        <f t="shared" si="155"/>
        <v>16th</v>
      </c>
      <c r="S58" s="61" t="s">
        <v>78</v>
      </c>
      <c r="T58" s="61">
        <v>1.5</v>
      </c>
      <c r="CU58" s="4"/>
      <c r="CZ58" s="5"/>
      <c r="DA58" s="5"/>
      <c r="DB58" s="5"/>
      <c r="DC58" s="5"/>
      <c r="DD58" s="5"/>
      <c r="DE58" s="5"/>
      <c r="DF58" s="5"/>
      <c r="DG58" s="5"/>
      <c r="DH58" s="5"/>
    </row>
    <row r="59">
      <c r="A59" s="136">
        <v>30.0</v>
      </c>
      <c r="B59" s="139" t="s">
        <v>162</v>
      </c>
      <c r="C59" s="139" t="s">
        <v>185</v>
      </c>
      <c r="D59" s="140">
        <v>43988.0</v>
      </c>
      <c r="E59" s="139">
        <v>225.0</v>
      </c>
      <c r="F59" s="141">
        <v>29582.0</v>
      </c>
      <c r="G59" s="139" t="s">
        <v>176</v>
      </c>
      <c r="H59" s="139">
        <v>12.0</v>
      </c>
      <c r="I59" s="139" t="s">
        <v>192</v>
      </c>
      <c r="J59" s="138"/>
      <c r="K59" s="138"/>
      <c r="L59" s="143" t="str">
        <f t="shared" si="153"/>
        <v>Dahntay Jones</v>
      </c>
      <c r="M59" s="143" t="str">
        <f t="shared" ref="M59:N59" si="162">if(iserror(search(M$48,L59)),L59,trim(left(L59,search(M$48,L59)-1)))</f>
        <v>Dahntay Jones</v>
      </c>
      <c r="N59" s="143" t="str">
        <f t="shared" si="162"/>
        <v>Dahntay Jones</v>
      </c>
      <c r="O59" s="143" t="str">
        <f t="shared" si="155"/>
        <v>13th</v>
      </c>
      <c r="S59" s="61" t="s">
        <v>193</v>
      </c>
      <c r="T59" s="61">
        <v>3.5</v>
      </c>
      <c r="CU59" s="4"/>
      <c r="CZ59" s="5"/>
      <c r="DA59" s="5"/>
      <c r="DB59" s="5"/>
      <c r="DC59" s="5"/>
      <c r="DD59" s="5"/>
      <c r="DE59" s="5"/>
      <c r="DF59" s="5"/>
      <c r="DG59" s="5"/>
      <c r="DH59" s="5"/>
    </row>
    <row r="60">
      <c r="A60" s="136">
        <v>1.0</v>
      </c>
      <c r="B60" s="139" t="s">
        <v>157</v>
      </c>
      <c r="C60" s="139" t="s">
        <v>185</v>
      </c>
      <c r="D60" s="140">
        <v>43990.0</v>
      </c>
      <c r="E60" s="139">
        <v>218.0</v>
      </c>
      <c r="F60" s="141">
        <v>29498.0</v>
      </c>
      <c r="G60" s="139" t="s">
        <v>176</v>
      </c>
      <c r="H60" s="139">
        <v>13.0</v>
      </c>
      <c r="I60" s="139" t="s">
        <v>194</v>
      </c>
      <c r="J60" s="138"/>
      <c r="K60" s="138"/>
      <c r="L60" s="143" t="str">
        <f t="shared" si="153"/>
        <v>James Jones</v>
      </c>
      <c r="M60" s="143" t="str">
        <f t="shared" ref="M60:N60" si="163">if(iserror(search(M$48,L60)),L60,trim(left(L60,search(M$48,L60)-1)))</f>
        <v>James Jones</v>
      </c>
      <c r="N60" s="143" t="str">
        <f t="shared" si="163"/>
        <v>James Jones</v>
      </c>
      <c r="O60" s="143" t="str">
        <f t="shared" si="155"/>
        <v>14th</v>
      </c>
      <c r="S60" s="61" t="s">
        <v>195</v>
      </c>
      <c r="T60" s="61">
        <v>3.0</v>
      </c>
      <c r="CU60" s="4"/>
      <c r="CZ60" s="5"/>
      <c r="DA60" s="5"/>
      <c r="DB60" s="5"/>
      <c r="DC60" s="5"/>
      <c r="DD60" s="5"/>
      <c r="DE60" s="5"/>
      <c r="DF60" s="5"/>
      <c r="DG60" s="5"/>
      <c r="DH60" s="5"/>
    </row>
    <row r="61">
      <c r="A61" s="136">
        <v>26.0</v>
      </c>
      <c r="B61" s="139" t="s">
        <v>151</v>
      </c>
      <c r="C61" s="139" t="s">
        <v>183</v>
      </c>
      <c r="D61" s="140">
        <v>43989.0</v>
      </c>
      <c r="E61" s="139">
        <v>212.0</v>
      </c>
      <c r="F61" s="141">
        <v>29662.0</v>
      </c>
      <c r="G61" s="139" t="s">
        <v>176</v>
      </c>
      <c r="H61" s="139">
        <v>13.0</v>
      </c>
      <c r="I61" s="139" t="s">
        <v>196</v>
      </c>
      <c r="J61" s="138"/>
      <c r="K61" s="138"/>
      <c r="L61" s="143" t="str">
        <f t="shared" si="153"/>
        <v>Kyle Korver</v>
      </c>
      <c r="M61" s="143" t="str">
        <f t="shared" ref="M61:N61" si="164">if(iserror(search(M$48,L61)),L61,trim(left(L61,search(M$48,L61)-1)))</f>
        <v>Kyle Korver</v>
      </c>
      <c r="N61" s="143" t="str">
        <f t="shared" si="164"/>
        <v>Kyle Korver</v>
      </c>
      <c r="O61" s="143" t="str">
        <f t="shared" si="155"/>
        <v>14th</v>
      </c>
      <c r="CU61" s="4"/>
      <c r="CZ61" s="5"/>
      <c r="DA61" s="5"/>
      <c r="DB61" s="5"/>
      <c r="DC61" s="5"/>
      <c r="DD61" s="5"/>
      <c r="DE61" s="5"/>
      <c r="DF61" s="5"/>
      <c r="DG61" s="5"/>
      <c r="DH61" s="5"/>
    </row>
    <row r="62">
      <c r="A62" s="136">
        <v>14.0</v>
      </c>
      <c r="B62" s="139" t="s">
        <v>152</v>
      </c>
      <c r="C62" s="139" t="s">
        <v>183</v>
      </c>
      <c r="D62" s="140">
        <v>43988.0</v>
      </c>
      <c r="E62" s="139">
        <v>209.0</v>
      </c>
      <c r="F62" s="141">
        <v>32233.0</v>
      </c>
      <c r="G62" s="139" t="s">
        <v>176</v>
      </c>
      <c r="H62" s="139">
        <v>3.0</v>
      </c>
      <c r="I62" s="139" t="s">
        <v>197</v>
      </c>
      <c r="J62" s="138"/>
      <c r="K62" s="138"/>
      <c r="L62" s="143" t="str">
        <f t="shared" si="153"/>
        <v>DeAndre Liggins</v>
      </c>
      <c r="M62" s="143" t="str">
        <f t="shared" ref="M62:N62" si="165">if(iserror(search(M$48,L62)),L62,trim(left(L62,search(M$48,L62)-1)))</f>
        <v>DeAndre Liggins</v>
      </c>
      <c r="N62" s="143" t="str">
        <f t="shared" si="165"/>
        <v>DeAndre Liggins</v>
      </c>
      <c r="O62" s="143" t="str">
        <f t="shared" si="155"/>
        <v>4th</v>
      </c>
      <c r="CU62" s="4"/>
      <c r="CZ62" s="5"/>
      <c r="DA62" s="5"/>
      <c r="DB62" s="5"/>
      <c r="DC62" s="5"/>
      <c r="DD62" s="5"/>
      <c r="DE62" s="5"/>
      <c r="DF62" s="5"/>
      <c r="DG62" s="5"/>
      <c r="DH62" s="5"/>
    </row>
    <row r="63">
      <c r="A63" s="136">
        <v>0.0</v>
      </c>
      <c r="B63" s="139" t="s">
        <v>147</v>
      </c>
      <c r="C63" s="139" t="s">
        <v>23</v>
      </c>
      <c r="D63" s="140">
        <v>43990.0</v>
      </c>
      <c r="E63" s="139">
        <v>215.0</v>
      </c>
      <c r="F63" s="141">
        <v>32393.0</v>
      </c>
      <c r="G63" s="139" t="s">
        <v>176</v>
      </c>
      <c r="H63" s="139">
        <v>8.0</v>
      </c>
      <c r="I63" s="139" t="s">
        <v>198</v>
      </c>
      <c r="J63" s="138"/>
      <c r="K63" s="138"/>
      <c r="L63" s="143" t="str">
        <f t="shared" si="153"/>
        <v>Kevin Love</v>
      </c>
      <c r="M63" s="143" t="str">
        <f t="shared" ref="M63:N63" si="166">if(iserror(search(M$48,L63)),L63,trim(left(L63,search(M$48,L63)-1)))</f>
        <v>Kevin Love</v>
      </c>
      <c r="N63" s="143" t="str">
        <f t="shared" si="166"/>
        <v>Kevin Love</v>
      </c>
      <c r="O63" s="143" t="str">
        <f t="shared" si="155"/>
        <v>9th</v>
      </c>
      <c r="CU63" s="4"/>
      <c r="CZ63" s="5"/>
      <c r="DA63" s="5"/>
      <c r="DB63" s="5"/>
      <c r="DC63" s="5"/>
      <c r="DD63" s="5"/>
      <c r="DE63" s="5"/>
      <c r="DF63" s="5"/>
      <c r="DG63" s="5"/>
      <c r="DH63" s="5"/>
    </row>
    <row r="64">
      <c r="A64" s="136">
        <v>12.0</v>
      </c>
      <c r="B64" s="139" t="s">
        <v>156</v>
      </c>
      <c r="C64" s="139" t="s">
        <v>183</v>
      </c>
      <c r="D64" s="140">
        <v>43987.0</v>
      </c>
      <c r="E64" s="139">
        <v>179.0</v>
      </c>
      <c r="F64" s="141">
        <v>33325.0</v>
      </c>
      <c r="G64" s="139" t="s">
        <v>176</v>
      </c>
      <c r="H64" s="139">
        <v>1.0</v>
      </c>
      <c r="I64" s="139" t="s">
        <v>199</v>
      </c>
      <c r="J64" s="138"/>
      <c r="K64" s="138"/>
      <c r="L64" s="143" t="str">
        <f t="shared" si="153"/>
        <v>Jordan McRae</v>
      </c>
      <c r="M64" s="143" t="str">
        <f t="shared" ref="M64:N64" si="167">if(iserror(search(M$48,L64)),L64,trim(left(L64,search(M$48,L64)-1)))</f>
        <v>Jordan McRae</v>
      </c>
      <c r="N64" s="143" t="str">
        <f t="shared" si="167"/>
        <v>Jordan McRae</v>
      </c>
      <c r="O64" s="143" t="str">
        <f t="shared" si="155"/>
        <v>2nd</v>
      </c>
      <c r="CU64" s="4"/>
      <c r="CZ64" s="5"/>
      <c r="DA64" s="5"/>
      <c r="DB64" s="5"/>
      <c r="DC64" s="5"/>
      <c r="DD64" s="5"/>
      <c r="DE64" s="5"/>
      <c r="DF64" s="5"/>
      <c r="DG64" s="5"/>
      <c r="DH64" s="5"/>
    </row>
    <row r="65">
      <c r="A65" s="136">
        <v>9.0</v>
      </c>
      <c r="B65" s="139" t="s">
        <v>161</v>
      </c>
      <c r="C65" s="139" t="s">
        <v>175</v>
      </c>
      <c r="D65" s="140">
        <v>43993.0</v>
      </c>
      <c r="E65" s="139">
        <v>235.0</v>
      </c>
      <c r="F65" s="141">
        <v>32468.0</v>
      </c>
      <c r="G65" s="139" t="s">
        <v>176</v>
      </c>
      <c r="H65" s="139">
        <v>5.0</v>
      </c>
      <c r="I65" s="139" t="s">
        <v>200</v>
      </c>
      <c r="J65" s="138"/>
      <c r="K65" s="138"/>
      <c r="L65" s="143" t="str">
        <f t="shared" si="153"/>
        <v>Larry Sanders</v>
      </c>
      <c r="M65" s="143" t="str">
        <f t="shared" ref="M65:N65" si="168">if(iserror(search(M$48,L65)),L65,trim(left(L65,search(M$48,L65)-1)))</f>
        <v>Larry Sanders</v>
      </c>
      <c r="N65" s="143" t="str">
        <f t="shared" si="168"/>
        <v>Larry Sanders</v>
      </c>
      <c r="O65" s="143" t="str">
        <f t="shared" si="155"/>
        <v>6th</v>
      </c>
      <c r="CU65" s="4"/>
      <c r="CZ65" s="5"/>
      <c r="DA65" s="5"/>
      <c r="DB65" s="5"/>
      <c r="DC65" s="5"/>
      <c r="DD65" s="5"/>
      <c r="DE65" s="5"/>
      <c r="DF65" s="5"/>
      <c r="DG65" s="5"/>
      <c r="DH65" s="5"/>
    </row>
    <row r="66">
      <c r="A66" s="136">
        <v>4.0</v>
      </c>
      <c r="B66" s="139" t="s">
        <v>146</v>
      </c>
      <c r="C66" s="139" t="s">
        <v>183</v>
      </c>
      <c r="D66" s="140">
        <v>43987.0</v>
      </c>
      <c r="E66" s="139">
        <v>215.0</v>
      </c>
      <c r="F66" s="141">
        <v>33050.0</v>
      </c>
      <c r="G66" s="139" t="s">
        <v>176</v>
      </c>
      <c r="H66" s="139">
        <v>5.0</v>
      </c>
      <c r="I66" s="139" t="s">
        <v>201</v>
      </c>
      <c r="J66" s="138"/>
      <c r="K66" s="138"/>
      <c r="L66" s="143" t="str">
        <f t="shared" si="153"/>
        <v>Iman Shumpert</v>
      </c>
      <c r="M66" s="143" t="str">
        <f t="shared" ref="M66:N66" si="169">if(iserror(search(M$48,L66)),L66,trim(left(L66,search(M$48,L66)-1)))</f>
        <v>Iman Shumpert</v>
      </c>
      <c r="N66" s="143" t="str">
        <f t="shared" si="169"/>
        <v>Iman Shumpert</v>
      </c>
      <c r="O66" s="143" t="str">
        <f t="shared" si="155"/>
        <v>6th</v>
      </c>
      <c r="CU66" s="4"/>
      <c r="CZ66" s="5"/>
      <c r="DA66" s="5"/>
      <c r="DB66" s="5"/>
      <c r="DC66" s="5"/>
      <c r="DD66" s="5"/>
      <c r="DE66" s="5"/>
      <c r="DF66" s="5"/>
      <c r="DG66" s="5"/>
      <c r="DH66" s="5"/>
    </row>
    <row r="67">
      <c r="A67" s="136">
        <v>5.0</v>
      </c>
      <c r="B67" s="139" t="s">
        <v>150</v>
      </c>
      <c r="C67" s="139" t="s">
        <v>183</v>
      </c>
      <c r="D67" s="140">
        <v>43988.0</v>
      </c>
      <c r="E67" s="139">
        <v>225.0</v>
      </c>
      <c r="F67" s="141">
        <v>31299.0</v>
      </c>
      <c r="G67" s="139" t="s">
        <v>176</v>
      </c>
      <c r="H67" s="139">
        <v>12.0</v>
      </c>
      <c r="I67" s="139"/>
      <c r="J67" s="138"/>
      <c r="K67" s="138"/>
      <c r="L67" s="143" t="str">
        <f t="shared" si="153"/>
        <v>J.R. Smith</v>
      </c>
      <c r="M67" s="143" t="str">
        <f t="shared" ref="M67:N67" si="170">if(iserror(search(M$48,L67)),L67,trim(left(L67,search(M$48,L67)-1)))</f>
        <v>J.R. Smith</v>
      </c>
      <c r="N67" s="143" t="str">
        <f t="shared" si="170"/>
        <v>J.R. Smith</v>
      </c>
      <c r="O67" s="143" t="str">
        <f t="shared" si="155"/>
        <v>13th</v>
      </c>
      <c r="CU67" s="4"/>
      <c r="CZ67" s="5"/>
      <c r="DA67" s="5"/>
      <c r="DB67" s="5"/>
      <c r="DC67" s="5"/>
      <c r="DD67" s="5"/>
      <c r="DE67" s="5"/>
      <c r="DF67" s="5"/>
      <c r="DG67" s="5"/>
      <c r="DH67" s="5"/>
    </row>
    <row r="68">
      <c r="A68" s="136">
        <v>40.0</v>
      </c>
      <c r="B68" s="139" t="s">
        <v>160</v>
      </c>
      <c r="C68" s="139" t="s">
        <v>175</v>
      </c>
      <c r="D68" s="140">
        <v>44015.0</v>
      </c>
      <c r="E68" s="139">
        <v>260.0</v>
      </c>
      <c r="F68" s="141">
        <v>33685.0</v>
      </c>
      <c r="G68" s="139" t="s">
        <v>202</v>
      </c>
      <c r="H68" s="139">
        <v>1.0</v>
      </c>
      <c r="I68" s="139"/>
      <c r="J68" s="138"/>
      <c r="K68" s="138"/>
      <c r="L68" s="143" t="str">
        <f t="shared" si="153"/>
        <v>Edy Tavares</v>
      </c>
      <c r="M68" s="143" t="str">
        <f t="shared" ref="M68:N68" si="171">if(iserror(search(M$48,L68)),L68,trim(left(L68,search(M$48,L68)-1)))</f>
        <v>Edy Tavares</v>
      </c>
      <c r="N68" s="143" t="str">
        <f t="shared" si="171"/>
        <v>Edy Tavares</v>
      </c>
      <c r="O68" s="143" t="str">
        <f t="shared" si="155"/>
        <v>2nd</v>
      </c>
      <c r="CU68" s="4"/>
      <c r="CZ68" s="5"/>
      <c r="DA68" s="5"/>
      <c r="DB68" s="5"/>
      <c r="DC68" s="5"/>
      <c r="DD68" s="5"/>
      <c r="DE68" s="5"/>
      <c r="DF68" s="5"/>
      <c r="DG68" s="5"/>
      <c r="DH68" s="5"/>
    </row>
    <row r="69">
      <c r="A69" s="136">
        <v>13.0</v>
      </c>
      <c r="B69" s="139" t="s">
        <v>145</v>
      </c>
      <c r="C69" s="139" t="s">
        <v>175</v>
      </c>
      <c r="D69" s="140">
        <v>43991.0</v>
      </c>
      <c r="E69" s="139">
        <v>238.0</v>
      </c>
      <c r="F69" s="141">
        <v>33310.0</v>
      </c>
      <c r="G69" s="139" t="s">
        <v>203</v>
      </c>
      <c r="H69" s="139">
        <v>5.0</v>
      </c>
      <c r="I69" s="139" t="s">
        <v>204</v>
      </c>
      <c r="J69" s="138"/>
      <c r="K69" s="138"/>
      <c r="L69" s="143" t="str">
        <f t="shared" si="153"/>
        <v>Tristan Thompson</v>
      </c>
      <c r="M69" s="143" t="str">
        <f t="shared" ref="M69:N69" si="172">if(iserror(search(M$48,L69)),L69,trim(left(L69,search(M$48,L69)-1)))</f>
        <v>Tristan Thompson</v>
      </c>
      <c r="N69" s="143" t="str">
        <f t="shared" si="172"/>
        <v>Tristan Thompson</v>
      </c>
      <c r="O69" s="143" t="str">
        <f t="shared" si="155"/>
        <v>6th</v>
      </c>
      <c r="CU69" s="4"/>
      <c r="CZ69" s="5"/>
      <c r="DA69" s="5"/>
      <c r="DB69" s="5"/>
      <c r="DC69" s="5"/>
      <c r="DD69" s="5"/>
      <c r="DE69" s="5"/>
      <c r="DF69" s="5"/>
      <c r="DG69" s="5"/>
      <c r="DH69" s="5"/>
    </row>
    <row r="70">
      <c r="A70" s="136">
        <v>31.0</v>
      </c>
      <c r="B70" s="139" t="s">
        <v>153</v>
      </c>
      <c r="C70" s="139" t="s">
        <v>178</v>
      </c>
      <c r="D70" s="140">
        <v>43985.0</v>
      </c>
      <c r="E70" s="139">
        <v>200.0</v>
      </c>
      <c r="F70" s="141">
        <v>30859.0</v>
      </c>
      <c r="G70" s="139" t="s">
        <v>176</v>
      </c>
      <c r="H70" s="139">
        <v>11.0</v>
      </c>
      <c r="I70" s="139" t="s">
        <v>205</v>
      </c>
      <c r="J70" s="138"/>
      <c r="K70" s="138"/>
      <c r="L70" s="143" t="str">
        <f t="shared" si="153"/>
        <v>Deron Williams</v>
      </c>
      <c r="M70" s="143" t="str">
        <f t="shared" ref="M70:N70" si="173">if(iserror(search(M$48,L70)),L70,trim(left(L70,search(M$48,L70)-1)))</f>
        <v>Deron Williams</v>
      </c>
      <c r="N70" s="143" t="str">
        <f t="shared" si="173"/>
        <v>Deron Williams</v>
      </c>
      <c r="O70" s="143" t="str">
        <f t="shared" si="155"/>
        <v>12th</v>
      </c>
      <c r="CU70" s="4"/>
      <c r="CZ70" s="5"/>
      <c r="DA70" s="5"/>
      <c r="DB70" s="5"/>
      <c r="DC70" s="5"/>
      <c r="DD70" s="5"/>
      <c r="DE70" s="5"/>
      <c r="DF70" s="5"/>
      <c r="DG70" s="5"/>
      <c r="DH70" s="5"/>
    </row>
    <row r="71">
      <c r="A71" s="136" t="s">
        <v>206</v>
      </c>
      <c r="B71" s="139" t="s">
        <v>154</v>
      </c>
      <c r="C71" s="139" t="s">
        <v>23</v>
      </c>
      <c r="D71" s="140">
        <v>43990.0</v>
      </c>
      <c r="E71" s="139">
        <v>240.0</v>
      </c>
      <c r="F71" s="141">
        <v>33383.0</v>
      </c>
      <c r="G71" s="139" t="s">
        <v>176</v>
      </c>
      <c r="H71" s="139">
        <v>5.0</v>
      </c>
      <c r="I71" s="139" t="s">
        <v>189</v>
      </c>
      <c r="J71" s="138"/>
      <c r="K71" s="138"/>
      <c r="L71" s="143" t="str">
        <f t="shared" si="153"/>
        <v>Derrick Williams</v>
      </c>
      <c r="M71" s="143" t="str">
        <f t="shared" ref="M71:N71" si="174">if(iserror(search(M$48,L71)),L71,trim(left(L71,search(M$48,L71)-1)))</f>
        <v>Derrick Williams</v>
      </c>
      <c r="N71" s="143" t="str">
        <f t="shared" si="174"/>
        <v>Derrick Williams</v>
      </c>
      <c r="O71" s="143" t="str">
        <f t="shared" si="155"/>
        <v>6th</v>
      </c>
      <c r="CU71" s="4"/>
      <c r="CZ71" s="5"/>
      <c r="DA71" s="5"/>
      <c r="DB71" s="5"/>
      <c r="DC71" s="5"/>
      <c r="DD71" s="5"/>
      <c r="DE71" s="5"/>
      <c r="DF71" s="5"/>
      <c r="DG71" s="5"/>
      <c r="DH71" s="5"/>
    </row>
    <row r="72">
      <c r="A72" s="136"/>
      <c r="B72" s="139"/>
      <c r="C72" s="139"/>
      <c r="D72" s="140"/>
      <c r="E72" s="139"/>
      <c r="F72" s="141"/>
      <c r="G72" s="139"/>
      <c r="H72" s="139"/>
      <c r="I72" s="139"/>
      <c r="J72" s="138"/>
      <c r="K72" s="138"/>
      <c r="L72" s="143" t="str">
        <f t="shared" si="153"/>
        <v/>
      </c>
      <c r="M72" s="143" t="str">
        <f t="shared" ref="M72:N72" si="175">if(iserror(search(M$48,L72)),L72,trim(left(L72,search(M$48,L72)-1)))</f>
        <v/>
      </c>
      <c r="N72" s="143" t="str">
        <f t="shared" si="175"/>
        <v/>
      </c>
      <c r="O72" s="143" t="str">
        <f t="shared" si="155"/>
        <v/>
      </c>
      <c r="CU72" s="4"/>
      <c r="CZ72" s="5"/>
      <c r="DA72" s="5"/>
      <c r="DB72" s="5"/>
      <c r="DC72" s="5"/>
      <c r="DD72" s="5"/>
      <c r="DE72" s="5"/>
      <c r="DF72" s="5"/>
      <c r="DG72" s="5"/>
      <c r="DH72" s="5"/>
    </row>
    <row r="73">
      <c r="A73" s="136"/>
      <c r="B73" s="139"/>
      <c r="C73" s="139"/>
      <c r="D73" s="140"/>
      <c r="E73" s="139"/>
      <c r="F73" s="141"/>
      <c r="G73" s="139"/>
      <c r="H73" s="139"/>
      <c r="I73" s="139"/>
      <c r="J73" s="138"/>
      <c r="K73" s="138"/>
      <c r="L73" s="143" t="str">
        <f t="shared" si="153"/>
        <v/>
      </c>
      <c r="M73" s="143" t="str">
        <f t="shared" ref="M73:N73" si="176">if(iserror(search(M$48,L73)),L73,trim(left(L73,search(M$48,L73)-1)))</f>
        <v/>
      </c>
      <c r="N73" s="143" t="str">
        <f t="shared" si="176"/>
        <v/>
      </c>
      <c r="O73" s="143" t="str">
        <f t="shared" si="155"/>
        <v/>
      </c>
      <c r="CU73" s="4"/>
      <c r="CZ73" s="5"/>
      <c r="DA73" s="5"/>
      <c r="DB73" s="5"/>
      <c r="DC73" s="5"/>
      <c r="DD73" s="5"/>
      <c r="DE73" s="5"/>
      <c r="DF73" s="5"/>
      <c r="DG73" s="5"/>
      <c r="DH73" s="5"/>
    </row>
    <row r="74">
      <c r="A74" s="136"/>
      <c r="B74" s="139"/>
      <c r="C74" s="139"/>
      <c r="D74" s="140"/>
      <c r="E74" s="139"/>
      <c r="F74" s="141"/>
      <c r="G74" s="139"/>
      <c r="H74" s="139"/>
      <c r="I74" s="139"/>
      <c r="J74" s="138"/>
      <c r="K74" s="138"/>
      <c r="L74" s="143" t="str">
        <f t="shared" si="153"/>
        <v/>
      </c>
      <c r="M74" s="143" t="str">
        <f t="shared" ref="M74:N74" si="177">if(iserror(search(M$48,L74)),L74,trim(left(L74,search(M$48,L74)-1)))</f>
        <v/>
      </c>
      <c r="N74" s="143" t="str">
        <f t="shared" si="177"/>
        <v/>
      </c>
      <c r="O74" s="143" t="str">
        <f t="shared" si="155"/>
        <v/>
      </c>
      <c r="CU74" s="4"/>
      <c r="CZ74" s="5"/>
      <c r="DA74" s="5"/>
      <c r="DB74" s="5"/>
      <c r="DC74" s="5"/>
      <c r="DD74" s="5"/>
      <c r="DE74" s="5"/>
      <c r="DF74" s="5"/>
      <c r="DG74" s="5"/>
      <c r="DH74" s="5"/>
    </row>
    <row r="75">
      <c r="A75" s="138"/>
      <c r="B75" s="138"/>
      <c r="C75" s="138"/>
      <c r="D75" s="138"/>
      <c r="E75" s="138"/>
      <c r="F75" s="138"/>
      <c r="G75" s="138"/>
      <c r="H75" s="138"/>
      <c r="I75" s="138"/>
      <c r="J75" s="138"/>
      <c r="K75" s="138"/>
      <c r="L75" s="143" t="str">
        <f t="shared" si="153"/>
        <v/>
      </c>
      <c r="M75" s="143" t="str">
        <f t="shared" ref="M75:N75" si="178">if(iserror(search(M$48,L75)),L75,trim(left(L75,search(M$48,L75)-1)))</f>
        <v/>
      </c>
      <c r="N75" s="143" t="str">
        <f t="shared" si="178"/>
        <v/>
      </c>
      <c r="O75" s="143" t="str">
        <f t="shared" si="155"/>
        <v/>
      </c>
      <c r="CU75" s="4"/>
      <c r="CZ75" s="5"/>
      <c r="DA75" s="5"/>
      <c r="DB75" s="5"/>
      <c r="DC75" s="5"/>
      <c r="DD75" s="5"/>
      <c r="DE75" s="5"/>
      <c r="DF75" s="5"/>
      <c r="DG75" s="5"/>
      <c r="DH75" s="5"/>
    </row>
    <row r="76">
      <c r="A76" s="138"/>
      <c r="B76" s="138"/>
      <c r="C76" s="138"/>
      <c r="D76" s="138"/>
      <c r="E76" s="138"/>
      <c r="F76" s="138"/>
      <c r="G76" s="138"/>
      <c r="H76" s="138"/>
      <c r="I76" s="138"/>
      <c r="J76" s="138"/>
      <c r="K76" s="138"/>
      <c r="L76" s="143" t="str">
        <f t="shared" si="153"/>
        <v/>
      </c>
      <c r="M76" s="143" t="str">
        <f t="shared" ref="M76:N76" si="179">if(iserror(search(M$48,L76)),L76,trim(left(L76,search(M$48,L76)-1)))</f>
        <v/>
      </c>
      <c r="N76" s="143" t="str">
        <f t="shared" si="179"/>
        <v/>
      </c>
      <c r="O76" s="143" t="str">
        <f t="shared" si="155"/>
        <v/>
      </c>
      <c r="CU76" s="4"/>
      <c r="CZ76" s="5"/>
      <c r="DA76" s="5"/>
      <c r="DB76" s="5"/>
      <c r="DC76" s="5"/>
      <c r="DD76" s="5"/>
      <c r="DE76" s="5"/>
      <c r="DF76" s="5"/>
      <c r="DG76" s="5"/>
      <c r="DH76" s="5"/>
    </row>
    <row r="77">
      <c r="A77" s="138"/>
      <c r="B77" s="138"/>
      <c r="C77" s="138"/>
      <c r="D77" s="138"/>
      <c r="E77" s="138"/>
      <c r="F77" s="138"/>
      <c r="G77" s="138"/>
      <c r="H77" s="138"/>
      <c r="I77" s="138"/>
      <c r="J77" s="138"/>
      <c r="K77" s="138"/>
      <c r="L77" s="143" t="str">
        <f t="shared" si="153"/>
        <v/>
      </c>
      <c r="M77" s="143" t="str">
        <f t="shared" ref="M77:N77" si="180">if(iserror(search(M$48,L77)),L77,trim(left(L77,search(M$48,L77)-1)))</f>
        <v/>
      </c>
      <c r="N77" s="143" t="str">
        <f t="shared" si="180"/>
        <v/>
      </c>
      <c r="O77" s="143" t="str">
        <f t="shared" si="155"/>
        <v/>
      </c>
      <c r="CU77" s="4"/>
      <c r="CZ77" s="5"/>
      <c r="DA77" s="5"/>
      <c r="DB77" s="5"/>
      <c r="DC77" s="5"/>
      <c r="DD77" s="5"/>
      <c r="DE77" s="5"/>
      <c r="DF77" s="5"/>
      <c r="DG77" s="5"/>
      <c r="DH77" s="5"/>
    </row>
    <row r="78">
      <c r="A78" s="138"/>
      <c r="B78" s="138"/>
      <c r="C78" s="138"/>
      <c r="D78" s="138"/>
      <c r="E78" s="138"/>
      <c r="F78" s="138"/>
      <c r="G78" s="138"/>
      <c r="H78" s="138"/>
      <c r="I78" s="138"/>
      <c r="J78" s="138"/>
      <c r="K78" s="138"/>
      <c r="L78" s="143" t="str">
        <f t="shared" si="153"/>
        <v/>
      </c>
      <c r="M78" s="143" t="str">
        <f t="shared" ref="M78:N78" si="181">if(iserror(search(M$48,L78)),L78,trim(left(L78,search(M$48,L78)-1)))</f>
        <v/>
      </c>
      <c r="N78" s="143" t="str">
        <f t="shared" si="181"/>
        <v/>
      </c>
      <c r="O78" s="143" t="str">
        <f t="shared" si="155"/>
        <v/>
      </c>
      <c r="CU78" s="4"/>
      <c r="CZ78" s="5"/>
      <c r="DA78" s="5"/>
      <c r="DB78" s="5"/>
      <c r="DC78" s="5"/>
      <c r="DD78" s="5"/>
      <c r="DE78" s="5"/>
      <c r="DF78" s="5"/>
      <c r="DG78" s="5"/>
      <c r="DH78" s="5"/>
    </row>
    <row r="79">
      <c r="A79" s="138"/>
      <c r="B79" s="138"/>
      <c r="C79" s="138"/>
      <c r="D79" s="138"/>
      <c r="E79" s="138"/>
      <c r="F79" s="138"/>
      <c r="G79" s="138"/>
      <c r="H79" s="138"/>
      <c r="I79" s="138"/>
      <c r="J79" s="138"/>
      <c r="K79" s="138"/>
      <c r="L79" s="143" t="str">
        <f t="shared" si="153"/>
        <v/>
      </c>
      <c r="M79" s="143" t="str">
        <f t="shared" ref="M79:N79" si="182">if(iserror(search(M$48,L79)),L79,trim(left(L79,search(M$48,L79)-1)))</f>
        <v/>
      </c>
      <c r="N79" s="143" t="str">
        <f t="shared" si="182"/>
        <v/>
      </c>
      <c r="O79" s="143" t="str">
        <f t="shared" si="155"/>
        <v/>
      </c>
      <c r="CU79" s="4"/>
      <c r="CZ79" s="5"/>
      <c r="DA79" s="5"/>
      <c r="DB79" s="5"/>
      <c r="DC79" s="5"/>
      <c r="DD79" s="5"/>
      <c r="DE79" s="5"/>
      <c r="DF79" s="5"/>
      <c r="DG79" s="5"/>
      <c r="DH79" s="5"/>
    </row>
    <row r="80">
      <c r="A80" s="138"/>
      <c r="B80" s="138"/>
      <c r="C80" s="138"/>
      <c r="D80" s="138"/>
      <c r="E80" s="138"/>
      <c r="F80" s="138"/>
      <c r="G80" s="138"/>
      <c r="H80" s="138"/>
      <c r="I80" s="138"/>
      <c r="J80" s="138"/>
      <c r="K80" s="138"/>
      <c r="L80" s="143" t="str">
        <f t="shared" si="153"/>
        <v/>
      </c>
      <c r="M80" s="143" t="str">
        <f t="shared" ref="M80:N80" si="183">if(iserror(search(M$48,L80)),L80,trim(left(L80,search(M$48,L80)-1)))</f>
        <v/>
      </c>
      <c r="N80" s="143" t="str">
        <f t="shared" si="183"/>
        <v/>
      </c>
      <c r="O80" s="143" t="str">
        <f t="shared" si="155"/>
        <v/>
      </c>
      <c r="CU80" s="4"/>
      <c r="CZ80" s="5"/>
      <c r="DA80" s="5"/>
      <c r="DB80" s="5"/>
      <c r="DC80" s="5"/>
      <c r="DD80" s="5"/>
      <c r="DE80" s="5"/>
      <c r="DF80" s="5"/>
      <c r="DG80" s="5"/>
      <c r="DH80" s="5"/>
    </row>
    <row r="81">
      <c r="A81" s="138"/>
      <c r="B81" s="138"/>
      <c r="C81" s="138"/>
      <c r="D81" s="138"/>
      <c r="E81" s="138"/>
      <c r="F81" s="138"/>
      <c r="G81" s="138"/>
      <c r="H81" s="138"/>
      <c r="I81" s="138"/>
      <c r="J81" s="138"/>
      <c r="K81" s="138"/>
      <c r="L81" s="143" t="str">
        <f t="shared" si="153"/>
        <v/>
      </c>
      <c r="M81" s="143" t="str">
        <f t="shared" ref="M81:N81" si="184">if(iserror(search(M$48,L81)),L81,trim(left(L81,search(M$48,L81)-1)))</f>
        <v/>
      </c>
      <c r="N81" s="143" t="str">
        <f t="shared" si="184"/>
        <v/>
      </c>
      <c r="O81" s="143" t="str">
        <f t="shared" si="155"/>
        <v/>
      </c>
      <c r="CU81" s="4"/>
      <c r="CZ81" s="5"/>
      <c r="DA81" s="5"/>
      <c r="DB81" s="5"/>
      <c r="DC81" s="5"/>
      <c r="DD81" s="5"/>
      <c r="DE81" s="5"/>
      <c r="DF81" s="5"/>
      <c r="DG81" s="5"/>
      <c r="DH81" s="5"/>
    </row>
    <row r="82">
      <c r="CU82" s="4"/>
      <c r="CZ82" s="5"/>
      <c r="DA82" s="5"/>
      <c r="DB82" s="5"/>
      <c r="DC82" s="5"/>
      <c r="DD82" s="5"/>
      <c r="DE82" s="5"/>
      <c r="DF82" s="5"/>
      <c r="DG82" s="5"/>
      <c r="DH82" s="5"/>
    </row>
    <row r="83">
      <c r="CU83" s="4"/>
      <c r="CZ83" s="5"/>
      <c r="DA83" s="5"/>
      <c r="DB83" s="5"/>
      <c r="DC83" s="5"/>
      <c r="DD83" s="5"/>
      <c r="DE83" s="5"/>
      <c r="DF83" s="5"/>
      <c r="DG83" s="5"/>
      <c r="DH83" s="5"/>
    </row>
    <row r="84">
      <c r="CU84" s="4"/>
      <c r="CZ84" s="5"/>
      <c r="DA84" s="5"/>
      <c r="DB84" s="5"/>
      <c r="DC84" s="5"/>
      <c r="DD84" s="5"/>
      <c r="DE84" s="5"/>
      <c r="DF84" s="5"/>
      <c r="DG84" s="5"/>
      <c r="DH84" s="5"/>
    </row>
    <row r="85">
      <c r="CU85" s="4"/>
      <c r="CZ85" s="5"/>
      <c r="DA85" s="5"/>
      <c r="DB85" s="5"/>
      <c r="DC85" s="5"/>
      <c r="DD85" s="5"/>
      <c r="DE85" s="5"/>
      <c r="DF85" s="5"/>
      <c r="DG85" s="5"/>
      <c r="DH85" s="5"/>
    </row>
    <row r="86">
      <c r="CU86" s="4"/>
      <c r="CZ86" s="5"/>
      <c r="DA86" s="5"/>
      <c r="DB86" s="5"/>
      <c r="DC86" s="5"/>
      <c r="DD86" s="5"/>
      <c r="DE86" s="5"/>
      <c r="DF86" s="5"/>
      <c r="DG86" s="5"/>
      <c r="DH86" s="5"/>
    </row>
    <row r="87">
      <c r="A87" s="231" t="str">
        <f>concatenate("https://www.basketball-reference.com/leagues/NBA_",$C$3,"_ratings.html")</f>
        <v>https://www.basketball-reference.com/leagues/NBA_2017_ratings.html</v>
      </c>
      <c r="I87" s="143">
        <f>average(I90:J119)</f>
        <v>109.5285</v>
      </c>
      <c r="R87" s="61" t="s">
        <v>425</v>
      </c>
      <c r="CU87" s="4"/>
      <c r="CZ87" s="5"/>
      <c r="DA87" s="5"/>
      <c r="DB87" s="5"/>
      <c r="DC87" s="5"/>
      <c r="DD87" s="5"/>
      <c r="DE87" s="5"/>
      <c r="DF87" s="5"/>
      <c r="DG87" s="5"/>
      <c r="DH87" s="5"/>
    </row>
    <row r="88">
      <c r="A88" s="143"/>
      <c r="B88" s="143"/>
      <c r="C88" s="143"/>
      <c r="D88" s="143"/>
      <c r="E88" s="143"/>
      <c r="F88" s="143"/>
      <c r="G88" s="143"/>
      <c r="H88" s="143" t="s">
        <v>208</v>
      </c>
      <c r="I88" s="143"/>
      <c r="J88" s="143"/>
      <c r="K88" s="143"/>
      <c r="L88" s="143" t="s">
        <v>209</v>
      </c>
      <c r="M88" s="143"/>
      <c r="N88" s="143"/>
      <c r="O88" s="143"/>
      <c r="R88" s="70" t="s">
        <v>426</v>
      </c>
      <c r="W88" s="232" t="s">
        <v>427</v>
      </c>
      <c r="X88" s="134"/>
      <c r="Y88" s="134"/>
      <c r="CU88" s="4"/>
      <c r="CZ88" s="5"/>
      <c r="DA88" s="5"/>
      <c r="DB88" s="5"/>
      <c r="DC88" s="5"/>
      <c r="DD88" s="5"/>
      <c r="DE88" s="5"/>
      <c r="DF88" s="5"/>
      <c r="DG88" s="5"/>
      <c r="DH88" s="5"/>
    </row>
    <row r="89">
      <c r="A89" s="143" t="s">
        <v>76</v>
      </c>
      <c r="B89" s="143" t="s">
        <v>210</v>
      </c>
      <c r="C89" s="143" t="s">
        <v>211</v>
      </c>
      <c r="D89" s="143" t="s">
        <v>212</v>
      </c>
      <c r="E89" s="143" t="s">
        <v>213</v>
      </c>
      <c r="F89" s="143" t="s">
        <v>214</v>
      </c>
      <c r="G89" s="143" t="s">
        <v>215</v>
      </c>
      <c r="H89" s="143" t="s">
        <v>216</v>
      </c>
      <c r="I89" s="143" t="s">
        <v>217</v>
      </c>
      <c r="J89" s="143" t="s">
        <v>218</v>
      </c>
      <c r="K89" s="143" t="s">
        <v>219</v>
      </c>
      <c r="L89" s="143" t="s">
        <v>220</v>
      </c>
      <c r="M89" s="143" t="s">
        <v>221</v>
      </c>
      <c r="N89" s="143" t="s">
        <v>222</v>
      </c>
      <c r="O89" s="143" t="s">
        <v>223</v>
      </c>
      <c r="P89" s="61" t="s">
        <v>224</v>
      </c>
      <c r="Q89" s="61" t="s">
        <v>225</v>
      </c>
      <c r="R89" s="61" t="s">
        <v>379</v>
      </c>
      <c r="S89" s="61" t="s">
        <v>414</v>
      </c>
      <c r="T89" s="61" t="s">
        <v>415</v>
      </c>
      <c r="W89" s="109" t="s">
        <v>379</v>
      </c>
      <c r="X89" s="109" t="s">
        <v>414</v>
      </c>
      <c r="Y89" s="109" t="s">
        <v>415</v>
      </c>
      <c r="CU89" s="4"/>
      <c r="CZ89" s="5"/>
      <c r="DA89" s="5"/>
      <c r="DB89" s="5"/>
      <c r="DC89" s="5"/>
      <c r="DD89" s="5"/>
      <c r="DE89" s="5"/>
      <c r="DF89" s="5"/>
      <c r="DG89" s="5"/>
      <c r="DH89" s="5"/>
    </row>
    <row r="90">
      <c r="A90" s="143">
        <v>1.0</v>
      </c>
      <c r="B90" s="143" t="s">
        <v>226</v>
      </c>
      <c r="C90" s="143" t="s">
        <v>213</v>
      </c>
      <c r="D90" s="143" t="s">
        <v>227</v>
      </c>
      <c r="E90" s="143">
        <v>67.0</v>
      </c>
      <c r="F90" s="143">
        <v>15.0</v>
      </c>
      <c r="G90" s="143">
        <v>0.817</v>
      </c>
      <c r="H90" s="143">
        <v>11.63</v>
      </c>
      <c r="I90" s="143">
        <v>116.26</v>
      </c>
      <c r="J90" s="143">
        <v>104.57</v>
      </c>
      <c r="K90" s="143">
        <v>11.69</v>
      </c>
      <c r="L90" s="143">
        <v>11.35</v>
      </c>
      <c r="M90" s="143">
        <v>116.02</v>
      </c>
      <c r="N90" s="143">
        <v>104.61</v>
      </c>
      <c r="O90" s="4">
        <v>11.41</v>
      </c>
      <c r="P90" s="4">
        <f t="shared" ref="P90:P119" si="185">M90-$I$87</f>
        <v>6.4915</v>
      </c>
      <c r="Q90" s="4">
        <f t="shared" ref="Q90:Q119" si="186">$I$87-N90</f>
        <v>4.9185</v>
      </c>
      <c r="R90" s="4">
        <f t="shared" ref="R90:R95" si="187">O90+4</f>
        <v>15.41</v>
      </c>
      <c r="S90" s="4">
        <f t="shared" ref="S90:S95" si="188">P90+3</f>
        <v>9.4915</v>
      </c>
      <c r="T90" s="4">
        <f t="shared" ref="T90:T95" si="189">Q90+1</f>
        <v>5.9185</v>
      </c>
      <c r="W90" s="153">
        <f t="shared" ref="W90:W100" si="190">vlookup($B90,$B$155:$AZ$170,51,false)</f>
        <v>21.15769528</v>
      </c>
      <c r="X90" s="153">
        <f t="shared" ref="X90:X100" si="191">vlookup($B90,$B$155:$AZ$170,49,false)</f>
        <v>13.10806776</v>
      </c>
      <c r="Y90" s="153">
        <f t="shared" ref="Y90:Y100" si="192">vlookup($B90,$B$155:$AZ$170,50,false)</f>
        <v>8.049627516</v>
      </c>
      <c r="CU90" s="4"/>
      <c r="CZ90" s="5"/>
      <c r="DA90" s="5"/>
      <c r="DB90" s="5"/>
      <c r="DC90" s="5"/>
      <c r="DD90" s="5"/>
      <c r="DE90" s="5"/>
      <c r="DF90" s="5"/>
      <c r="DG90" s="5"/>
      <c r="DH90" s="5"/>
    </row>
    <row r="91">
      <c r="A91" s="143">
        <v>2.0</v>
      </c>
      <c r="B91" s="143" t="s">
        <v>228</v>
      </c>
      <c r="C91" s="143" t="s">
        <v>213</v>
      </c>
      <c r="D91" s="143" t="s">
        <v>229</v>
      </c>
      <c r="E91" s="143">
        <v>61.0</v>
      </c>
      <c r="F91" s="143">
        <v>21.0</v>
      </c>
      <c r="G91" s="143">
        <v>0.744</v>
      </c>
      <c r="H91" s="143">
        <v>7.2</v>
      </c>
      <c r="I91" s="143">
        <v>111.81</v>
      </c>
      <c r="J91" s="143">
        <v>104.25</v>
      </c>
      <c r="K91" s="143">
        <v>7.56</v>
      </c>
      <c r="L91" s="143">
        <v>7.13</v>
      </c>
      <c r="M91" s="143">
        <v>111.62</v>
      </c>
      <c r="N91" s="143">
        <v>104.12</v>
      </c>
      <c r="O91" s="4">
        <v>7.49</v>
      </c>
      <c r="P91" s="4">
        <f t="shared" si="185"/>
        <v>2.0915</v>
      </c>
      <c r="Q91" s="4">
        <f t="shared" si="186"/>
        <v>5.4085</v>
      </c>
      <c r="R91" s="4">
        <f t="shared" si="187"/>
        <v>11.49</v>
      </c>
      <c r="S91" s="4">
        <f t="shared" si="188"/>
        <v>5.0915</v>
      </c>
      <c r="T91" s="4">
        <f t="shared" si="189"/>
        <v>6.4085</v>
      </c>
      <c r="W91" s="153">
        <f t="shared" si="190"/>
        <v>10.63946203</v>
      </c>
      <c r="X91" s="153">
        <f t="shared" si="191"/>
        <v>8.62943486</v>
      </c>
      <c r="Y91" s="153">
        <f t="shared" si="192"/>
        <v>2.010027165</v>
      </c>
      <c r="CU91" s="4"/>
      <c r="CZ91" s="5"/>
      <c r="DA91" s="5"/>
      <c r="DB91" s="5"/>
      <c r="DC91" s="5"/>
      <c r="DD91" s="5"/>
      <c r="DE91" s="5"/>
      <c r="DF91" s="5"/>
      <c r="DG91" s="5"/>
      <c r="DH91" s="5"/>
    </row>
    <row r="92">
      <c r="A92" s="143">
        <v>3.0</v>
      </c>
      <c r="B92" s="143" t="s">
        <v>230</v>
      </c>
      <c r="C92" s="143" t="s">
        <v>213</v>
      </c>
      <c r="D92" s="143" t="s">
        <v>229</v>
      </c>
      <c r="E92" s="143">
        <v>55.0</v>
      </c>
      <c r="F92" s="143">
        <v>27.0</v>
      </c>
      <c r="G92" s="143">
        <v>0.671</v>
      </c>
      <c r="H92" s="143">
        <v>5.77</v>
      </c>
      <c r="I92" s="143">
        <v>115.59</v>
      </c>
      <c r="J92" s="143">
        <v>109.96</v>
      </c>
      <c r="K92" s="143">
        <v>5.63</v>
      </c>
      <c r="L92" s="143">
        <v>5.84</v>
      </c>
      <c r="M92" s="143">
        <v>115.7</v>
      </c>
      <c r="N92" s="143">
        <v>109.98</v>
      </c>
      <c r="O92" s="4">
        <v>5.72</v>
      </c>
      <c r="P92" s="4">
        <f t="shared" si="185"/>
        <v>6.1715</v>
      </c>
      <c r="Q92" s="4">
        <f t="shared" si="186"/>
        <v>-0.4515</v>
      </c>
      <c r="R92" s="4">
        <f t="shared" si="187"/>
        <v>9.72</v>
      </c>
      <c r="S92" s="4">
        <f t="shared" si="188"/>
        <v>9.1715</v>
      </c>
      <c r="T92" s="4">
        <f t="shared" si="189"/>
        <v>0.5485</v>
      </c>
      <c r="W92" s="153">
        <f t="shared" si="190"/>
        <v>9.938780207</v>
      </c>
      <c r="X92" s="153">
        <f t="shared" si="191"/>
        <v>7.88568486</v>
      </c>
      <c r="Y92" s="153">
        <f t="shared" si="192"/>
        <v>2.053095347</v>
      </c>
      <c r="CU92" s="4"/>
      <c r="CZ92" s="5"/>
      <c r="DA92" s="5"/>
      <c r="DB92" s="5"/>
      <c r="DC92" s="5"/>
      <c r="DD92" s="5"/>
      <c r="DE92" s="5"/>
      <c r="DF92" s="5"/>
      <c r="DG92" s="5"/>
      <c r="DH92" s="5"/>
    </row>
    <row r="93">
      <c r="A93" s="143">
        <v>4.0</v>
      </c>
      <c r="B93" s="143" t="s">
        <v>231</v>
      </c>
      <c r="C93" s="143" t="s">
        <v>213</v>
      </c>
      <c r="D93" s="143" t="s">
        <v>227</v>
      </c>
      <c r="E93" s="143">
        <v>51.0</v>
      </c>
      <c r="F93" s="143">
        <v>31.0</v>
      </c>
      <c r="G93" s="143">
        <v>0.622</v>
      </c>
      <c r="H93" s="143">
        <v>4.29</v>
      </c>
      <c r="I93" s="143">
        <v>113.38</v>
      </c>
      <c r="J93" s="143">
        <v>108.88</v>
      </c>
      <c r="K93" s="143">
        <v>4.5</v>
      </c>
      <c r="L93" s="143">
        <v>4.42</v>
      </c>
      <c r="M93" s="143">
        <v>113.46</v>
      </c>
      <c r="N93" s="143">
        <v>108.82</v>
      </c>
      <c r="O93" s="4">
        <v>4.64</v>
      </c>
      <c r="P93" s="4">
        <f t="shared" si="185"/>
        <v>3.9315</v>
      </c>
      <c r="Q93" s="4">
        <f t="shared" si="186"/>
        <v>0.7085</v>
      </c>
      <c r="R93" s="4">
        <f t="shared" si="187"/>
        <v>8.64</v>
      </c>
      <c r="S93" s="4">
        <f t="shared" si="188"/>
        <v>6.9315</v>
      </c>
      <c r="T93" s="4">
        <f t="shared" si="189"/>
        <v>1.7085</v>
      </c>
      <c r="W93" s="153">
        <f t="shared" si="190"/>
        <v>7.236962025</v>
      </c>
      <c r="X93" s="153">
        <f t="shared" si="191"/>
        <v>5.77568486</v>
      </c>
      <c r="Y93" s="153">
        <f t="shared" si="192"/>
        <v>1.461277165</v>
      </c>
      <c r="CU93" s="4"/>
      <c r="CZ93" s="5"/>
      <c r="DA93" s="5"/>
      <c r="DB93" s="5"/>
      <c r="DC93" s="5"/>
      <c r="DD93" s="5"/>
      <c r="DE93" s="5"/>
      <c r="DF93" s="5"/>
      <c r="DG93" s="5"/>
      <c r="DH93" s="5"/>
    </row>
    <row r="94">
      <c r="A94" s="143">
        <v>5.0</v>
      </c>
      <c r="B94" s="143" t="s">
        <v>232</v>
      </c>
      <c r="C94" s="143" t="s">
        <v>213</v>
      </c>
      <c r="D94" s="143" t="s">
        <v>233</v>
      </c>
      <c r="E94" s="143">
        <v>51.0</v>
      </c>
      <c r="F94" s="143">
        <v>31.0</v>
      </c>
      <c r="G94" s="143">
        <v>0.622</v>
      </c>
      <c r="H94" s="143">
        <v>3.94</v>
      </c>
      <c r="I94" s="143">
        <v>110.46</v>
      </c>
      <c r="J94" s="143">
        <v>106.19</v>
      </c>
      <c r="K94" s="143">
        <v>4.27</v>
      </c>
      <c r="L94" s="143">
        <v>4.0</v>
      </c>
      <c r="M94" s="143">
        <v>110.31</v>
      </c>
      <c r="N94" s="143">
        <v>105.98</v>
      </c>
      <c r="O94" s="4">
        <v>4.33</v>
      </c>
      <c r="P94" s="4">
        <f t="shared" si="185"/>
        <v>0.7815</v>
      </c>
      <c r="Q94" s="4">
        <f t="shared" si="186"/>
        <v>3.5485</v>
      </c>
      <c r="R94" s="4">
        <f t="shared" si="187"/>
        <v>8.33</v>
      </c>
      <c r="S94" s="4">
        <f t="shared" si="188"/>
        <v>3.7815</v>
      </c>
      <c r="T94" s="4">
        <f t="shared" si="189"/>
        <v>4.5485</v>
      </c>
      <c r="W94" s="153">
        <f t="shared" si="190"/>
        <v>6.108780207</v>
      </c>
      <c r="X94" s="153">
        <f t="shared" si="191"/>
        <v>1.866593951</v>
      </c>
      <c r="Y94" s="153">
        <f t="shared" si="192"/>
        <v>4.242186256</v>
      </c>
      <c r="CU94" s="4"/>
      <c r="CZ94" s="5"/>
      <c r="DA94" s="5"/>
      <c r="DB94" s="5"/>
      <c r="DC94" s="5"/>
      <c r="DD94" s="5"/>
      <c r="DE94" s="5"/>
      <c r="DF94" s="5"/>
      <c r="DG94" s="5"/>
      <c r="DH94" s="5"/>
    </row>
    <row r="95">
      <c r="A95" s="143">
        <v>6.0</v>
      </c>
      <c r="B95" s="143" t="s">
        <v>234</v>
      </c>
      <c r="C95" s="143" t="s">
        <v>235</v>
      </c>
      <c r="D95" s="143" t="s">
        <v>236</v>
      </c>
      <c r="E95" s="143">
        <v>51.0</v>
      </c>
      <c r="F95" s="143">
        <v>31.0</v>
      </c>
      <c r="G95" s="143">
        <v>0.622</v>
      </c>
      <c r="H95" s="143">
        <v>4.21</v>
      </c>
      <c r="I95" s="143">
        <v>113.2</v>
      </c>
      <c r="J95" s="143">
        <v>108.68</v>
      </c>
      <c r="K95" s="143">
        <v>4.51</v>
      </c>
      <c r="L95" s="143">
        <v>3.65</v>
      </c>
      <c r="M95" s="143">
        <v>113.07</v>
      </c>
      <c r="N95" s="143">
        <v>109.14</v>
      </c>
      <c r="O95" s="4">
        <v>3.93</v>
      </c>
      <c r="P95" s="4">
        <f t="shared" si="185"/>
        <v>3.5415</v>
      </c>
      <c r="Q95" s="4">
        <f t="shared" si="186"/>
        <v>0.3885</v>
      </c>
      <c r="R95" s="4">
        <f t="shared" si="187"/>
        <v>7.93</v>
      </c>
      <c r="S95" s="4">
        <f t="shared" si="188"/>
        <v>6.5415</v>
      </c>
      <c r="T95" s="4">
        <f t="shared" si="189"/>
        <v>1.3885</v>
      </c>
      <c r="W95" s="153">
        <f t="shared" si="190"/>
        <v>-1.179240753</v>
      </c>
      <c r="X95" s="153">
        <f t="shared" si="191"/>
        <v>-4.701874394</v>
      </c>
      <c r="Y95" s="153">
        <f t="shared" si="192"/>
        <v>3.522633642</v>
      </c>
      <c r="CU95" s="4"/>
      <c r="CZ95" s="5"/>
      <c r="DA95" s="5"/>
      <c r="DB95" s="5"/>
      <c r="DC95" s="5"/>
      <c r="DD95" s="5"/>
      <c r="DE95" s="5"/>
      <c r="DF95" s="5"/>
      <c r="DG95" s="5"/>
      <c r="DH95" s="5"/>
    </row>
    <row r="96">
      <c r="A96" s="143">
        <v>7.0</v>
      </c>
      <c r="B96" s="143" t="s">
        <v>62</v>
      </c>
      <c r="C96" s="143" t="s">
        <v>235</v>
      </c>
      <c r="D96" s="143" t="s">
        <v>175</v>
      </c>
      <c r="E96" s="143">
        <v>51.0</v>
      </c>
      <c r="F96" s="143">
        <v>31.0</v>
      </c>
      <c r="G96" s="143">
        <v>0.622</v>
      </c>
      <c r="H96" s="143">
        <v>3.18</v>
      </c>
      <c r="I96" s="143">
        <v>114.25</v>
      </c>
      <c r="J96" s="143">
        <v>110.99</v>
      </c>
      <c r="K96" s="143">
        <v>3.27</v>
      </c>
      <c r="L96" s="143">
        <v>2.88</v>
      </c>
      <c r="M96" s="143">
        <v>114.33</v>
      </c>
      <c r="N96" s="143">
        <v>111.38</v>
      </c>
      <c r="O96" s="4">
        <v>2.95</v>
      </c>
      <c r="P96" s="4">
        <f t="shared" si="185"/>
        <v>4.8015</v>
      </c>
      <c r="Q96" s="4">
        <f t="shared" si="186"/>
        <v>-1.8515</v>
      </c>
      <c r="R96" s="153">
        <f t="shared" ref="R96:T96" si="193">AW10</f>
        <v>6.784493055</v>
      </c>
      <c r="S96" s="153">
        <f t="shared" si="193"/>
        <v>9.20989119</v>
      </c>
      <c r="T96" s="153">
        <f t="shared" si="193"/>
        <v>-2.425398135</v>
      </c>
      <c r="W96" s="153">
        <f t="shared" si="190"/>
        <v>16.86085091</v>
      </c>
      <c r="X96" s="153">
        <f t="shared" si="191"/>
        <v>15.12790708</v>
      </c>
      <c r="Y96" s="153">
        <f t="shared" si="192"/>
        <v>1.732943832</v>
      </c>
      <c r="CU96" s="4"/>
      <c r="CZ96" s="5"/>
      <c r="DA96" s="5"/>
      <c r="DB96" s="5"/>
      <c r="DC96" s="5"/>
      <c r="DD96" s="5"/>
      <c r="DE96" s="5"/>
      <c r="DF96" s="5"/>
      <c r="DG96" s="5"/>
      <c r="DH96" s="5"/>
    </row>
    <row r="97">
      <c r="A97" s="143">
        <v>8.0</v>
      </c>
      <c r="B97" s="143" t="s">
        <v>237</v>
      </c>
      <c r="C97" s="143" t="s">
        <v>235</v>
      </c>
      <c r="D97" s="143" t="s">
        <v>236</v>
      </c>
      <c r="E97" s="143">
        <v>53.0</v>
      </c>
      <c r="F97" s="143">
        <v>29.0</v>
      </c>
      <c r="G97" s="143">
        <v>0.646</v>
      </c>
      <c r="H97" s="143">
        <v>2.63</v>
      </c>
      <c r="I97" s="143">
        <v>111.88</v>
      </c>
      <c r="J97" s="143">
        <v>109.16</v>
      </c>
      <c r="K97" s="143">
        <v>2.72</v>
      </c>
      <c r="L97" s="143">
        <v>2.25</v>
      </c>
      <c r="M97" s="143">
        <v>111.81</v>
      </c>
      <c r="N97" s="143">
        <v>109.49</v>
      </c>
      <c r="O97" s="4">
        <v>2.33</v>
      </c>
      <c r="P97" s="4">
        <f t="shared" si="185"/>
        <v>2.2815</v>
      </c>
      <c r="Q97" s="4">
        <f t="shared" si="186"/>
        <v>0.0385</v>
      </c>
      <c r="R97" s="4">
        <f t="shared" ref="R97:R100" si="194">O97+4</f>
        <v>6.33</v>
      </c>
      <c r="S97" s="4">
        <f t="shared" ref="S97:S100" si="195">P97+3</f>
        <v>5.2815</v>
      </c>
      <c r="T97" s="4">
        <f t="shared" ref="T97:T100" si="196">Q97+1</f>
        <v>1.0385</v>
      </c>
      <c r="W97" s="153">
        <f t="shared" si="190"/>
        <v>2.328765652</v>
      </c>
      <c r="X97" s="153">
        <f t="shared" si="191"/>
        <v>4.017935378</v>
      </c>
      <c r="Y97" s="153">
        <f t="shared" si="192"/>
        <v>-1.689169726</v>
      </c>
      <c r="CU97" s="4"/>
      <c r="CZ97" s="5"/>
      <c r="DA97" s="5"/>
      <c r="DB97" s="5"/>
      <c r="DC97" s="5"/>
      <c r="DD97" s="5"/>
      <c r="DE97" s="5"/>
      <c r="DF97" s="5"/>
      <c r="DG97" s="5"/>
      <c r="DH97" s="5"/>
    </row>
    <row r="98">
      <c r="A98" s="143">
        <v>9.0</v>
      </c>
      <c r="B98" s="143" t="s">
        <v>238</v>
      </c>
      <c r="C98" s="143" t="s">
        <v>235</v>
      </c>
      <c r="D98" s="143" t="s">
        <v>239</v>
      </c>
      <c r="E98" s="143">
        <v>49.0</v>
      </c>
      <c r="F98" s="143">
        <v>33.0</v>
      </c>
      <c r="G98" s="143">
        <v>0.598</v>
      </c>
      <c r="H98" s="143">
        <v>1.8</v>
      </c>
      <c r="I98" s="143">
        <v>111.98</v>
      </c>
      <c r="J98" s="143">
        <v>110.06</v>
      </c>
      <c r="K98" s="143">
        <v>1.92</v>
      </c>
      <c r="L98" s="143">
        <v>1.36</v>
      </c>
      <c r="M98" s="143">
        <v>111.96</v>
      </c>
      <c r="N98" s="143">
        <v>110.49</v>
      </c>
      <c r="O98" s="4">
        <v>1.46</v>
      </c>
      <c r="P98" s="4">
        <f t="shared" si="185"/>
        <v>2.4315</v>
      </c>
      <c r="Q98" s="4">
        <f t="shared" si="186"/>
        <v>-0.9615</v>
      </c>
      <c r="R98" s="4">
        <f t="shared" si="194"/>
        <v>5.46</v>
      </c>
      <c r="S98" s="4">
        <f t="shared" si="195"/>
        <v>5.4315</v>
      </c>
      <c r="T98" s="4">
        <f t="shared" si="196"/>
        <v>0.0385</v>
      </c>
      <c r="W98" s="153">
        <f t="shared" si="190"/>
        <v>4.723885102</v>
      </c>
      <c r="X98" s="153">
        <f t="shared" si="191"/>
        <v>5.657992552</v>
      </c>
      <c r="Y98" s="153">
        <f t="shared" si="192"/>
        <v>-0.9341074499</v>
      </c>
      <c r="CU98" s="4"/>
      <c r="CZ98" s="5"/>
      <c r="DA98" s="5"/>
      <c r="DB98" s="5"/>
      <c r="DC98" s="5"/>
      <c r="DD98" s="5"/>
      <c r="DE98" s="5"/>
      <c r="DF98" s="5"/>
      <c r="DG98" s="5"/>
      <c r="DH98" s="5"/>
    </row>
    <row r="99">
      <c r="A99" s="143">
        <v>10.0</v>
      </c>
      <c r="B99" s="143" t="s">
        <v>240</v>
      </c>
      <c r="C99" s="143" t="s">
        <v>213</v>
      </c>
      <c r="D99" s="143" t="s">
        <v>233</v>
      </c>
      <c r="E99" s="143">
        <v>47.0</v>
      </c>
      <c r="F99" s="143">
        <v>35.0</v>
      </c>
      <c r="G99" s="143">
        <v>0.573</v>
      </c>
      <c r="H99" s="143">
        <v>0.76</v>
      </c>
      <c r="I99" s="143">
        <v>108.95</v>
      </c>
      <c r="J99" s="143">
        <v>108.17</v>
      </c>
      <c r="K99" s="143">
        <v>0.78</v>
      </c>
      <c r="L99" s="143">
        <v>1.15</v>
      </c>
      <c r="M99" s="143">
        <v>108.94</v>
      </c>
      <c r="N99" s="143">
        <v>107.75</v>
      </c>
      <c r="O99" s="4">
        <v>1.18</v>
      </c>
      <c r="P99" s="4">
        <f t="shared" si="185"/>
        <v>-0.5885</v>
      </c>
      <c r="Q99" s="4">
        <f t="shared" si="186"/>
        <v>1.7785</v>
      </c>
      <c r="R99" s="4">
        <f t="shared" si="194"/>
        <v>5.18</v>
      </c>
      <c r="S99" s="4">
        <f t="shared" si="195"/>
        <v>2.4115</v>
      </c>
      <c r="T99" s="4">
        <f t="shared" si="196"/>
        <v>2.7785</v>
      </c>
      <c r="W99" s="153">
        <f t="shared" si="190"/>
        <v>1.126962025</v>
      </c>
      <c r="X99" s="153">
        <f t="shared" si="191"/>
        <v>-1.32431514</v>
      </c>
      <c r="Y99" s="153">
        <f t="shared" si="192"/>
        <v>2.451277165</v>
      </c>
      <c r="CU99" s="4"/>
      <c r="CZ99" s="5"/>
      <c r="DA99" s="5"/>
      <c r="DB99" s="5"/>
      <c r="DC99" s="5"/>
      <c r="DD99" s="5"/>
      <c r="DE99" s="5"/>
      <c r="DF99" s="5"/>
      <c r="DG99" s="5"/>
      <c r="DH99" s="5"/>
    </row>
    <row r="100">
      <c r="A100" s="143">
        <v>11.0</v>
      </c>
      <c r="B100" s="143" t="s">
        <v>241</v>
      </c>
      <c r="C100" s="143" t="s">
        <v>213</v>
      </c>
      <c r="D100" s="143" t="s">
        <v>229</v>
      </c>
      <c r="E100" s="143">
        <v>43.0</v>
      </c>
      <c r="F100" s="143">
        <v>39.0</v>
      </c>
      <c r="G100" s="143">
        <v>0.524</v>
      </c>
      <c r="H100" s="143">
        <v>0.49</v>
      </c>
      <c r="I100" s="143">
        <v>108.59</v>
      </c>
      <c r="J100" s="143">
        <v>107.89</v>
      </c>
      <c r="K100" s="143">
        <v>0.7</v>
      </c>
      <c r="L100" s="143">
        <v>0.96</v>
      </c>
      <c r="M100" s="143">
        <v>108.71</v>
      </c>
      <c r="N100" s="143">
        <v>107.55</v>
      </c>
      <c r="O100" s="4">
        <v>1.17</v>
      </c>
      <c r="P100" s="4">
        <f t="shared" si="185"/>
        <v>-0.8185</v>
      </c>
      <c r="Q100" s="4">
        <f t="shared" si="186"/>
        <v>1.9785</v>
      </c>
      <c r="R100" s="4">
        <f t="shared" si="194"/>
        <v>5.17</v>
      </c>
      <c r="S100" s="4">
        <f t="shared" si="195"/>
        <v>2.1815</v>
      </c>
      <c r="T100" s="4">
        <f t="shared" si="196"/>
        <v>2.9785</v>
      </c>
      <c r="W100" s="153">
        <f t="shared" si="190"/>
        <v>2.106962025</v>
      </c>
      <c r="X100" s="153">
        <f t="shared" si="191"/>
        <v>9.13568486</v>
      </c>
      <c r="Y100" s="153">
        <f t="shared" si="192"/>
        <v>-7.028722835</v>
      </c>
      <c r="CU100" s="4"/>
      <c r="CZ100" s="5"/>
      <c r="DA100" s="5"/>
      <c r="DB100" s="5"/>
      <c r="DC100" s="5"/>
      <c r="DD100" s="5"/>
      <c r="DE100" s="5"/>
      <c r="DF100" s="5"/>
      <c r="DG100" s="5"/>
      <c r="DH100" s="5"/>
    </row>
    <row r="101">
      <c r="A101" s="143">
        <v>12.0</v>
      </c>
      <c r="B101" s="143" t="s">
        <v>242</v>
      </c>
      <c r="C101" s="143" t="s">
        <v>235</v>
      </c>
      <c r="D101" s="143" t="s">
        <v>239</v>
      </c>
      <c r="E101" s="143">
        <v>41.0</v>
      </c>
      <c r="F101" s="143">
        <v>41.0</v>
      </c>
      <c r="G101" s="143">
        <v>0.5</v>
      </c>
      <c r="H101" s="143">
        <v>1.06</v>
      </c>
      <c r="I101" s="143">
        <v>108.73</v>
      </c>
      <c r="J101" s="143">
        <v>107.65</v>
      </c>
      <c r="K101" s="143">
        <v>1.09</v>
      </c>
      <c r="L101" s="143">
        <v>0.78</v>
      </c>
      <c r="M101" s="143">
        <v>108.62</v>
      </c>
      <c r="N101" s="143">
        <v>107.84</v>
      </c>
      <c r="O101" s="4">
        <v>0.79</v>
      </c>
      <c r="P101" s="4">
        <f t="shared" si="185"/>
        <v>-0.9085</v>
      </c>
      <c r="Q101" s="4">
        <f t="shared" si="186"/>
        <v>1.6885</v>
      </c>
      <c r="W101" s="134"/>
      <c r="X101" s="134"/>
      <c r="Y101" s="134"/>
      <c r="CU101" s="4"/>
      <c r="CZ101" s="5"/>
      <c r="DA101" s="5"/>
      <c r="DB101" s="5"/>
      <c r="DC101" s="5"/>
      <c r="DD101" s="5"/>
      <c r="DE101" s="5"/>
      <c r="DF101" s="5"/>
      <c r="DG101" s="5"/>
      <c r="DH101" s="5"/>
    </row>
    <row r="102">
      <c r="A102" s="143">
        <v>13.0</v>
      </c>
      <c r="B102" s="143" t="s">
        <v>243</v>
      </c>
      <c r="C102" s="143" t="s">
        <v>213</v>
      </c>
      <c r="D102" s="143" t="s">
        <v>233</v>
      </c>
      <c r="E102" s="143">
        <v>40.0</v>
      </c>
      <c r="F102" s="143">
        <v>42.0</v>
      </c>
      <c r="G102" s="143">
        <v>0.488</v>
      </c>
      <c r="H102" s="143">
        <v>0.51</v>
      </c>
      <c r="I102" s="143">
        <v>113.9</v>
      </c>
      <c r="J102" s="143">
        <v>113.43</v>
      </c>
      <c r="K102" s="143">
        <v>0.47</v>
      </c>
      <c r="L102" s="143">
        <v>0.7</v>
      </c>
      <c r="M102" s="143">
        <v>114.06</v>
      </c>
      <c r="N102" s="143">
        <v>113.39</v>
      </c>
      <c r="O102" s="4">
        <v>0.67</v>
      </c>
      <c r="P102" s="4">
        <f t="shared" si="185"/>
        <v>4.5315</v>
      </c>
      <c r="Q102" s="4">
        <f t="shared" si="186"/>
        <v>-3.8615</v>
      </c>
      <c r="W102" s="134"/>
      <c r="X102" s="134"/>
      <c r="Y102" s="134"/>
      <c r="CU102" s="4"/>
      <c r="CZ102" s="5"/>
      <c r="DA102" s="5"/>
      <c r="DB102" s="5"/>
      <c r="DC102" s="5"/>
      <c r="DD102" s="5"/>
      <c r="DE102" s="5"/>
      <c r="DF102" s="5"/>
      <c r="DG102" s="5"/>
      <c r="DH102" s="5"/>
    </row>
    <row r="103">
      <c r="A103" s="143">
        <v>14.0</v>
      </c>
      <c r="B103" s="143" t="s">
        <v>244</v>
      </c>
      <c r="C103" s="143" t="s">
        <v>235</v>
      </c>
      <c r="D103" s="143" t="s">
        <v>239</v>
      </c>
      <c r="E103" s="143">
        <v>36.0</v>
      </c>
      <c r="F103" s="143">
        <v>46.0</v>
      </c>
      <c r="G103" s="143">
        <v>0.439</v>
      </c>
      <c r="H103" s="143">
        <v>0.2</v>
      </c>
      <c r="I103" s="143">
        <v>109.57</v>
      </c>
      <c r="J103" s="143">
        <v>109.31</v>
      </c>
      <c r="K103" s="143">
        <v>0.25</v>
      </c>
      <c r="L103" s="143">
        <v>-0.06</v>
      </c>
      <c r="M103" s="143">
        <v>109.53</v>
      </c>
      <c r="N103" s="143">
        <v>109.55</v>
      </c>
      <c r="O103" s="4">
        <v>-0.02</v>
      </c>
      <c r="P103" s="4">
        <f t="shared" si="185"/>
        <v>0.0015</v>
      </c>
      <c r="Q103" s="4">
        <f t="shared" si="186"/>
        <v>-0.0215</v>
      </c>
      <c r="W103" s="134"/>
      <c r="X103" s="134"/>
      <c r="Y103" s="134"/>
      <c r="CU103" s="4"/>
      <c r="CZ103" s="5"/>
      <c r="DA103" s="5"/>
      <c r="DB103" s="5"/>
      <c r="DC103" s="5"/>
      <c r="DD103" s="5"/>
      <c r="DE103" s="5"/>
      <c r="DF103" s="5"/>
      <c r="DG103" s="5"/>
      <c r="DH103" s="5"/>
    </row>
    <row r="104">
      <c r="A104" s="143">
        <v>15.0</v>
      </c>
      <c r="B104" s="143" t="s">
        <v>245</v>
      </c>
      <c r="C104" s="143" t="s">
        <v>235</v>
      </c>
      <c r="D104" s="143" t="s">
        <v>175</v>
      </c>
      <c r="E104" s="143">
        <v>41.0</v>
      </c>
      <c r="F104" s="143">
        <v>41.0</v>
      </c>
      <c r="G104" s="143">
        <v>0.5</v>
      </c>
      <c r="H104" s="143">
        <v>0.43</v>
      </c>
      <c r="I104" s="143">
        <v>108.04</v>
      </c>
      <c r="J104" s="143">
        <v>107.72</v>
      </c>
      <c r="K104" s="143">
        <v>0.32</v>
      </c>
      <c r="L104" s="143">
        <v>0.03</v>
      </c>
      <c r="M104" s="143">
        <v>107.91</v>
      </c>
      <c r="N104" s="143">
        <v>107.98</v>
      </c>
      <c r="O104" s="4">
        <v>-0.08</v>
      </c>
      <c r="P104" s="4">
        <f t="shared" si="185"/>
        <v>-1.6185</v>
      </c>
      <c r="Q104" s="4">
        <f t="shared" si="186"/>
        <v>1.5485</v>
      </c>
      <c r="R104" s="4">
        <f t="shared" ref="R104:R107" si="197">O104+4</f>
        <v>3.92</v>
      </c>
      <c r="S104" s="4">
        <f t="shared" ref="S104:S107" si="198">P104+3</f>
        <v>1.3815</v>
      </c>
      <c r="T104" s="4">
        <f t="shared" ref="T104:T107" si="199">Q104+1</f>
        <v>2.5485</v>
      </c>
      <c r="W104" s="153">
        <f t="shared" ref="W104:W107" si="200">vlookup($B104,$B$155:$AZ$170,51,false)</f>
        <v>-0.9730379747</v>
      </c>
      <c r="X104" s="153">
        <f t="shared" ref="X104:X107" si="201">vlookup($B104,$B$155:$AZ$170,49,false)</f>
        <v>-1.73431514</v>
      </c>
      <c r="Y104" s="153">
        <f t="shared" ref="Y104:Y107" si="202">vlookup($B104,$B$155:$AZ$170,50,false)</f>
        <v>0.7612771655</v>
      </c>
      <c r="CU104" s="4"/>
      <c r="CZ104" s="5"/>
      <c r="DA104" s="5"/>
      <c r="DB104" s="5"/>
      <c r="DC104" s="5"/>
      <c r="DD104" s="5"/>
      <c r="DE104" s="5"/>
      <c r="DF104" s="5"/>
      <c r="DG104" s="5"/>
      <c r="DH104" s="5"/>
    </row>
    <row r="105">
      <c r="A105" s="143">
        <v>16.0</v>
      </c>
      <c r="B105" s="143" t="s">
        <v>246</v>
      </c>
      <c r="C105" s="143" t="s">
        <v>213</v>
      </c>
      <c r="D105" s="143" t="s">
        <v>233</v>
      </c>
      <c r="E105" s="143">
        <v>41.0</v>
      </c>
      <c r="F105" s="143">
        <v>41.0</v>
      </c>
      <c r="G105" s="143">
        <v>0.5</v>
      </c>
      <c r="H105" s="143">
        <v>-0.52</v>
      </c>
      <c r="I105" s="143">
        <v>110.93</v>
      </c>
      <c r="J105" s="143">
        <v>111.46</v>
      </c>
      <c r="K105" s="143">
        <v>-0.53</v>
      </c>
      <c r="L105" s="143">
        <v>-0.23</v>
      </c>
      <c r="M105" s="143">
        <v>111.09</v>
      </c>
      <c r="N105" s="143">
        <v>111.31</v>
      </c>
      <c r="O105" s="4">
        <v>-0.22</v>
      </c>
      <c r="P105" s="4">
        <f t="shared" si="185"/>
        <v>1.5615</v>
      </c>
      <c r="Q105" s="4">
        <f t="shared" si="186"/>
        <v>-1.7815</v>
      </c>
      <c r="R105" s="4">
        <f t="shared" si="197"/>
        <v>3.78</v>
      </c>
      <c r="S105" s="4">
        <f t="shared" si="198"/>
        <v>4.5615</v>
      </c>
      <c r="T105" s="4">
        <f t="shared" si="199"/>
        <v>-0.7815</v>
      </c>
      <c r="W105" s="153">
        <f t="shared" si="200"/>
        <v>-2.083037975</v>
      </c>
      <c r="X105" s="153">
        <f t="shared" si="201"/>
        <v>-2.35431514</v>
      </c>
      <c r="Y105" s="153">
        <f t="shared" si="202"/>
        <v>0.2712771655</v>
      </c>
      <c r="CU105" s="4"/>
      <c r="CZ105" s="5"/>
      <c r="DA105" s="5"/>
      <c r="DB105" s="5"/>
      <c r="DC105" s="5"/>
      <c r="DD105" s="5"/>
      <c r="DE105" s="5"/>
      <c r="DF105" s="5"/>
      <c r="DG105" s="5"/>
      <c r="DH105" s="5"/>
    </row>
    <row r="106">
      <c r="A106" s="143">
        <v>17.0</v>
      </c>
      <c r="B106" s="143" t="s">
        <v>247</v>
      </c>
      <c r="C106" s="143" t="s">
        <v>235</v>
      </c>
      <c r="D106" s="143" t="s">
        <v>175</v>
      </c>
      <c r="E106" s="143">
        <v>42.0</v>
      </c>
      <c r="F106" s="143">
        <v>40.0</v>
      </c>
      <c r="G106" s="143">
        <v>0.512</v>
      </c>
      <c r="H106" s="143">
        <v>-0.18</v>
      </c>
      <c r="I106" s="143">
        <v>109.92</v>
      </c>
      <c r="J106" s="143">
        <v>110.16</v>
      </c>
      <c r="K106" s="143">
        <v>-0.23</v>
      </c>
      <c r="L106" s="143">
        <v>-0.44</v>
      </c>
      <c r="M106" s="143">
        <v>109.96</v>
      </c>
      <c r="N106" s="143">
        <v>110.46</v>
      </c>
      <c r="O106" s="4">
        <v>-0.5</v>
      </c>
      <c r="P106" s="4">
        <f t="shared" si="185"/>
        <v>0.4315</v>
      </c>
      <c r="Q106" s="4">
        <f t="shared" si="186"/>
        <v>-0.9315</v>
      </c>
      <c r="R106" s="4">
        <f t="shared" si="197"/>
        <v>3.5</v>
      </c>
      <c r="S106" s="4">
        <f t="shared" si="198"/>
        <v>3.4315</v>
      </c>
      <c r="T106" s="4">
        <f t="shared" si="199"/>
        <v>0.0685</v>
      </c>
      <c r="W106" s="153">
        <f t="shared" si="200"/>
        <v>7.336962025</v>
      </c>
      <c r="X106" s="153">
        <f t="shared" si="201"/>
        <v>-3.18431514</v>
      </c>
      <c r="Y106" s="153">
        <f t="shared" si="202"/>
        <v>10.52127717</v>
      </c>
      <c r="CU106" s="4"/>
      <c r="CZ106" s="5"/>
      <c r="DA106" s="5"/>
      <c r="DB106" s="5"/>
      <c r="DC106" s="5"/>
      <c r="DD106" s="5"/>
      <c r="DE106" s="5"/>
      <c r="DF106" s="5"/>
      <c r="DG106" s="5"/>
      <c r="DH106" s="5"/>
    </row>
    <row r="107">
      <c r="A107" s="143">
        <v>18.0</v>
      </c>
      <c r="B107" s="143" t="s">
        <v>248</v>
      </c>
      <c r="C107" s="143" t="s">
        <v>235</v>
      </c>
      <c r="D107" s="143" t="s">
        <v>175</v>
      </c>
      <c r="E107" s="143">
        <v>42.0</v>
      </c>
      <c r="F107" s="143">
        <v>40.0</v>
      </c>
      <c r="G107" s="143">
        <v>0.512</v>
      </c>
      <c r="H107" s="143">
        <v>-0.22</v>
      </c>
      <c r="I107" s="143">
        <v>109.33</v>
      </c>
      <c r="J107" s="143">
        <v>109.49</v>
      </c>
      <c r="K107" s="143">
        <v>-0.16</v>
      </c>
      <c r="L107" s="143">
        <v>-0.64</v>
      </c>
      <c r="M107" s="143">
        <v>109.21</v>
      </c>
      <c r="N107" s="143">
        <v>109.81</v>
      </c>
      <c r="O107" s="4">
        <v>-0.6</v>
      </c>
      <c r="P107" s="4">
        <f t="shared" si="185"/>
        <v>-0.3185</v>
      </c>
      <c r="Q107" s="4">
        <f t="shared" si="186"/>
        <v>-0.2815</v>
      </c>
      <c r="R107" s="4">
        <f t="shared" si="197"/>
        <v>3.4</v>
      </c>
      <c r="S107" s="4">
        <f t="shared" si="198"/>
        <v>2.6815</v>
      </c>
      <c r="T107" s="4">
        <f t="shared" si="199"/>
        <v>0.7185</v>
      </c>
      <c r="W107" s="153">
        <f t="shared" si="200"/>
        <v>2.691455081</v>
      </c>
      <c r="X107" s="153">
        <f t="shared" si="201"/>
        <v>4.701786725</v>
      </c>
      <c r="Y107" s="153">
        <f t="shared" si="202"/>
        <v>-2.010331644</v>
      </c>
      <c r="CU107" s="4"/>
      <c r="CZ107" s="5"/>
      <c r="DA107" s="5"/>
      <c r="DB107" s="5"/>
      <c r="DC107" s="5"/>
      <c r="DD107" s="5"/>
      <c r="DE107" s="5"/>
      <c r="DF107" s="5"/>
      <c r="DG107" s="5"/>
      <c r="DH107" s="5"/>
    </row>
    <row r="108">
      <c r="A108" s="143">
        <v>19.0</v>
      </c>
      <c r="B108" s="143" t="s">
        <v>249</v>
      </c>
      <c r="C108" s="143" t="s">
        <v>213</v>
      </c>
      <c r="D108" s="143" t="s">
        <v>233</v>
      </c>
      <c r="E108" s="143">
        <v>31.0</v>
      </c>
      <c r="F108" s="143">
        <v>51.0</v>
      </c>
      <c r="G108" s="143">
        <v>0.378</v>
      </c>
      <c r="H108" s="143">
        <v>-1.11</v>
      </c>
      <c r="I108" s="143">
        <v>111.54</v>
      </c>
      <c r="J108" s="143">
        <v>112.74</v>
      </c>
      <c r="K108" s="143">
        <v>-1.2</v>
      </c>
      <c r="L108" s="143">
        <v>-0.63</v>
      </c>
      <c r="M108" s="143">
        <v>111.75</v>
      </c>
      <c r="N108" s="143">
        <v>112.46</v>
      </c>
      <c r="O108" s="4">
        <v>-0.71</v>
      </c>
      <c r="P108" s="4">
        <f t="shared" si="185"/>
        <v>2.2215</v>
      </c>
      <c r="Q108" s="4">
        <f t="shared" si="186"/>
        <v>-2.9315</v>
      </c>
      <c r="W108" s="134"/>
      <c r="X108" s="134"/>
      <c r="Y108" s="134"/>
      <c r="CU108" s="4"/>
      <c r="CZ108" s="5"/>
      <c r="DA108" s="5"/>
      <c r="DB108" s="5"/>
      <c r="DC108" s="5"/>
      <c r="DD108" s="5"/>
      <c r="DE108" s="5"/>
      <c r="DF108" s="5"/>
      <c r="DG108" s="5"/>
      <c r="DH108" s="5"/>
    </row>
    <row r="109">
      <c r="A109" s="143">
        <v>20.0</v>
      </c>
      <c r="B109" s="143" t="s">
        <v>250</v>
      </c>
      <c r="C109" s="143" t="s">
        <v>235</v>
      </c>
      <c r="D109" s="143" t="s">
        <v>239</v>
      </c>
      <c r="E109" s="143">
        <v>43.0</v>
      </c>
      <c r="F109" s="143">
        <v>39.0</v>
      </c>
      <c r="G109" s="143">
        <v>0.524</v>
      </c>
      <c r="H109" s="143">
        <v>-0.85</v>
      </c>
      <c r="I109" s="143">
        <v>105.55</v>
      </c>
      <c r="J109" s="143">
        <v>106.54</v>
      </c>
      <c r="K109" s="143">
        <v>-0.99</v>
      </c>
      <c r="L109" s="143">
        <v>-1.23</v>
      </c>
      <c r="M109" s="143">
        <v>105.32</v>
      </c>
      <c r="N109" s="143">
        <v>106.69</v>
      </c>
      <c r="O109" s="4">
        <v>-1.37</v>
      </c>
      <c r="P109" s="4">
        <f t="shared" si="185"/>
        <v>-4.2085</v>
      </c>
      <c r="Q109" s="4">
        <f t="shared" si="186"/>
        <v>2.8385</v>
      </c>
      <c r="R109" s="4">
        <f>O109+4</f>
        <v>2.63</v>
      </c>
      <c r="S109" s="4">
        <f>P109+3</f>
        <v>-1.2085</v>
      </c>
      <c r="T109" s="4">
        <f>Q109+1</f>
        <v>3.8385</v>
      </c>
      <c r="W109" s="153">
        <f>vlookup($B109,$B$155:$AZ$170,51,false)</f>
        <v>4.376962025</v>
      </c>
      <c r="X109" s="153">
        <f>vlookup($B109,$B$155:$AZ$170,49,false)</f>
        <v>-0.2343151402</v>
      </c>
      <c r="Y109" s="153">
        <f>vlookup($B109,$B$155:$AZ$170,50,false)</f>
        <v>4.611277165</v>
      </c>
      <c r="CU109" s="4"/>
      <c r="CZ109" s="5"/>
      <c r="DA109" s="5"/>
      <c r="DB109" s="5"/>
      <c r="DC109" s="5"/>
      <c r="DD109" s="5"/>
      <c r="DE109" s="5"/>
      <c r="DF109" s="5"/>
      <c r="DG109" s="5"/>
      <c r="DH109" s="5"/>
    </row>
    <row r="110">
      <c r="A110" s="143">
        <v>21.0</v>
      </c>
      <c r="B110" s="143" t="s">
        <v>251</v>
      </c>
      <c r="C110" s="143" t="s">
        <v>235</v>
      </c>
      <c r="D110" s="143" t="s">
        <v>175</v>
      </c>
      <c r="E110" s="143">
        <v>37.0</v>
      </c>
      <c r="F110" s="143">
        <v>45.0</v>
      </c>
      <c r="G110" s="143">
        <v>0.451</v>
      </c>
      <c r="H110" s="143">
        <v>-1.12</v>
      </c>
      <c r="I110" s="143">
        <v>106.53</v>
      </c>
      <c r="J110" s="143">
        <v>107.9</v>
      </c>
      <c r="K110" s="143">
        <v>-1.37</v>
      </c>
      <c r="L110" s="143">
        <v>-1.29</v>
      </c>
      <c r="M110" s="143">
        <v>106.39</v>
      </c>
      <c r="N110" s="143">
        <v>107.93</v>
      </c>
      <c r="O110" s="4">
        <v>-1.54</v>
      </c>
      <c r="P110" s="4">
        <f t="shared" si="185"/>
        <v>-3.1385</v>
      </c>
      <c r="Q110" s="4">
        <f t="shared" si="186"/>
        <v>1.5985</v>
      </c>
      <c r="CU110" s="4"/>
      <c r="CZ110" s="5"/>
      <c r="DA110" s="5"/>
      <c r="DB110" s="5"/>
      <c r="DC110" s="5"/>
      <c r="DD110" s="5"/>
      <c r="DE110" s="5"/>
      <c r="DF110" s="5"/>
      <c r="DG110" s="5"/>
      <c r="DH110" s="5"/>
    </row>
    <row r="111">
      <c r="A111" s="143">
        <v>22.0</v>
      </c>
      <c r="B111" s="143" t="s">
        <v>252</v>
      </c>
      <c r="C111" s="143" t="s">
        <v>213</v>
      </c>
      <c r="D111" s="143" t="s">
        <v>229</v>
      </c>
      <c r="E111" s="143">
        <v>34.0</v>
      </c>
      <c r="F111" s="143">
        <v>48.0</v>
      </c>
      <c r="G111" s="143">
        <v>0.415</v>
      </c>
      <c r="H111" s="143">
        <v>-2.1</v>
      </c>
      <c r="I111" s="143">
        <v>105.81</v>
      </c>
      <c r="J111" s="143">
        <v>108.01</v>
      </c>
      <c r="K111" s="143">
        <v>-2.2</v>
      </c>
      <c r="L111" s="143">
        <v>-1.69</v>
      </c>
      <c r="M111" s="143">
        <v>105.79</v>
      </c>
      <c r="N111" s="143">
        <v>107.57</v>
      </c>
      <c r="O111" s="4">
        <v>-1.78</v>
      </c>
      <c r="P111" s="4">
        <f t="shared" si="185"/>
        <v>-3.7385</v>
      </c>
      <c r="Q111" s="4">
        <f t="shared" si="186"/>
        <v>1.9585</v>
      </c>
      <c r="CU111" s="4"/>
      <c r="CZ111" s="5"/>
      <c r="DA111" s="5"/>
      <c r="DB111" s="5"/>
      <c r="DC111" s="5"/>
      <c r="DD111" s="5"/>
      <c r="DE111" s="5"/>
      <c r="DF111" s="5"/>
      <c r="DG111" s="5"/>
      <c r="DH111" s="5"/>
    </row>
    <row r="112">
      <c r="A112" s="143">
        <v>23.0</v>
      </c>
      <c r="B112" s="143" t="s">
        <v>253</v>
      </c>
      <c r="C112" s="143" t="s">
        <v>213</v>
      </c>
      <c r="D112" s="143" t="s">
        <v>229</v>
      </c>
      <c r="E112" s="143">
        <v>33.0</v>
      </c>
      <c r="F112" s="143">
        <v>49.0</v>
      </c>
      <c r="G112" s="143">
        <v>0.402</v>
      </c>
      <c r="H112" s="143">
        <v>-2.93</v>
      </c>
      <c r="I112" s="143">
        <v>106.28</v>
      </c>
      <c r="J112" s="143">
        <v>109.36</v>
      </c>
      <c r="K112" s="143">
        <v>-3.08</v>
      </c>
      <c r="L112" s="143">
        <v>-2.52</v>
      </c>
      <c r="M112" s="143">
        <v>106.31</v>
      </c>
      <c r="N112" s="143">
        <v>108.96</v>
      </c>
      <c r="O112" s="4">
        <v>-2.65</v>
      </c>
      <c r="P112" s="4">
        <f t="shared" si="185"/>
        <v>-3.2185</v>
      </c>
      <c r="Q112" s="4">
        <f t="shared" si="186"/>
        <v>0.5685</v>
      </c>
      <c r="CU112" s="4"/>
      <c r="CZ112" s="5"/>
      <c r="DA112" s="5"/>
      <c r="DB112" s="5"/>
      <c r="DC112" s="5"/>
      <c r="DD112" s="5"/>
      <c r="DE112" s="5"/>
      <c r="DF112" s="5"/>
      <c r="DG112" s="5"/>
      <c r="DH112" s="5"/>
    </row>
    <row r="113">
      <c r="A113" s="143">
        <v>24.0</v>
      </c>
      <c r="B113" s="143" t="s">
        <v>254</v>
      </c>
      <c r="C113" s="143" t="s">
        <v>213</v>
      </c>
      <c r="D113" s="143" t="s">
        <v>227</v>
      </c>
      <c r="E113" s="143">
        <v>32.0</v>
      </c>
      <c r="F113" s="143">
        <v>50.0</v>
      </c>
      <c r="G113" s="143">
        <v>0.39</v>
      </c>
      <c r="H113" s="143">
        <v>-3.88</v>
      </c>
      <c r="I113" s="143">
        <v>107.98</v>
      </c>
      <c r="J113" s="143">
        <v>112.18</v>
      </c>
      <c r="K113" s="143">
        <v>-4.21</v>
      </c>
      <c r="L113" s="143">
        <v>-3.29</v>
      </c>
      <c r="M113" s="143">
        <v>108.12</v>
      </c>
      <c r="N113" s="143">
        <v>111.72</v>
      </c>
      <c r="O113" s="4">
        <v>-3.59</v>
      </c>
      <c r="P113" s="4">
        <f t="shared" si="185"/>
        <v>-1.4085</v>
      </c>
      <c r="Q113" s="4">
        <f t="shared" si="186"/>
        <v>-2.1915</v>
      </c>
      <c r="CU113" s="4"/>
      <c r="CZ113" s="5"/>
      <c r="DA113" s="5"/>
      <c r="DB113" s="5"/>
      <c r="DC113" s="5"/>
      <c r="DD113" s="5"/>
      <c r="DE113" s="5"/>
      <c r="DF113" s="5"/>
      <c r="DG113" s="5"/>
      <c r="DH113" s="5"/>
    </row>
    <row r="114">
      <c r="A114" s="143">
        <v>25.0</v>
      </c>
      <c r="B114" s="143" t="s">
        <v>255</v>
      </c>
      <c r="C114" s="143" t="s">
        <v>235</v>
      </c>
      <c r="D114" s="143" t="s">
        <v>236</v>
      </c>
      <c r="E114" s="143">
        <v>31.0</v>
      </c>
      <c r="F114" s="143">
        <v>51.0</v>
      </c>
      <c r="G114" s="143">
        <v>0.378</v>
      </c>
      <c r="H114" s="143">
        <v>-3.67</v>
      </c>
      <c r="I114" s="143">
        <v>108.57</v>
      </c>
      <c r="J114" s="143">
        <v>112.35</v>
      </c>
      <c r="K114" s="143">
        <v>-3.77</v>
      </c>
      <c r="L114" s="143">
        <v>-3.87</v>
      </c>
      <c r="M114" s="143">
        <v>108.62</v>
      </c>
      <c r="N114" s="143">
        <v>112.6</v>
      </c>
      <c r="O114" s="4">
        <v>-3.98</v>
      </c>
      <c r="P114" s="4">
        <f t="shared" si="185"/>
        <v>-0.9085</v>
      </c>
      <c r="Q114" s="4">
        <f t="shared" si="186"/>
        <v>-3.0715</v>
      </c>
      <c r="CU114" s="4"/>
      <c r="CZ114" s="5"/>
      <c r="DA114" s="5"/>
      <c r="DB114" s="5"/>
      <c r="DC114" s="5"/>
      <c r="DD114" s="5"/>
      <c r="DE114" s="5"/>
      <c r="DF114" s="5"/>
      <c r="DG114" s="5"/>
      <c r="DH114" s="5"/>
    </row>
    <row r="115">
      <c r="A115" s="143">
        <v>26.0</v>
      </c>
      <c r="B115" s="143" t="s">
        <v>256</v>
      </c>
      <c r="C115" s="143" t="s">
        <v>213</v>
      </c>
      <c r="D115" s="143" t="s">
        <v>227</v>
      </c>
      <c r="E115" s="143">
        <v>24.0</v>
      </c>
      <c r="F115" s="143">
        <v>58.0</v>
      </c>
      <c r="G115" s="143">
        <v>0.293</v>
      </c>
      <c r="H115" s="143">
        <v>-5.63</v>
      </c>
      <c r="I115" s="143">
        <v>107.32</v>
      </c>
      <c r="J115" s="143">
        <v>112.79</v>
      </c>
      <c r="K115" s="143">
        <v>-5.47</v>
      </c>
      <c r="L115" s="143">
        <v>-5.14</v>
      </c>
      <c r="M115" s="143">
        <v>107.43</v>
      </c>
      <c r="N115" s="143">
        <v>112.41</v>
      </c>
      <c r="O115" s="4">
        <v>-4.98</v>
      </c>
      <c r="P115" s="4">
        <f t="shared" si="185"/>
        <v>-2.0985</v>
      </c>
      <c r="Q115" s="4">
        <f t="shared" si="186"/>
        <v>-2.8815</v>
      </c>
      <c r="CU115" s="4"/>
      <c r="CZ115" s="5"/>
      <c r="DA115" s="5"/>
      <c r="DB115" s="5"/>
      <c r="DC115" s="5"/>
      <c r="DD115" s="5"/>
      <c r="DE115" s="5"/>
      <c r="DF115" s="5"/>
      <c r="DG115" s="5"/>
      <c r="DH115" s="5"/>
    </row>
    <row r="116">
      <c r="A116" s="143">
        <v>27.0</v>
      </c>
      <c r="B116" s="143" t="s">
        <v>257</v>
      </c>
      <c r="C116" s="143" t="s">
        <v>235</v>
      </c>
      <c r="D116" s="143" t="s">
        <v>236</v>
      </c>
      <c r="E116" s="143">
        <v>28.0</v>
      </c>
      <c r="F116" s="143">
        <v>54.0</v>
      </c>
      <c r="G116" s="143">
        <v>0.341</v>
      </c>
      <c r="H116" s="143">
        <v>-5.7</v>
      </c>
      <c r="I116" s="143">
        <v>103.96</v>
      </c>
      <c r="J116" s="143">
        <v>109.81</v>
      </c>
      <c r="K116" s="143">
        <v>-5.85</v>
      </c>
      <c r="L116" s="143">
        <v>-5.83</v>
      </c>
      <c r="M116" s="143">
        <v>103.92</v>
      </c>
      <c r="N116" s="143">
        <v>109.91</v>
      </c>
      <c r="O116" s="4">
        <v>-5.99</v>
      </c>
      <c r="P116" s="4">
        <f t="shared" si="185"/>
        <v>-5.6085</v>
      </c>
      <c r="Q116" s="4">
        <f t="shared" si="186"/>
        <v>-0.3815</v>
      </c>
      <c r="CU116" s="4"/>
      <c r="CZ116" s="5"/>
      <c r="DA116" s="5"/>
      <c r="DB116" s="5"/>
      <c r="DC116" s="5"/>
      <c r="DD116" s="5"/>
      <c r="DE116" s="5"/>
      <c r="DF116" s="5"/>
      <c r="DG116" s="5"/>
      <c r="DH116" s="5"/>
    </row>
    <row r="117">
      <c r="A117" s="143">
        <v>28.0</v>
      </c>
      <c r="B117" s="143" t="s">
        <v>258</v>
      </c>
      <c r="C117" s="143" t="s">
        <v>213</v>
      </c>
      <c r="D117" s="143" t="s">
        <v>227</v>
      </c>
      <c r="E117" s="143">
        <v>26.0</v>
      </c>
      <c r="F117" s="143">
        <v>56.0</v>
      </c>
      <c r="G117" s="143">
        <v>0.317</v>
      </c>
      <c r="H117" s="143">
        <v>-6.88</v>
      </c>
      <c r="I117" s="143">
        <v>106.69</v>
      </c>
      <c r="J117" s="143">
        <v>113.72</v>
      </c>
      <c r="K117" s="143">
        <v>-7.02</v>
      </c>
      <c r="L117" s="143">
        <v>-6.29</v>
      </c>
      <c r="M117" s="143">
        <v>106.96</v>
      </c>
      <c r="N117" s="143">
        <v>113.38</v>
      </c>
      <c r="O117" s="4">
        <v>-6.42</v>
      </c>
      <c r="P117" s="4">
        <f t="shared" si="185"/>
        <v>-2.5685</v>
      </c>
      <c r="Q117" s="4">
        <f t="shared" si="186"/>
        <v>-3.8515</v>
      </c>
      <c r="CU117" s="4"/>
      <c r="CZ117" s="5"/>
      <c r="DA117" s="5"/>
      <c r="DB117" s="5"/>
      <c r="DC117" s="5"/>
      <c r="DD117" s="5"/>
      <c r="DE117" s="5"/>
      <c r="DF117" s="5"/>
      <c r="DG117" s="5"/>
      <c r="DH117" s="5"/>
    </row>
    <row r="118">
      <c r="A118" s="143">
        <v>29.0</v>
      </c>
      <c r="B118" s="143" t="s">
        <v>259</v>
      </c>
      <c r="C118" s="143" t="s">
        <v>235</v>
      </c>
      <c r="D118" s="143" t="s">
        <v>236</v>
      </c>
      <c r="E118" s="143">
        <v>20.0</v>
      </c>
      <c r="F118" s="143">
        <v>62.0</v>
      </c>
      <c r="G118" s="143">
        <v>0.244</v>
      </c>
      <c r="H118" s="143">
        <v>-6.73</v>
      </c>
      <c r="I118" s="143">
        <v>104.61</v>
      </c>
      <c r="J118" s="143">
        <v>111.34</v>
      </c>
      <c r="K118" s="143">
        <v>-6.73</v>
      </c>
      <c r="L118" s="143">
        <v>-6.74</v>
      </c>
      <c r="M118" s="143">
        <v>104.63</v>
      </c>
      <c r="N118" s="143">
        <v>111.37</v>
      </c>
      <c r="O118" s="4">
        <v>-6.74</v>
      </c>
      <c r="P118" s="4">
        <f t="shared" si="185"/>
        <v>-4.8985</v>
      </c>
      <c r="Q118" s="4">
        <f t="shared" si="186"/>
        <v>-1.8415</v>
      </c>
      <c r="CU118" s="4"/>
      <c r="CZ118" s="5"/>
      <c r="DA118" s="5"/>
      <c r="DB118" s="5"/>
      <c r="DC118" s="5"/>
      <c r="DD118" s="5"/>
      <c r="DE118" s="5"/>
      <c r="DF118" s="5"/>
      <c r="DG118" s="5"/>
      <c r="DH118" s="5"/>
    </row>
    <row r="119">
      <c r="A119" s="143">
        <v>30.0</v>
      </c>
      <c r="B119" s="143" t="s">
        <v>260</v>
      </c>
      <c r="C119" s="143" t="s">
        <v>235</v>
      </c>
      <c r="D119" s="143" t="s">
        <v>239</v>
      </c>
      <c r="E119" s="143">
        <v>29.0</v>
      </c>
      <c r="F119" s="143">
        <v>53.0</v>
      </c>
      <c r="G119" s="143">
        <v>0.354</v>
      </c>
      <c r="H119" s="143">
        <v>-6.57</v>
      </c>
      <c r="I119" s="143">
        <v>104.23</v>
      </c>
      <c r="J119" s="143">
        <v>111.11</v>
      </c>
      <c r="K119" s="143">
        <v>-6.88</v>
      </c>
      <c r="L119" s="143">
        <v>-6.61</v>
      </c>
      <c r="M119" s="143">
        <v>104.3</v>
      </c>
      <c r="N119" s="143">
        <v>111.21</v>
      </c>
      <c r="O119" s="4">
        <v>-6.92</v>
      </c>
      <c r="P119" s="4">
        <f t="shared" si="185"/>
        <v>-5.2285</v>
      </c>
      <c r="Q119" s="4">
        <f t="shared" si="186"/>
        <v>-1.6815</v>
      </c>
      <c r="CU119" s="4"/>
      <c r="CZ119" s="5"/>
      <c r="DA119" s="5"/>
      <c r="DB119" s="5"/>
      <c r="DC119" s="5"/>
      <c r="DD119" s="5"/>
      <c r="DE119" s="5"/>
      <c r="DF119" s="5"/>
      <c r="DG119" s="5"/>
      <c r="DH119" s="5"/>
    </row>
    <row r="120">
      <c r="CU120" s="4"/>
      <c r="CZ120" s="5"/>
      <c r="DA120" s="5"/>
      <c r="DB120" s="5"/>
      <c r="DC120" s="5"/>
      <c r="DD120" s="5"/>
      <c r="DE120" s="5"/>
      <c r="DF120" s="5"/>
      <c r="DG120" s="5"/>
      <c r="DH120" s="5"/>
    </row>
    <row r="121">
      <c r="CU121" s="4"/>
      <c r="CZ121" s="5"/>
      <c r="DA121" s="5"/>
      <c r="DB121" s="5"/>
      <c r="DC121" s="5"/>
      <c r="DD121" s="5"/>
      <c r="DE121" s="5"/>
      <c r="DF121" s="5"/>
      <c r="DG121" s="5"/>
      <c r="DH121" s="5"/>
    </row>
    <row r="122">
      <c r="CU122" s="4"/>
      <c r="CZ122" s="5"/>
      <c r="DA122" s="5"/>
      <c r="DB122" s="5"/>
      <c r="DC122" s="5"/>
      <c r="DD122" s="5"/>
      <c r="DE122" s="5"/>
      <c r="DF122" s="5"/>
      <c r="DG122" s="5"/>
      <c r="DH122" s="5"/>
    </row>
    <row r="123">
      <c r="CU123" s="4"/>
      <c r="CZ123" s="5"/>
      <c r="DA123" s="5"/>
      <c r="DB123" s="5"/>
      <c r="DC123" s="5"/>
      <c r="DD123" s="5"/>
      <c r="DE123" s="5"/>
      <c r="DF123" s="5"/>
      <c r="DG123" s="5"/>
      <c r="DH123" s="5"/>
    </row>
    <row r="124">
      <c r="CU124" s="4"/>
      <c r="CZ124" s="5"/>
      <c r="DA124" s="5"/>
      <c r="DB124" s="5"/>
      <c r="DC124" s="5"/>
      <c r="DD124" s="5"/>
      <c r="DE124" s="5"/>
      <c r="DF124" s="5"/>
      <c r="DG124" s="5"/>
      <c r="DH124" s="5"/>
    </row>
    <row r="125">
      <c r="CU125" s="4"/>
      <c r="CZ125" s="5"/>
      <c r="DA125" s="5"/>
      <c r="DB125" s="5"/>
      <c r="DC125" s="5"/>
      <c r="DD125" s="5"/>
      <c r="DE125" s="5"/>
      <c r="DF125" s="5"/>
      <c r="DG125" s="5"/>
      <c r="DH125" s="5"/>
    </row>
    <row r="126">
      <c r="CU126" s="4"/>
      <c r="CZ126" s="5"/>
      <c r="DA126" s="5"/>
      <c r="DB126" s="5"/>
      <c r="DC126" s="5"/>
      <c r="DD126" s="5"/>
      <c r="DE126" s="5"/>
      <c r="DF126" s="5"/>
      <c r="DG126" s="5"/>
      <c r="DH126" s="5"/>
    </row>
    <row r="127">
      <c r="J127" s="61" t="s">
        <v>261</v>
      </c>
      <c r="K127" s="61">
        <v>2.3</v>
      </c>
      <c r="CU127" s="4"/>
      <c r="CZ127" s="5"/>
      <c r="DA127" s="5"/>
      <c r="DB127" s="5"/>
      <c r="DC127" s="5"/>
      <c r="DD127" s="5"/>
      <c r="DE127" s="5"/>
      <c r="DF127" s="5"/>
      <c r="DG127" s="5"/>
      <c r="DH127" s="5"/>
    </row>
    <row r="128">
      <c r="N128" s="70" t="s">
        <v>209</v>
      </c>
      <c r="O128" s="79"/>
      <c r="CU128" s="4"/>
      <c r="CZ128" s="5"/>
      <c r="DA128" s="5"/>
      <c r="DB128" s="5"/>
      <c r="DC128" s="5"/>
      <c r="DD128" s="5"/>
      <c r="DE128" s="5"/>
      <c r="DF128" s="5"/>
      <c r="DG128" s="5"/>
      <c r="DH128" s="5"/>
    </row>
    <row r="129">
      <c r="B129" s="61" t="s">
        <v>262</v>
      </c>
      <c r="C129" s="61" t="s">
        <v>51</v>
      </c>
      <c r="D129" s="70" t="s">
        <v>263</v>
      </c>
      <c r="E129" s="61" t="s">
        <v>264</v>
      </c>
      <c r="F129" s="61" t="s">
        <v>218</v>
      </c>
      <c r="G129" s="61" t="s">
        <v>265</v>
      </c>
      <c r="H129" s="61" t="s">
        <v>266</v>
      </c>
      <c r="I129" s="61" t="s">
        <v>267</v>
      </c>
      <c r="J129" s="61" t="s">
        <v>268</v>
      </c>
      <c r="K129" s="61" t="s">
        <v>269</v>
      </c>
      <c r="L129" s="61" t="s">
        <v>217</v>
      </c>
      <c r="M129" s="61" t="s">
        <v>218</v>
      </c>
      <c r="N129" s="70" t="s">
        <v>217</v>
      </c>
      <c r="O129" s="70" t="s">
        <v>218</v>
      </c>
      <c r="CU129" s="4"/>
      <c r="CZ129" s="5"/>
      <c r="DA129" s="5"/>
      <c r="DB129" s="5"/>
      <c r="DC129" s="5"/>
      <c r="DD129" s="5"/>
      <c r="DE129" s="5"/>
      <c r="DF129" s="5"/>
      <c r="DG129" s="5"/>
      <c r="DH129" s="5"/>
    </row>
    <row r="130">
      <c r="B130" s="143" t="str">
        <f>trim(right(left(C142,search(" (",C142)),len(left(C142,search(" (",C142)))-2))</f>
        <v>2.87</v>
      </c>
      <c r="C130" s="143">
        <f>value(trim(right(left(vlookup("Pace",$D$136:$E$150,2,false),7),6)))</f>
        <v>96.2</v>
      </c>
      <c r="D130" s="79">
        <f>B130/(C130/100)</f>
        <v>2.983367983</v>
      </c>
      <c r="E130" s="143" t="str">
        <f>trim(right(left(C143,search(" (",C143)),len(left(C143,search(" (",C143)))-2))</f>
        <v>113.6</v>
      </c>
      <c r="F130" s="143" t="str">
        <f>trim(right(left(E143,search(" (",E143)),len(left(E143,search(" (",E143)))-2))</f>
        <v>110.3</v>
      </c>
      <c r="G130" s="143">
        <f>value(left(right(E141,3),2))</f>
        <v>30</v>
      </c>
      <c r="H130" s="143">
        <f t="shared" ref="H130:I130" si="203">value(if(iserror(H132),left(H131,1),H131))</f>
        <v>3</v>
      </c>
      <c r="I130" s="143">
        <f t="shared" si="203"/>
        <v>21</v>
      </c>
      <c r="J130" s="143">
        <f t="shared" ref="J130:K130" si="204">normsinv(($G$130-(H130-0.5))/$G$130)</f>
        <v>1.382994127</v>
      </c>
      <c r="K130" s="143">
        <f t="shared" si="204"/>
        <v>-0.4770404289</v>
      </c>
      <c r="L130" s="143">
        <f>J130*K127</f>
        <v>3.180886493</v>
      </c>
      <c r="M130" s="143">
        <f>K130*K127</f>
        <v>-1.097192986</v>
      </c>
      <c r="N130" s="79">
        <f t="shared" ref="N130:O130" si="205">($D$130-sum($L$130:$M$130))/2+L130</f>
        <v>3.630723731</v>
      </c>
      <c r="O130" s="79">
        <f t="shared" si="205"/>
        <v>-0.6473557481</v>
      </c>
      <c r="CU130" s="4"/>
      <c r="CZ130" s="5"/>
      <c r="DA130" s="5"/>
      <c r="DB130" s="5"/>
      <c r="DC130" s="5"/>
      <c r="DD130" s="5"/>
      <c r="DE130" s="5"/>
      <c r="DF130" s="5"/>
      <c r="DG130" s="5"/>
      <c r="DH130" s="5"/>
    </row>
    <row r="131">
      <c r="H131" s="143" t="str">
        <f>right(left(C143,search("(",C143)+2),2)</f>
        <v>3r</v>
      </c>
      <c r="I131" s="143" t="str">
        <f>right(left(E143,search("(",E143)+2),2)</f>
        <v>21</v>
      </c>
      <c r="CU131" s="4"/>
      <c r="CZ131" s="5"/>
      <c r="DA131" s="5"/>
      <c r="DB131" s="5"/>
      <c r="DC131" s="5"/>
      <c r="DD131" s="5"/>
      <c r="DE131" s="5"/>
      <c r="DF131" s="5"/>
      <c r="DG131" s="5"/>
      <c r="DH131" s="5"/>
    </row>
    <row r="132">
      <c r="H132" s="143" t="str">
        <f t="shared" ref="H132:I132" si="206">value(right(H131,1))</f>
        <v>#VALUE!</v>
      </c>
      <c r="I132" s="143">
        <f t="shared" si="206"/>
        <v>1</v>
      </c>
      <c r="CU132" s="4"/>
      <c r="CZ132" s="5"/>
      <c r="DA132" s="5"/>
      <c r="DB132" s="5"/>
      <c r="DC132" s="5"/>
      <c r="DD132" s="5"/>
      <c r="DE132" s="5"/>
      <c r="DF132" s="5"/>
      <c r="DG132" s="5"/>
      <c r="DH132" s="5"/>
    </row>
    <row r="133">
      <c r="CU133" s="4"/>
      <c r="CZ133" s="5"/>
      <c r="DA133" s="5"/>
      <c r="DB133" s="5"/>
      <c r="DC133" s="5"/>
      <c r="DD133" s="5"/>
      <c r="DE133" s="5"/>
      <c r="DF133" s="5"/>
      <c r="DG133" s="5"/>
      <c r="DH133" s="5"/>
    </row>
    <row r="134">
      <c r="B134" s="70" t="s">
        <v>270</v>
      </c>
      <c r="CU134" s="4"/>
      <c r="CZ134" s="5"/>
      <c r="DA134" s="5"/>
      <c r="DB134" s="5"/>
      <c r="DC134" s="5"/>
      <c r="DD134" s="5"/>
      <c r="DE134" s="5"/>
      <c r="DF134" s="5"/>
      <c r="DG134" s="5"/>
      <c r="DH134" s="5"/>
    </row>
    <row r="135">
      <c r="CU135" s="4"/>
      <c r="CZ135" s="5"/>
      <c r="DA135" s="5"/>
      <c r="DB135" s="5"/>
      <c r="DC135" s="5"/>
      <c r="DD135" s="5"/>
      <c r="DE135" s="5"/>
      <c r="DF135" s="5"/>
      <c r="DG135" s="5"/>
      <c r="DH135" s="5"/>
    </row>
    <row r="136">
      <c r="B136" s="143" t="s">
        <v>271</v>
      </c>
      <c r="C136" s="143"/>
      <c r="D136" s="143"/>
      <c r="E136" s="143"/>
      <c r="F136" s="143"/>
      <c r="G136" s="143"/>
      <c r="H136" s="143"/>
      <c r="I136" s="143"/>
      <c r="J136" s="143"/>
      <c r="K136" s="143"/>
      <c r="L136" s="143"/>
      <c r="M136" s="143"/>
      <c r="N136" s="143"/>
      <c r="O136" s="143"/>
      <c r="P136" s="143"/>
      <c r="Q136" s="143"/>
      <c r="R136" s="143"/>
      <c r="S136" s="143"/>
      <c r="T136" s="143"/>
      <c r="U136" s="143"/>
      <c r="V136" s="143"/>
      <c r="W136" s="143"/>
      <c r="X136" s="143"/>
      <c r="Y136" s="143"/>
      <c r="Z136" s="143"/>
      <c r="CU136" s="4"/>
      <c r="CZ136" s="5"/>
      <c r="DA136" s="5"/>
      <c r="DB136" s="5"/>
      <c r="DC136" s="5"/>
      <c r="DD136" s="5"/>
      <c r="DE136" s="5"/>
      <c r="DF136" s="5"/>
      <c r="DG136" s="5"/>
      <c r="DH136" s="5"/>
    </row>
    <row r="137">
      <c r="B137" s="143" t="s">
        <v>272</v>
      </c>
      <c r="C137" s="143"/>
      <c r="D137" s="143"/>
      <c r="E137" s="143"/>
      <c r="F137" s="143"/>
      <c r="G137" s="143"/>
      <c r="H137" s="143"/>
      <c r="I137" s="143"/>
      <c r="J137" s="143"/>
      <c r="K137" s="143"/>
      <c r="L137" s="143"/>
      <c r="M137" s="143"/>
      <c r="N137" s="143"/>
      <c r="O137" s="143"/>
      <c r="P137" s="143"/>
      <c r="Q137" s="143"/>
      <c r="R137" s="143"/>
      <c r="S137" s="143"/>
      <c r="T137" s="143"/>
      <c r="U137" s="143"/>
      <c r="V137" s="143"/>
      <c r="W137" s="143"/>
      <c r="X137" s="143"/>
      <c r="Y137" s="143"/>
      <c r="Z137" s="143"/>
      <c r="CU137" s="4"/>
      <c r="CZ137" s="5"/>
      <c r="DA137" s="5"/>
      <c r="DB137" s="5"/>
      <c r="DC137" s="5"/>
      <c r="DD137" s="5"/>
      <c r="DE137" s="5"/>
      <c r="DF137" s="5"/>
      <c r="DG137" s="5"/>
      <c r="DH137" s="5"/>
    </row>
    <row r="138">
      <c r="B138" s="143" t="s">
        <v>273</v>
      </c>
      <c r="C138" s="143" t="s">
        <v>274</v>
      </c>
      <c r="D138" s="143" t="s">
        <v>275</v>
      </c>
      <c r="E138" s="143" t="s">
        <v>276</v>
      </c>
      <c r="F138" s="143"/>
      <c r="G138" s="143"/>
      <c r="H138" s="143"/>
      <c r="I138" s="143"/>
      <c r="J138" s="143"/>
      <c r="K138" s="143"/>
      <c r="L138" s="143"/>
      <c r="M138" s="143"/>
      <c r="N138" s="143"/>
      <c r="O138" s="143"/>
      <c r="P138" s="143"/>
      <c r="Q138" s="143"/>
      <c r="R138" s="143"/>
      <c r="S138" s="143"/>
      <c r="T138" s="143"/>
      <c r="U138" s="143"/>
      <c r="V138" s="143"/>
      <c r="W138" s="143"/>
      <c r="X138" s="143"/>
      <c r="Y138" s="143"/>
      <c r="Z138" s="143"/>
      <c r="CU138" s="4"/>
      <c r="CZ138" s="5"/>
      <c r="DA138" s="5"/>
      <c r="DB138" s="5"/>
      <c r="DC138" s="5"/>
      <c r="DD138" s="5"/>
      <c r="DE138" s="5"/>
      <c r="DF138" s="5"/>
      <c r="DG138" s="5"/>
      <c r="DH138" s="5"/>
    </row>
    <row r="139">
      <c r="B139" s="143" t="s">
        <v>277</v>
      </c>
      <c r="C139" s="143" t="s">
        <v>278</v>
      </c>
      <c r="D139" s="143" t="s">
        <v>279</v>
      </c>
      <c r="E139" s="143"/>
      <c r="F139" s="143"/>
      <c r="G139" s="143"/>
      <c r="H139" s="143"/>
      <c r="I139" s="143"/>
      <c r="J139" s="143"/>
      <c r="K139" s="143"/>
      <c r="L139" s="143"/>
      <c r="M139" s="143"/>
      <c r="N139" s="143"/>
      <c r="O139" s="143"/>
      <c r="P139" s="143"/>
      <c r="Q139" s="143"/>
      <c r="R139" s="143"/>
      <c r="S139" s="143"/>
      <c r="T139" s="143"/>
      <c r="U139" s="143"/>
      <c r="V139" s="143"/>
      <c r="W139" s="143"/>
      <c r="X139" s="143"/>
      <c r="Y139" s="143"/>
      <c r="Z139" s="143"/>
      <c r="CU139" s="4"/>
      <c r="CZ139" s="5"/>
      <c r="DA139" s="5"/>
      <c r="DB139" s="5"/>
      <c r="DC139" s="5"/>
      <c r="DD139" s="5"/>
      <c r="DE139" s="5"/>
      <c r="DF139" s="5"/>
      <c r="DG139" s="5"/>
      <c r="DH139" s="5"/>
    </row>
    <row r="140">
      <c r="B140" s="143" t="s">
        <v>280</v>
      </c>
      <c r="C140" s="143" t="s">
        <v>281</v>
      </c>
      <c r="D140" s="143"/>
      <c r="E140" s="143"/>
      <c r="F140" s="143"/>
      <c r="G140" s="143"/>
      <c r="H140" s="143"/>
      <c r="I140" s="143"/>
      <c r="J140" s="143"/>
      <c r="K140" s="143"/>
      <c r="L140" s="143"/>
      <c r="M140" s="143"/>
      <c r="N140" s="143"/>
      <c r="O140" s="143"/>
      <c r="P140" s="143"/>
      <c r="Q140" s="143"/>
      <c r="R140" s="143"/>
      <c r="S140" s="143"/>
      <c r="T140" s="143"/>
      <c r="U140" s="143"/>
      <c r="V140" s="143"/>
      <c r="W140" s="143"/>
      <c r="X140" s="143"/>
      <c r="Y140" s="143"/>
      <c r="Z140" s="143"/>
      <c r="CU140" s="4"/>
      <c r="CZ140" s="5"/>
      <c r="DA140" s="5"/>
      <c r="DB140" s="5"/>
      <c r="DC140" s="5"/>
      <c r="DD140" s="5"/>
      <c r="DE140" s="5"/>
      <c r="DF140" s="5"/>
      <c r="DG140" s="5"/>
      <c r="DH140" s="5"/>
    </row>
    <row r="141">
      <c r="B141" s="143" t="s">
        <v>282</v>
      </c>
      <c r="C141" s="143" t="s">
        <v>283</v>
      </c>
      <c r="D141" s="143" t="s">
        <v>284</v>
      </c>
      <c r="E141" s="143" t="s">
        <v>285</v>
      </c>
      <c r="F141" s="143"/>
      <c r="G141" s="143"/>
      <c r="H141" s="143"/>
      <c r="I141" s="143"/>
      <c r="J141" s="143"/>
      <c r="K141" s="143"/>
      <c r="L141" s="143"/>
      <c r="M141" s="143"/>
      <c r="N141" s="143"/>
      <c r="O141" s="143"/>
      <c r="P141" s="143"/>
      <c r="Q141" s="143"/>
      <c r="R141" s="143"/>
      <c r="S141" s="143"/>
      <c r="T141" s="143"/>
      <c r="U141" s="143"/>
      <c r="V141" s="143"/>
      <c r="W141" s="143"/>
      <c r="X141" s="143"/>
      <c r="Y141" s="143"/>
      <c r="Z141" s="143"/>
      <c r="CU141" s="4"/>
      <c r="CZ141" s="5"/>
      <c r="DA141" s="5"/>
      <c r="DB141" s="5"/>
      <c r="DC141" s="5"/>
      <c r="DD141" s="5"/>
      <c r="DE141" s="5"/>
      <c r="DF141" s="5"/>
      <c r="DG141" s="5"/>
      <c r="DH141" s="5"/>
    </row>
    <row r="142">
      <c r="B142" s="143" t="s">
        <v>262</v>
      </c>
      <c r="C142" s="143" t="s">
        <v>286</v>
      </c>
      <c r="D142" s="143" t="s">
        <v>51</v>
      </c>
      <c r="E142" s="143" t="s">
        <v>287</v>
      </c>
      <c r="F142" s="143"/>
      <c r="G142" s="143"/>
      <c r="H142" s="143"/>
      <c r="I142" s="143"/>
      <c r="J142" s="143"/>
      <c r="K142" s="143"/>
      <c r="L142" s="143"/>
      <c r="M142" s="143"/>
      <c r="N142" s="143"/>
      <c r="O142" s="143"/>
      <c r="P142" s="143"/>
      <c r="Q142" s="143"/>
      <c r="R142" s="143"/>
      <c r="S142" s="143"/>
      <c r="T142" s="143"/>
      <c r="U142" s="143"/>
      <c r="V142" s="143"/>
      <c r="W142" s="143"/>
      <c r="X142" s="143"/>
      <c r="Y142" s="143"/>
      <c r="Z142" s="143"/>
      <c r="CU142" s="4"/>
      <c r="CZ142" s="5"/>
      <c r="DA142" s="5"/>
      <c r="DB142" s="5"/>
      <c r="DC142" s="5"/>
      <c r="DD142" s="5"/>
      <c r="DE142" s="5"/>
      <c r="DF142" s="5"/>
      <c r="DG142" s="5"/>
      <c r="DH142" s="5"/>
    </row>
    <row r="143">
      <c r="B143" s="143" t="s">
        <v>288</v>
      </c>
      <c r="C143" s="143" t="s">
        <v>289</v>
      </c>
      <c r="D143" s="143" t="s">
        <v>290</v>
      </c>
      <c r="E143" s="143" t="s">
        <v>291</v>
      </c>
      <c r="F143" s="143"/>
      <c r="G143" s="143"/>
      <c r="H143" s="143"/>
      <c r="I143" s="143"/>
      <c r="J143" s="143"/>
      <c r="K143" s="143"/>
      <c r="L143" s="143"/>
      <c r="M143" s="143"/>
      <c r="N143" s="143"/>
      <c r="O143" s="143"/>
      <c r="P143" s="143"/>
      <c r="Q143" s="143"/>
      <c r="R143" s="143"/>
      <c r="S143" s="143"/>
      <c r="T143" s="143"/>
      <c r="U143" s="143"/>
      <c r="V143" s="143"/>
      <c r="W143" s="143"/>
      <c r="X143" s="143"/>
      <c r="Y143" s="143"/>
      <c r="Z143" s="143"/>
      <c r="CU143" s="4"/>
      <c r="CZ143" s="5"/>
      <c r="DA143" s="5"/>
      <c r="DB143" s="5"/>
      <c r="DC143" s="5"/>
      <c r="DD143" s="5"/>
      <c r="DE143" s="5"/>
      <c r="DF143" s="5"/>
      <c r="DG143" s="5"/>
      <c r="DH143" s="5"/>
    </row>
    <row r="144">
      <c r="B144" s="143" t="s">
        <v>292</v>
      </c>
      <c r="C144" s="143" t="s">
        <v>293</v>
      </c>
      <c r="D144" s="143"/>
      <c r="E144" s="143"/>
      <c r="F144" s="143"/>
      <c r="G144" s="143"/>
      <c r="H144" s="143"/>
      <c r="I144" s="143"/>
      <c r="J144" s="143"/>
      <c r="K144" s="143"/>
      <c r="L144" s="143"/>
      <c r="M144" s="143"/>
      <c r="N144" s="143"/>
      <c r="O144" s="143"/>
      <c r="P144" s="143"/>
      <c r="Q144" s="143"/>
      <c r="R144" s="143"/>
      <c r="S144" s="143"/>
      <c r="T144" s="143"/>
      <c r="U144" s="143"/>
      <c r="V144" s="143"/>
      <c r="W144" s="143"/>
      <c r="X144" s="143"/>
      <c r="Y144" s="143"/>
      <c r="Z144" s="143"/>
      <c r="CU144" s="4"/>
      <c r="CZ144" s="5"/>
      <c r="DA144" s="5"/>
      <c r="DB144" s="5"/>
      <c r="DC144" s="5"/>
      <c r="DD144" s="5"/>
      <c r="DE144" s="5"/>
      <c r="DF144" s="5"/>
      <c r="DG144" s="5"/>
      <c r="DH144" s="5"/>
    </row>
    <row r="145">
      <c r="B145" s="143" t="s">
        <v>294</v>
      </c>
      <c r="C145" s="143" t="s">
        <v>295</v>
      </c>
      <c r="D145" s="143" t="s">
        <v>296</v>
      </c>
      <c r="E145" s="143" t="s">
        <v>297</v>
      </c>
      <c r="F145" s="143"/>
      <c r="G145" s="143"/>
      <c r="H145" s="143"/>
      <c r="I145" s="143"/>
      <c r="J145" s="143"/>
      <c r="K145" s="143"/>
      <c r="L145" s="143"/>
      <c r="M145" s="143"/>
      <c r="N145" s="143"/>
      <c r="O145" s="143"/>
      <c r="P145" s="143"/>
      <c r="Q145" s="143"/>
      <c r="R145" s="143"/>
      <c r="S145" s="143"/>
      <c r="T145" s="143"/>
      <c r="U145" s="143"/>
      <c r="V145" s="143"/>
      <c r="W145" s="143"/>
      <c r="X145" s="143"/>
      <c r="Y145" s="143"/>
      <c r="Z145" s="143"/>
      <c r="CU145" s="4"/>
      <c r="CZ145" s="5"/>
      <c r="DA145" s="5"/>
      <c r="DB145" s="5"/>
      <c r="DC145" s="5"/>
      <c r="DD145" s="5"/>
      <c r="DE145" s="5"/>
      <c r="DF145" s="5"/>
      <c r="DG145" s="5"/>
      <c r="DH145" s="5"/>
    </row>
    <row r="146">
      <c r="B146" s="143" t="s">
        <v>298</v>
      </c>
      <c r="C146" s="143" t="s">
        <v>299</v>
      </c>
      <c r="D146" s="143" t="s">
        <v>300</v>
      </c>
      <c r="E146" s="143" t="s">
        <v>301</v>
      </c>
      <c r="F146" s="143"/>
      <c r="G146" s="143"/>
      <c r="H146" s="143"/>
      <c r="I146" s="143"/>
      <c r="J146" s="143"/>
      <c r="K146" s="143"/>
      <c r="L146" s="143"/>
      <c r="M146" s="143"/>
      <c r="N146" s="143"/>
      <c r="O146" s="143"/>
      <c r="P146" s="143"/>
      <c r="Q146" s="143"/>
      <c r="R146" s="143"/>
      <c r="S146" s="143"/>
      <c r="T146" s="143"/>
      <c r="U146" s="143"/>
      <c r="V146" s="143"/>
      <c r="W146" s="143"/>
      <c r="X146" s="143"/>
      <c r="Y146" s="143"/>
      <c r="Z146" s="143"/>
      <c r="CU146" s="4"/>
      <c r="CZ146" s="5"/>
      <c r="DA146" s="5"/>
      <c r="DB146" s="5"/>
      <c r="DC146" s="5"/>
      <c r="DD146" s="5"/>
      <c r="DE146" s="5"/>
      <c r="DF146" s="5"/>
      <c r="DG146" s="5"/>
      <c r="DH146" s="5"/>
    </row>
    <row r="147">
      <c r="B147" s="143" t="s">
        <v>302</v>
      </c>
      <c r="C147" s="143"/>
      <c r="D147" s="143" t="s">
        <v>303</v>
      </c>
      <c r="E147" s="143" t="s">
        <v>248</v>
      </c>
      <c r="F147" s="143" t="s">
        <v>304</v>
      </c>
      <c r="G147" s="143" t="s">
        <v>305</v>
      </c>
      <c r="H147" s="143" t="s">
        <v>306</v>
      </c>
      <c r="I147" s="143"/>
      <c r="J147" s="143" t="s">
        <v>307</v>
      </c>
      <c r="K147" s="143" t="s">
        <v>234</v>
      </c>
      <c r="L147" s="143" t="s">
        <v>304</v>
      </c>
      <c r="M147" s="143" t="s">
        <v>305</v>
      </c>
      <c r="N147" s="143" t="s">
        <v>306</v>
      </c>
      <c r="O147" s="143"/>
      <c r="P147" s="143" t="s">
        <v>308</v>
      </c>
      <c r="Q147" s="143" t="s">
        <v>237</v>
      </c>
      <c r="R147" s="143" t="s">
        <v>304</v>
      </c>
      <c r="S147" s="143" t="s">
        <v>305</v>
      </c>
      <c r="T147" s="143" t="s">
        <v>306</v>
      </c>
      <c r="U147" s="143"/>
      <c r="V147" s="143" t="s">
        <v>309</v>
      </c>
      <c r="W147" s="143" t="s">
        <v>226</v>
      </c>
      <c r="X147" s="143" t="s">
        <v>304</v>
      </c>
      <c r="Y147" s="143" t="s">
        <v>305</v>
      </c>
      <c r="Z147" s="143" t="s">
        <v>306</v>
      </c>
      <c r="CU147" s="4"/>
      <c r="CZ147" s="5"/>
      <c r="DA147" s="5"/>
      <c r="DB147" s="5"/>
      <c r="DC147" s="5"/>
      <c r="DD147" s="5"/>
      <c r="DE147" s="5"/>
      <c r="DF147" s="5"/>
      <c r="DG147" s="5"/>
      <c r="DH147" s="5"/>
    </row>
    <row r="148">
      <c r="CU148" s="4"/>
      <c r="CZ148" s="5"/>
      <c r="DA148" s="5"/>
      <c r="DB148" s="5"/>
      <c r="DC148" s="5"/>
      <c r="DD148" s="5"/>
      <c r="DE148" s="5"/>
      <c r="DF148" s="5"/>
      <c r="DG148" s="5"/>
      <c r="DH148" s="5"/>
    </row>
    <row r="149">
      <c r="CU149" s="4"/>
      <c r="CZ149" s="5"/>
      <c r="DA149" s="5"/>
      <c r="DB149" s="5"/>
      <c r="DC149" s="5"/>
      <c r="DD149" s="5"/>
      <c r="DE149" s="5"/>
      <c r="DF149" s="5"/>
      <c r="DG149" s="5"/>
      <c r="DH149" s="5"/>
    </row>
    <row r="150">
      <c r="CX150" s="4"/>
      <c r="DC150" s="5"/>
      <c r="DD150" s="5"/>
      <c r="DE150" s="5"/>
      <c r="DF150" s="5"/>
      <c r="DG150" s="5"/>
      <c r="DH150" s="5"/>
    </row>
    <row r="151">
      <c r="B151" s="70" t="s">
        <v>428</v>
      </c>
      <c r="Y151" s="61" t="s">
        <v>210</v>
      </c>
      <c r="Z151" s="61"/>
      <c r="AA151" s="61"/>
      <c r="AB151" s="61" t="s">
        <v>429</v>
      </c>
      <c r="CX151" s="4"/>
      <c r="DC151" s="5"/>
      <c r="DD151" s="5"/>
      <c r="DE151" s="5"/>
      <c r="DF151" s="5"/>
      <c r="DG151" s="5"/>
      <c r="DH151" s="5"/>
    </row>
    <row r="152">
      <c r="A152" s="61" t="s">
        <v>430</v>
      </c>
      <c r="AR152" s="61" t="s">
        <v>431</v>
      </c>
      <c r="AU152" s="70" t="s">
        <v>432</v>
      </c>
      <c r="AV152" s="79"/>
      <c r="AW152" s="79"/>
      <c r="AX152" s="233" t="s">
        <v>433</v>
      </c>
      <c r="AY152" s="234"/>
      <c r="AZ152" s="234"/>
      <c r="CX152" s="4"/>
      <c r="DC152" s="5"/>
      <c r="DD152" s="5"/>
      <c r="DE152" s="5"/>
      <c r="DF152" s="5"/>
      <c r="DG152" s="5"/>
      <c r="DH152" s="5"/>
    </row>
    <row r="153">
      <c r="N153" s="235" t="s">
        <v>434</v>
      </c>
      <c r="R153" s="235" t="s">
        <v>435</v>
      </c>
      <c r="V153" s="70" t="s">
        <v>436</v>
      </c>
      <c r="W153" s="79"/>
      <c r="X153" s="79"/>
      <c r="Y153" s="61" t="s">
        <v>437</v>
      </c>
      <c r="Z153" s="61"/>
      <c r="AA153" s="61"/>
      <c r="AB153" s="61" t="s">
        <v>438</v>
      </c>
      <c r="AF153" s="61" t="s">
        <v>439</v>
      </c>
      <c r="AJ153" s="61" t="s">
        <v>440</v>
      </c>
      <c r="AN153" s="61" t="s">
        <v>441</v>
      </c>
      <c r="AU153" s="79"/>
      <c r="AV153" s="79"/>
      <c r="AW153" s="79"/>
      <c r="AX153" s="234"/>
      <c r="AY153" s="234"/>
      <c r="AZ153" s="234"/>
      <c r="CX153" s="4"/>
      <c r="DC153" s="5"/>
      <c r="DD153" s="5"/>
      <c r="DE153" s="5"/>
      <c r="DF153" s="5"/>
      <c r="DG153" s="5"/>
      <c r="DH153" s="5"/>
    </row>
    <row r="154" ht="15.75" customHeight="1">
      <c r="A154" s="235" t="s">
        <v>76</v>
      </c>
      <c r="B154" s="235" t="s">
        <v>210</v>
      </c>
      <c r="C154" s="235" t="s">
        <v>78</v>
      </c>
      <c r="D154" s="235" t="s">
        <v>213</v>
      </c>
      <c r="E154" s="235" t="s">
        <v>214</v>
      </c>
      <c r="F154" s="235" t="s">
        <v>215</v>
      </c>
      <c r="G154" s="235" t="s">
        <v>442</v>
      </c>
      <c r="H154" s="235" t="s">
        <v>443</v>
      </c>
      <c r="I154" s="235" t="s">
        <v>217</v>
      </c>
      <c r="J154" s="235" t="s">
        <v>218</v>
      </c>
      <c r="K154" s="235" t="s">
        <v>51</v>
      </c>
      <c r="L154" s="235" t="s">
        <v>444</v>
      </c>
      <c r="M154" s="235" t="s">
        <v>445</v>
      </c>
      <c r="N154" s="235" t="s">
        <v>89</v>
      </c>
      <c r="O154" s="235" t="s">
        <v>376</v>
      </c>
      <c r="P154" s="235" t="s">
        <v>377</v>
      </c>
      <c r="Q154" s="235" t="s">
        <v>378</v>
      </c>
      <c r="R154" s="235" t="s">
        <v>89</v>
      </c>
      <c r="S154" s="235" t="s">
        <v>376</v>
      </c>
      <c r="T154" s="235" t="s">
        <v>446</v>
      </c>
      <c r="U154" s="235" t="s">
        <v>378</v>
      </c>
      <c r="V154" s="70" t="s">
        <v>447</v>
      </c>
      <c r="W154" s="70" t="s">
        <v>217</v>
      </c>
      <c r="X154" s="70" t="s">
        <v>218</v>
      </c>
      <c r="Y154" s="61" t="s">
        <v>414</v>
      </c>
      <c r="Z154" s="61" t="s">
        <v>415</v>
      </c>
      <c r="AA154" s="61" t="s">
        <v>448</v>
      </c>
      <c r="AB154" s="61" t="s">
        <v>78</v>
      </c>
      <c r="AC154" s="61" t="s">
        <v>449</v>
      </c>
      <c r="AD154" s="61" t="s">
        <v>450</v>
      </c>
      <c r="AE154" s="61" t="s">
        <v>451</v>
      </c>
      <c r="AF154" s="61" t="s">
        <v>78</v>
      </c>
      <c r="AG154" s="61" t="s">
        <v>449</v>
      </c>
      <c r="AH154" s="61" t="s">
        <v>450</v>
      </c>
      <c r="AI154" s="61" t="s">
        <v>451</v>
      </c>
      <c r="AJ154" s="61" t="s">
        <v>78</v>
      </c>
      <c r="AK154" s="61" t="s">
        <v>449</v>
      </c>
      <c r="AL154" s="61" t="s">
        <v>450</v>
      </c>
      <c r="AM154" s="61" t="s">
        <v>451</v>
      </c>
      <c r="AN154" s="61" t="s">
        <v>78</v>
      </c>
      <c r="AO154" s="61" t="s">
        <v>449</v>
      </c>
      <c r="AP154" s="61" t="s">
        <v>450</v>
      </c>
      <c r="AQ154" s="61" t="s">
        <v>451</v>
      </c>
      <c r="AR154" s="61" t="s">
        <v>450</v>
      </c>
      <c r="AS154" s="61" t="s">
        <v>451</v>
      </c>
      <c r="AT154" s="61" t="s">
        <v>452</v>
      </c>
      <c r="AU154" s="70" t="s">
        <v>414</v>
      </c>
      <c r="AV154" s="70" t="s">
        <v>415</v>
      </c>
      <c r="AW154" s="70" t="s">
        <v>379</v>
      </c>
      <c r="AX154" s="108" t="s">
        <v>414</v>
      </c>
      <c r="AY154" s="108" t="s">
        <v>415</v>
      </c>
      <c r="AZ154" s="108" t="s">
        <v>379</v>
      </c>
      <c r="CX154" s="4"/>
      <c r="DC154" s="5"/>
      <c r="DD154" s="5"/>
      <c r="DE154" s="5"/>
      <c r="DF154" s="5"/>
      <c r="DG154" s="5"/>
      <c r="DH154" s="5"/>
    </row>
    <row r="155">
      <c r="A155" s="235">
        <v>1.0</v>
      </c>
      <c r="B155" s="236" t="s">
        <v>226</v>
      </c>
      <c r="C155" s="237">
        <v>17.0</v>
      </c>
      <c r="D155" s="237">
        <v>16.0</v>
      </c>
      <c r="E155" s="237">
        <v>1.0</v>
      </c>
      <c r="F155" s="237">
        <v>0.941</v>
      </c>
      <c r="G155" s="237">
        <v>14.3</v>
      </c>
      <c r="H155" s="237">
        <v>2.7</v>
      </c>
      <c r="I155" s="237">
        <v>119.0</v>
      </c>
      <c r="J155" s="237">
        <v>105.5</v>
      </c>
      <c r="K155" s="237">
        <v>100.3</v>
      </c>
      <c r="L155" s="237">
        <v>0.292</v>
      </c>
      <c r="M155" s="237">
        <v>0.378</v>
      </c>
      <c r="N155" s="237">
        <v>0.567</v>
      </c>
      <c r="O155" s="237">
        <v>12.2</v>
      </c>
      <c r="P155" s="237">
        <v>22.4</v>
      </c>
      <c r="Q155" s="237">
        <v>0.238</v>
      </c>
      <c r="R155" s="237">
        <v>0.487</v>
      </c>
      <c r="S155" s="237">
        <v>12.3</v>
      </c>
      <c r="T155" s="237">
        <v>76.6</v>
      </c>
      <c r="U155" s="237">
        <v>0.212</v>
      </c>
      <c r="V155" s="79">
        <f t="shared" ref="V155:V170" si="209">I155-J155</f>
        <v>13.5</v>
      </c>
      <c r="W155" s="79">
        <f t="shared" ref="W155:W170" si="210">I155-$I$171</f>
        <v>7.7</v>
      </c>
      <c r="X155" s="79">
        <f t="shared" ref="X155:X170" si="211">$J$171-J155</f>
        <v>5.8</v>
      </c>
      <c r="Y155" s="4">
        <f t="shared" ref="Y155:Y170" si="212">vlookup(B155,$B$90:$T$119,18,false)</f>
        <v>9.4915</v>
      </c>
      <c r="Z155" s="4">
        <f t="shared" ref="Z155:Z170" si="213">vlookup(B155,$B$90:$T$119,19,false)</f>
        <v>5.9185</v>
      </c>
      <c r="AA155" s="238">
        <f t="shared" ref="AA155:AA170" si="214">sum(Y155:Z155)</f>
        <v>15.41</v>
      </c>
      <c r="AB155" s="61">
        <v>4.0</v>
      </c>
      <c r="AC155" s="236" t="s">
        <v>246</v>
      </c>
      <c r="AD155" s="4">
        <f t="shared" ref="AD155:AD170" si="215">vlookup(AC155,$B$90:$T$119,18,false)</f>
        <v>4.5615</v>
      </c>
      <c r="AE155" s="4">
        <f t="shared" ref="AE155:AE170" si="216">vlookup(AC155,$B$90:$T$119,19,false)</f>
        <v>-0.7815</v>
      </c>
      <c r="AF155" s="61">
        <v>4.0</v>
      </c>
      <c r="AG155" s="236" t="s">
        <v>232</v>
      </c>
      <c r="AH155" s="4">
        <f t="shared" ref="AH155:AH162" si="217">vlookup(AG155,$B$90:$T$119,18,false)</f>
        <v>3.7815</v>
      </c>
      <c r="AI155" s="4">
        <f t="shared" ref="AI155:AI162" si="218">vlookup(AG155,$B$90:$T$119,19,false)</f>
        <v>4.5485</v>
      </c>
      <c r="AJ155" s="61">
        <v>4.0</v>
      </c>
      <c r="AK155" s="236" t="s">
        <v>228</v>
      </c>
      <c r="AL155" s="4">
        <f t="shared" ref="AL155:AL158" si="219">vlookup(AK155,$B$90:$T$119,18,false)</f>
        <v>5.0915</v>
      </c>
      <c r="AM155" s="4">
        <f t="shared" ref="AM155:AM158" si="220">vlookup(AK155,$B$90:$T$119,19,false)</f>
        <v>6.4085</v>
      </c>
      <c r="AN155" s="61">
        <v>5.0</v>
      </c>
      <c r="AO155" s="236" t="s">
        <v>62</v>
      </c>
      <c r="AP155" s="4">
        <f t="shared" ref="AP155:AP156" si="221">vlookup(AO155,$B$90:$T$119,18,false)</f>
        <v>9.20989119</v>
      </c>
      <c r="AQ155" s="4">
        <f t="shared" ref="AQ155:AQ156" si="222">vlookup(AO155,$B$90:$T$119,19,false)</f>
        <v>-2.425398135</v>
      </c>
      <c r="AR155" s="4">
        <f t="shared" ref="AR155:AS155" si="207">($AB155*AD155+$AF155*AH155+$AJ155*AL155+$AN155*AP155)/$C155</f>
        <v>5.86985035</v>
      </c>
      <c r="AS155" s="4">
        <f t="shared" si="207"/>
        <v>1.680882901</v>
      </c>
      <c r="AT155" s="4">
        <f t="shared" ref="AT155:AT170" si="224">AR155+AS155</f>
        <v>7.550733252</v>
      </c>
      <c r="AU155" s="4">
        <f t="shared" ref="AU155:AU170" si="225">W155+AS155</f>
        <v>9.380882901</v>
      </c>
      <c r="AV155" s="4">
        <f t="shared" ref="AV155:AV170" si="226">X155+AR155</f>
        <v>11.66985035</v>
      </c>
      <c r="AW155" s="4">
        <f t="shared" ref="AW155:AW170" si="227">AU155+AV155</f>
        <v>21.05073325</v>
      </c>
      <c r="AX155" s="239">
        <f t="shared" ref="AX155:AZ155" si="208">AU155+Y$173-AU$173</f>
        <v>13.10806776</v>
      </c>
      <c r="AY155" s="239">
        <f t="shared" si="208"/>
        <v>8.049627516</v>
      </c>
      <c r="AZ155" s="239">
        <f t="shared" si="208"/>
        <v>21.15769528</v>
      </c>
      <c r="CX155" s="4"/>
      <c r="DC155" s="5"/>
      <c r="DD155" s="5"/>
      <c r="DE155" s="5"/>
      <c r="DF155" s="5"/>
      <c r="DG155" s="5"/>
      <c r="DH155" s="5"/>
    </row>
    <row r="156">
      <c r="A156" s="235">
        <v>2.0</v>
      </c>
      <c r="B156" s="236" t="s">
        <v>62</v>
      </c>
      <c r="C156" s="237">
        <v>18.0</v>
      </c>
      <c r="D156" s="237">
        <v>13.0</v>
      </c>
      <c r="E156" s="237">
        <v>5.0</v>
      </c>
      <c r="F156" s="237">
        <v>0.722</v>
      </c>
      <c r="G156" s="237">
        <v>13.1</v>
      </c>
      <c r="H156" s="237">
        <v>4.9</v>
      </c>
      <c r="I156" s="237">
        <v>120.3</v>
      </c>
      <c r="J156" s="237">
        <v>112.1</v>
      </c>
      <c r="K156" s="237">
        <v>96.6</v>
      </c>
      <c r="L156" s="237">
        <v>0.316</v>
      </c>
      <c r="M156" s="237">
        <v>0.408</v>
      </c>
      <c r="N156" s="237">
        <v>0.579</v>
      </c>
      <c r="O156" s="237">
        <v>12.1</v>
      </c>
      <c r="P156" s="237">
        <v>23.6</v>
      </c>
      <c r="Q156" s="237">
        <v>0.242</v>
      </c>
      <c r="R156" s="237">
        <v>0.521</v>
      </c>
      <c r="S156" s="237">
        <v>11.9</v>
      </c>
      <c r="T156" s="237">
        <v>76.1</v>
      </c>
      <c r="U156" s="237">
        <v>0.189</v>
      </c>
      <c r="V156" s="79">
        <f t="shared" si="209"/>
        <v>8.2</v>
      </c>
      <c r="W156" s="79">
        <f t="shared" si="210"/>
        <v>9</v>
      </c>
      <c r="X156" s="79">
        <f t="shared" si="211"/>
        <v>-0.8</v>
      </c>
      <c r="Y156" s="4">
        <f t="shared" si="212"/>
        <v>9.20989119</v>
      </c>
      <c r="Z156" s="4">
        <f t="shared" si="213"/>
        <v>-2.425398135</v>
      </c>
      <c r="AA156" s="238">
        <f t="shared" si="214"/>
        <v>6.784493055</v>
      </c>
      <c r="AB156" s="61">
        <v>4.0</v>
      </c>
      <c r="AC156" s="236" t="s">
        <v>248</v>
      </c>
      <c r="AD156" s="4">
        <f t="shared" si="215"/>
        <v>2.6815</v>
      </c>
      <c r="AE156" s="4">
        <f t="shared" si="216"/>
        <v>0.7185</v>
      </c>
      <c r="AF156" s="61">
        <v>4.0</v>
      </c>
      <c r="AG156" s="236" t="s">
        <v>234</v>
      </c>
      <c r="AH156" s="4">
        <f t="shared" si="217"/>
        <v>6.5415</v>
      </c>
      <c r="AI156" s="4">
        <f t="shared" si="218"/>
        <v>1.3885</v>
      </c>
      <c r="AJ156" s="61">
        <v>5.0</v>
      </c>
      <c r="AK156" s="236" t="s">
        <v>237</v>
      </c>
      <c r="AL156" s="4">
        <f t="shared" si="219"/>
        <v>5.2815</v>
      </c>
      <c r="AM156" s="4">
        <f t="shared" si="220"/>
        <v>1.0385</v>
      </c>
      <c r="AN156" s="61">
        <v>5.0</v>
      </c>
      <c r="AO156" s="236" t="s">
        <v>226</v>
      </c>
      <c r="AP156" s="4">
        <f t="shared" si="221"/>
        <v>9.4915</v>
      </c>
      <c r="AQ156" s="4">
        <f t="shared" si="222"/>
        <v>5.9185</v>
      </c>
      <c r="AR156" s="4">
        <f t="shared" ref="AR156:AS156" si="223">($AB156*AD156+$AF156*AH156+$AJ156*AL156+$AN156*AP156)/$C156</f>
        <v>6.153166667</v>
      </c>
      <c r="AS156" s="4">
        <f t="shared" si="223"/>
        <v>2.400722222</v>
      </c>
      <c r="AT156" s="4">
        <f t="shared" si="224"/>
        <v>8.553888889</v>
      </c>
      <c r="AU156" s="4">
        <f t="shared" si="225"/>
        <v>11.40072222</v>
      </c>
      <c r="AV156" s="4">
        <f t="shared" si="226"/>
        <v>5.353166667</v>
      </c>
      <c r="AW156" s="4">
        <f t="shared" si="227"/>
        <v>16.75388889</v>
      </c>
      <c r="AX156" s="239">
        <f t="shared" ref="AX156:AZ156" si="228">AU156+Y$173-AU$173</f>
        <v>15.12790708</v>
      </c>
      <c r="AY156" s="239">
        <f t="shared" si="228"/>
        <v>1.732943832</v>
      </c>
      <c r="AZ156" s="239">
        <f t="shared" si="228"/>
        <v>16.86085091</v>
      </c>
      <c r="CX156" s="4"/>
      <c r="DC156" s="5"/>
      <c r="DD156" s="5"/>
      <c r="DE156" s="5"/>
      <c r="DF156" s="5"/>
      <c r="DG156" s="5"/>
      <c r="DH156" s="5"/>
    </row>
    <row r="157">
      <c r="A157" s="235">
        <v>3.0</v>
      </c>
      <c r="B157" s="236" t="s">
        <v>237</v>
      </c>
      <c r="C157" s="237">
        <v>18.0</v>
      </c>
      <c r="D157" s="237">
        <v>9.0</v>
      </c>
      <c r="E157" s="237">
        <v>9.0</v>
      </c>
      <c r="F157" s="237">
        <v>0.5</v>
      </c>
      <c r="G157" s="237">
        <v>7.3</v>
      </c>
      <c r="H157" s="237">
        <v>10.7</v>
      </c>
      <c r="I157" s="237">
        <v>111.4</v>
      </c>
      <c r="J157" s="237">
        <v>114.5</v>
      </c>
      <c r="K157" s="237">
        <v>93.9</v>
      </c>
      <c r="L157" s="237">
        <v>0.242</v>
      </c>
      <c r="M157" s="237">
        <v>0.41</v>
      </c>
      <c r="N157" s="237">
        <v>0.532</v>
      </c>
      <c r="O157" s="237">
        <v>12.6</v>
      </c>
      <c r="P157" s="237">
        <v>22.2</v>
      </c>
      <c r="Q157" s="237">
        <v>0.187</v>
      </c>
      <c r="R157" s="237">
        <v>0.531</v>
      </c>
      <c r="S157" s="237">
        <v>13.1</v>
      </c>
      <c r="T157" s="237">
        <v>71.5</v>
      </c>
      <c r="U157" s="237">
        <v>0.227</v>
      </c>
      <c r="V157" s="79">
        <f t="shared" si="209"/>
        <v>-3.1</v>
      </c>
      <c r="W157" s="79">
        <f t="shared" si="210"/>
        <v>0.1</v>
      </c>
      <c r="X157" s="79">
        <f t="shared" si="211"/>
        <v>-3.2</v>
      </c>
      <c r="Y157" s="4">
        <f t="shared" si="212"/>
        <v>5.2815</v>
      </c>
      <c r="Z157" s="4">
        <f t="shared" si="213"/>
        <v>1.0385</v>
      </c>
      <c r="AA157" s="238">
        <f t="shared" si="214"/>
        <v>6.32</v>
      </c>
      <c r="AB157" s="61">
        <v>6.0</v>
      </c>
      <c r="AC157" s="236" t="s">
        <v>245</v>
      </c>
      <c r="AD157" s="4">
        <f t="shared" si="215"/>
        <v>1.3815</v>
      </c>
      <c r="AE157" s="4">
        <f t="shared" si="216"/>
        <v>2.5485</v>
      </c>
      <c r="AF157" s="61">
        <v>7.0</v>
      </c>
      <c r="AG157" s="236" t="s">
        <v>238</v>
      </c>
      <c r="AH157" s="4">
        <f t="shared" si="217"/>
        <v>5.4315</v>
      </c>
      <c r="AI157" s="4">
        <f t="shared" si="218"/>
        <v>0.0385</v>
      </c>
      <c r="AJ157" s="61">
        <v>5.0</v>
      </c>
      <c r="AK157" s="236" t="s">
        <v>62</v>
      </c>
      <c r="AL157" s="4">
        <f t="shared" si="219"/>
        <v>9.20989119</v>
      </c>
      <c r="AM157" s="4">
        <f t="shared" si="220"/>
        <v>-2.425398135</v>
      </c>
      <c r="AR157" s="4">
        <f t="shared" ref="AR157:AS157" si="229">($AB157*AD157+$AF157*AH157+$AJ157*AL157+$AN157*AP157)/$C157</f>
        <v>5.131053108</v>
      </c>
      <c r="AS157" s="4">
        <f t="shared" si="229"/>
        <v>0.1907505181</v>
      </c>
      <c r="AT157" s="4">
        <f t="shared" si="224"/>
        <v>5.321803626</v>
      </c>
      <c r="AU157" s="4">
        <f t="shared" si="225"/>
        <v>0.2907505181</v>
      </c>
      <c r="AV157" s="4">
        <f t="shared" si="226"/>
        <v>1.931053108</v>
      </c>
      <c r="AW157" s="4">
        <f t="shared" si="227"/>
        <v>2.221803626</v>
      </c>
      <c r="AX157" s="239">
        <f t="shared" ref="AX157:AZ157" si="230">AU157+Y$173-AU$173</f>
        <v>4.017935378</v>
      </c>
      <c r="AY157" s="239">
        <f t="shared" si="230"/>
        <v>-1.689169726</v>
      </c>
      <c r="AZ157" s="239">
        <f t="shared" si="230"/>
        <v>2.328765652</v>
      </c>
      <c r="CX157" s="4"/>
      <c r="DC157" s="5"/>
      <c r="DD157" s="5"/>
      <c r="DE157" s="5"/>
      <c r="DF157" s="5"/>
      <c r="DG157" s="5"/>
      <c r="DH157" s="5"/>
    </row>
    <row r="158">
      <c r="A158" s="235">
        <v>4.0</v>
      </c>
      <c r="B158" s="236" t="s">
        <v>228</v>
      </c>
      <c r="C158" s="237">
        <v>16.0</v>
      </c>
      <c r="D158" s="237">
        <v>8.0</v>
      </c>
      <c r="E158" s="237">
        <v>8.0</v>
      </c>
      <c r="F158" s="237">
        <v>0.5</v>
      </c>
      <c r="G158" s="237">
        <v>8.5</v>
      </c>
      <c r="H158" s="237">
        <v>7.5</v>
      </c>
      <c r="I158" s="237">
        <v>113.4</v>
      </c>
      <c r="J158" s="237">
        <v>112.3</v>
      </c>
      <c r="K158" s="237">
        <v>93.2</v>
      </c>
      <c r="L158" s="237">
        <v>0.277</v>
      </c>
      <c r="M158" s="237">
        <v>0.282</v>
      </c>
      <c r="N158" s="237">
        <v>0.512</v>
      </c>
      <c r="O158" s="237">
        <v>11.6</v>
      </c>
      <c r="P158" s="237">
        <v>29.1</v>
      </c>
      <c r="Q158" s="237">
        <v>0.214</v>
      </c>
      <c r="R158" s="237">
        <v>0.539</v>
      </c>
      <c r="S158" s="237">
        <v>13.1</v>
      </c>
      <c r="T158" s="237">
        <v>78.5</v>
      </c>
      <c r="U158" s="237">
        <v>0.208</v>
      </c>
      <c r="V158" s="79">
        <f t="shared" si="209"/>
        <v>1.1</v>
      </c>
      <c r="W158" s="79">
        <f t="shared" si="210"/>
        <v>2.1</v>
      </c>
      <c r="X158" s="79">
        <f t="shared" si="211"/>
        <v>-1</v>
      </c>
      <c r="Y158" s="4">
        <f t="shared" si="212"/>
        <v>5.0915</v>
      </c>
      <c r="Z158" s="4">
        <f t="shared" si="213"/>
        <v>6.4085</v>
      </c>
      <c r="AA158" s="238">
        <f t="shared" si="214"/>
        <v>11.5</v>
      </c>
      <c r="AB158" s="61">
        <v>6.0</v>
      </c>
      <c r="AC158" s="236" t="s">
        <v>241</v>
      </c>
      <c r="AD158" s="4">
        <f t="shared" si="215"/>
        <v>2.1815</v>
      </c>
      <c r="AE158" s="4">
        <f t="shared" si="216"/>
        <v>2.9785</v>
      </c>
      <c r="AF158" s="61">
        <v>6.0</v>
      </c>
      <c r="AG158" s="236" t="s">
        <v>230</v>
      </c>
      <c r="AH158" s="4">
        <f t="shared" si="217"/>
        <v>9.1715</v>
      </c>
      <c r="AI158" s="4">
        <f t="shared" si="218"/>
        <v>0.5485</v>
      </c>
      <c r="AJ158" s="61">
        <v>4.0</v>
      </c>
      <c r="AK158" s="236" t="s">
        <v>226</v>
      </c>
      <c r="AL158" s="4">
        <f t="shared" si="219"/>
        <v>9.4915</v>
      </c>
      <c r="AM158" s="4">
        <f t="shared" si="220"/>
        <v>5.9185</v>
      </c>
      <c r="AR158" s="4">
        <f t="shared" ref="AR158:AS158" si="231">($AB158*AD158+$AF158*AH158+$AJ158*AL158+$AN158*AP158)/$C158</f>
        <v>6.63025</v>
      </c>
      <c r="AS158" s="4">
        <f t="shared" si="231"/>
        <v>2.80225</v>
      </c>
      <c r="AT158" s="4">
        <f t="shared" si="224"/>
        <v>9.4325</v>
      </c>
      <c r="AU158" s="4">
        <f t="shared" si="225"/>
        <v>4.90225</v>
      </c>
      <c r="AV158" s="4">
        <f t="shared" si="226"/>
        <v>5.63025</v>
      </c>
      <c r="AW158" s="4">
        <f t="shared" si="227"/>
        <v>10.5325</v>
      </c>
      <c r="AX158" s="239">
        <f t="shared" ref="AX158:AZ158" si="232">AU158+Y$173-AU$173</f>
        <v>8.62943486</v>
      </c>
      <c r="AY158" s="239">
        <f t="shared" si="232"/>
        <v>2.010027165</v>
      </c>
      <c r="AZ158" s="239">
        <f t="shared" si="232"/>
        <v>10.63946203</v>
      </c>
      <c r="CX158" s="4"/>
      <c r="DC158" s="5"/>
      <c r="DD158" s="5"/>
      <c r="DE158" s="5"/>
      <c r="DF158" s="5"/>
      <c r="DG158" s="5"/>
      <c r="DH158" s="5"/>
    </row>
    <row r="159">
      <c r="A159" s="235">
        <v>5.0</v>
      </c>
      <c r="B159" s="236" t="s">
        <v>238</v>
      </c>
      <c r="C159" s="237">
        <v>13.0</v>
      </c>
      <c r="D159" s="237">
        <v>7.0</v>
      </c>
      <c r="E159" s="237">
        <v>6.0</v>
      </c>
      <c r="F159" s="237">
        <v>0.538</v>
      </c>
      <c r="G159" s="237">
        <v>6.5</v>
      </c>
      <c r="H159" s="237">
        <v>6.5</v>
      </c>
      <c r="I159" s="237">
        <v>110.9</v>
      </c>
      <c r="J159" s="237">
        <v>110.9</v>
      </c>
      <c r="K159" s="237">
        <v>96.7</v>
      </c>
      <c r="L159" s="237">
        <v>0.281</v>
      </c>
      <c r="M159" s="237">
        <v>0.302</v>
      </c>
      <c r="N159" s="237">
        <v>0.505</v>
      </c>
      <c r="O159" s="237">
        <v>12.3</v>
      </c>
      <c r="P159" s="237">
        <v>26.6</v>
      </c>
      <c r="Q159" s="237">
        <v>0.223</v>
      </c>
      <c r="R159" s="237">
        <v>0.525</v>
      </c>
      <c r="S159" s="237">
        <v>13.3</v>
      </c>
      <c r="T159" s="237">
        <v>76.2</v>
      </c>
      <c r="U159" s="237">
        <v>0.244</v>
      </c>
      <c r="V159" s="79">
        <f t="shared" si="209"/>
        <v>0</v>
      </c>
      <c r="W159" s="79">
        <f t="shared" si="210"/>
        <v>-0.4</v>
      </c>
      <c r="X159" s="79">
        <f t="shared" si="211"/>
        <v>0.4</v>
      </c>
      <c r="Y159" s="4">
        <f t="shared" si="212"/>
        <v>5.4315</v>
      </c>
      <c r="Z159" s="4">
        <f t="shared" si="213"/>
        <v>0.0385</v>
      </c>
      <c r="AA159" s="238">
        <f t="shared" si="214"/>
        <v>5.47</v>
      </c>
      <c r="AB159" s="61">
        <v>6.0</v>
      </c>
      <c r="AC159" s="236" t="s">
        <v>250</v>
      </c>
      <c r="AD159" s="4">
        <f t="shared" si="215"/>
        <v>-1.2085</v>
      </c>
      <c r="AE159" s="4">
        <f t="shared" si="216"/>
        <v>3.8385</v>
      </c>
      <c r="AF159" s="61">
        <v>7.0</v>
      </c>
      <c r="AG159" s="236" t="s">
        <v>237</v>
      </c>
      <c r="AH159" s="4">
        <f t="shared" si="217"/>
        <v>5.2815</v>
      </c>
      <c r="AI159" s="4">
        <f t="shared" si="218"/>
        <v>1.0385</v>
      </c>
      <c r="AR159" s="4">
        <f t="shared" ref="AR159:AS159" si="233">($AB159*AD159+$AF159*AH159+$AJ159*AL159+$AN159*AP159)/$C159</f>
        <v>2.286115385</v>
      </c>
      <c r="AS159" s="4">
        <f t="shared" si="233"/>
        <v>2.330807692</v>
      </c>
      <c r="AT159" s="4">
        <f t="shared" si="224"/>
        <v>4.616923077</v>
      </c>
      <c r="AU159" s="4">
        <f t="shared" si="225"/>
        <v>1.930807692</v>
      </c>
      <c r="AV159" s="4">
        <f t="shared" si="226"/>
        <v>2.686115385</v>
      </c>
      <c r="AW159" s="4">
        <f t="shared" si="227"/>
        <v>4.616923077</v>
      </c>
      <c r="AX159" s="239">
        <f t="shared" ref="AX159:AZ159" si="234">AU159+Y$173-AU$173</f>
        <v>5.657992552</v>
      </c>
      <c r="AY159" s="239">
        <f t="shared" si="234"/>
        <v>-0.9341074499</v>
      </c>
      <c r="AZ159" s="239">
        <f t="shared" si="234"/>
        <v>4.723885102</v>
      </c>
      <c r="CX159" s="4"/>
      <c r="DC159" s="5"/>
      <c r="DD159" s="5"/>
      <c r="DE159" s="5"/>
      <c r="DF159" s="5"/>
      <c r="DG159" s="5"/>
      <c r="DH159" s="5"/>
    </row>
    <row r="160">
      <c r="A160" s="235">
        <v>6.0</v>
      </c>
      <c r="B160" s="236" t="s">
        <v>230</v>
      </c>
      <c r="C160" s="237">
        <v>11.0</v>
      </c>
      <c r="D160" s="237">
        <v>6.0</v>
      </c>
      <c r="E160" s="237">
        <v>5.0</v>
      </c>
      <c r="F160" s="237">
        <v>0.545</v>
      </c>
      <c r="G160" s="237">
        <v>5.9</v>
      </c>
      <c r="H160" s="237">
        <v>5.1</v>
      </c>
      <c r="I160" s="237">
        <v>110.7</v>
      </c>
      <c r="J160" s="237">
        <v>109.5</v>
      </c>
      <c r="K160" s="237">
        <v>96.4</v>
      </c>
      <c r="L160" s="237">
        <v>0.304</v>
      </c>
      <c r="M160" s="237">
        <v>0.452</v>
      </c>
      <c r="N160" s="237">
        <v>0.514</v>
      </c>
      <c r="O160" s="237">
        <v>12.7</v>
      </c>
      <c r="P160" s="237">
        <v>22.7</v>
      </c>
      <c r="Q160" s="237">
        <v>0.24</v>
      </c>
      <c r="R160" s="237">
        <v>0.502</v>
      </c>
      <c r="S160" s="237">
        <v>11.1</v>
      </c>
      <c r="T160" s="237">
        <v>71.7</v>
      </c>
      <c r="U160" s="237">
        <v>0.187</v>
      </c>
      <c r="V160" s="79">
        <f t="shared" si="209"/>
        <v>1.2</v>
      </c>
      <c r="W160" s="79">
        <f t="shared" si="210"/>
        <v>-0.6</v>
      </c>
      <c r="X160" s="79">
        <f t="shared" si="211"/>
        <v>1.8</v>
      </c>
      <c r="Y160" s="4">
        <f t="shared" si="212"/>
        <v>9.1715</v>
      </c>
      <c r="Z160" s="4">
        <f t="shared" si="213"/>
        <v>0.5485</v>
      </c>
      <c r="AA160" s="238">
        <f t="shared" si="214"/>
        <v>9.72</v>
      </c>
      <c r="AB160" s="61">
        <v>5.0</v>
      </c>
      <c r="AC160" s="236" t="s">
        <v>240</v>
      </c>
      <c r="AD160" s="4">
        <f t="shared" si="215"/>
        <v>2.4115</v>
      </c>
      <c r="AE160" s="4">
        <f t="shared" si="216"/>
        <v>2.7785</v>
      </c>
      <c r="AF160" s="61">
        <v>6.0</v>
      </c>
      <c r="AG160" s="236" t="s">
        <v>228</v>
      </c>
      <c r="AH160" s="4">
        <f t="shared" si="217"/>
        <v>5.0915</v>
      </c>
      <c r="AI160" s="4">
        <f t="shared" si="218"/>
        <v>6.4085</v>
      </c>
      <c r="AR160" s="4">
        <f t="shared" ref="AR160:AS160" si="235">($AB160*AD160+$AF160*AH160+$AJ160*AL160+$AN160*AP160)/$C160</f>
        <v>3.873318182</v>
      </c>
      <c r="AS160" s="4">
        <f t="shared" si="235"/>
        <v>4.7585</v>
      </c>
      <c r="AT160" s="4">
        <f t="shared" si="224"/>
        <v>8.631818182</v>
      </c>
      <c r="AU160" s="4">
        <f t="shared" si="225"/>
        <v>4.1585</v>
      </c>
      <c r="AV160" s="4">
        <f t="shared" si="226"/>
        <v>5.673318182</v>
      </c>
      <c r="AW160" s="4">
        <f t="shared" si="227"/>
        <v>9.831818182</v>
      </c>
      <c r="AX160" s="239">
        <f t="shared" ref="AX160:AZ160" si="236">AU160+Y$173-AU$173</f>
        <v>7.88568486</v>
      </c>
      <c r="AY160" s="239">
        <f t="shared" si="236"/>
        <v>2.053095347</v>
      </c>
      <c r="AZ160" s="239">
        <f t="shared" si="236"/>
        <v>9.938780207</v>
      </c>
      <c r="CX160" s="4"/>
      <c r="DC160" s="5"/>
      <c r="DD160" s="5"/>
      <c r="DE160" s="5"/>
      <c r="DF160" s="5"/>
      <c r="DG160" s="5"/>
      <c r="DH160" s="5"/>
    </row>
    <row r="161">
      <c r="A161" s="235">
        <v>7.0</v>
      </c>
      <c r="B161" s="236" t="s">
        <v>232</v>
      </c>
      <c r="C161" s="237">
        <v>11.0</v>
      </c>
      <c r="D161" s="237">
        <v>4.0</v>
      </c>
      <c r="E161" s="237">
        <v>7.0</v>
      </c>
      <c r="F161" s="237">
        <v>0.364</v>
      </c>
      <c r="G161" s="237">
        <v>3.7</v>
      </c>
      <c r="H161" s="237">
        <v>7.3</v>
      </c>
      <c r="I161" s="237">
        <v>106.2</v>
      </c>
      <c r="J161" s="237">
        <v>111.3</v>
      </c>
      <c r="K161" s="237">
        <v>92.1</v>
      </c>
      <c r="L161" s="237">
        <v>0.298</v>
      </c>
      <c r="M161" s="237">
        <v>0.331</v>
      </c>
      <c r="N161" s="237">
        <v>0.515</v>
      </c>
      <c r="O161" s="237">
        <v>12.0</v>
      </c>
      <c r="P161" s="237">
        <v>16.7</v>
      </c>
      <c r="Q161" s="237">
        <v>0.218</v>
      </c>
      <c r="R161" s="237">
        <v>0.533</v>
      </c>
      <c r="S161" s="237">
        <v>11.4</v>
      </c>
      <c r="T161" s="237">
        <v>81.3</v>
      </c>
      <c r="U161" s="237">
        <v>0.224</v>
      </c>
      <c r="V161" s="79">
        <f t="shared" si="209"/>
        <v>-5.1</v>
      </c>
      <c r="W161" s="79">
        <f t="shared" si="210"/>
        <v>-5.1</v>
      </c>
      <c r="X161" s="79">
        <f t="shared" si="211"/>
        <v>0</v>
      </c>
      <c r="Y161" s="4">
        <f t="shared" si="212"/>
        <v>3.7815</v>
      </c>
      <c r="Z161" s="4">
        <f t="shared" si="213"/>
        <v>4.5485</v>
      </c>
      <c r="AA161" s="238">
        <f t="shared" si="214"/>
        <v>8.33</v>
      </c>
      <c r="AB161" s="61">
        <v>7.0</v>
      </c>
      <c r="AC161" s="236" t="s">
        <v>231</v>
      </c>
      <c r="AD161" s="4">
        <f t="shared" si="215"/>
        <v>6.9315</v>
      </c>
      <c r="AE161" s="4">
        <f t="shared" si="216"/>
        <v>1.7085</v>
      </c>
      <c r="AF161" s="61">
        <v>4.0</v>
      </c>
      <c r="AG161" s="236" t="s">
        <v>226</v>
      </c>
      <c r="AH161" s="4">
        <f t="shared" si="217"/>
        <v>9.4915</v>
      </c>
      <c r="AI161" s="4">
        <f t="shared" si="218"/>
        <v>5.9185</v>
      </c>
      <c r="AR161" s="4">
        <f t="shared" ref="AR161:AS161" si="237">($AB161*AD161+$AF161*AH161+$AJ161*AL161+$AN161*AP161)/$C161</f>
        <v>7.862409091</v>
      </c>
      <c r="AS161" s="4">
        <f t="shared" si="237"/>
        <v>3.239409091</v>
      </c>
      <c r="AT161" s="4">
        <f t="shared" si="224"/>
        <v>11.10181818</v>
      </c>
      <c r="AU161" s="4">
        <f t="shared" si="225"/>
        <v>-1.860590909</v>
      </c>
      <c r="AV161" s="4">
        <f t="shared" si="226"/>
        <v>7.862409091</v>
      </c>
      <c r="AW161" s="4">
        <f t="shared" si="227"/>
        <v>6.001818182</v>
      </c>
      <c r="AX161" s="239">
        <f t="shared" ref="AX161:AZ161" si="238">AU161+Y$173-AU$173</f>
        <v>1.866593951</v>
      </c>
      <c r="AY161" s="239">
        <f t="shared" si="238"/>
        <v>4.242186256</v>
      </c>
      <c r="AZ161" s="239">
        <f t="shared" si="238"/>
        <v>6.108780207</v>
      </c>
      <c r="CX161" s="4"/>
      <c r="DC161" s="5"/>
      <c r="DD161" s="5"/>
      <c r="DE161" s="5"/>
      <c r="DF161" s="5"/>
      <c r="DG161" s="5"/>
      <c r="DH161" s="5"/>
    </row>
    <row r="162">
      <c r="A162" s="235">
        <v>8.0</v>
      </c>
      <c r="B162" s="236" t="s">
        <v>234</v>
      </c>
      <c r="C162" s="237">
        <v>10.0</v>
      </c>
      <c r="D162" s="237">
        <v>4.0</v>
      </c>
      <c r="E162" s="237">
        <v>6.0</v>
      </c>
      <c r="F162" s="237">
        <v>0.4</v>
      </c>
      <c r="G162" s="237">
        <v>3.1</v>
      </c>
      <c r="H162" s="237">
        <v>6.9</v>
      </c>
      <c r="I162" s="237">
        <v>103.8</v>
      </c>
      <c r="J162" s="237">
        <v>109.9</v>
      </c>
      <c r="K162" s="237">
        <v>93.1</v>
      </c>
      <c r="L162" s="237">
        <v>0.283</v>
      </c>
      <c r="M162" s="237">
        <v>0.296</v>
      </c>
      <c r="N162" s="237">
        <v>0.493</v>
      </c>
      <c r="O162" s="237">
        <v>12.6</v>
      </c>
      <c r="P162" s="237">
        <v>17.3</v>
      </c>
      <c r="Q162" s="237">
        <v>0.23</v>
      </c>
      <c r="R162" s="237">
        <v>0.539</v>
      </c>
      <c r="S162" s="237">
        <v>13.2</v>
      </c>
      <c r="T162" s="237">
        <v>81.3</v>
      </c>
      <c r="U162" s="237">
        <v>0.222</v>
      </c>
      <c r="V162" s="79">
        <f t="shared" si="209"/>
        <v>-6.1</v>
      </c>
      <c r="W162" s="79">
        <f t="shared" si="210"/>
        <v>-7.5</v>
      </c>
      <c r="X162" s="79">
        <f t="shared" si="211"/>
        <v>1.4</v>
      </c>
      <c r="Y162" s="4">
        <f t="shared" si="212"/>
        <v>6.5415</v>
      </c>
      <c r="Z162" s="4">
        <f t="shared" si="213"/>
        <v>1.3885</v>
      </c>
      <c r="AA162" s="238">
        <f t="shared" si="214"/>
        <v>7.93</v>
      </c>
      <c r="AB162" s="61">
        <v>6.0</v>
      </c>
      <c r="AC162" s="236" t="s">
        <v>247</v>
      </c>
      <c r="AD162" s="4">
        <f t="shared" si="215"/>
        <v>3.4315</v>
      </c>
      <c r="AE162" s="4">
        <f t="shared" si="216"/>
        <v>0.0685</v>
      </c>
      <c r="AF162" s="61">
        <v>4.0</v>
      </c>
      <c r="AG162" s="236" t="s">
        <v>62</v>
      </c>
      <c r="AH162" s="4">
        <f t="shared" si="217"/>
        <v>9.20989119</v>
      </c>
      <c r="AI162" s="4">
        <f t="shared" si="218"/>
        <v>-2.425398135</v>
      </c>
      <c r="AR162" s="4">
        <f t="shared" ref="AR162:AS162" si="239">($AB162*AD162+$AF162*AH162+$AJ162*AL162+$AN162*AP162)/$C162</f>
        <v>5.742856476</v>
      </c>
      <c r="AS162" s="4">
        <f t="shared" si="239"/>
        <v>-0.929059254</v>
      </c>
      <c r="AT162" s="4">
        <f t="shared" si="224"/>
        <v>4.813797222</v>
      </c>
      <c r="AU162" s="4">
        <f t="shared" si="225"/>
        <v>-8.429059254</v>
      </c>
      <c r="AV162" s="4">
        <f t="shared" si="226"/>
        <v>7.142856476</v>
      </c>
      <c r="AW162" s="4">
        <f t="shared" si="227"/>
        <v>-1.286202778</v>
      </c>
      <c r="AX162" s="239">
        <f t="shared" ref="AX162:AZ162" si="240">AU162+Y$173-AU$173</f>
        <v>-4.701874394</v>
      </c>
      <c r="AY162" s="239">
        <f t="shared" si="240"/>
        <v>3.522633642</v>
      </c>
      <c r="AZ162" s="239">
        <f t="shared" si="240"/>
        <v>-1.179240753</v>
      </c>
      <c r="CX162" s="4"/>
      <c r="DC162" s="5"/>
      <c r="DD162" s="5"/>
      <c r="DE162" s="5"/>
      <c r="DF162" s="5"/>
      <c r="DG162" s="5"/>
      <c r="DH162" s="5"/>
    </row>
    <row r="163">
      <c r="A163" s="235">
        <v>9.0</v>
      </c>
      <c r="B163" s="236" t="s">
        <v>231</v>
      </c>
      <c r="C163" s="237">
        <v>7.0</v>
      </c>
      <c r="D163" s="237">
        <v>3.0</v>
      </c>
      <c r="E163" s="237">
        <v>4.0</v>
      </c>
      <c r="F163" s="237">
        <v>0.429</v>
      </c>
      <c r="G163" s="237">
        <v>3.2</v>
      </c>
      <c r="H163" s="237">
        <v>3.8</v>
      </c>
      <c r="I163" s="237">
        <v>108.8</v>
      </c>
      <c r="J163" s="237">
        <v>110.0</v>
      </c>
      <c r="K163" s="237">
        <v>89.8</v>
      </c>
      <c r="L163" s="237">
        <v>0.312</v>
      </c>
      <c r="M163" s="237">
        <v>0.304</v>
      </c>
      <c r="N163" s="237">
        <v>0.526</v>
      </c>
      <c r="O163" s="237">
        <v>12.2</v>
      </c>
      <c r="P163" s="237">
        <v>19.9</v>
      </c>
      <c r="Q163" s="237">
        <v>0.217</v>
      </c>
      <c r="R163" s="237">
        <v>0.542</v>
      </c>
      <c r="S163" s="237">
        <v>12.4</v>
      </c>
      <c r="T163" s="237">
        <v>82.1</v>
      </c>
      <c r="U163" s="237">
        <v>0.223</v>
      </c>
      <c r="V163" s="79">
        <f t="shared" si="209"/>
        <v>-1.2</v>
      </c>
      <c r="W163" s="79">
        <f t="shared" si="210"/>
        <v>-2.5</v>
      </c>
      <c r="X163" s="79">
        <f t="shared" si="211"/>
        <v>1.3</v>
      </c>
      <c r="Y163" s="4">
        <f t="shared" si="212"/>
        <v>6.9315</v>
      </c>
      <c r="Z163" s="4">
        <f t="shared" si="213"/>
        <v>1.7085</v>
      </c>
      <c r="AA163" s="238">
        <f t="shared" si="214"/>
        <v>8.64</v>
      </c>
      <c r="AB163" s="61">
        <v>7.0</v>
      </c>
      <c r="AC163" s="236" t="s">
        <v>232</v>
      </c>
      <c r="AD163" s="4">
        <f t="shared" si="215"/>
        <v>3.7815</v>
      </c>
      <c r="AE163" s="4">
        <f t="shared" si="216"/>
        <v>4.5485</v>
      </c>
      <c r="AR163" s="4">
        <f t="shared" ref="AR163:AS163" si="241">($AB163*AD163+$AF163*AH163+$AJ163*AL163+$AN163*AP163)/$C163</f>
        <v>3.7815</v>
      </c>
      <c r="AS163" s="4">
        <f t="shared" si="241"/>
        <v>4.5485</v>
      </c>
      <c r="AT163" s="4">
        <f t="shared" si="224"/>
        <v>8.33</v>
      </c>
      <c r="AU163" s="4">
        <f t="shared" si="225"/>
        <v>2.0485</v>
      </c>
      <c r="AV163" s="4">
        <f t="shared" si="226"/>
        <v>5.0815</v>
      </c>
      <c r="AW163" s="4">
        <f t="shared" si="227"/>
        <v>7.13</v>
      </c>
      <c r="AX163" s="239">
        <f t="shared" ref="AX163:AZ163" si="242">AU163+Y$173-AU$173</f>
        <v>5.77568486</v>
      </c>
      <c r="AY163" s="239">
        <f t="shared" si="242"/>
        <v>1.461277165</v>
      </c>
      <c r="AZ163" s="239">
        <f t="shared" si="242"/>
        <v>7.236962025</v>
      </c>
      <c r="CX163" s="4"/>
      <c r="DC163" s="5"/>
      <c r="DD163" s="5"/>
      <c r="DE163" s="5"/>
      <c r="DF163" s="5"/>
      <c r="DG163" s="5"/>
      <c r="DH163" s="5"/>
    </row>
    <row r="164">
      <c r="A164" s="235">
        <v>10.0</v>
      </c>
      <c r="B164" s="236" t="s">
        <v>247</v>
      </c>
      <c r="C164" s="237">
        <v>6.0</v>
      </c>
      <c r="D164" s="237">
        <v>2.0</v>
      </c>
      <c r="E164" s="237">
        <v>4.0</v>
      </c>
      <c r="F164" s="237">
        <v>0.333</v>
      </c>
      <c r="G164" s="237">
        <v>2.9</v>
      </c>
      <c r="H164" s="237">
        <v>3.1</v>
      </c>
      <c r="I164" s="237">
        <v>103.0</v>
      </c>
      <c r="J164" s="237">
        <v>103.7</v>
      </c>
      <c r="K164" s="237">
        <v>90.5</v>
      </c>
      <c r="L164" s="237">
        <v>0.267</v>
      </c>
      <c r="M164" s="237">
        <v>0.277</v>
      </c>
      <c r="N164" s="237">
        <v>0.503</v>
      </c>
      <c r="O164" s="237">
        <v>13.2</v>
      </c>
      <c r="P164" s="237">
        <v>19.1</v>
      </c>
      <c r="Q164" s="237">
        <v>0.186</v>
      </c>
      <c r="R164" s="237">
        <v>0.494</v>
      </c>
      <c r="S164" s="237">
        <v>14.4</v>
      </c>
      <c r="T164" s="237">
        <v>80.6</v>
      </c>
      <c r="U164" s="237">
        <v>0.279</v>
      </c>
      <c r="V164" s="79">
        <f t="shared" si="209"/>
        <v>-0.7</v>
      </c>
      <c r="W164" s="79">
        <f t="shared" si="210"/>
        <v>-8.3</v>
      </c>
      <c r="X164" s="79">
        <f t="shared" si="211"/>
        <v>7.6</v>
      </c>
      <c r="Y164" s="4">
        <f t="shared" si="212"/>
        <v>3.4315</v>
      </c>
      <c r="Z164" s="4">
        <f t="shared" si="213"/>
        <v>0.0685</v>
      </c>
      <c r="AA164" s="238">
        <f t="shared" si="214"/>
        <v>3.5</v>
      </c>
      <c r="AB164" s="61">
        <v>6.0</v>
      </c>
      <c r="AC164" s="236" t="s">
        <v>234</v>
      </c>
      <c r="AD164" s="4">
        <f t="shared" si="215"/>
        <v>6.5415</v>
      </c>
      <c r="AE164" s="4">
        <f t="shared" si="216"/>
        <v>1.3885</v>
      </c>
      <c r="AR164" s="4">
        <f t="shared" ref="AR164:AS164" si="243">($AB164*AD164+$AF164*AH164+$AJ164*AL164+$AN164*AP164)/$C164</f>
        <v>6.5415</v>
      </c>
      <c r="AS164" s="4">
        <f t="shared" si="243"/>
        <v>1.3885</v>
      </c>
      <c r="AT164" s="4">
        <f t="shared" si="224"/>
        <v>7.93</v>
      </c>
      <c r="AU164" s="4">
        <f t="shared" si="225"/>
        <v>-6.9115</v>
      </c>
      <c r="AV164" s="4">
        <f t="shared" si="226"/>
        <v>14.1415</v>
      </c>
      <c r="AW164" s="4">
        <f t="shared" si="227"/>
        <v>7.23</v>
      </c>
      <c r="AX164" s="239">
        <f t="shared" ref="AX164:AZ164" si="244">AU164+Y$173-AU$173</f>
        <v>-3.18431514</v>
      </c>
      <c r="AY164" s="239">
        <f t="shared" si="244"/>
        <v>10.52127717</v>
      </c>
      <c r="AZ164" s="239">
        <f t="shared" si="244"/>
        <v>7.336962025</v>
      </c>
      <c r="CX164" s="4"/>
      <c r="DC164" s="5"/>
      <c r="DD164" s="5"/>
      <c r="DE164" s="5"/>
      <c r="DF164" s="5"/>
      <c r="DG164" s="5"/>
      <c r="DH164" s="5"/>
    </row>
    <row r="165">
      <c r="A165" s="235">
        <v>11.0</v>
      </c>
      <c r="B165" s="236" t="s">
        <v>241</v>
      </c>
      <c r="C165" s="237">
        <v>6.0</v>
      </c>
      <c r="D165" s="237">
        <v>2.0</v>
      </c>
      <c r="E165" s="237">
        <v>4.0</v>
      </c>
      <c r="F165" s="237">
        <v>0.333</v>
      </c>
      <c r="G165" s="237">
        <v>1.4</v>
      </c>
      <c r="H165" s="237">
        <v>4.6</v>
      </c>
      <c r="I165" s="237">
        <v>110.3</v>
      </c>
      <c r="J165" s="237">
        <v>119.8</v>
      </c>
      <c r="K165" s="237">
        <v>85.8</v>
      </c>
      <c r="L165" s="237">
        <v>0.263</v>
      </c>
      <c r="M165" s="237">
        <v>0.313</v>
      </c>
      <c r="N165" s="237">
        <v>0.51</v>
      </c>
      <c r="O165" s="237">
        <v>11.6</v>
      </c>
      <c r="P165" s="237">
        <v>20.3</v>
      </c>
      <c r="Q165" s="237">
        <v>0.229</v>
      </c>
      <c r="R165" s="237">
        <v>0.545</v>
      </c>
      <c r="S165" s="237">
        <v>11.4</v>
      </c>
      <c r="T165" s="237">
        <v>73.9</v>
      </c>
      <c r="U165" s="237">
        <v>0.266</v>
      </c>
      <c r="V165" s="79">
        <f t="shared" si="209"/>
        <v>-9.5</v>
      </c>
      <c r="W165" s="79">
        <f t="shared" si="210"/>
        <v>-1</v>
      </c>
      <c r="X165" s="79">
        <f t="shared" si="211"/>
        <v>-8.5</v>
      </c>
      <c r="Y165" s="4">
        <f t="shared" si="212"/>
        <v>2.1815</v>
      </c>
      <c r="Z165" s="4">
        <f t="shared" si="213"/>
        <v>2.9785</v>
      </c>
      <c r="AA165" s="238">
        <f t="shared" si="214"/>
        <v>5.16</v>
      </c>
      <c r="AB165" s="61">
        <v>6.0</v>
      </c>
      <c r="AC165" s="236" t="s">
        <v>228</v>
      </c>
      <c r="AD165" s="4">
        <f t="shared" si="215"/>
        <v>5.0915</v>
      </c>
      <c r="AE165" s="4">
        <f t="shared" si="216"/>
        <v>6.4085</v>
      </c>
      <c r="AR165" s="4">
        <f t="shared" ref="AR165:AS165" si="245">($AB165*AD165+$AF165*AH165+$AJ165*AL165+$AN165*AP165)/$C165</f>
        <v>5.0915</v>
      </c>
      <c r="AS165" s="4">
        <f t="shared" si="245"/>
        <v>6.4085</v>
      </c>
      <c r="AT165" s="4">
        <f t="shared" si="224"/>
        <v>11.5</v>
      </c>
      <c r="AU165" s="4">
        <f t="shared" si="225"/>
        <v>5.4085</v>
      </c>
      <c r="AV165" s="4">
        <f t="shared" si="226"/>
        <v>-3.4085</v>
      </c>
      <c r="AW165" s="4">
        <f t="shared" si="227"/>
        <v>2</v>
      </c>
      <c r="AX165" s="239">
        <f t="shared" ref="AX165:AZ165" si="246">AU165+Y$173-AU$173</f>
        <v>9.13568486</v>
      </c>
      <c r="AY165" s="239">
        <f t="shared" si="246"/>
        <v>-7.028722835</v>
      </c>
      <c r="AZ165" s="239">
        <f t="shared" si="246"/>
        <v>2.106962025</v>
      </c>
      <c r="CX165" s="4"/>
      <c r="DC165" s="5"/>
      <c r="DD165" s="5"/>
      <c r="DE165" s="5"/>
      <c r="DF165" s="5"/>
      <c r="DG165" s="5"/>
      <c r="DH165" s="5"/>
    </row>
    <row r="166">
      <c r="A166" s="235">
        <v>12.0</v>
      </c>
      <c r="B166" s="236" t="s">
        <v>245</v>
      </c>
      <c r="C166" s="237">
        <v>6.0</v>
      </c>
      <c r="D166" s="237">
        <v>2.0</v>
      </c>
      <c r="E166" s="237">
        <v>4.0</v>
      </c>
      <c r="F166" s="237">
        <v>0.333</v>
      </c>
      <c r="G166" s="237">
        <v>1.7</v>
      </c>
      <c r="H166" s="237">
        <v>4.3</v>
      </c>
      <c r="I166" s="237">
        <v>104.8</v>
      </c>
      <c r="J166" s="237">
        <v>112.2</v>
      </c>
      <c r="K166" s="237">
        <v>92.1</v>
      </c>
      <c r="L166" s="237">
        <v>0.24</v>
      </c>
      <c r="M166" s="237">
        <v>0.285</v>
      </c>
      <c r="N166" s="237">
        <v>0.483</v>
      </c>
      <c r="O166" s="237">
        <v>14.4</v>
      </c>
      <c r="P166" s="237">
        <v>29.6</v>
      </c>
      <c r="Q166" s="237">
        <v>0.204</v>
      </c>
      <c r="R166" s="237">
        <v>0.534</v>
      </c>
      <c r="S166" s="237">
        <v>11.8</v>
      </c>
      <c r="T166" s="237">
        <v>78.5</v>
      </c>
      <c r="U166" s="237">
        <v>0.163</v>
      </c>
      <c r="V166" s="79">
        <f t="shared" si="209"/>
        <v>-7.4</v>
      </c>
      <c r="W166" s="79">
        <f t="shared" si="210"/>
        <v>-6.5</v>
      </c>
      <c r="X166" s="79">
        <f t="shared" si="211"/>
        <v>-0.9</v>
      </c>
      <c r="Y166" s="4">
        <f t="shared" si="212"/>
        <v>1.3815</v>
      </c>
      <c r="Z166" s="4">
        <f t="shared" si="213"/>
        <v>2.5485</v>
      </c>
      <c r="AA166" s="238">
        <f t="shared" si="214"/>
        <v>3.93</v>
      </c>
      <c r="AB166" s="61">
        <v>6.0</v>
      </c>
      <c r="AC166" s="236" t="s">
        <v>237</v>
      </c>
      <c r="AD166" s="4">
        <f t="shared" si="215"/>
        <v>5.2815</v>
      </c>
      <c r="AE166" s="4">
        <f t="shared" si="216"/>
        <v>1.0385</v>
      </c>
      <c r="AR166" s="4">
        <f t="shared" ref="AR166:AS166" si="247">($AB166*AD166+$AF166*AH166+$AJ166*AL166+$AN166*AP166)/$C166</f>
        <v>5.2815</v>
      </c>
      <c r="AS166" s="4">
        <f t="shared" si="247"/>
        <v>1.0385</v>
      </c>
      <c r="AT166" s="4">
        <f t="shared" si="224"/>
        <v>6.32</v>
      </c>
      <c r="AU166" s="4">
        <f t="shared" si="225"/>
        <v>-5.4615</v>
      </c>
      <c r="AV166" s="4">
        <f t="shared" si="226"/>
        <v>4.3815</v>
      </c>
      <c r="AW166" s="4">
        <f t="shared" si="227"/>
        <v>-1.08</v>
      </c>
      <c r="AX166" s="239">
        <f t="shared" ref="AX166:AZ166" si="248">AU166+Y$173-AU$173</f>
        <v>-1.73431514</v>
      </c>
      <c r="AY166" s="239">
        <f t="shared" si="248"/>
        <v>0.7612771655</v>
      </c>
      <c r="AZ166" s="239">
        <f t="shared" si="248"/>
        <v>-0.9730379747</v>
      </c>
      <c r="CX166" s="4"/>
      <c r="DC166" s="5"/>
      <c r="DD166" s="5"/>
      <c r="DE166" s="5"/>
      <c r="DF166" s="5"/>
      <c r="DG166" s="5"/>
      <c r="DH166" s="5"/>
    </row>
    <row r="167">
      <c r="A167" s="235">
        <v>13.0</v>
      </c>
      <c r="B167" s="236" t="s">
        <v>250</v>
      </c>
      <c r="C167" s="237">
        <v>6.0</v>
      </c>
      <c r="D167" s="237">
        <v>2.0</v>
      </c>
      <c r="E167" s="237">
        <v>4.0</v>
      </c>
      <c r="F167" s="237">
        <v>0.333</v>
      </c>
      <c r="G167" s="237">
        <v>2.8</v>
      </c>
      <c r="H167" s="237">
        <v>3.2</v>
      </c>
      <c r="I167" s="237">
        <v>107.3</v>
      </c>
      <c r="J167" s="237">
        <v>108.5</v>
      </c>
      <c r="K167" s="237">
        <v>98.4</v>
      </c>
      <c r="L167" s="237">
        <v>0.343</v>
      </c>
      <c r="M167" s="237">
        <v>0.323</v>
      </c>
      <c r="N167" s="237">
        <v>0.493</v>
      </c>
      <c r="O167" s="237">
        <v>14.1</v>
      </c>
      <c r="P167" s="237">
        <v>26.4</v>
      </c>
      <c r="Q167" s="237">
        <v>0.262</v>
      </c>
      <c r="R167" s="237">
        <v>0.502</v>
      </c>
      <c r="S167" s="237">
        <v>11.8</v>
      </c>
      <c r="T167" s="237">
        <v>77.3</v>
      </c>
      <c r="U167" s="237">
        <v>0.227</v>
      </c>
      <c r="V167" s="79">
        <f t="shared" si="209"/>
        <v>-1.2</v>
      </c>
      <c r="W167" s="79">
        <f t="shared" si="210"/>
        <v>-4</v>
      </c>
      <c r="X167" s="79">
        <f t="shared" si="211"/>
        <v>2.8</v>
      </c>
      <c r="Y167" s="4">
        <f t="shared" si="212"/>
        <v>-1.2085</v>
      </c>
      <c r="Z167" s="4">
        <f t="shared" si="213"/>
        <v>3.8385</v>
      </c>
      <c r="AA167" s="238">
        <f t="shared" si="214"/>
        <v>2.63</v>
      </c>
      <c r="AB167" s="61">
        <v>6.0</v>
      </c>
      <c r="AC167" s="236" t="s">
        <v>238</v>
      </c>
      <c r="AD167" s="4">
        <f t="shared" si="215"/>
        <v>5.4315</v>
      </c>
      <c r="AE167" s="4">
        <f t="shared" si="216"/>
        <v>0.0385</v>
      </c>
      <c r="AR167" s="4">
        <f t="shared" ref="AR167:AS167" si="249">($AB167*AD167+$AF167*AH167+$AJ167*AL167+$AN167*AP167)/$C167</f>
        <v>5.4315</v>
      </c>
      <c r="AS167" s="4">
        <f t="shared" si="249"/>
        <v>0.0385</v>
      </c>
      <c r="AT167" s="4">
        <f t="shared" si="224"/>
        <v>5.47</v>
      </c>
      <c r="AU167" s="4">
        <f t="shared" si="225"/>
        <v>-3.9615</v>
      </c>
      <c r="AV167" s="4">
        <f t="shared" si="226"/>
        <v>8.2315</v>
      </c>
      <c r="AW167" s="4">
        <f t="shared" si="227"/>
        <v>4.27</v>
      </c>
      <c r="AX167" s="239">
        <f t="shared" ref="AX167:AZ167" si="250">AU167+Y$173-AU$173</f>
        <v>-0.2343151402</v>
      </c>
      <c r="AY167" s="239">
        <f t="shared" si="250"/>
        <v>4.611277165</v>
      </c>
      <c r="AZ167" s="239">
        <f t="shared" si="250"/>
        <v>4.376962025</v>
      </c>
      <c r="CX167" s="4"/>
      <c r="DC167" s="5"/>
      <c r="DD167" s="5"/>
      <c r="DE167" s="5"/>
      <c r="DF167" s="5"/>
      <c r="DG167" s="5"/>
      <c r="DH167" s="5"/>
    </row>
    <row r="168">
      <c r="A168" s="235">
        <v>14.0</v>
      </c>
      <c r="B168" s="236" t="s">
        <v>240</v>
      </c>
      <c r="C168" s="237">
        <v>5.0</v>
      </c>
      <c r="D168" s="237">
        <v>1.0</v>
      </c>
      <c r="E168" s="237">
        <v>4.0</v>
      </c>
      <c r="F168" s="237">
        <v>0.2</v>
      </c>
      <c r="G168" s="237">
        <v>1.2</v>
      </c>
      <c r="H168" s="237">
        <v>3.8</v>
      </c>
      <c r="I168" s="237">
        <v>105.7</v>
      </c>
      <c r="J168" s="237">
        <v>114.4</v>
      </c>
      <c r="K168" s="237">
        <v>98.6</v>
      </c>
      <c r="L168" s="237">
        <v>0.309</v>
      </c>
      <c r="M168" s="237">
        <v>0.309</v>
      </c>
      <c r="N168" s="237">
        <v>0.49</v>
      </c>
      <c r="O168" s="237">
        <v>11.4</v>
      </c>
      <c r="P168" s="237">
        <v>26.0</v>
      </c>
      <c r="Q168" s="237">
        <v>0.213</v>
      </c>
      <c r="R168" s="237">
        <v>0.513</v>
      </c>
      <c r="S168" s="237">
        <v>13.1</v>
      </c>
      <c r="T168" s="237">
        <v>74.8</v>
      </c>
      <c r="U168" s="237">
        <v>0.32</v>
      </c>
      <c r="V168" s="79">
        <f t="shared" si="209"/>
        <v>-8.7</v>
      </c>
      <c r="W168" s="79">
        <f t="shared" si="210"/>
        <v>-5.6</v>
      </c>
      <c r="X168" s="79">
        <f t="shared" si="211"/>
        <v>-3.1</v>
      </c>
      <c r="Y168" s="4">
        <f t="shared" si="212"/>
        <v>2.4115</v>
      </c>
      <c r="Z168" s="4">
        <f t="shared" si="213"/>
        <v>2.7785</v>
      </c>
      <c r="AA168" s="238">
        <f t="shared" si="214"/>
        <v>5.19</v>
      </c>
      <c r="AB168" s="61">
        <v>5.0</v>
      </c>
      <c r="AC168" s="236" t="s">
        <v>230</v>
      </c>
      <c r="AD168" s="4">
        <f t="shared" si="215"/>
        <v>9.1715</v>
      </c>
      <c r="AE168" s="4">
        <f t="shared" si="216"/>
        <v>0.5485</v>
      </c>
      <c r="AR168" s="4">
        <f t="shared" ref="AR168:AS168" si="251">($AB168*AD168+$AF168*AH168+$AJ168*AL168+$AN168*AP168)/$C168</f>
        <v>9.1715</v>
      </c>
      <c r="AS168" s="4">
        <f t="shared" si="251"/>
        <v>0.5485</v>
      </c>
      <c r="AT168" s="4">
        <f t="shared" si="224"/>
        <v>9.72</v>
      </c>
      <c r="AU168" s="4">
        <f t="shared" si="225"/>
        <v>-5.0515</v>
      </c>
      <c r="AV168" s="4">
        <f t="shared" si="226"/>
        <v>6.0715</v>
      </c>
      <c r="AW168" s="4">
        <f t="shared" si="227"/>
        <v>1.02</v>
      </c>
      <c r="AX168" s="239">
        <f t="shared" ref="AX168:AZ168" si="252">AU168+Y$173-AU$173</f>
        <v>-1.32431514</v>
      </c>
      <c r="AY168" s="239">
        <f t="shared" si="252"/>
        <v>2.451277165</v>
      </c>
      <c r="AZ168" s="239">
        <f t="shared" si="252"/>
        <v>1.126962025</v>
      </c>
      <c r="CX168" s="4"/>
      <c r="DC168" s="5"/>
      <c r="DD168" s="5"/>
      <c r="DE168" s="5"/>
      <c r="DF168" s="5"/>
      <c r="DG168" s="5"/>
      <c r="DH168" s="5"/>
    </row>
    <row r="169">
      <c r="A169" s="235">
        <v>15.0</v>
      </c>
      <c r="B169" s="236" t="s">
        <v>246</v>
      </c>
      <c r="C169" s="237">
        <v>4.0</v>
      </c>
      <c r="D169" s="237">
        <v>0.0</v>
      </c>
      <c r="E169" s="237">
        <v>4.0</v>
      </c>
      <c r="F169" s="237">
        <v>0.0</v>
      </c>
      <c r="G169" s="237">
        <v>0.4</v>
      </c>
      <c r="H169" s="237">
        <v>3.6</v>
      </c>
      <c r="I169" s="237">
        <v>99.3</v>
      </c>
      <c r="J169" s="237">
        <v>116.9</v>
      </c>
      <c r="K169" s="237">
        <v>102.3</v>
      </c>
      <c r="L169" s="237">
        <v>0.271</v>
      </c>
      <c r="M169" s="237">
        <v>0.38</v>
      </c>
      <c r="N169" s="237">
        <v>0.458</v>
      </c>
      <c r="O169" s="237">
        <v>13.2</v>
      </c>
      <c r="P169" s="237">
        <v>20.6</v>
      </c>
      <c r="Q169" s="237">
        <v>0.218</v>
      </c>
      <c r="R169" s="237">
        <v>0.556</v>
      </c>
      <c r="S169" s="237">
        <v>11.1</v>
      </c>
      <c r="T169" s="237">
        <v>81.0</v>
      </c>
      <c r="U169" s="237">
        <v>0.258</v>
      </c>
      <c r="V169" s="79">
        <f t="shared" si="209"/>
        <v>-17.6</v>
      </c>
      <c r="W169" s="79">
        <f t="shared" si="210"/>
        <v>-12</v>
      </c>
      <c r="X169" s="79">
        <f t="shared" si="211"/>
        <v>-5.6</v>
      </c>
      <c r="Y169" s="4">
        <f t="shared" si="212"/>
        <v>4.5615</v>
      </c>
      <c r="Z169" s="4">
        <f t="shared" si="213"/>
        <v>-0.7815</v>
      </c>
      <c r="AA169" s="238">
        <f t="shared" si="214"/>
        <v>3.78</v>
      </c>
      <c r="AB169" s="61">
        <v>4.0</v>
      </c>
      <c r="AC169" s="236" t="s">
        <v>226</v>
      </c>
      <c r="AD169" s="4">
        <f t="shared" si="215"/>
        <v>9.4915</v>
      </c>
      <c r="AE169" s="4">
        <f t="shared" si="216"/>
        <v>5.9185</v>
      </c>
      <c r="AR169" s="4">
        <f t="shared" ref="AR169:AS169" si="253">($AB169*AD169+$AF169*AH169+$AJ169*AL169+$AN169*AP169)/$C169</f>
        <v>9.4915</v>
      </c>
      <c r="AS169" s="4">
        <f t="shared" si="253"/>
        <v>5.9185</v>
      </c>
      <c r="AT169" s="4">
        <f t="shared" si="224"/>
        <v>15.41</v>
      </c>
      <c r="AU169" s="4">
        <f t="shared" si="225"/>
        <v>-6.0815</v>
      </c>
      <c r="AV169" s="4">
        <f t="shared" si="226"/>
        <v>3.8915</v>
      </c>
      <c r="AW169" s="4">
        <f t="shared" si="227"/>
        <v>-2.19</v>
      </c>
      <c r="AX169" s="239">
        <f t="shared" ref="AX169:AZ169" si="254">AU169+Y$173-AU$173</f>
        <v>-2.35431514</v>
      </c>
      <c r="AY169" s="239">
        <f t="shared" si="254"/>
        <v>0.2712771655</v>
      </c>
      <c r="AZ169" s="239">
        <f t="shared" si="254"/>
        <v>-2.083037975</v>
      </c>
      <c r="CX169" s="4"/>
      <c r="DC169" s="5"/>
      <c r="DD169" s="5"/>
      <c r="DE169" s="5"/>
      <c r="DF169" s="5"/>
      <c r="DG169" s="5"/>
      <c r="DH169" s="5"/>
    </row>
    <row r="170">
      <c r="A170" s="235">
        <v>16.0</v>
      </c>
      <c r="B170" s="236" t="s">
        <v>248</v>
      </c>
      <c r="C170" s="237">
        <v>4.0</v>
      </c>
      <c r="D170" s="237">
        <v>0.0</v>
      </c>
      <c r="E170" s="237">
        <v>4.0</v>
      </c>
      <c r="F170" s="237">
        <v>0.0</v>
      </c>
      <c r="G170" s="237">
        <v>1.5</v>
      </c>
      <c r="H170" s="237">
        <v>2.5</v>
      </c>
      <c r="I170" s="237">
        <v>114.7</v>
      </c>
      <c r="J170" s="237">
        <v>118.9</v>
      </c>
      <c r="K170" s="237">
        <v>94.8</v>
      </c>
      <c r="L170" s="237">
        <v>0.247</v>
      </c>
      <c r="M170" s="237">
        <v>0.33</v>
      </c>
      <c r="N170" s="237">
        <v>0.53</v>
      </c>
      <c r="O170" s="237">
        <v>12.1</v>
      </c>
      <c r="P170" s="237">
        <v>28.3</v>
      </c>
      <c r="Q170" s="237">
        <v>0.19</v>
      </c>
      <c r="R170" s="237">
        <v>0.565</v>
      </c>
      <c r="S170" s="237">
        <v>11.9</v>
      </c>
      <c r="T170" s="237">
        <v>75.2</v>
      </c>
      <c r="U170" s="237">
        <v>0.233</v>
      </c>
      <c r="V170" s="79">
        <f t="shared" si="209"/>
        <v>-4.2</v>
      </c>
      <c r="W170" s="79">
        <f t="shared" si="210"/>
        <v>3.4</v>
      </c>
      <c r="X170" s="79">
        <f t="shared" si="211"/>
        <v>-7.6</v>
      </c>
      <c r="Y170" s="4">
        <f t="shared" si="212"/>
        <v>2.6815</v>
      </c>
      <c r="Z170" s="4">
        <f t="shared" si="213"/>
        <v>0.7185</v>
      </c>
      <c r="AA170" s="238">
        <f t="shared" si="214"/>
        <v>3.4</v>
      </c>
      <c r="AB170" s="61">
        <v>4.0</v>
      </c>
      <c r="AC170" s="236" t="s">
        <v>62</v>
      </c>
      <c r="AD170" s="4">
        <f t="shared" si="215"/>
        <v>9.20989119</v>
      </c>
      <c r="AE170" s="4">
        <f t="shared" si="216"/>
        <v>-2.425398135</v>
      </c>
      <c r="AR170" s="4">
        <f t="shared" ref="AR170:AS170" si="255">($AB170*AD170+$AF170*AH170+$AJ170*AL170+$AN170*AP170)/$C170</f>
        <v>9.20989119</v>
      </c>
      <c r="AS170" s="4">
        <f t="shared" si="255"/>
        <v>-2.425398135</v>
      </c>
      <c r="AT170" s="4">
        <f t="shared" si="224"/>
        <v>6.784493055</v>
      </c>
      <c r="AU170" s="4">
        <f t="shared" si="225"/>
        <v>0.9746018651</v>
      </c>
      <c r="AV170" s="4">
        <f t="shared" si="226"/>
        <v>1.60989119</v>
      </c>
      <c r="AW170" s="4">
        <f t="shared" si="227"/>
        <v>2.584493055</v>
      </c>
      <c r="AX170" s="239">
        <f t="shared" ref="AX170:AZ170" si="256">AU170+Y$173-AU$173</f>
        <v>4.701786725</v>
      </c>
      <c r="AY170" s="239">
        <f t="shared" si="256"/>
        <v>-2.010331644</v>
      </c>
      <c r="AZ170" s="239">
        <f t="shared" si="256"/>
        <v>2.691455081</v>
      </c>
      <c r="CX170" s="4"/>
      <c r="DC170" s="5"/>
      <c r="DD170" s="5"/>
      <c r="DE170" s="5"/>
      <c r="DF170" s="5"/>
      <c r="DG170" s="5"/>
      <c r="DH170" s="5"/>
    </row>
    <row r="171">
      <c r="A171" s="240"/>
      <c r="B171" s="237" t="s">
        <v>453</v>
      </c>
      <c r="C171" s="237">
        <v>9.9</v>
      </c>
      <c r="D171" s="237">
        <v>4.9</v>
      </c>
      <c r="E171" s="237">
        <v>4.9</v>
      </c>
      <c r="F171" s="237">
        <v>0.5</v>
      </c>
      <c r="G171" s="237">
        <v>5.0</v>
      </c>
      <c r="H171" s="237">
        <v>4.9</v>
      </c>
      <c r="I171" s="237">
        <v>111.3</v>
      </c>
      <c r="J171" s="237">
        <v>111.3</v>
      </c>
      <c r="K171" s="237">
        <v>94.9</v>
      </c>
      <c r="L171" s="237">
        <v>0.285</v>
      </c>
      <c r="M171" s="237">
        <v>0.348</v>
      </c>
      <c r="N171" s="237">
        <v>0.523</v>
      </c>
      <c r="O171" s="237">
        <v>12.4</v>
      </c>
      <c r="P171" s="237">
        <v>23.2</v>
      </c>
      <c r="Q171" s="237">
        <v>0.221</v>
      </c>
      <c r="R171" s="237">
        <v>0.523</v>
      </c>
      <c r="S171" s="237">
        <v>12.4</v>
      </c>
      <c r="T171" s="237">
        <v>76.8</v>
      </c>
      <c r="U171" s="237">
        <v>0.221</v>
      </c>
      <c r="V171" s="79"/>
      <c r="W171" s="79"/>
      <c r="X171" s="79"/>
      <c r="AX171" s="241"/>
      <c r="AY171" s="241"/>
      <c r="AZ171" s="241"/>
      <c r="CX171" s="4"/>
      <c r="DC171" s="5"/>
      <c r="DD171" s="5"/>
      <c r="DE171" s="5"/>
      <c r="DF171" s="5"/>
      <c r="DG171" s="5"/>
      <c r="DH171" s="5"/>
    </row>
    <row r="172">
      <c r="AX172" s="241"/>
      <c r="AY172" s="241"/>
      <c r="AZ172" s="241"/>
      <c r="CX172" s="4"/>
      <c r="DC172" s="5"/>
      <c r="DD172" s="5"/>
      <c r="DE172" s="5"/>
      <c r="DF172" s="5"/>
      <c r="DG172" s="5"/>
      <c r="DH172" s="5"/>
    </row>
    <row r="173">
      <c r="X173" s="242" t="s">
        <v>454</v>
      </c>
      <c r="Y173" s="166">
        <f t="shared" ref="Y173:AA173" si="257">sumproduct(Y155:Y170,$C$155:$C$170)/sum($C$155:$C$170)</f>
        <v>5.736949629</v>
      </c>
      <c r="Z173" s="166">
        <f t="shared" si="257"/>
        <v>2.093941985</v>
      </c>
      <c r="AA173" s="166">
        <f t="shared" si="257"/>
        <v>7.830891614</v>
      </c>
      <c r="AT173" s="243" t="s">
        <v>455</v>
      </c>
      <c r="AU173" s="244">
        <f t="shared" ref="AU173:AW173" si="258">sumproduct(AU155:AU170,$C$155:$C$170)/sum($C$155:$C$170)</f>
        <v>2.009764769</v>
      </c>
      <c r="AV173" s="244">
        <f t="shared" si="258"/>
        <v>5.714164819</v>
      </c>
      <c r="AW173" s="244">
        <f t="shared" si="258"/>
        <v>7.723929589</v>
      </c>
      <c r="CU173" s="4"/>
      <c r="CZ173" s="5"/>
      <c r="DA173" s="5"/>
      <c r="DB173" s="5"/>
      <c r="DC173" s="5"/>
      <c r="DD173" s="5"/>
      <c r="DE173" s="5"/>
      <c r="DF173" s="5"/>
      <c r="DG173" s="5"/>
      <c r="DH173" s="5"/>
    </row>
    <row r="174">
      <c r="CU174" s="4"/>
      <c r="CZ174" s="5"/>
      <c r="DA174" s="5"/>
      <c r="DB174" s="5"/>
      <c r="DC174" s="5"/>
      <c r="DD174" s="5"/>
      <c r="DE174" s="5"/>
      <c r="DF174" s="5"/>
      <c r="DG174" s="5"/>
      <c r="DH174" s="5"/>
    </row>
    <row r="175">
      <c r="CU175" s="4"/>
      <c r="CZ175" s="5"/>
      <c r="DA175" s="5"/>
      <c r="DB175" s="5"/>
      <c r="DC175" s="5"/>
      <c r="DD175" s="5"/>
      <c r="DE175" s="5"/>
      <c r="DF175" s="5"/>
      <c r="DG175" s="5"/>
      <c r="DH175" s="5"/>
    </row>
    <row r="176">
      <c r="CU176" s="4"/>
      <c r="CZ176" s="5"/>
      <c r="DA176" s="5"/>
      <c r="DB176" s="5"/>
      <c r="DC176" s="5"/>
      <c r="DD176" s="5"/>
      <c r="DE176" s="5"/>
      <c r="DF176" s="5"/>
      <c r="DG176" s="5"/>
      <c r="DH176" s="5"/>
    </row>
    <row r="177">
      <c r="CU177" s="4"/>
      <c r="CZ177" s="5"/>
      <c r="DA177" s="5"/>
      <c r="DB177" s="5"/>
      <c r="DC177" s="5"/>
      <c r="DD177" s="5"/>
      <c r="DE177" s="5"/>
      <c r="DF177" s="5"/>
      <c r="DG177" s="5"/>
      <c r="DH177" s="5"/>
    </row>
    <row r="178">
      <c r="CU178" s="4"/>
      <c r="CZ178" s="5"/>
      <c r="DA178" s="5"/>
      <c r="DB178" s="5"/>
      <c r="DC178" s="5"/>
      <c r="DD178" s="5"/>
      <c r="DE178" s="5"/>
      <c r="DF178" s="5"/>
      <c r="DG178" s="5"/>
      <c r="DH178" s="5"/>
    </row>
    <row r="179">
      <c r="CU179" s="4"/>
      <c r="CZ179" s="5"/>
      <c r="DA179" s="5"/>
      <c r="DB179" s="5"/>
      <c r="DC179" s="5"/>
      <c r="DD179" s="5"/>
      <c r="DE179" s="5"/>
      <c r="DF179" s="5"/>
      <c r="DG179" s="5"/>
      <c r="DH179" s="5"/>
    </row>
    <row r="180">
      <c r="CU180" s="4"/>
      <c r="CZ180" s="5"/>
      <c r="DA180" s="5"/>
      <c r="DB180" s="5"/>
      <c r="DC180" s="5"/>
      <c r="DD180" s="5"/>
      <c r="DE180" s="5"/>
      <c r="DF180" s="5"/>
      <c r="DG180" s="5"/>
      <c r="DH180" s="5"/>
    </row>
    <row r="181">
      <c r="CU181" s="4"/>
      <c r="CZ181" s="5"/>
      <c r="DA181" s="5"/>
      <c r="DB181" s="5"/>
      <c r="DC181" s="5"/>
      <c r="DD181" s="5"/>
      <c r="DE181" s="5"/>
      <c r="DF181" s="5"/>
      <c r="DG181" s="5"/>
      <c r="DH181" s="5"/>
    </row>
    <row r="182">
      <c r="CU182" s="4"/>
      <c r="CZ182" s="5"/>
      <c r="DA182" s="5"/>
      <c r="DB182" s="5"/>
      <c r="DC182" s="5"/>
      <c r="DD182" s="5"/>
      <c r="DE182" s="5"/>
      <c r="DF182" s="5"/>
      <c r="DG182" s="5"/>
      <c r="DH182" s="5"/>
    </row>
    <row r="183">
      <c r="CU183" s="4"/>
      <c r="CZ183" s="5"/>
      <c r="DA183" s="5"/>
      <c r="DB183" s="5"/>
      <c r="DC183" s="5"/>
      <c r="DD183" s="5"/>
      <c r="DE183" s="5"/>
      <c r="DF183" s="5"/>
      <c r="DG183" s="5"/>
      <c r="DH183" s="5"/>
    </row>
    <row r="184">
      <c r="CU184" s="4"/>
      <c r="CZ184" s="5"/>
      <c r="DA184" s="5"/>
      <c r="DB184" s="5"/>
      <c r="DC184" s="5"/>
      <c r="DD184" s="5"/>
      <c r="DE184" s="5"/>
      <c r="DF184" s="5"/>
      <c r="DG184" s="5"/>
      <c r="DH184" s="5"/>
    </row>
    <row r="185">
      <c r="CU185" s="4"/>
      <c r="CZ185" s="5"/>
      <c r="DA185" s="5"/>
      <c r="DB185" s="5"/>
      <c r="DC185" s="5"/>
      <c r="DD185" s="5"/>
      <c r="DE185" s="5"/>
      <c r="DF185" s="5"/>
      <c r="DG185" s="5"/>
      <c r="DH185" s="5"/>
    </row>
    <row r="186">
      <c r="CU186" s="4"/>
      <c r="CZ186" s="5"/>
      <c r="DA186" s="5"/>
      <c r="DB186" s="5"/>
      <c r="DC186" s="5"/>
      <c r="DD186" s="5"/>
      <c r="DE186" s="5"/>
      <c r="DF186" s="5"/>
      <c r="DG186" s="5"/>
      <c r="DH186" s="5"/>
    </row>
    <row r="187">
      <c r="CU187" s="4"/>
      <c r="CZ187" s="5"/>
      <c r="DA187" s="5"/>
      <c r="DB187" s="5"/>
      <c r="DC187" s="5"/>
      <c r="DD187" s="5"/>
      <c r="DE187" s="5"/>
      <c r="DF187" s="5"/>
      <c r="DG187" s="5"/>
      <c r="DH187" s="5"/>
    </row>
    <row r="188">
      <c r="CU188" s="4"/>
      <c r="CZ188" s="5"/>
      <c r="DA188" s="5"/>
      <c r="DB188" s="5"/>
      <c r="DC188" s="5"/>
      <c r="DD188" s="5"/>
      <c r="DE188" s="5"/>
      <c r="DF188" s="5"/>
      <c r="DG188" s="5"/>
      <c r="DH188" s="5"/>
    </row>
    <row r="189">
      <c r="CU189" s="4"/>
      <c r="CZ189" s="5"/>
      <c r="DA189" s="5"/>
      <c r="DB189" s="5"/>
      <c r="DC189" s="5"/>
      <c r="DD189" s="5"/>
      <c r="DE189" s="5"/>
      <c r="DF189" s="5"/>
      <c r="DG189" s="5"/>
      <c r="DH189" s="5"/>
    </row>
    <row r="190">
      <c r="CU190" s="4"/>
      <c r="CZ190" s="5"/>
      <c r="DA190" s="5"/>
      <c r="DB190" s="5"/>
      <c r="DC190" s="5"/>
      <c r="DD190" s="5"/>
      <c r="DE190" s="5"/>
      <c r="DF190" s="5"/>
      <c r="DG190" s="5"/>
      <c r="DH190" s="5"/>
    </row>
    <row r="191">
      <c r="CU191" s="4"/>
      <c r="CZ191" s="5"/>
      <c r="DA191" s="5"/>
      <c r="DB191" s="5"/>
      <c r="DC191" s="5"/>
      <c r="DD191" s="5"/>
      <c r="DE191" s="5"/>
      <c r="DF191" s="5"/>
      <c r="DG191" s="5"/>
      <c r="DH191" s="5"/>
    </row>
    <row r="192">
      <c r="CU192" s="4"/>
      <c r="CZ192" s="5"/>
      <c r="DA192" s="5"/>
      <c r="DB192" s="5"/>
      <c r="DC192" s="5"/>
      <c r="DD192" s="5"/>
      <c r="DE192" s="5"/>
      <c r="DF192" s="5"/>
      <c r="DG192" s="5"/>
      <c r="DH192" s="5"/>
    </row>
    <row r="193">
      <c r="CU193" s="4"/>
      <c r="CZ193" s="5"/>
      <c r="DA193" s="5"/>
      <c r="DB193" s="5"/>
      <c r="DC193" s="5"/>
      <c r="DD193" s="5"/>
      <c r="DE193" s="5"/>
      <c r="DF193" s="5"/>
      <c r="DG193" s="5"/>
      <c r="DH193" s="5"/>
    </row>
    <row r="194">
      <c r="CU194" s="4"/>
      <c r="CZ194" s="5"/>
      <c r="DA194" s="5"/>
      <c r="DB194" s="5"/>
      <c r="DC194" s="5"/>
      <c r="DD194" s="5"/>
      <c r="DE194" s="5"/>
      <c r="DF194" s="5"/>
      <c r="DG194" s="5"/>
      <c r="DH194" s="5"/>
    </row>
    <row r="195">
      <c r="CU195" s="4"/>
      <c r="CZ195" s="5"/>
      <c r="DA195" s="5"/>
      <c r="DB195" s="5"/>
      <c r="DC195" s="5"/>
      <c r="DD195" s="5"/>
      <c r="DE195" s="5"/>
      <c r="DF195" s="5"/>
      <c r="DG195" s="5"/>
      <c r="DH195" s="5"/>
    </row>
    <row r="196">
      <c r="CU196" s="4"/>
      <c r="CZ196" s="5"/>
      <c r="DA196" s="5"/>
      <c r="DB196" s="5"/>
      <c r="DC196" s="5"/>
      <c r="DD196" s="5"/>
      <c r="DE196" s="5"/>
      <c r="DF196" s="5"/>
      <c r="DG196" s="5"/>
      <c r="DH196" s="5"/>
    </row>
    <row r="197">
      <c r="CU197" s="4"/>
      <c r="CZ197" s="5"/>
      <c r="DA197" s="5"/>
      <c r="DB197" s="5"/>
      <c r="DC197" s="5"/>
      <c r="DD197" s="5"/>
      <c r="DE197" s="5"/>
      <c r="DF197" s="5"/>
      <c r="DG197" s="5"/>
      <c r="DH197" s="5"/>
    </row>
    <row r="198">
      <c r="CU198" s="4"/>
      <c r="CZ198" s="5"/>
      <c r="DA198" s="5"/>
      <c r="DB198" s="5"/>
      <c r="DC198" s="5"/>
      <c r="DD198" s="5"/>
      <c r="DE198" s="5"/>
      <c r="DF198" s="5"/>
      <c r="DG198" s="5"/>
      <c r="DH198" s="5"/>
    </row>
    <row r="199">
      <c r="CU199" s="4"/>
      <c r="CZ199" s="5"/>
      <c r="DA199" s="5"/>
      <c r="DB199" s="5"/>
      <c r="DC199" s="5"/>
      <c r="DD199" s="5"/>
      <c r="DE199" s="5"/>
      <c r="DF199" s="5"/>
      <c r="DG199" s="5"/>
      <c r="DH199" s="5"/>
    </row>
    <row r="200">
      <c r="CU200" s="4"/>
      <c r="CZ200" s="5"/>
      <c r="DA200" s="5"/>
      <c r="DB200" s="5"/>
      <c r="DC200" s="5"/>
      <c r="DD200" s="5"/>
      <c r="DE200" s="5"/>
      <c r="DF200" s="5"/>
      <c r="DG200" s="5"/>
      <c r="DH200" s="5"/>
    </row>
    <row r="201">
      <c r="CU201" s="4"/>
      <c r="CZ201" s="5"/>
      <c r="DA201" s="5"/>
      <c r="DB201" s="5"/>
      <c r="DC201" s="5"/>
      <c r="DD201" s="5"/>
      <c r="DE201" s="5"/>
      <c r="DF201" s="5"/>
      <c r="DG201" s="5"/>
      <c r="DH201" s="5"/>
    </row>
    <row r="202">
      <c r="CU202" s="4"/>
      <c r="CZ202" s="5"/>
      <c r="DA202" s="5"/>
      <c r="DB202" s="5"/>
      <c r="DC202" s="5"/>
      <c r="DD202" s="5"/>
      <c r="DE202" s="5"/>
      <c r="DF202" s="5"/>
      <c r="DG202" s="5"/>
      <c r="DH202" s="5"/>
    </row>
    <row r="203">
      <c r="CU203" s="4"/>
      <c r="CZ203" s="5"/>
      <c r="DA203" s="5"/>
      <c r="DB203" s="5"/>
      <c r="DC203" s="5"/>
      <c r="DD203" s="5"/>
      <c r="DE203" s="5"/>
      <c r="DF203" s="5"/>
      <c r="DG203" s="5"/>
      <c r="DH203" s="5"/>
    </row>
    <row r="204">
      <c r="CU204" s="4"/>
      <c r="CZ204" s="5"/>
      <c r="DA204" s="5"/>
      <c r="DB204" s="5"/>
      <c r="DC204" s="5"/>
      <c r="DD204" s="5"/>
      <c r="DE204" s="5"/>
      <c r="DF204" s="5"/>
      <c r="DG204" s="5"/>
      <c r="DH204" s="5"/>
    </row>
    <row r="205">
      <c r="CU205" s="4"/>
      <c r="CZ205" s="5"/>
      <c r="DA205" s="5"/>
      <c r="DB205" s="5"/>
      <c r="DC205" s="5"/>
      <c r="DD205" s="5"/>
      <c r="DE205" s="5"/>
      <c r="DF205" s="5"/>
      <c r="DG205" s="5"/>
      <c r="DH205" s="5"/>
    </row>
    <row r="206">
      <c r="CU206" s="4"/>
      <c r="CZ206" s="5"/>
      <c r="DA206" s="5"/>
      <c r="DB206" s="5"/>
      <c r="DC206" s="5"/>
      <c r="DD206" s="5"/>
      <c r="DE206" s="5"/>
      <c r="DF206" s="5"/>
      <c r="DG206" s="5"/>
      <c r="DH206" s="5"/>
    </row>
    <row r="207">
      <c r="CU207" s="4"/>
      <c r="CZ207" s="5"/>
      <c r="DA207" s="5"/>
      <c r="DB207" s="5"/>
      <c r="DC207" s="5"/>
      <c r="DD207" s="5"/>
      <c r="DE207" s="5"/>
      <c r="DF207" s="5"/>
      <c r="DG207" s="5"/>
      <c r="DH207" s="5"/>
    </row>
    <row r="208">
      <c r="CU208" s="4"/>
      <c r="CZ208" s="5"/>
      <c r="DA208" s="5"/>
      <c r="DB208" s="5"/>
      <c r="DC208" s="5"/>
      <c r="DD208" s="5"/>
      <c r="DE208" s="5"/>
      <c r="DF208" s="5"/>
      <c r="DG208" s="5"/>
      <c r="DH208" s="5"/>
    </row>
    <row r="209">
      <c r="CU209" s="4"/>
      <c r="CZ209" s="5"/>
      <c r="DA209" s="5"/>
      <c r="DB209" s="5"/>
      <c r="DC209" s="5"/>
      <c r="DD209" s="5"/>
      <c r="DE209" s="5"/>
      <c r="DF209" s="5"/>
      <c r="DG209" s="5"/>
      <c r="DH209" s="5"/>
    </row>
    <row r="210">
      <c r="CU210" s="4"/>
      <c r="CZ210" s="5"/>
      <c r="DA210" s="5"/>
      <c r="DB210" s="5"/>
      <c r="DC210" s="5"/>
      <c r="DD210" s="5"/>
      <c r="DE210" s="5"/>
      <c r="DF210" s="5"/>
      <c r="DG210" s="5"/>
      <c r="DH210" s="5"/>
    </row>
    <row r="211">
      <c r="CU211" s="4"/>
      <c r="CZ211" s="5"/>
      <c r="DA211" s="5"/>
      <c r="DB211" s="5"/>
      <c r="DC211" s="5"/>
      <c r="DD211" s="5"/>
      <c r="DE211" s="5"/>
      <c r="DF211" s="5"/>
      <c r="DG211" s="5"/>
      <c r="DH211" s="5"/>
    </row>
    <row r="212">
      <c r="CU212" s="4"/>
      <c r="CZ212" s="5"/>
      <c r="DA212" s="5"/>
      <c r="DB212" s="5"/>
      <c r="DC212" s="5"/>
      <c r="DD212" s="5"/>
      <c r="DE212" s="5"/>
      <c r="DF212" s="5"/>
      <c r="DG212" s="5"/>
      <c r="DH212" s="5"/>
    </row>
    <row r="213">
      <c r="CU213" s="4"/>
      <c r="CZ213" s="5"/>
      <c r="DA213" s="5"/>
      <c r="DB213" s="5"/>
      <c r="DC213" s="5"/>
      <c r="DD213" s="5"/>
      <c r="DE213" s="5"/>
      <c r="DF213" s="5"/>
      <c r="DG213" s="5"/>
      <c r="DH213" s="5"/>
    </row>
    <row r="214">
      <c r="CU214" s="4"/>
      <c r="CZ214" s="5"/>
      <c r="DA214" s="5"/>
      <c r="DB214" s="5"/>
      <c r="DC214" s="5"/>
      <c r="DD214" s="5"/>
      <c r="DE214" s="5"/>
      <c r="DF214" s="5"/>
      <c r="DG214" s="5"/>
      <c r="DH214" s="5"/>
    </row>
    <row r="215">
      <c r="CU215" s="4"/>
      <c r="CZ215" s="5"/>
      <c r="DA215" s="5"/>
      <c r="DB215" s="5"/>
      <c r="DC215" s="5"/>
      <c r="DD215" s="5"/>
      <c r="DE215" s="5"/>
      <c r="DF215" s="5"/>
      <c r="DG215" s="5"/>
      <c r="DH215" s="5"/>
    </row>
    <row r="216">
      <c r="CU216" s="4"/>
      <c r="CZ216" s="5"/>
      <c r="DA216" s="5"/>
      <c r="DB216" s="5"/>
      <c r="DC216" s="5"/>
      <c r="DD216" s="5"/>
      <c r="DE216" s="5"/>
      <c r="DF216" s="5"/>
      <c r="DG216" s="5"/>
      <c r="DH216" s="5"/>
    </row>
    <row r="217">
      <c r="CU217" s="4"/>
      <c r="CZ217" s="5"/>
      <c r="DA217" s="5"/>
      <c r="DB217" s="5"/>
      <c r="DC217" s="5"/>
      <c r="DD217" s="5"/>
      <c r="DE217" s="5"/>
      <c r="DF217" s="5"/>
      <c r="DG217" s="5"/>
      <c r="DH217" s="5"/>
    </row>
    <row r="218">
      <c r="CU218" s="4"/>
      <c r="CZ218" s="5"/>
      <c r="DA218" s="5"/>
      <c r="DB218" s="5"/>
      <c r="DC218" s="5"/>
      <c r="DD218" s="5"/>
      <c r="DE218" s="5"/>
      <c r="DF218" s="5"/>
      <c r="DG218" s="5"/>
      <c r="DH218" s="5"/>
    </row>
    <row r="219">
      <c r="CU219" s="4"/>
      <c r="CZ219" s="5"/>
      <c r="DA219" s="5"/>
      <c r="DB219" s="5"/>
      <c r="DC219" s="5"/>
      <c r="DD219" s="5"/>
      <c r="DE219" s="5"/>
      <c r="DF219" s="5"/>
      <c r="DG219" s="5"/>
      <c r="DH219" s="5"/>
    </row>
    <row r="220">
      <c r="CU220" s="4"/>
      <c r="CZ220" s="5"/>
      <c r="DA220" s="5"/>
      <c r="DB220" s="5"/>
      <c r="DC220" s="5"/>
      <c r="DD220" s="5"/>
      <c r="DE220" s="5"/>
      <c r="DF220" s="5"/>
      <c r="DG220" s="5"/>
      <c r="DH220" s="5"/>
    </row>
    <row r="221">
      <c r="CU221" s="4"/>
      <c r="CZ221" s="5"/>
      <c r="DA221" s="5"/>
      <c r="DB221" s="5"/>
      <c r="DC221" s="5"/>
      <c r="DD221" s="5"/>
      <c r="DE221" s="5"/>
      <c r="DF221" s="5"/>
      <c r="DG221" s="5"/>
      <c r="DH221" s="5"/>
    </row>
    <row r="222">
      <c r="CU222" s="4"/>
      <c r="CZ222" s="5"/>
      <c r="DA222" s="5"/>
      <c r="DB222" s="5"/>
      <c r="DC222" s="5"/>
      <c r="DD222" s="5"/>
      <c r="DE222" s="5"/>
      <c r="DF222" s="5"/>
      <c r="DG222" s="5"/>
      <c r="DH222" s="5"/>
    </row>
    <row r="223">
      <c r="CU223" s="4"/>
      <c r="CZ223" s="5"/>
      <c r="DA223" s="5"/>
      <c r="DB223" s="5"/>
      <c r="DC223" s="5"/>
      <c r="DD223" s="5"/>
      <c r="DE223" s="5"/>
      <c r="DF223" s="5"/>
      <c r="DG223" s="5"/>
      <c r="DH223" s="5"/>
    </row>
    <row r="224">
      <c r="CU224" s="4"/>
      <c r="CZ224" s="5"/>
      <c r="DA224" s="5"/>
      <c r="DB224" s="5"/>
      <c r="DC224" s="5"/>
      <c r="DD224" s="5"/>
      <c r="DE224" s="5"/>
      <c r="DF224" s="5"/>
      <c r="DG224" s="5"/>
      <c r="DH224" s="5"/>
    </row>
    <row r="225">
      <c r="CU225" s="4"/>
      <c r="CZ225" s="5"/>
      <c r="DA225" s="5"/>
      <c r="DB225" s="5"/>
      <c r="DC225" s="5"/>
      <c r="DD225" s="5"/>
      <c r="DE225" s="5"/>
      <c r="DF225" s="5"/>
      <c r="DG225" s="5"/>
      <c r="DH225" s="5"/>
    </row>
    <row r="226">
      <c r="CU226" s="4"/>
      <c r="CZ226" s="5"/>
      <c r="DA226" s="5"/>
      <c r="DB226" s="5"/>
      <c r="DC226" s="5"/>
      <c r="DD226" s="5"/>
      <c r="DE226" s="5"/>
      <c r="DF226" s="5"/>
      <c r="DG226" s="5"/>
      <c r="DH226" s="5"/>
    </row>
    <row r="227">
      <c r="CU227" s="4"/>
      <c r="CZ227" s="5"/>
      <c r="DA227" s="5"/>
      <c r="DB227" s="5"/>
      <c r="DC227" s="5"/>
      <c r="DD227" s="5"/>
      <c r="DE227" s="5"/>
      <c r="DF227" s="5"/>
      <c r="DG227" s="5"/>
      <c r="DH227" s="5"/>
    </row>
    <row r="228">
      <c r="CU228" s="4"/>
      <c r="CZ228" s="5"/>
      <c r="DA228" s="5"/>
      <c r="DB228" s="5"/>
      <c r="DC228" s="5"/>
      <c r="DD228" s="5"/>
      <c r="DE228" s="5"/>
      <c r="DF228" s="5"/>
      <c r="DG228" s="5"/>
      <c r="DH228" s="5"/>
    </row>
    <row r="229">
      <c r="CU229" s="4"/>
      <c r="CZ229" s="5"/>
      <c r="DA229" s="5"/>
      <c r="DB229" s="5"/>
      <c r="DC229" s="5"/>
      <c r="DD229" s="5"/>
      <c r="DE229" s="5"/>
      <c r="DF229" s="5"/>
      <c r="DG229" s="5"/>
      <c r="DH229" s="5"/>
    </row>
    <row r="230">
      <c r="CU230" s="4"/>
      <c r="CZ230" s="5"/>
      <c r="DA230" s="5"/>
      <c r="DB230" s="5"/>
      <c r="DC230" s="5"/>
      <c r="DD230" s="5"/>
      <c r="DE230" s="5"/>
      <c r="DF230" s="5"/>
      <c r="DG230" s="5"/>
      <c r="DH230" s="5"/>
    </row>
    <row r="231">
      <c r="CU231" s="4"/>
      <c r="CZ231" s="5"/>
      <c r="DA231" s="5"/>
      <c r="DB231" s="5"/>
      <c r="DC231" s="5"/>
      <c r="DD231" s="5"/>
      <c r="DE231" s="5"/>
      <c r="DF231" s="5"/>
      <c r="DG231" s="5"/>
      <c r="DH231" s="5"/>
    </row>
    <row r="232">
      <c r="CU232" s="4"/>
      <c r="CZ232" s="5"/>
      <c r="DA232" s="5"/>
      <c r="DB232" s="5"/>
      <c r="DC232" s="5"/>
      <c r="DD232" s="5"/>
      <c r="DE232" s="5"/>
      <c r="DF232" s="5"/>
      <c r="DG232" s="5"/>
      <c r="DH232" s="5"/>
    </row>
    <row r="233">
      <c r="CU233" s="4"/>
      <c r="CZ233" s="5"/>
      <c r="DA233" s="5"/>
      <c r="DB233" s="5"/>
      <c r="DC233" s="5"/>
      <c r="DD233" s="5"/>
      <c r="DE233" s="5"/>
      <c r="DF233" s="5"/>
      <c r="DG233" s="5"/>
      <c r="DH233" s="5"/>
    </row>
    <row r="234">
      <c r="CU234" s="4"/>
      <c r="CZ234" s="5"/>
      <c r="DA234" s="5"/>
      <c r="DB234" s="5"/>
      <c r="DC234" s="5"/>
      <c r="DD234" s="5"/>
      <c r="DE234" s="5"/>
      <c r="DF234" s="5"/>
      <c r="DG234" s="5"/>
      <c r="DH234" s="5"/>
    </row>
    <row r="235">
      <c r="CU235" s="4"/>
      <c r="CZ235" s="5"/>
      <c r="DA235" s="5"/>
      <c r="DB235" s="5"/>
      <c r="DC235" s="5"/>
      <c r="DD235" s="5"/>
      <c r="DE235" s="5"/>
      <c r="DF235" s="5"/>
      <c r="DG235" s="5"/>
      <c r="DH235" s="5"/>
    </row>
    <row r="236">
      <c r="CU236" s="4"/>
      <c r="CZ236" s="5"/>
      <c r="DA236" s="5"/>
      <c r="DB236" s="5"/>
      <c r="DC236" s="5"/>
      <c r="DD236" s="5"/>
      <c r="DE236" s="5"/>
      <c r="DF236" s="5"/>
      <c r="DG236" s="5"/>
      <c r="DH236" s="5"/>
    </row>
    <row r="237">
      <c r="CU237" s="4"/>
      <c r="CZ237" s="5"/>
      <c r="DA237" s="5"/>
      <c r="DB237" s="5"/>
      <c r="DC237" s="5"/>
      <c r="DD237" s="5"/>
      <c r="DE237" s="5"/>
      <c r="DF237" s="5"/>
      <c r="DG237" s="5"/>
      <c r="DH237" s="5"/>
    </row>
    <row r="238">
      <c r="CU238" s="4"/>
      <c r="CZ238" s="5"/>
      <c r="DA238" s="5"/>
      <c r="DB238" s="5"/>
      <c r="DC238" s="5"/>
      <c r="DD238" s="5"/>
      <c r="DE238" s="5"/>
      <c r="DF238" s="5"/>
      <c r="DG238" s="5"/>
      <c r="DH238" s="5"/>
    </row>
    <row r="239">
      <c r="CU239" s="4"/>
      <c r="CZ239" s="5"/>
      <c r="DA239" s="5"/>
      <c r="DB239" s="5"/>
      <c r="DC239" s="5"/>
      <c r="DD239" s="5"/>
      <c r="DE239" s="5"/>
      <c r="DF239" s="5"/>
      <c r="DG239" s="5"/>
      <c r="DH239" s="5"/>
    </row>
    <row r="240">
      <c r="CU240" s="4"/>
      <c r="CZ240" s="5"/>
      <c r="DA240" s="5"/>
      <c r="DB240" s="5"/>
      <c r="DC240" s="5"/>
      <c r="DD240" s="5"/>
      <c r="DE240" s="5"/>
      <c r="DF240" s="5"/>
      <c r="DG240" s="5"/>
      <c r="DH240" s="5"/>
    </row>
    <row r="241">
      <c r="CU241" s="4"/>
      <c r="CZ241" s="5"/>
      <c r="DA241" s="5"/>
      <c r="DB241" s="5"/>
      <c r="DC241" s="5"/>
      <c r="DD241" s="5"/>
      <c r="DE241" s="5"/>
      <c r="DF241" s="5"/>
      <c r="DG241" s="5"/>
      <c r="DH241" s="5"/>
    </row>
    <row r="242">
      <c r="CU242" s="4"/>
      <c r="CZ242" s="5"/>
      <c r="DA242" s="5"/>
      <c r="DB242" s="5"/>
      <c r="DC242" s="5"/>
      <c r="DD242" s="5"/>
      <c r="DE242" s="5"/>
      <c r="DF242" s="5"/>
      <c r="DG242" s="5"/>
      <c r="DH242" s="5"/>
    </row>
    <row r="243">
      <c r="CU243" s="4"/>
      <c r="CZ243" s="5"/>
      <c r="DA243" s="5"/>
      <c r="DB243" s="5"/>
      <c r="DC243" s="5"/>
      <c r="DD243" s="5"/>
      <c r="DE243" s="5"/>
      <c r="DF243" s="5"/>
      <c r="DG243" s="5"/>
      <c r="DH243" s="5"/>
    </row>
    <row r="244">
      <c r="CU244" s="4"/>
      <c r="CZ244" s="5"/>
      <c r="DA244" s="5"/>
      <c r="DB244" s="5"/>
      <c r="DC244" s="5"/>
      <c r="DD244" s="5"/>
      <c r="DE244" s="5"/>
      <c r="DF244" s="5"/>
      <c r="DG244" s="5"/>
      <c r="DH244" s="5"/>
    </row>
    <row r="245">
      <c r="CU245" s="4"/>
      <c r="CZ245" s="5"/>
      <c r="DA245" s="5"/>
      <c r="DB245" s="5"/>
      <c r="DC245" s="5"/>
      <c r="DD245" s="5"/>
      <c r="DE245" s="5"/>
      <c r="DF245" s="5"/>
      <c r="DG245" s="5"/>
      <c r="DH245" s="5"/>
    </row>
    <row r="246">
      <c r="CU246" s="4"/>
      <c r="CZ246" s="5"/>
      <c r="DA246" s="5"/>
      <c r="DB246" s="5"/>
      <c r="DC246" s="5"/>
      <c r="DD246" s="5"/>
      <c r="DE246" s="5"/>
      <c r="DF246" s="5"/>
      <c r="DG246" s="5"/>
      <c r="DH246" s="5"/>
    </row>
    <row r="247">
      <c r="CU247" s="4"/>
      <c r="CZ247" s="5"/>
      <c r="DA247" s="5"/>
      <c r="DB247" s="5"/>
      <c r="DC247" s="5"/>
      <c r="DD247" s="5"/>
      <c r="DE247" s="5"/>
      <c r="DF247" s="5"/>
      <c r="DG247" s="5"/>
      <c r="DH247" s="5"/>
    </row>
    <row r="248">
      <c r="CU248" s="4"/>
      <c r="CZ248" s="5"/>
      <c r="DA248" s="5"/>
      <c r="DB248" s="5"/>
      <c r="DC248" s="5"/>
      <c r="DD248" s="5"/>
      <c r="DE248" s="5"/>
      <c r="DF248" s="5"/>
      <c r="DG248" s="5"/>
      <c r="DH248" s="5"/>
    </row>
    <row r="249">
      <c r="CU249" s="4"/>
      <c r="CZ249" s="5"/>
      <c r="DA249" s="5"/>
      <c r="DB249" s="5"/>
      <c r="DC249" s="5"/>
      <c r="DD249" s="5"/>
      <c r="DE249" s="5"/>
      <c r="DF249" s="5"/>
      <c r="DG249" s="5"/>
      <c r="DH249" s="5"/>
    </row>
    <row r="250">
      <c r="CU250" s="4"/>
      <c r="CZ250" s="5"/>
      <c r="DA250" s="5"/>
      <c r="DB250" s="5"/>
      <c r="DC250" s="5"/>
      <c r="DD250" s="5"/>
      <c r="DE250" s="5"/>
      <c r="DF250" s="5"/>
      <c r="DG250" s="5"/>
      <c r="DH250" s="5"/>
    </row>
    <row r="251">
      <c r="CU251" s="4"/>
      <c r="CZ251" s="5"/>
      <c r="DA251" s="5"/>
      <c r="DB251" s="5"/>
      <c r="DC251" s="5"/>
      <c r="DD251" s="5"/>
      <c r="DE251" s="5"/>
      <c r="DF251" s="5"/>
      <c r="DG251" s="5"/>
      <c r="DH251" s="5"/>
    </row>
    <row r="252">
      <c r="CU252" s="4"/>
      <c r="CZ252" s="5"/>
      <c r="DA252" s="5"/>
      <c r="DB252" s="5"/>
      <c r="DC252" s="5"/>
      <c r="DD252" s="5"/>
      <c r="DE252" s="5"/>
      <c r="DF252" s="5"/>
      <c r="DG252" s="5"/>
      <c r="DH252" s="5"/>
    </row>
    <row r="253">
      <c r="CU253" s="4"/>
      <c r="CZ253" s="5"/>
      <c r="DA253" s="5"/>
      <c r="DB253" s="5"/>
      <c r="DC253" s="5"/>
      <c r="DD253" s="5"/>
      <c r="DE253" s="5"/>
      <c r="DF253" s="5"/>
      <c r="DG253" s="5"/>
      <c r="DH253" s="5"/>
    </row>
    <row r="254">
      <c r="CU254" s="4"/>
      <c r="CZ254" s="5"/>
      <c r="DA254" s="5"/>
      <c r="DB254" s="5"/>
      <c r="DC254" s="5"/>
      <c r="DD254" s="5"/>
      <c r="DE254" s="5"/>
      <c r="DF254" s="5"/>
      <c r="DG254" s="5"/>
      <c r="DH254" s="5"/>
    </row>
    <row r="255">
      <c r="CU255" s="4"/>
      <c r="CZ255" s="5"/>
      <c r="DA255" s="5"/>
      <c r="DB255" s="5"/>
      <c r="DC255" s="5"/>
      <c r="DD255" s="5"/>
      <c r="DE255" s="5"/>
      <c r="DF255" s="5"/>
      <c r="DG255" s="5"/>
      <c r="DH255" s="5"/>
    </row>
    <row r="256">
      <c r="CU256" s="4"/>
      <c r="CZ256" s="5"/>
      <c r="DA256" s="5"/>
      <c r="DB256" s="5"/>
      <c r="DC256" s="5"/>
      <c r="DD256" s="5"/>
      <c r="DE256" s="5"/>
      <c r="DF256" s="5"/>
      <c r="DG256" s="5"/>
      <c r="DH256" s="5"/>
    </row>
    <row r="257">
      <c r="CU257" s="4"/>
      <c r="CZ257" s="5"/>
      <c r="DA257" s="5"/>
      <c r="DB257" s="5"/>
      <c r="DC257" s="5"/>
      <c r="DD257" s="5"/>
      <c r="DE257" s="5"/>
      <c r="DF257" s="5"/>
      <c r="DG257" s="5"/>
      <c r="DH257" s="5"/>
    </row>
    <row r="258">
      <c r="CU258" s="4"/>
      <c r="CZ258" s="5"/>
      <c r="DA258" s="5"/>
      <c r="DB258" s="5"/>
      <c r="DC258" s="5"/>
      <c r="DD258" s="5"/>
      <c r="DE258" s="5"/>
      <c r="DF258" s="5"/>
      <c r="DG258" s="5"/>
      <c r="DH258" s="5"/>
    </row>
    <row r="259">
      <c r="CU259" s="4"/>
      <c r="CZ259" s="5"/>
      <c r="DA259" s="5"/>
      <c r="DB259" s="5"/>
      <c r="DC259" s="5"/>
      <c r="DD259" s="5"/>
      <c r="DE259" s="5"/>
      <c r="DF259" s="5"/>
      <c r="DG259" s="5"/>
      <c r="DH259" s="5"/>
    </row>
    <row r="260">
      <c r="CU260" s="4"/>
      <c r="CZ260" s="5"/>
      <c r="DA260" s="5"/>
      <c r="DB260" s="5"/>
      <c r="DC260" s="5"/>
      <c r="DD260" s="5"/>
      <c r="DE260" s="5"/>
      <c r="DF260" s="5"/>
      <c r="DG260" s="5"/>
      <c r="DH260" s="5"/>
    </row>
    <row r="261">
      <c r="CU261" s="4"/>
      <c r="CZ261" s="5"/>
      <c r="DA261" s="5"/>
      <c r="DB261" s="5"/>
      <c r="DC261" s="5"/>
      <c r="DD261" s="5"/>
      <c r="DE261" s="5"/>
      <c r="DF261" s="5"/>
      <c r="DG261" s="5"/>
      <c r="DH261" s="5"/>
    </row>
    <row r="262">
      <c r="CU262" s="4"/>
      <c r="CZ262" s="5"/>
      <c r="DA262" s="5"/>
      <c r="DB262" s="5"/>
      <c r="DC262" s="5"/>
      <c r="DD262" s="5"/>
      <c r="DE262" s="5"/>
      <c r="DF262" s="5"/>
      <c r="DG262" s="5"/>
      <c r="DH262" s="5"/>
    </row>
    <row r="263">
      <c r="CU263" s="4"/>
      <c r="CZ263" s="5"/>
      <c r="DA263" s="5"/>
      <c r="DB263" s="5"/>
      <c r="DC263" s="5"/>
      <c r="DD263" s="5"/>
      <c r="DE263" s="5"/>
      <c r="DF263" s="5"/>
      <c r="DG263" s="5"/>
      <c r="DH263" s="5"/>
    </row>
    <row r="264">
      <c r="CU264" s="4"/>
      <c r="CZ264" s="5"/>
      <c r="DA264" s="5"/>
      <c r="DB264" s="5"/>
      <c r="DC264" s="5"/>
      <c r="DD264" s="5"/>
      <c r="DE264" s="5"/>
      <c r="DF264" s="5"/>
      <c r="DG264" s="5"/>
      <c r="DH264" s="5"/>
    </row>
    <row r="265">
      <c r="CU265" s="4"/>
      <c r="CZ265" s="5"/>
      <c r="DA265" s="5"/>
      <c r="DB265" s="5"/>
      <c r="DC265" s="5"/>
      <c r="DD265" s="5"/>
      <c r="DE265" s="5"/>
      <c r="DF265" s="5"/>
      <c r="DG265" s="5"/>
      <c r="DH265" s="5"/>
    </row>
    <row r="266">
      <c r="CU266" s="4"/>
      <c r="CZ266" s="5"/>
      <c r="DA266" s="5"/>
      <c r="DB266" s="5"/>
      <c r="DC266" s="5"/>
      <c r="DD266" s="5"/>
      <c r="DE266" s="5"/>
      <c r="DF266" s="5"/>
      <c r="DG266" s="5"/>
      <c r="DH266" s="5"/>
    </row>
    <row r="267">
      <c r="CU267" s="4"/>
      <c r="CZ267" s="5"/>
      <c r="DA267" s="5"/>
      <c r="DB267" s="5"/>
      <c r="DC267" s="5"/>
      <c r="DD267" s="5"/>
      <c r="DE267" s="5"/>
      <c r="DF267" s="5"/>
      <c r="DG267" s="5"/>
      <c r="DH267" s="5"/>
    </row>
    <row r="268">
      <c r="CU268" s="4"/>
      <c r="CZ268" s="5"/>
      <c r="DA268" s="5"/>
      <c r="DB268" s="5"/>
      <c r="DC268" s="5"/>
      <c r="DD268" s="5"/>
      <c r="DE268" s="5"/>
      <c r="DF268" s="5"/>
      <c r="DG268" s="5"/>
      <c r="DH268" s="5"/>
    </row>
    <row r="269">
      <c r="CU269" s="4"/>
      <c r="CZ269" s="5"/>
      <c r="DA269" s="5"/>
      <c r="DB269" s="5"/>
      <c r="DC269" s="5"/>
      <c r="DD269" s="5"/>
      <c r="DE269" s="5"/>
      <c r="DF269" s="5"/>
      <c r="DG269" s="5"/>
      <c r="DH269" s="5"/>
    </row>
    <row r="270">
      <c r="CU270" s="4"/>
      <c r="CZ270" s="5"/>
      <c r="DA270" s="5"/>
      <c r="DB270" s="5"/>
      <c r="DC270" s="5"/>
      <c r="DD270" s="5"/>
      <c r="DE270" s="5"/>
      <c r="DF270" s="5"/>
      <c r="DG270" s="5"/>
      <c r="DH270" s="5"/>
    </row>
    <row r="271">
      <c r="CU271" s="4"/>
      <c r="CZ271" s="5"/>
      <c r="DA271" s="5"/>
      <c r="DB271" s="5"/>
      <c r="DC271" s="5"/>
      <c r="DD271" s="5"/>
      <c r="DE271" s="5"/>
      <c r="DF271" s="5"/>
      <c r="DG271" s="5"/>
      <c r="DH271" s="5"/>
    </row>
    <row r="272">
      <c r="CU272" s="4"/>
      <c r="CZ272" s="5"/>
      <c r="DA272" s="5"/>
      <c r="DB272" s="5"/>
      <c r="DC272" s="5"/>
      <c r="DD272" s="5"/>
      <c r="DE272" s="5"/>
      <c r="DF272" s="5"/>
      <c r="DG272" s="5"/>
      <c r="DH272" s="5"/>
    </row>
    <row r="273">
      <c r="CU273" s="4"/>
      <c r="CZ273" s="5"/>
      <c r="DA273" s="5"/>
      <c r="DB273" s="5"/>
      <c r="DC273" s="5"/>
      <c r="DD273" s="5"/>
      <c r="DE273" s="5"/>
      <c r="DF273" s="5"/>
      <c r="DG273" s="5"/>
      <c r="DH273" s="5"/>
    </row>
    <row r="274">
      <c r="CU274" s="4"/>
      <c r="CZ274" s="5"/>
      <c r="DA274" s="5"/>
      <c r="DB274" s="5"/>
      <c r="DC274" s="5"/>
      <c r="DD274" s="5"/>
      <c r="DE274" s="5"/>
      <c r="DF274" s="5"/>
      <c r="DG274" s="5"/>
      <c r="DH274" s="5"/>
    </row>
    <row r="275">
      <c r="CU275" s="4"/>
      <c r="CZ275" s="5"/>
      <c r="DA275" s="5"/>
      <c r="DB275" s="5"/>
      <c r="DC275" s="5"/>
      <c r="DD275" s="5"/>
      <c r="DE275" s="5"/>
      <c r="DF275" s="5"/>
      <c r="DG275" s="5"/>
      <c r="DH275" s="5"/>
    </row>
    <row r="276">
      <c r="CU276" s="4"/>
      <c r="CZ276" s="5"/>
      <c r="DA276" s="5"/>
      <c r="DB276" s="5"/>
      <c r="DC276" s="5"/>
      <c r="DD276" s="5"/>
      <c r="DE276" s="5"/>
      <c r="DF276" s="5"/>
      <c r="DG276" s="5"/>
      <c r="DH276" s="5"/>
    </row>
    <row r="277">
      <c r="CU277" s="4"/>
      <c r="CZ277" s="5"/>
      <c r="DA277" s="5"/>
      <c r="DB277" s="5"/>
      <c r="DC277" s="5"/>
      <c r="DD277" s="5"/>
      <c r="DE277" s="5"/>
      <c r="DF277" s="5"/>
      <c r="DG277" s="5"/>
      <c r="DH277" s="5"/>
    </row>
    <row r="278">
      <c r="CU278" s="4"/>
      <c r="CZ278" s="5"/>
      <c r="DA278" s="5"/>
      <c r="DB278" s="5"/>
      <c r="DC278" s="5"/>
      <c r="DD278" s="5"/>
      <c r="DE278" s="5"/>
      <c r="DF278" s="5"/>
      <c r="DG278" s="5"/>
      <c r="DH278" s="5"/>
    </row>
    <row r="279">
      <c r="CU279" s="4"/>
      <c r="CZ279" s="5"/>
      <c r="DA279" s="5"/>
      <c r="DB279" s="5"/>
      <c r="DC279" s="5"/>
      <c r="DD279" s="5"/>
      <c r="DE279" s="5"/>
      <c r="DF279" s="5"/>
      <c r="DG279" s="5"/>
      <c r="DH279" s="5"/>
    </row>
    <row r="280">
      <c r="CU280" s="4"/>
      <c r="CZ280" s="5"/>
      <c r="DA280" s="5"/>
      <c r="DB280" s="5"/>
      <c r="DC280" s="5"/>
      <c r="DD280" s="5"/>
      <c r="DE280" s="5"/>
      <c r="DF280" s="5"/>
      <c r="DG280" s="5"/>
      <c r="DH280" s="5"/>
    </row>
    <row r="281">
      <c r="CU281" s="4"/>
      <c r="CZ281" s="5"/>
      <c r="DA281" s="5"/>
      <c r="DB281" s="5"/>
      <c r="DC281" s="5"/>
      <c r="DD281" s="5"/>
      <c r="DE281" s="5"/>
      <c r="DF281" s="5"/>
      <c r="DG281" s="5"/>
      <c r="DH281" s="5"/>
    </row>
    <row r="282">
      <c r="CU282" s="4"/>
      <c r="CZ282" s="5"/>
      <c r="DA282" s="5"/>
      <c r="DB282" s="5"/>
      <c r="DC282" s="5"/>
      <c r="DD282" s="5"/>
      <c r="DE282" s="5"/>
      <c r="DF282" s="5"/>
      <c r="DG282" s="5"/>
      <c r="DH282" s="5"/>
    </row>
    <row r="283">
      <c r="CU283" s="4"/>
      <c r="CZ283" s="5"/>
      <c r="DA283" s="5"/>
      <c r="DB283" s="5"/>
      <c r="DC283" s="5"/>
      <c r="DD283" s="5"/>
      <c r="DE283" s="5"/>
      <c r="DF283" s="5"/>
      <c r="DG283" s="5"/>
      <c r="DH283" s="5"/>
    </row>
    <row r="284">
      <c r="CU284" s="4"/>
      <c r="CZ284" s="5"/>
      <c r="DA284" s="5"/>
      <c r="DB284" s="5"/>
      <c r="DC284" s="5"/>
      <c r="DD284" s="5"/>
      <c r="DE284" s="5"/>
      <c r="DF284" s="5"/>
      <c r="DG284" s="5"/>
      <c r="DH284" s="5"/>
    </row>
    <row r="285">
      <c r="CU285" s="4"/>
      <c r="CZ285" s="5"/>
      <c r="DA285" s="5"/>
      <c r="DB285" s="5"/>
      <c r="DC285" s="5"/>
      <c r="DD285" s="5"/>
      <c r="DE285" s="5"/>
      <c r="DF285" s="5"/>
      <c r="DG285" s="5"/>
      <c r="DH285" s="5"/>
    </row>
    <row r="286">
      <c r="CU286" s="4"/>
      <c r="CZ286" s="5"/>
      <c r="DA286" s="5"/>
      <c r="DB286" s="5"/>
      <c r="DC286" s="5"/>
      <c r="DD286" s="5"/>
      <c r="DE286" s="5"/>
      <c r="DF286" s="5"/>
      <c r="DG286" s="5"/>
      <c r="DH286" s="5"/>
    </row>
    <row r="287">
      <c r="CU287" s="4"/>
      <c r="CZ287" s="5"/>
      <c r="DA287" s="5"/>
      <c r="DB287" s="5"/>
      <c r="DC287" s="5"/>
      <c r="DD287" s="5"/>
      <c r="DE287" s="5"/>
      <c r="DF287" s="5"/>
      <c r="DG287" s="5"/>
      <c r="DH287" s="5"/>
    </row>
    <row r="288">
      <c r="CU288" s="4"/>
      <c r="CZ288" s="5"/>
      <c r="DA288" s="5"/>
      <c r="DB288" s="5"/>
      <c r="DC288" s="5"/>
      <c r="DD288" s="5"/>
      <c r="DE288" s="5"/>
      <c r="DF288" s="5"/>
      <c r="DG288" s="5"/>
      <c r="DH288" s="5"/>
    </row>
    <row r="289">
      <c r="CU289" s="4"/>
      <c r="CZ289" s="5"/>
      <c r="DA289" s="5"/>
      <c r="DB289" s="5"/>
      <c r="DC289" s="5"/>
      <c r="DD289" s="5"/>
      <c r="DE289" s="5"/>
      <c r="DF289" s="5"/>
      <c r="DG289" s="5"/>
      <c r="DH289" s="5"/>
    </row>
    <row r="290">
      <c r="CU290" s="4"/>
      <c r="CZ290" s="5"/>
      <c r="DA290" s="5"/>
      <c r="DB290" s="5"/>
      <c r="DC290" s="5"/>
      <c r="DD290" s="5"/>
      <c r="DE290" s="5"/>
      <c r="DF290" s="5"/>
      <c r="DG290" s="5"/>
      <c r="DH290" s="5"/>
    </row>
    <row r="291">
      <c r="CU291" s="4"/>
      <c r="CZ291" s="5"/>
      <c r="DA291" s="5"/>
      <c r="DB291" s="5"/>
      <c r="DC291" s="5"/>
      <c r="DD291" s="5"/>
      <c r="DE291" s="5"/>
      <c r="DF291" s="5"/>
      <c r="DG291" s="5"/>
      <c r="DH291" s="5"/>
    </row>
    <row r="292">
      <c r="CU292" s="4"/>
      <c r="CZ292" s="5"/>
      <c r="DA292" s="5"/>
      <c r="DB292" s="5"/>
      <c r="DC292" s="5"/>
      <c r="DD292" s="5"/>
      <c r="DE292" s="5"/>
      <c r="DF292" s="5"/>
      <c r="DG292" s="5"/>
      <c r="DH292" s="5"/>
    </row>
    <row r="293">
      <c r="CU293" s="4"/>
      <c r="CZ293" s="5"/>
      <c r="DA293" s="5"/>
      <c r="DB293" s="5"/>
      <c r="DC293" s="5"/>
      <c r="DD293" s="5"/>
      <c r="DE293" s="5"/>
      <c r="DF293" s="5"/>
      <c r="DG293" s="5"/>
      <c r="DH293" s="5"/>
    </row>
    <row r="294">
      <c r="CU294" s="4"/>
      <c r="CZ294" s="5"/>
      <c r="DA294" s="5"/>
      <c r="DB294" s="5"/>
      <c r="DC294" s="5"/>
      <c r="DD294" s="5"/>
      <c r="DE294" s="5"/>
      <c r="DF294" s="5"/>
      <c r="DG294" s="5"/>
      <c r="DH294" s="5"/>
    </row>
    <row r="295">
      <c r="CU295" s="4"/>
      <c r="CZ295" s="5"/>
      <c r="DA295" s="5"/>
      <c r="DB295" s="5"/>
      <c r="DC295" s="5"/>
      <c r="DD295" s="5"/>
      <c r="DE295" s="5"/>
      <c r="DF295" s="5"/>
      <c r="DG295" s="5"/>
      <c r="DH295" s="5"/>
    </row>
    <row r="296">
      <c r="CU296" s="4"/>
      <c r="CZ296" s="5"/>
      <c r="DA296" s="5"/>
      <c r="DB296" s="5"/>
      <c r="DC296" s="5"/>
      <c r="DD296" s="5"/>
      <c r="DE296" s="5"/>
      <c r="DF296" s="5"/>
      <c r="DG296" s="5"/>
      <c r="DH296" s="5"/>
    </row>
    <row r="297">
      <c r="CU297" s="4"/>
      <c r="CZ297" s="5"/>
      <c r="DA297" s="5"/>
      <c r="DB297" s="5"/>
      <c r="DC297" s="5"/>
      <c r="DD297" s="5"/>
      <c r="DE297" s="5"/>
      <c r="DF297" s="5"/>
      <c r="DG297" s="5"/>
      <c r="DH297" s="5"/>
    </row>
    <row r="298">
      <c r="CU298" s="4"/>
      <c r="CZ298" s="5"/>
      <c r="DA298" s="5"/>
      <c r="DB298" s="5"/>
      <c r="DC298" s="5"/>
      <c r="DD298" s="5"/>
      <c r="DE298" s="5"/>
      <c r="DF298" s="5"/>
      <c r="DG298" s="5"/>
      <c r="DH298" s="5"/>
    </row>
    <row r="299">
      <c r="CU299" s="4"/>
      <c r="CZ299" s="5"/>
      <c r="DA299" s="5"/>
      <c r="DB299" s="5"/>
      <c r="DC299" s="5"/>
      <c r="DD299" s="5"/>
      <c r="DE299" s="5"/>
      <c r="DF299" s="5"/>
      <c r="DG299" s="5"/>
      <c r="DH299" s="5"/>
    </row>
    <row r="300">
      <c r="CU300" s="4"/>
      <c r="CZ300" s="5"/>
      <c r="DA300" s="5"/>
      <c r="DB300" s="5"/>
      <c r="DC300" s="5"/>
      <c r="DD300" s="5"/>
      <c r="DE300" s="5"/>
      <c r="DF300" s="5"/>
      <c r="DG300" s="5"/>
      <c r="DH300" s="5"/>
    </row>
    <row r="301">
      <c r="CU301" s="4"/>
      <c r="CZ301" s="5"/>
      <c r="DA301" s="5"/>
      <c r="DB301" s="5"/>
      <c r="DC301" s="5"/>
      <c r="DD301" s="5"/>
      <c r="DE301" s="5"/>
      <c r="DF301" s="5"/>
      <c r="DG301" s="5"/>
      <c r="DH301" s="5"/>
    </row>
    <row r="302">
      <c r="CU302" s="4"/>
      <c r="CZ302" s="5"/>
      <c r="DA302" s="5"/>
      <c r="DB302" s="5"/>
      <c r="DC302" s="5"/>
      <c r="DD302" s="5"/>
      <c r="DE302" s="5"/>
      <c r="DF302" s="5"/>
      <c r="DG302" s="5"/>
      <c r="DH302" s="5"/>
    </row>
    <row r="303">
      <c r="CU303" s="4"/>
      <c r="CZ303" s="5"/>
      <c r="DA303" s="5"/>
      <c r="DB303" s="5"/>
      <c r="DC303" s="5"/>
      <c r="DD303" s="5"/>
      <c r="DE303" s="5"/>
      <c r="DF303" s="5"/>
      <c r="DG303" s="5"/>
      <c r="DH303" s="5"/>
    </row>
    <row r="304">
      <c r="CU304" s="4"/>
      <c r="CZ304" s="5"/>
      <c r="DA304" s="5"/>
      <c r="DB304" s="5"/>
      <c r="DC304" s="5"/>
      <c r="DD304" s="5"/>
      <c r="DE304" s="5"/>
      <c r="DF304" s="5"/>
      <c r="DG304" s="5"/>
      <c r="DH304" s="5"/>
    </row>
    <row r="305">
      <c r="CU305" s="4"/>
      <c r="CZ305" s="5"/>
      <c r="DA305" s="5"/>
      <c r="DB305" s="5"/>
      <c r="DC305" s="5"/>
      <c r="DD305" s="5"/>
      <c r="DE305" s="5"/>
      <c r="DF305" s="5"/>
      <c r="DG305" s="5"/>
      <c r="DH305" s="5"/>
    </row>
    <row r="306">
      <c r="CU306" s="4"/>
      <c r="CZ306" s="5"/>
      <c r="DA306" s="5"/>
      <c r="DB306" s="5"/>
      <c r="DC306" s="5"/>
      <c r="DD306" s="5"/>
      <c r="DE306" s="5"/>
      <c r="DF306" s="5"/>
      <c r="DG306" s="5"/>
      <c r="DH306" s="5"/>
    </row>
    <row r="307">
      <c r="CU307" s="4"/>
      <c r="CZ307" s="5"/>
      <c r="DA307" s="5"/>
      <c r="DB307" s="5"/>
      <c r="DC307" s="5"/>
      <c r="DD307" s="5"/>
      <c r="DE307" s="5"/>
      <c r="DF307" s="5"/>
      <c r="DG307" s="5"/>
      <c r="DH307" s="5"/>
    </row>
    <row r="308">
      <c r="CU308" s="4"/>
      <c r="CZ308" s="5"/>
      <c r="DA308" s="5"/>
      <c r="DB308" s="5"/>
      <c r="DC308" s="5"/>
      <c r="DD308" s="5"/>
      <c r="DE308" s="5"/>
      <c r="DF308" s="5"/>
      <c r="DG308" s="5"/>
      <c r="DH308" s="5"/>
    </row>
    <row r="309">
      <c r="CU309" s="4"/>
      <c r="CZ309" s="5"/>
      <c r="DA309" s="5"/>
      <c r="DB309" s="5"/>
      <c r="DC309" s="5"/>
      <c r="DD309" s="5"/>
      <c r="DE309" s="5"/>
      <c r="DF309" s="5"/>
      <c r="DG309" s="5"/>
      <c r="DH309" s="5"/>
    </row>
    <row r="310">
      <c r="CU310" s="4"/>
      <c r="CZ310" s="5"/>
      <c r="DA310" s="5"/>
      <c r="DB310" s="5"/>
      <c r="DC310" s="5"/>
      <c r="DD310" s="5"/>
      <c r="DE310" s="5"/>
      <c r="DF310" s="5"/>
      <c r="DG310" s="5"/>
      <c r="DH310" s="5"/>
    </row>
    <row r="311">
      <c r="CU311" s="4"/>
      <c r="CZ311" s="5"/>
      <c r="DA311" s="5"/>
      <c r="DB311" s="5"/>
      <c r="DC311" s="5"/>
      <c r="DD311" s="5"/>
      <c r="DE311" s="5"/>
      <c r="DF311" s="5"/>
      <c r="DG311" s="5"/>
      <c r="DH311" s="5"/>
    </row>
    <row r="312">
      <c r="CU312" s="4"/>
      <c r="CZ312" s="5"/>
      <c r="DA312" s="5"/>
      <c r="DB312" s="5"/>
      <c r="DC312" s="5"/>
      <c r="DD312" s="5"/>
      <c r="DE312" s="5"/>
      <c r="DF312" s="5"/>
      <c r="DG312" s="5"/>
      <c r="DH312" s="5"/>
    </row>
    <row r="313">
      <c r="CU313" s="4"/>
      <c r="CZ313" s="5"/>
      <c r="DA313" s="5"/>
      <c r="DB313" s="5"/>
      <c r="DC313" s="5"/>
      <c r="DD313" s="5"/>
      <c r="DE313" s="5"/>
      <c r="DF313" s="5"/>
      <c r="DG313" s="5"/>
      <c r="DH313" s="5"/>
    </row>
    <row r="314">
      <c r="CU314" s="4"/>
      <c r="CZ314" s="5"/>
      <c r="DA314" s="5"/>
      <c r="DB314" s="5"/>
      <c r="DC314" s="5"/>
      <c r="DD314" s="5"/>
      <c r="DE314" s="5"/>
      <c r="DF314" s="5"/>
      <c r="DG314" s="5"/>
      <c r="DH314" s="5"/>
    </row>
    <row r="315">
      <c r="CU315" s="4"/>
      <c r="CZ315" s="5"/>
      <c r="DA315" s="5"/>
      <c r="DB315" s="5"/>
      <c r="DC315" s="5"/>
      <c r="DD315" s="5"/>
      <c r="DE315" s="5"/>
      <c r="DF315" s="5"/>
      <c r="DG315" s="5"/>
      <c r="DH315" s="5"/>
    </row>
    <row r="316">
      <c r="CU316" s="4"/>
      <c r="CZ316" s="5"/>
      <c r="DA316" s="5"/>
      <c r="DB316" s="5"/>
      <c r="DC316" s="5"/>
      <c r="DD316" s="5"/>
      <c r="DE316" s="5"/>
      <c r="DF316" s="5"/>
      <c r="DG316" s="5"/>
      <c r="DH316" s="5"/>
    </row>
    <row r="317">
      <c r="CU317" s="4"/>
      <c r="CZ317" s="5"/>
      <c r="DA317" s="5"/>
      <c r="DB317" s="5"/>
      <c r="DC317" s="5"/>
      <c r="DD317" s="5"/>
      <c r="DE317" s="5"/>
      <c r="DF317" s="5"/>
      <c r="DG317" s="5"/>
      <c r="DH317" s="5"/>
    </row>
    <row r="318">
      <c r="CU318" s="4"/>
      <c r="CZ318" s="5"/>
      <c r="DA318" s="5"/>
      <c r="DB318" s="5"/>
      <c r="DC318" s="5"/>
      <c r="DD318" s="5"/>
      <c r="DE318" s="5"/>
      <c r="DF318" s="5"/>
      <c r="DG318" s="5"/>
      <c r="DH318" s="5"/>
    </row>
    <row r="319">
      <c r="CU319" s="4"/>
      <c r="CZ319" s="5"/>
      <c r="DA319" s="5"/>
      <c r="DB319" s="5"/>
      <c r="DC319" s="5"/>
      <c r="DD319" s="5"/>
      <c r="DE319" s="5"/>
      <c r="DF319" s="5"/>
      <c r="DG319" s="5"/>
      <c r="DH319" s="5"/>
    </row>
    <row r="320">
      <c r="CU320" s="4"/>
      <c r="CZ320" s="5"/>
      <c r="DA320" s="5"/>
      <c r="DB320" s="5"/>
      <c r="DC320" s="5"/>
      <c r="DD320" s="5"/>
      <c r="DE320" s="5"/>
      <c r="DF320" s="5"/>
      <c r="DG320" s="5"/>
      <c r="DH320" s="5"/>
    </row>
    <row r="321">
      <c r="CU321" s="4"/>
      <c r="CZ321" s="5"/>
      <c r="DA321" s="5"/>
      <c r="DB321" s="5"/>
      <c r="DC321" s="5"/>
      <c r="DD321" s="5"/>
      <c r="DE321" s="5"/>
      <c r="DF321" s="5"/>
      <c r="DG321" s="5"/>
      <c r="DH321" s="5"/>
    </row>
    <row r="322">
      <c r="CU322" s="4"/>
      <c r="CZ322" s="5"/>
      <c r="DA322" s="5"/>
      <c r="DB322" s="5"/>
      <c r="DC322" s="5"/>
      <c r="DD322" s="5"/>
      <c r="DE322" s="5"/>
      <c r="DF322" s="5"/>
      <c r="DG322" s="5"/>
      <c r="DH322" s="5"/>
    </row>
    <row r="323">
      <c r="CU323" s="4"/>
      <c r="CZ323" s="5"/>
      <c r="DA323" s="5"/>
      <c r="DB323" s="5"/>
      <c r="DC323" s="5"/>
      <c r="DD323" s="5"/>
      <c r="DE323" s="5"/>
      <c r="DF323" s="5"/>
      <c r="DG323" s="5"/>
      <c r="DH323" s="5"/>
    </row>
    <row r="324">
      <c r="CU324" s="4"/>
      <c r="CZ324" s="5"/>
      <c r="DA324" s="5"/>
      <c r="DB324" s="5"/>
      <c r="DC324" s="5"/>
      <c r="DD324" s="5"/>
      <c r="DE324" s="5"/>
      <c r="DF324" s="5"/>
      <c r="DG324" s="5"/>
      <c r="DH324" s="5"/>
    </row>
    <row r="325">
      <c r="CU325" s="4"/>
      <c r="CZ325" s="5"/>
      <c r="DA325" s="5"/>
      <c r="DB325" s="5"/>
      <c r="DC325" s="5"/>
      <c r="DD325" s="5"/>
      <c r="DE325" s="5"/>
      <c r="DF325" s="5"/>
      <c r="DG325" s="5"/>
      <c r="DH325" s="5"/>
    </row>
    <row r="326">
      <c r="CU326" s="4"/>
      <c r="CZ326" s="5"/>
      <c r="DA326" s="5"/>
      <c r="DB326" s="5"/>
      <c r="DC326" s="5"/>
      <c r="DD326" s="5"/>
      <c r="DE326" s="5"/>
      <c r="DF326" s="5"/>
      <c r="DG326" s="5"/>
      <c r="DH326" s="5"/>
    </row>
    <row r="327">
      <c r="CU327" s="4"/>
      <c r="CZ327" s="5"/>
      <c r="DA327" s="5"/>
      <c r="DB327" s="5"/>
      <c r="DC327" s="5"/>
      <c r="DD327" s="5"/>
      <c r="DE327" s="5"/>
      <c r="DF327" s="5"/>
      <c r="DG327" s="5"/>
      <c r="DH327" s="5"/>
    </row>
    <row r="328">
      <c r="CU328" s="4"/>
      <c r="CZ328" s="5"/>
      <c r="DA328" s="5"/>
      <c r="DB328" s="5"/>
      <c r="DC328" s="5"/>
      <c r="DD328" s="5"/>
      <c r="DE328" s="5"/>
      <c r="DF328" s="5"/>
      <c r="DG328" s="5"/>
      <c r="DH328" s="5"/>
    </row>
    <row r="329">
      <c r="CU329" s="4"/>
      <c r="CZ329" s="5"/>
      <c r="DA329" s="5"/>
      <c r="DB329" s="5"/>
      <c r="DC329" s="5"/>
      <c r="DD329" s="5"/>
      <c r="DE329" s="5"/>
      <c r="DF329" s="5"/>
      <c r="DG329" s="5"/>
      <c r="DH329" s="5"/>
    </row>
    <row r="330">
      <c r="CU330" s="4"/>
      <c r="CZ330" s="5"/>
      <c r="DA330" s="5"/>
      <c r="DB330" s="5"/>
      <c r="DC330" s="5"/>
      <c r="DD330" s="5"/>
      <c r="DE330" s="5"/>
      <c r="DF330" s="5"/>
      <c r="DG330" s="5"/>
      <c r="DH330" s="5"/>
    </row>
    <row r="331">
      <c r="CU331" s="4"/>
      <c r="CZ331" s="5"/>
      <c r="DA331" s="5"/>
      <c r="DB331" s="5"/>
      <c r="DC331" s="5"/>
      <c r="DD331" s="5"/>
      <c r="DE331" s="5"/>
      <c r="DF331" s="5"/>
      <c r="DG331" s="5"/>
      <c r="DH331" s="5"/>
    </row>
    <row r="332">
      <c r="CU332" s="4"/>
      <c r="CZ332" s="5"/>
      <c r="DA332" s="5"/>
      <c r="DB332" s="5"/>
      <c r="DC332" s="5"/>
      <c r="DD332" s="5"/>
      <c r="DE332" s="5"/>
      <c r="DF332" s="5"/>
      <c r="DG332" s="5"/>
      <c r="DH332" s="5"/>
    </row>
    <row r="333">
      <c r="CU333" s="4"/>
      <c r="CZ333" s="5"/>
      <c r="DA333" s="5"/>
      <c r="DB333" s="5"/>
      <c r="DC333" s="5"/>
      <c r="DD333" s="5"/>
      <c r="DE333" s="5"/>
      <c r="DF333" s="5"/>
      <c r="DG333" s="5"/>
      <c r="DH333" s="5"/>
    </row>
    <row r="334">
      <c r="CU334" s="4"/>
      <c r="CZ334" s="5"/>
      <c r="DA334" s="5"/>
      <c r="DB334" s="5"/>
      <c r="DC334" s="5"/>
      <c r="DD334" s="5"/>
      <c r="DE334" s="5"/>
      <c r="DF334" s="5"/>
      <c r="DG334" s="5"/>
      <c r="DH334" s="5"/>
    </row>
    <row r="335">
      <c r="CU335" s="4"/>
      <c r="CZ335" s="5"/>
      <c r="DA335" s="5"/>
      <c r="DB335" s="5"/>
      <c r="DC335" s="5"/>
      <c r="DD335" s="5"/>
      <c r="DE335" s="5"/>
      <c r="DF335" s="5"/>
      <c r="DG335" s="5"/>
      <c r="DH335" s="5"/>
    </row>
    <row r="336">
      <c r="CU336" s="4"/>
      <c r="CZ336" s="5"/>
      <c r="DA336" s="5"/>
      <c r="DB336" s="5"/>
      <c r="DC336" s="5"/>
      <c r="DD336" s="5"/>
      <c r="DE336" s="5"/>
      <c r="DF336" s="5"/>
      <c r="DG336" s="5"/>
      <c r="DH336" s="5"/>
    </row>
    <row r="337">
      <c r="CU337" s="4"/>
      <c r="CZ337" s="5"/>
      <c r="DA337" s="5"/>
      <c r="DB337" s="5"/>
      <c r="DC337" s="5"/>
      <c r="DD337" s="5"/>
      <c r="DE337" s="5"/>
      <c r="DF337" s="5"/>
      <c r="DG337" s="5"/>
      <c r="DH337" s="5"/>
    </row>
    <row r="338">
      <c r="CU338" s="4"/>
      <c r="CZ338" s="5"/>
      <c r="DA338" s="5"/>
      <c r="DB338" s="5"/>
      <c r="DC338" s="5"/>
      <c r="DD338" s="5"/>
      <c r="DE338" s="5"/>
      <c r="DF338" s="5"/>
      <c r="DG338" s="5"/>
      <c r="DH338" s="5"/>
    </row>
    <row r="339">
      <c r="CU339" s="4"/>
      <c r="CZ339" s="5"/>
      <c r="DA339" s="5"/>
      <c r="DB339" s="5"/>
      <c r="DC339" s="5"/>
      <c r="DD339" s="5"/>
      <c r="DE339" s="5"/>
      <c r="DF339" s="5"/>
      <c r="DG339" s="5"/>
      <c r="DH339" s="5"/>
    </row>
    <row r="340">
      <c r="CU340" s="4"/>
      <c r="CZ340" s="5"/>
      <c r="DA340" s="5"/>
      <c r="DB340" s="5"/>
      <c r="DC340" s="5"/>
      <c r="DD340" s="5"/>
      <c r="DE340" s="5"/>
      <c r="DF340" s="5"/>
      <c r="DG340" s="5"/>
      <c r="DH340" s="5"/>
    </row>
    <row r="341">
      <c r="CU341" s="4"/>
      <c r="CZ341" s="5"/>
      <c r="DA341" s="5"/>
      <c r="DB341" s="5"/>
      <c r="DC341" s="5"/>
      <c r="DD341" s="5"/>
      <c r="DE341" s="5"/>
      <c r="DF341" s="5"/>
      <c r="DG341" s="5"/>
      <c r="DH341" s="5"/>
    </row>
    <row r="342">
      <c r="CU342" s="4"/>
      <c r="CZ342" s="5"/>
      <c r="DA342" s="5"/>
      <c r="DB342" s="5"/>
      <c r="DC342" s="5"/>
      <c r="DD342" s="5"/>
      <c r="DE342" s="5"/>
      <c r="DF342" s="5"/>
      <c r="DG342" s="5"/>
      <c r="DH342" s="5"/>
    </row>
    <row r="343">
      <c r="CU343" s="4"/>
      <c r="CZ343" s="5"/>
      <c r="DA343" s="5"/>
      <c r="DB343" s="5"/>
      <c r="DC343" s="5"/>
      <c r="DD343" s="5"/>
      <c r="DE343" s="5"/>
      <c r="DF343" s="5"/>
      <c r="DG343" s="5"/>
      <c r="DH343" s="5"/>
    </row>
    <row r="344">
      <c r="CU344" s="4"/>
      <c r="CZ344" s="5"/>
      <c r="DA344" s="5"/>
      <c r="DB344" s="5"/>
      <c r="DC344" s="5"/>
      <c r="DD344" s="5"/>
      <c r="DE344" s="5"/>
      <c r="DF344" s="5"/>
      <c r="DG344" s="5"/>
      <c r="DH344" s="5"/>
    </row>
    <row r="345">
      <c r="CU345" s="4"/>
      <c r="CZ345" s="5"/>
      <c r="DA345" s="5"/>
      <c r="DB345" s="5"/>
      <c r="DC345" s="5"/>
      <c r="DD345" s="5"/>
      <c r="DE345" s="5"/>
      <c r="DF345" s="5"/>
      <c r="DG345" s="5"/>
      <c r="DH345" s="5"/>
    </row>
    <row r="346">
      <c r="CU346" s="4"/>
      <c r="CZ346" s="5"/>
      <c r="DA346" s="5"/>
      <c r="DB346" s="5"/>
      <c r="DC346" s="5"/>
      <c r="DD346" s="5"/>
      <c r="DE346" s="5"/>
      <c r="DF346" s="5"/>
      <c r="DG346" s="5"/>
      <c r="DH346" s="5"/>
    </row>
    <row r="347">
      <c r="CU347" s="4"/>
      <c r="CZ347" s="5"/>
      <c r="DA347" s="5"/>
      <c r="DB347" s="5"/>
      <c r="DC347" s="5"/>
      <c r="DD347" s="5"/>
      <c r="DE347" s="5"/>
      <c r="DF347" s="5"/>
      <c r="DG347" s="5"/>
      <c r="DH347" s="5"/>
    </row>
    <row r="348">
      <c r="CU348" s="4"/>
      <c r="CZ348" s="5"/>
      <c r="DA348" s="5"/>
      <c r="DB348" s="5"/>
      <c r="DC348" s="5"/>
      <c r="DD348" s="5"/>
      <c r="DE348" s="5"/>
      <c r="DF348" s="5"/>
      <c r="DG348" s="5"/>
      <c r="DH348" s="5"/>
    </row>
    <row r="349">
      <c r="CU349" s="4"/>
      <c r="CZ349" s="5"/>
      <c r="DA349" s="5"/>
      <c r="DB349" s="5"/>
      <c r="DC349" s="5"/>
      <c r="DD349" s="5"/>
      <c r="DE349" s="5"/>
      <c r="DF349" s="5"/>
      <c r="DG349" s="5"/>
      <c r="DH349" s="5"/>
    </row>
    <row r="350">
      <c r="CU350" s="4"/>
      <c r="CZ350" s="5"/>
      <c r="DA350" s="5"/>
      <c r="DB350" s="5"/>
      <c r="DC350" s="5"/>
      <c r="DD350" s="5"/>
      <c r="DE350" s="5"/>
      <c r="DF350" s="5"/>
      <c r="DG350" s="5"/>
      <c r="DH350" s="5"/>
    </row>
    <row r="351">
      <c r="CU351" s="4"/>
      <c r="CZ351" s="5"/>
      <c r="DA351" s="5"/>
      <c r="DB351" s="5"/>
      <c r="DC351" s="5"/>
      <c r="DD351" s="5"/>
      <c r="DE351" s="5"/>
      <c r="DF351" s="5"/>
      <c r="DG351" s="5"/>
      <c r="DH351" s="5"/>
    </row>
    <row r="352">
      <c r="CU352" s="4"/>
      <c r="CZ352" s="5"/>
      <c r="DA352" s="5"/>
      <c r="DB352" s="5"/>
      <c r="DC352" s="5"/>
      <c r="DD352" s="5"/>
      <c r="DE352" s="5"/>
      <c r="DF352" s="5"/>
      <c r="DG352" s="5"/>
      <c r="DH352" s="5"/>
    </row>
    <row r="353">
      <c r="CU353" s="4"/>
      <c r="CZ353" s="5"/>
      <c r="DA353" s="5"/>
      <c r="DB353" s="5"/>
      <c r="DC353" s="5"/>
      <c r="DD353" s="5"/>
      <c r="DE353" s="5"/>
      <c r="DF353" s="5"/>
      <c r="DG353" s="5"/>
      <c r="DH353" s="5"/>
    </row>
    <row r="354">
      <c r="CU354" s="4"/>
      <c r="CZ354" s="5"/>
      <c r="DA354" s="5"/>
      <c r="DB354" s="5"/>
      <c r="DC354" s="5"/>
      <c r="DD354" s="5"/>
      <c r="DE354" s="5"/>
      <c r="DF354" s="5"/>
      <c r="DG354" s="5"/>
      <c r="DH354" s="5"/>
    </row>
    <row r="355">
      <c r="CU355" s="4"/>
      <c r="CZ355" s="5"/>
      <c r="DA355" s="5"/>
      <c r="DB355" s="5"/>
      <c r="DC355" s="5"/>
      <c r="DD355" s="5"/>
      <c r="DE355" s="5"/>
      <c r="DF355" s="5"/>
      <c r="DG355" s="5"/>
      <c r="DH355" s="5"/>
    </row>
    <row r="356">
      <c r="CU356" s="4"/>
      <c r="CZ356" s="5"/>
      <c r="DA356" s="5"/>
      <c r="DB356" s="5"/>
      <c r="DC356" s="5"/>
      <c r="DD356" s="5"/>
      <c r="DE356" s="5"/>
      <c r="DF356" s="5"/>
      <c r="DG356" s="5"/>
      <c r="DH356" s="5"/>
    </row>
    <row r="357">
      <c r="CU357" s="4"/>
      <c r="CZ357" s="5"/>
      <c r="DA357" s="5"/>
      <c r="DB357" s="5"/>
      <c r="DC357" s="5"/>
      <c r="DD357" s="5"/>
      <c r="DE357" s="5"/>
      <c r="DF357" s="5"/>
      <c r="DG357" s="5"/>
      <c r="DH357" s="5"/>
    </row>
    <row r="358">
      <c r="CU358" s="4"/>
      <c r="CZ358" s="5"/>
      <c r="DA358" s="5"/>
      <c r="DB358" s="5"/>
      <c r="DC358" s="5"/>
      <c r="DD358" s="5"/>
      <c r="DE358" s="5"/>
      <c r="DF358" s="5"/>
      <c r="DG358" s="5"/>
      <c r="DH358" s="5"/>
    </row>
    <row r="359">
      <c r="CU359" s="4"/>
      <c r="CZ359" s="5"/>
      <c r="DA359" s="5"/>
      <c r="DB359" s="5"/>
      <c r="DC359" s="5"/>
      <c r="DD359" s="5"/>
      <c r="DE359" s="5"/>
      <c r="DF359" s="5"/>
      <c r="DG359" s="5"/>
      <c r="DH359" s="5"/>
    </row>
    <row r="360">
      <c r="CU360" s="4"/>
      <c r="CZ360" s="5"/>
      <c r="DA360" s="5"/>
      <c r="DB360" s="5"/>
      <c r="DC360" s="5"/>
      <c r="DD360" s="5"/>
      <c r="DE360" s="5"/>
      <c r="DF360" s="5"/>
      <c r="DG360" s="5"/>
      <c r="DH360" s="5"/>
    </row>
    <row r="361">
      <c r="CU361" s="4"/>
      <c r="CZ361" s="5"/>
      <c r="DA361" s="5"/>
      <c r="DB361" s="5"/>
      <c r="DC361" s="5"/>
      <c r="DD361" s="5"/>
      <c r="DE361" s="5"/>
      <c r="DF361" s="5"/>
      <c r="DG361" s="5"/>
      <c r="DH361" s="5"/>
    </row>
    <row r="362">
      <c r="CU362" s="4"/>
      <c r="CZ362" s="5"/>
      <c r="DA362" s="5"/>
      <c r="DB362" s="5"/>
      <c r="DC362" s="5"/>
      <c r="DD362" s="5"/>
      <c r="DE362" s="5"/>
      <c r="DF362" s="5"/>
      <c r="DG362" s="5"/>
      <c r="DH362" s="5"/>
    </row>
    <row r="363">
      <c r="CU363" s="4"/>
      <c r="CZ363" s="5"/>
      <c r="DA363" s="5"/>
      <c r="DB363" s="5"/>
      <c r="DC363" s="5"/>
      <c r="DD363" s="5"/>
      <c r="DE363" s="5"/>
      <c r="DF363" s="5"/>
      <c r="DG363" s="5"/>
      <c r="DH363" s="5"/>
    </row>
    <row r="364">
      <c r="CU364" s="4"/>
      <c r="CZ364" s="5"/>
      <c r="DA364" s="5"/>
      <c r="DB364" s="5"/>
      <c r="DC364" s="5"/>
      <c r="DD364" s="5"/>
      <c r="DE364" s="5"/>
      <c r="DF364" s="5"/>
      <c r="DG364" s="5"/>
      <c r="DH364" s="5"/>
    </row>
    <row r="365">
      <c r="CU365" s="4"/>
      <c r="CZ365" s="5"/>
      <c r="DA365" s="5"/>
      <c r="DB365" s="5"/>
      <c r="DC365" s="5"/>
      <c r="DD365" s="5"/>
      <c r="DE365" s="5"/>
      <c r="DF365" s="5"/>
      <c r="DG365" s="5"/>
      <c r="DH365" s="5"/>
    </row>
    <row r="366">
      <c r="CU366" s="4"/>
      <c r="CZ366" s="5"/>
      <c r="DA366" s="5"/>
      <c r="DB366" s="5"/>
      <c r="DC366" s="5"/>
      <c r="DD366" s="5"/>
      <c r="DE366" s="5"/>
      <c r="DF366" s="5"/>
      <c r="DG366" s="5"/>
      <c r="DH366" s="5"/>
    </row>
    <row r="367">
      <c r="CU367" s="4"/>
      <c r="CZ367" s="5"/>
      <c r="DA367" s="5"/>
      <c r="DB367" s="5"/>
      <c r="DC367" s="5"/>
      <c r="DD367" s="5"/>
      <c r="DE367" s="5"/>
      <c r="DF367" s="5"/>
      <c r="DG367" s="5"/>
      <c r="DH367" s="5"/>
    </row>
    <row r="368">
      <c r="CU368" s="4"/>
      <c r="CZ368" s="5"/>
      <c r="DA368" s="5"/>
      <c r="DB368" s="5"/>
      <c r="DC368" s="5"/>
      <c r="DD368" s="5"/>
      <c r="DE368" s="5"/>
      <c r="DF368" s="5"/>
      <c r="DG368" s="5"/>
      <c r="DH368" s="5"/>
    </row>
    <row r="369">
      <c r="CU369" s="4"/>
      <c r="CZ369" s="5"/>
      <c r="DA369" s="5"/>
      <c r="DB369" s="5"/>
      <c r="DC369" s="5"/>
      <c r="DD369" s="5"/>
      <c r="DE369" s="5"/>
      <c r="DF369" s="5"/>
      <c r="DG369" s="5"/>
      <c r="DH369" s="5"/>
    </row>
    <row r="370">
      <c r="CU370" s="4"/>
      <c r="CZ370" s="5"/>
      <c r="DA370" s="5"/>
      <c r="DB370" s="5"/>
      <c r="DC370" s="5"/>
      <c r="DD370" s="5"/>
      <c r="DE370" s="5"/>
      <c r="DF370" s="5"/>
      <c r="DG370" s="5"/>
      <c r="DH370" s="5"/>
    </row>
    <row r="371">
      <c r="CU371" s="4"/>
      <c r="CZ371" s="5"/>
      <c r="DA371" s="5"/>
      <c r="DB371" s="5"/>
      <c r="DC371" s="5"/>
      <c r="DD371" s="5"/>
      <c r="DE371" s="5"/>
      <c r="DF371" s="5"/>
      <c r="DG371" s="5"/>
      <c r="DH371" s="5"/>
    </row>
    <row r="372">
      <c r="CU372" s="4"/>
      <c r="CZ372" s="5"/>
      <c r="DA372" s="5"/>
      <c r="DB372" s="5"/>
      <c r="DC372" s="5"/>
      <c r="DD372" s="5"/>
      <c r="DE372" s="5"/>
      <c r="DF372" s="5"/>
      <c r="DG372" s="5"/>
      <c r="DH372" s="5"/>
    </row>
    <row r="373">
      <c r="CU373" s="4"/>
      <c r="CZ373" s="5"/>
      <c r="DA373" s="5"/>
      <c r="DB373" s="5"/>
      <c r="DC373" s="5"/>
      <c r="DD373" s="5"/>
      <c r="DE373" s="5"/>
      <c r="DF373" s="5"/>
      <c r="DG373" s="5"/>
      <c r="DH373" s="5"/>
    </row>
    <row r="374">
      <c r="CU374" s="4"/>
      <c r="CZ374" s="5"/>
      <c r="DA374" s="5"/>
      <c r="DB374" s="5"/>
      <c r="DC374" s="5"/>
      <c r="DD374" s="5"/>
      <c r="DE374" s="5"/>
      <c r="DF374" s="5"/>
      <c r="DG374" s="5"/>
      <c r="DH374" s="5"/>
    </row>
    <row r="375">
      <c r="CU375" s="4"/>
      <c r="CZ375" s="5"/>
      <c r="DA375" s="5"/>
      <c r="DB375" s="5"/>
      <c r="DC375" s="5"/>
      <c r="DD375" s="5"/>
      <c r="DE375" s="5"/>
      <c r="DF375" s="5"/>
      <c r="DG375" s="5"/>
      <c r="DH375" s="5"/>
    </row>
    <row r="376">
      <c r="CU376" s="4"/>
      <c r="CZ376" s="5"/>
      <c r="DA376" s="5"/>
      <c r="DB376" s="5"/>
      <c r="DC376" s="5"/>
      <c r="DD376" s="5"/>
      <c r="DE376" s="5"/>
      <c r="DF376" s="5"/>
      <c r="DG376" s="5"/>
      <c r="DH376" s="5"/>
    </row>
    <row r="377">
      <c r="CU377" s="4"/>
      <c r="CZ377" s="5"/>
      <c r="DA377" s="5"/>
      <c r="DB377" s="5"/>
      <c r="DC377" s="5"/>
      <c r="DD377" s="5"/>
      <c r="DE377" s="5"/>
      <c r="DF377" s="5"/>
      <c r="DG377" s="5"/>
      <c r="DH377" s="5"/>
    </row>
    <row r="378">
      <c r="CU378" s="4"/>
      <c r="CZ378" s="5"/>
      <c r="DA378" s="5"/>
      <c r="DB378" s="5"/>
      <c r="DC378" s="5"/>
      <c r="DD378" s="5"/>
      <c r="DE378" s="5"/>
      <c r="DF378" s="5"/>
      <c r="DG378" s="5"/>
      <c r="DH378" s="5"/>
    </row>
    <row r="379">
      <c r="CU379" s="4"/>
      <c r="CZ379" s="5"/>
      <c r="DA379" s="5"/>
      <c r="DB379" s="5"/>
      <c r="DC379" s="5"/>
      <c r="DD379" s="5"/>
      <c r="DE379" s="5"/>
      <c r="DF379" s="5"/>
      <c r="DG379" s="5"/>
      <c r="DH379" s="5"/>
    </row>
    <row r="380">
      <c r="CU380" s="4"/>
      <c r="CZ380" s="5"/>
      <c r="DA380" s="5"/>
      <c r="DB380" s="5"/>
      <c r="DC380" s="5"/>
      <c r="DD380" s="5"/>
      <c r="DE380" s="5"/>
      <c r="DF380" s="5"/>
      <c r="DG380" s="5"/>
      <c r="DH380" s="5"/>
    </row>
    <row r="381">
      <c r="CU381" s="4"/>
      <c r="CZ381" s="5"/>
      <c r="DA381" s="5"/>
      <c r="DB381" s="5"/>
      <c r="DC381" s="5"/>
      <c r="DD381" s="5"/>
      <c r="DE381" s="5"/>
      <c r="DF381" s="5"/>
      <c r="DG381" s="5"/>
      <c r="DH381" s="5"/>
    </row>
    <row r="382">
      <c r="CU382" s="4"/>
      <c r="CZ382" s="5"/>
      <c r="DA382" s="5"/>
      <c r="DB382" s="5"/>
      <c r="DC382" s="5"/>
      <c r="DD382" s="5"/>
      <c r="DE382" s="5"/>
      <c r="DF382" s="5"/>
      <c r="DG382" s="5"/>
      <c r="DH382" s="5"/>
    </row>
    <row r="383">
      <c r="CU383" s="4"/>
      <c r="CZ383" s="5"/>
      <c r="DA383" s="5"/>
      <c r="DB383" s="5"/>
      <c r="DC383" s="5"/>
      <c r="DD383" s="5"/>
      <c r="DE383" s="5"/>
      <c r="DF383" s="5"/>
      <c r="DG383" s="5"/>
      <c r="DH383" s="5"/>
    </row>
    <row r="384">
      <c r="CU384" s="4"/>
      <c r="CZ384" s="5"/>
      <c r="DA384" s="5"/>
      <c r="DB384" s="5"/>
      <c r="DC384" s="5"/>
      <c r="DD384" s="5"/>
      <c r="DE384" s="5"/>
      <c r="DF384" s="5"/>
      <c r="DG384" s="5"/>
      <c r="DH384" s="5"/>
    </row>
    <row r="385">
      <c r="CU385" s="4"/>
      <c r="CZ385" s="5"/>
      <c r="DA385" s="5"/>
      <c r="DB385" s="5"/>
      <c r="DC385" s="5"/>
      <c r="DD385" s="5"/>
      <c r="DE385" s="5"/>
      <c r="DF385" s="5"/>
      <c r="DG385" s="5"/>
      <c r="DH385" s="5"/>
    </row>
    <row r="386">
      <c r="CU386" s="4"/>
      <c r="CZ386" s="5"/>
      <c r="DA386" s="5"/>
      <c r="DB386" s="5"/>
      <c r="DC386" s="5"/>
      <c r="DD386" s="5"/>
      <c r="DE386" s="5"/>
      <c r="DF386" s="5"/>
      <c r="DG386" s="5"/>
      <c r="DH386" s="5"/>
    </row>
    <row r="387">
      <c r="CU387" s="4"/>
      <c r="CZ387" s="5"/>
      <c r="DA387" s="5"/>
      <c r="DB387" s="5"/>
      <c r="DC387" s="5"/>
      <c r="DD387" s="5"/>
      <c r="DE387" s="5"/>
      <c r="DF387" s="5"/>
      <c r="DG387" s="5"/>
      <c r="DH387" s="5"/>
    </row>
    <row r="388">
      <c r="CU388" s="4"/>
      <c r="CZ388" s="5"/>
      <c r="DA388" s="5"/>
      <c r="DB388" s="5"/>
      <c r="DC388" s="5"/>
      <c r="DD388" s="5"/>
      <c r="DE388" s="5"/>
      <c r="DF388" s="5"/>
      <c r="DG388" s="5"/>
      <c r="DH388" s="5"/>
    </row>
    <row r="389">
      <c r="CU389" s="4"/>
      <c r="CZ389" s="5"/>
      <c r="DA389" s="5"/>
      <c r="DB389" s="5"/>
      <c r="DC389" s="5"/>
      <c r="DD389" s="5"/>
      <c r="DE389" s="5"/>
      <c r="DF389" s="5"/>
      <c r="DG389" s="5"/>
      <c r="DH389" s="5"/>
    </row>
    <row r="390">
      <c r="CU390" s="4"/>
      <c r="CZ390" s="5"/>
      <c r="DA390" s="5"/>
      <c r="DB390" s="5"/>
      <c r="DC390" s="5"/>
      <c r="DD390" s="5"/>
      <c r="DE390" s="5"/>
      <c r="DF390" s="5"/>
      <c r="DG390" s="5"/>
      <c r="DH390" s="5"/>
    </row>
    <row r="391">
      <c r="CU391" s="4"/>
      <c r="CZ391" s="5"/>
      <c r="DA391" s="5"/>
      <c r="DB391" s="5"/>
      <c r="DC391" s="5"/>
      <c r="DD391" s="5"/>
      <c r="DE391" s="5"/>
      <c r="DF391" s="5"/>
      <c r="DG391" s="5"/>
      <c r="DH391" s="5"/>
    </row>
    <row r="392">
      <c r="CU392" s="4"/>
      <c r="CZ392" s="5"/>
      <c r="DA392" s="5"/>
      <c r="DB392" s="5"/>
      <c r="DC392" s="5"/>
      <c r="DD392" s="5"/>
      <c r="DE392" s="5"/>
      <c r="DF392" s="5"/>
      <c r="DG392" s="5"/>
      <c r="DH392" s="5"/>
    </row>
    <row r="393">
      <c r="CU393" s="4"/>
      <c r="CZ393" s="5"/>
      <c r="DA393" s="5"/>
      <c r="DB393" s="5"/>
      <c r="DC393" s="5"/>
      <c r="DD393" s="5"/>
      <c r="DE393" s="5"/>
      <c r="DF393" s="5"/>
      <c r="DG393" s="5"/>
      <c r="DH393" s="5"/>
    </row>
    <row r="394">
      <c r="CU394" s="4"/>
      <c r="CZ394" s="5"/>
      <c r="DA394" s="5"/>
      <c r="DB394" s="5"/>
      <c r="DC394" s="5"/>
      <c r="DD394" s="5"/>
      <c r="DE394" s="5"/>
      <c r="DF394" s="5"/>
      <c r="DG394" s="5"/>
      <c r="DH394" s="5"/>
    </row>
    <row r="395">
      <c r="CU395" s="4"/>
      <c r="CZ395" s="5"/>
      <c r="DA395" s="5"/>
      <c r="DB395" s="5"/>
      <c r="DC395" s="5"/>
      <c r="DD395" s="5"/>
      <c r="DE395" s="5"/>
      <c r="DF395" s="5"/>
      <c r="DG395" s="5"/>
      <c r="DH395" s="5"/>
    </row>
    <row r="396">
      <c r="CU396" s="4"/>
      <c r="CZ396" s="5"/>
      <c r="DA396" s="5"/>
      <c r="DB396" s="5"/>
      <c r="DC396" s="5"/>
      <c r="DD396" s="5"/>
      <c r="DE396" s="5"/>
      <c r="DF396" s="5"/>
      <c r="DG396" s="5"/>
      <c r="DH396" s="5"/>
    </row>
    <row r="397">
      <c r="CU397" s="4"/>
      <c r="CZ397" s="5"/>
      <c r="DA397" s="5"/>
      <c r="DB397" s="5"/>
      <c r="DC397" s="5"/>
      <c r="DD397" s="5"/>
      <c r="DE397" s="5"/>
      <c r="DF397" s="5"/>
      <c r="DG397" s="5"/>
      <c r="DH397" s="5"/>
    </row>
    <row r="398">
      <c r="CU398" s="4"/>
      <c r="CZ398" s="5"/>
      <c r="DA398" s="5"/>
      <c r="DB398" s="5"/>
      <c r="DC398" s="5"/>
      <c r="DD398" s="5"/>
      <c r="DE398" s="5"/>
      <c r="DF398" s="5"/>
      <c r="DG398" s="5"/>
      <c r="DH398" s="5"/>
    </row>
    <row r="399">
      <c r="CU399" s="4"/>
      <c r="CZ399" s="5"/>
      <c r="DA399" s="5"/>
      <c r="DB399" s="5"/>
      <c r="DC399" s="5"/>
      <c r="DD399" s="5"/>
      <c r="DE399" s="5"/>
      <c r="DF399" s="5"/>
      <c r="DG399" s="5"/>
      <c r="DH399" s="5"/>
    </row>
    <row r="400">
      <c r="CU400" s="4"/>
      <c r="CZ400" s="5"/>
      <c r="DA400" s="5"/>
      <c r="DB400" s="5"/>
      <c r="DC400" s="5"/>
      <c r="DD400" s="5"/>
      <c r="DE400" s="5"/>
      <c r="DF400" s="5"/>
      <c r="DG400" s="5"/>
      <c r="DH400" s="5"/>
    </row>
    <row r="401">
      <c r="CU401" s="4"/>
      <c r="CZ401" s="5"/>
      <c r="DA401" s="5"/>
      <c r="DB401" s="5"/>
      <c r="DC401" s="5"/>
      <c r="DD401" s="5"/>
      <c r="DE401" s="5"/>
      <c r="DF401" s="5"/>
      <c r="DG401" s="5"/>
      <c r="DH401" s="5"/>
    </row>
    <row r="402">
      <c r="CU402" s="4"/>
      <c r="CZ402" s="5"/>
      <c r="DA402" s="5"/>
      <c r="DB402" s="5"/>
      <c r="DC402" s="5"/>
      <c r="DD402" s="5"/>
      <c r="DE402" s="5"/>
      <c r="DF402" s="5"/>
      <c r="DG402" s="5"/>
      <c r="DH402" s="5"/>
    </row>
    <row r="403">
      <c r="CU403" s="4"/>
      <c r="CZ403" s="5"/>
      <c r="DA403" s="5"/>
      <c r="DB403" s="5"/>
      <c r="DC403" s="5"/>
      <c r="DD403" s="5"/>
      <c r="DE403" s="5"/>
      <c r="DF403" s="5"/>
      <c r="DG403" s="5"/>
      <c r="DH403" s="5"/>
    </row>
    <row r="404">
      <c r="CU404" s="4"/>
      <c r="CZ404" s="5"/>
      <c r="DA404" s="5"/>
      <c r="DB404" s="5"/>
      <c r="DC404" s="5"/>
      <c r="DD404" s="5"/>
      <c r="DE404" s="5"/>
      <c r="DF404" s="5"/>
      <c r="DG404" s="5"/>
      <c r="DH404" s="5"/>
    </row>
    <row r="405">
      <c r="CU405" s="4"/>
      <c r="CZ405" s="5"/>
      <c r="DA405" s="5"/>
      <c r="DB405" s="5"/>
      <c r="DC405" s="5"/>
      <c r="DD405" s="5"/>
      <c r="DE405" s="5"/>
      <c r="DF405" s="5"/>
      <c r="DG405" s="5"/>
      <c r="DH405" s="5"/>
    </row>
    <row r="406">
      <c r="CU406" s="4"/>
      <c r="CZ406" s="5"/>
      <c r="DA406" s="5"/>
      <c r="DB406" s="5"/>
      <c r="DC406" s="5"/>
      <c r="DD406" s="5"/>
      <c r="DE406" s="5"/>
      <c r="DF406" s="5"/>
      <c r="DG406" s="5"/>
      <c r="DH406" s="5"/>
    </row>
    <row r="407">
      <c r="CU407" s="4"/>
      <c r="CZ407" s="5"/>
      <c r="DA407" s="5"/>
      <c r="DB407" s="5"/>
      <c r="DC407" s="5"/>
      <c r="DD407" s="5"/>
      <c r="DE407" s="5"/>
      <c r="DF407" s="5"/>
      <c r="DG407" s="5"/>
      <c r="DH407" s="5"/>
    </row>
    <row r="408">
      <c r="CU408" s="4"/>
      <c r="CZ408" s="5"/>
      <c r="DA408" s="5"/>
      <c r="DB408" s="5"/>
      <c r="DC408" s="5"/>
      <c r="DD408" s="5"/>
      <c r="DE408" s="5"/>
      <c r="DF408" s="5"/>
      <c r="DG408" s="5"/>
      <c r="DH408" s="5"/>
    </row>
    <row r="409">
      <c r="CU409" s="4"/>
      <c r="CZ409" s="5"/>
      <c r="DA409" s="5"/>
      <c r="DB409" s="5"/>
      <c r="DC409" s="5"/>
      <c r="DD409" s="5"/>
      <c r="DE409" s="5"/>
      <c r="DF409" s="5"/>
      <c r="DG409" s="5"/>
      <c r="DH409" s="5"/>
    </row>
    <row r="410">
      <c r="CU410" s="4"/>
      <c r="CZ410" s="5"/>
      <c r="DA410" s="5"/>
      <c r="DB410" s="5"/>
      <c r="DC410" s="5"/>
      <c r="DD410" s="5"/>
      <c r="DE410" s="5"/>
      <c r="DF410" s="5"/>
      <c r="DG410" s="5"/>
      <c r="DH410" s="5"/>
    </row>
    <row r="411">
      <c r="CU411" s="4"/>
      <c r="CZ411" s="5"/>
      <c r="DA411" s="5"/>
      <c r="DB411" s="5"/>
      <c r="DC411" s="5"/>
      <c r="DD411" s="5"/>
      <c r="DE411" s="5"/>
      <c r="DF411" s="5"/>
      <c r="DG411" s="5"/>
      <c r="DH411" s="5"/>
    </row>
    <row r="412">
      <c r="CU412" s="4"/>
      <c r="CZ412" s="5"/>
      <c r="DA412" s="5"/>
      <c r="DB412" s="5"/>
      <c r="DC412" s="5"/>
      <c r="DD412" s="5"/>
      <c r="DE412" s="5"/>
      <c r="DF412" s="5"/>
      <c r="DG412" s="5"/>
      <c r="DH412" s="5"/>
    </row>
    <row r="413">
      <c r="CU413" s="4"/>
      <c r="CZ413" s="5"/>
      <c r="DA413" s="5"/>
      <c r="DB413" s="5"/>
      <c r="DC413" s="5"/>
      <c r="DD413" s="5"/>
      <c r="DE413" s="5"/>
      <c r="DF413" s="5"/>
      <c r="DG413" s="5"/>
      <c r="DH413" s="5"/>
    </row>
    <row r="414">
      <c r="CU414" s="4"/>
      <c r="CZ414" s="5"/>
      <c r="DA414" s="5"/>
      <c r="DB414" s="5"/>
      <c r="DC414" s="5"/>
      <c r="DD414" s="5"/>
      <c r="DE414" s="5"/>
      <c r="DF414" s="5"/>
      <c r="DG414" s="5"/>
      <c r="DH414" s="5"/>
    </row>
    <row r="415">
      <c r="CU415" s="4"/>
      <c r="CZ415" s="5"/>
      <c r="DA415" s="5"/>
      <c r="DB415" s="5"/>
      <c r="DC415" s="5"/>
      <c r="DD415" s="5"/>
      <c r="DE415" s="5"/>
      <c r="DF415" s="5"/>
      <c r="DG415" s="5"/>
      <c r="DH415" s="5"/>
    </row>
    <row r="416">
      <c r="CU416" s="4"/>
      <c r="CZ416" s="5"/>
      <c r="DA416" s="5"/>
      <c r="DB416" s="5"/>
      <c r="DC416" s="5"/>
      <c r="DD416" s="5"/>
      <c r="DE416" s="5"/>
      <c r="DF416" s="5"/>
      <c r="DG416" s="5"/>
      <c r="DH416" s="5"/>
    </row>
    <row r="417">
      <c r="CU417" s="4"/>
      <c r="CZ417" s="5"/>
      <c r="DA417" s="5"/>
      <c r="DB417" s="5"/>
      <c r="DC417" s="5"/>
      <c r="DD417" s="5"/>
      <c r="DE417" s="5"/>
      <c r="DF417" s="5"/>
      <c r="DG417" s="5"/>
      <c r="DH417" s="5"/>
    </row>
    <row r="418">
      <c r="CU418" s="4"/>
      <c r="CZ418" s="5"/>
      <c r="DA418" s="5"/>
      <c r="DB418" s="5"/>
      <c r="DC418" s="5"/>
      <c r="DD418" s="5"/>
      <c r="DE418" s="5"/>
      <c r="DF418" s="5"/>
      <c r="DG418" s="5"/>
      <c r="DH418" s="5"/>
    </row>
    <row r="419">
      <c r="CU419" s="4"/>
      <c r="CZ419" s="5"/>
      <c r="DA419" s="5"/>
      <c r="DB419" s="5"/>
      <c r="DC419" s="5"/>
      <c r="DD419" s="5"/>
      <c r="DE419" s="5"/>
      <c r="DF419" s="5"/>
      <c r="DG419" s="5"/>
      <c r="DH419" s="5"/>
    </row>
    <row r="420">
      <c r="CU420" s="4"/>
      <c r="CZ420" s="5"/>
      <c r="DA420" s="5"/>
      <c r="DB420" s="5"/>
      <c r="DC420" s="5"/>
      <c r="DD420" s="5"/>
      <c r="DE420" s="5"/>
      <c r="DF420" s="5"/>
      <c r="DG420" s="5"/>
      <c r="DH420" s="5"/>
    </row>
    <row r="421">
      <c r="CU421" s="4"/>
      <c r="CZ421" s="5"/>
      <c r="DA421" s="5"/>
      <c r="DB421" s="5"/>
      <c r="DC421" s="5"/>
      <c r="DD421" s="5"/>
      <c r="DE421" s="5"/>
      <c r="DF421" s="5"/>
      <c r="DG421" s="5"/>
      <c r="DH421" s="5"/>
    </row>
    <row r="422">
      <c r="CU422" s="4"/>
      <c r="CZ422" s="5"/>
      <c r="DA422" s="5"/>
      <c r="DB422" s="5"/>
      <c r="DC422" s="5"/>
      <c r="DD422" s="5"/>
      <c r="DE422" s="5"/>
      <c r="DF422" s="5"/>
      <c r="DG422" s="5"/>
      <c r="DH422" s="5"/>
    </row>
    <row r="423">
      <c r="CU423" s="4"/>
      <c r="CZ423" s="5"/>
      <c r="DA423" s="5"/>
      <c r="DB423" s="5"/>
      <c r="DC423" s="5"/>
      <c r="DD423" s="5"/>
      <c r="DE423" s="5"/>
      <c r="DF423" s="5"/>
      <c r="DG423" s="5"/>
      <c r="DH423" s="5"/>
    </row>
    <row r="424">
      <c r="CU424" s="4"/>
      <c r="CZ424" s="5"/>
      <c r="DA424" s="5"/>
      <c r="DB424" s="5"/>
      <c r="DC424" s="5"/>
      <c r="DD424" s="5"/>
      <c r="DE424" s="5"/>
      <c r="DF424" s="5"/>
      <c r="DG424" s="5"/>
      <c r="DH424" s="5"/>
    </row>
    <row r="425">
      <c r="CU425" s="4"/>
      <c r="CZ425" s="5"/>
      <c r="DA425" s="5"/>
      <c r="DB425" s="5"/>
      <c r="DC425" s="5"/>
      <c r="DD425" s="5"/>
      <c r="DE425" s="5"/>
      <c r="DF425" s="5"/>
      <c r="DG425" s="5"/>
      <c r="DH425" s="5"/>
    </row>
    <row r="426">
      <c r="CU426" s="4"/>
      <c r="CZ426" s="5"/>
      <c r="DA426" s="5"/>
      <c r="DB426" s="5"/>
      <c r="DC426" s="5"/>
      <c r="DD426" s="5"/>
      <c r="DE426" s="5"/>
      <c r="DF426" s="5"/>
      <c r="DG426" s="5"/>
      <c r="DH426" s="5"/>
    </row>
    <row r="427">
      <c r="CU427" s="4"/>
      <c r="CZ427" s="5"/>
      <c r="DA427" s="5"/>
      <c r="DB427" s="5"/>
      <c r="DC427" s="5"/>
      <c r="DD427" s="5"/>
      <c r="DE427" s="5"/>
      <c r="DF427" s="5"/>
      <c r="DG427" s="5"/>
      <c r="DH427" s="5"/>
    </row>
    <row r="428">
      <c r="CU428" s="4"/>
      <c r="CZ428" s="5"/>
      <c r="DA428" s="5"/>
      <c r="DB428" s="5"/>
      <c r="DC428" s="5"/>
      <c r="DD428" s="5"/>
      <c r="DE428" s="5"/>
      <c r="DF428" s="5"/>
      <c r="DG428" s="5"/>
      <c r="DH428" s="5"/>
    </row>
    <row r="429">
      <c r="CU429" s="4"/>
      <c r="CZ429" s="5"/>
      <c r="DA429" s="5"/>
      <c r="DB429" s="5"/>
      <c r="DC429" s="5"/>
      <c r="DD429" s="5"/>
      <c r="DE429" s="5"/>
      <c r="DF429" s="5"/>
      <c r="DG429" s="5"/>
      <c r="DH429" s="5"/>
    </row>
    <row r="430">
      <c r="CU430" s="4"/>
      <c r="CZ430" s="5"/>
      <c r="DA430" s="5"/>
      <c r="DB430" s="5"/>
      <c r="DC430" s="5"/>
      <c r="DD430" s="5"/>
      <c r="DE430" s="5"/>
      <c r="DF430" s="5"/>
      <c r="DG430" s="5"/>
      <c r="DH430" s="5"/>
    </row>
    <row r="431">
      <c r="CU431" s="4"/>
      <c r="CZ431" s="5"/>
      <c r="DA431" s="5"/>
      <c r="DB431" s="5"/>
      <c r="DC431" s="5"/>
      <c r="DD431" s="5"/>
      <c r="DE431" s="5"/>
      <c r="DF431" s="5"/>
      <c r="DG431" s="5"/>
      <c r="DH431" s="5"/>
    </row>
    <row r="432">
      <c r="CU432" s="4"/>
      <c r="CZ432" s="5"/>
      <c r="DA432" s="5"/>
      <c r="DB432" s="5"/>
      <c r="DC432" s="5"/>
      <c r="DD432" s="5"/>
      <c r="DE432" s="5"/>
      <c r="DF432" s="5"/>
      <c r="DG432" s="5"/>
      <c r="DH432" s="5"/>
    </row>
    <row r="433">
      <c r="CU433" s="4"/>
      <c r="CZ433" s="5"/>
      <c r="DA433" s="5"/>
      <c r="DB433" s="5"/>
      <c r="DC433" s="5"/>
      <c r="DD433" s="5"/>
      <c r="DE433" s="5"/>
      <c r="DF433" s="5"/>
      <c r="DG433" s="5"/>
      <c r="DH433" s="5"/>
    </row>
    <row r="434">
      <c r="CU434" s="4"/>
      <c r="CZ434" s="5"/>
      <c r="DA434" s="5"/>
      <c r="DB434" s="5"/>
      <c r="DC434" s="5"/>
      <c r="DD434" s="5"/>
      <c r="DE434" s="5"/>
      <c r="DF434" s="5"/>
      <c r="DG434" s="5"/>
      <c r="DH434" s="5"/>
    </row>
    <row r="435">
      <c r="CU435" s="4"/>
      <c r="CZ435" s="5"/>
      <c r="DA435" s="5"/>
      <c r="DB435" s="5"/>
      <c r="DC435" s="5"/>
      <c r="DD435" s="5"/>
      <c r="DE435" s="5"/>
      <c r="DF435" s="5"/>
      <c r="DG435" s="5"/>
      <c r="DH435" s="5"/>
    </row>
    <row r="436">
      <c r="CU436" s="4"/>
      <c r="CZ436" s="5"/>
      <c r="DA436" s="5"/>
      <c r="DB436" s="5"/>
      <c r="DC436" s="5"/>
      <c r="DD436" s="5"/>
      <c r="DE436" s="5"/>
      <c r="DF436" s="5"/>
      <c r="DG436" s="5"/>
      <c r="DH436" s="5"/>
    </row>
    <row r="437">
      <c r="CU437" s="4"/>
      <c r="CZ437" s="5"/>
      <c r="DA437" s="5"/>
      <c r="DB437" s="5"/>
      <c r="DC437" s="5"/>
      <c r="DD437" s="5"/>
      <c r="DE437" s="5"/>
      <c r="DF437" s="5"/>
      <c r="DG437" s="5"/>
      <c r="DH437" s="5"/>
    </row>
    <row r="438">
      <c r="CU438" s="4"/>
      <c r="CZ438" s="5"/>
      <c r="DA438" s="5"/>
      <c r="DB438" s="5"/>
      <c r="DC438" s="5"/>
      <c r="DD438" s="5"/>
      <c r="DE438" s="5"/>
      <c r="DF438" s="5"/>
      <c r="DG438" s="5"/>
      <c r="DH438" s="5"/>
    </row>
    <row r="439">
      <c r="CU439" s="4"/>
      <c r="CZ439" s="5"/>
      <c r="DA439" s="5"/>
      <c r="DB439" s="5"/>
      <c r="DC439" s="5"/>
      <c r="DD439" s="5"/>
      <c r="DE439" s="5"/>
      <c r="DF439" s="5"/>
      <c r="DG439" s="5"/>
      <c r="DH439" s="5"/>
    </row>
    <row r="440">
      <c r="CU440" s="4"/>
      <c r="CZ440" s="5"/>
      <c r="DA440" s="5"/>
      <c r="DB440" s="5"/>
      <c r="DC440" s="5"/>
      <c r="DD440" s="5"/>
      <c r="DE440" s="5"/>
      <c r="DF440" s="5"/>
      <c r="DG440" s="5"/>
      <c r="DH440" s="5"/>
    </row>
    <row r="441">
      <c r="CU441" s="4"/>
      <c r="CZ441" s="5"/>
      <c r="DA441" s="5"/>
      <c r="DB441" s="5"/>
      <c r="DC441" s="5"/>
      <c r="DD441" s="5"/>
      <c r="DE441" s="5"/>
      <c r="DF441" s="5"/>
      <c r="DG441" s="5"/>
      <c r="DH441" s="5"/>
    </row>
    <row r="442">
      <c r="CU442" s="4"/>
      <c r="CZ442" s="5"/>
      <c r="DA442" s="5"/>
      <c r="DB442" s="5"/>
      <c r="DC442" s="5"/>
      <c r="DD442" s="5"/>
      <c r="DE442" s="5"/>
      <c r="DF442" s="5"/>
      <c r="DG442" s="5"/>
      <c r="DH442" s="5"/>
    </row>
    <row r="443">
      <c r="CU443" s="4"/>
      <c r="CZ443" s="5"/>
      <c r="DA443" s="5"/>
      <c r="DB443" s="5"/>
      <c r="DC443" s="5"/>
      <c r="DD443" s="5"/>
      <c r="DE443" s="5"/>
      <c r="DF443" s="5"/>
      <c r="DG443" s="5"/>
      <c r="DH443" s="5"/>
    </row>
    <row r="444">
      <c r="CU444" s="4"/>
      <c r="CZ444" s="5"/>
      <c r="DA444" s="5"/>
      <c r="DB444" s="5"/>
      <c r="DC444" s="5"/>
      <c r="DD444" s="5"/>
      <c r="DE444" s="5"/>
      <c r="DF444" s="5"/>
      <c r="DG444" s="5"/>
      <c r="DH444" s="5"/>
    </row>
    <row r="445">
      <c r="CU445" s="4"/>
      <c r="CZ445" s="5"/>
      <c r="DA445" s="5"/>
      <c r="DB445" s="5"/>
      <c r="DC445" s="5"/>
      <c r="DD445" s="5"/>
      <c r="DE445" s="5"/>
      <c r="DF445" s="5"/>
      <c r="DG445" s="5"/>
      <c r="DH445" s="5"/>
    </row>
    <row r="446">
      <c r="CU446" s="4"/>
      <c r="CZ446" s="5"/>
      <c r="DA446" s="5"/>
      <c r="DB446" s="5"/>
      <c r="DC446" s="5"/>
      <c r="DD446" s="5"/>
      <c r="DE446" s="5"/>
      <c r="DF446" s="5"/>
      <c r="DG446" s="5"/>
      <c r="DH446" s="5"/>
    </row>
    <row r="447">
      <c r="CU447" s="4"/>
      <c r="CZ447" s="5"/>
      <c r="DA447" s="5"/>
      <c r="DB447" s="5"/>
      <c r="DC447" s="5"/>
      <c r="DD447" s="5"/>
      <c r="DE447" s="5"/>
      <c r="DF447" s="5"/>
      <c r="DG447" s="5"/>
      <c r="DH447" s="5"/>
    </row>
    <row r="448">
      <c r="CU448" s="4"/>
      <c r="CZ448" s="5"/>
      <c r="DA448" s="5"/>
      <c r="DB448" s="5"/>
      <c r="DC448" s="5"/>
      <c r="DD448" s="5"/>
      <c r="DE448" s="5"/>
      <c r="DF448" s="5"/>
      <c r="DG448" s="5"/>
      <c r="DH448" s="5"/>
    </row>
    <row r="449">
      <c r="CU449" s="4"/>
      <c r="CZ449" s="5"/>
      <c r="DA449" s="5"/>
      <c r="DB449" s="5"/>
      <c r="DC449" s="5"/>
      <c r="DD449" s="5"/>
      <c r="DE449" s="5"/>
      <c r="DF449" s="5"/>
      <c r="DG449" s="5"/>
      <c r="DH449" s="5"/>
    </row>
    <row r="450">
      <c r="CU450" s="4"/>
      <c r="CZ450" s="5"/>
      <c r="DA450" s="5"/>
      <c r="DB450" s="5"/>
      <c r="DC450" s="5"/>
      <c r="DD450" s="5"/>
      <c r="DE450" s="5"/>
      <c r="DF450" s="5"/>
      <c r="DG450" s="5"/>
      <c r="DH450" s="5"/>
    </row>
    <row r="451">
      <c r="CU451" s="4"/>
      <c r="CZ451" s="5"/>
      <c r="DA451" s="5"/>
      <c r="DB451" s="5"/>
      <c r="DC451" s="5"/>
      <c r="DD451" s="5"/>
      <c r="DE451" s="5"/>
      <c r="DF451" s="5"/>
      <c r="DG451" s="5"/>
      <c r="DH451" s="5"/>
    </row>
    <row r="452">
      <c r="CU452" s="4"/>
      <c r="CZ452" s="5"/>
      <c r="DA452" s="5"/>
      <c r="DB452" s="5"/>
      <c r="DC452" s="5"/>
      <c r="DD452" s="5"/>
      <c r="DE452" s="5"/>
      <c r="DF452" s="5"/>
      <c r="DG452" s="5"/>
      <c r="DH452" s="5"/>
    </row>
    <row r="453">
      <c r="CU453" s="4"/>
      <c r="CZ453" s="5"/>
      <c r="DA453" s="5"/>
      <c r="DB453" s="5"/>
      <c r="DC453" s="5"/>
      <c r="DD453" s="5"/>
      <c r="DE453" s="5"/>
      <c r="DF453" s="5"/>
      <c r="DG453" s="5"/>
      <c r="DH453" s="5"/>
    </row>
    <row r="454">
      <c r="CU454" s="4"/>
      <c r="CZ454" s="5"/>
      <c r="DA454" s="5"/>
      <c r="DB454" s="5"/>
      <c r="DC454" s="5"/>
      <c r="DD454" s="5"/>
      <c r="DE454" s="5"/>
      <c r="DF454" s="5"/>
      <c r="DG454" s="5"/>
      <c r="DH454" s="5"/>
    </row>
    <row r="455">
      <c r="CU455" s="4"/>
      <c r="CZ455" s="5"/>
      <c r="DA455" s="5"/>
      <c r="DB455" s="5"/>
      <c r="DC455" s="5"/>
      <c r="DD455" s="5"/>
      <c r="DE455" s="5"/>
      <c r="DF455" s="5"/>
      <c r="DG455" s="5"/>
      <c r="DH455" s="5"/>
    </row>
    <row r="456">
      <c r="CU456" s="4"/>
      <c r="CZ456" s="5"/>
      <c r="DA456" s="5"/>
      <c r="DB456" s="5"/>
      <c r="DC456" s="5"/>
      <c r="DD456" s="5"/>
      <c r="DE456" s="5"/>
      <c r="DF456" s="5"/>
      <c r="DG456" s="5"/>
      <c r="DH456" s="5"/>
    </row>
    <row r="457">
      <c r="CU457" s="4"/>
      <c r="CZ457" s="5"/>
      <c r="DA457" s="5"/>
      <c r="DB457" s="5"/>
      <c r="DC457" s="5"/>
      <c r="DD457" s="5"/>
      <c r="DE457" s="5"/>
      <c r="DF457" s="5"/>
      <c r="DG457" s="5"/>
      <c r="DH457" s="5"/>
    </row>
    <row r="458">
      <c r="CU458" s="4"/>
      <c r="CZ458" s="5"/>
      <c r="DA458" s="5"/>
      <c r="DB458" s="5"/>
      <c r="DC458" s="5"/>
      <c r="DD458" s="5"/>
      <c r="DE458" s="5"/>
      <c r="DF458" s="5"/>
      <c r="DG458" s="5"/>
      <c r="DH458" s="5"/>
    </row>
    <row r="459">
      <c r="CU459" s="4"/>
      <c r="CZ459" s="5"/>
      <c r="DA459" s="5"/>
      <c r="DB459" s="5"/>
      <c r="DC459" s="5"/>
      <c r="DD459" s="5"/>
      <c r="DE459" s="5"/>
      <c r="DF459" s="5"/>
      <c r="DG459" s="5"/>
      <c r="DH459" s="5"/>
    </row>
    <row r="460">
      <c r="CU460" s="4"/>
      <c r="CZ460" s="5"/>
      <c r="DA460" s="5"/>
      <c r="DB460" s="5"/>
      <c r="DC460" s="5"/>
      <c r="DD460" s="5"/>
      <c r="DE460" s="5"/>
      <c r="DF460" s="5"/>
      <c r="DG460" s="5"/>
      <c r="DH460" s="5"/>
    </row>
    <row r="461">
      <c r="CU461" s="4"/>
      <c r="CZ461" s="5"/>
      <c r="DA461" s="5"/>
      <c r="DB461" s="5"/>
      <c r="DC461" s="5"/>
      <c r="DD461" s="5"/>
      <c r="DE461" s="5"/>
      <c r="DF461" s="5"/>
      <c r="DG461" s="5"/>
      <c r="DH461" s="5"/>
    </row>
    <row r="462">
      <c r="CU462" s="4"/>
      <c r="CZ462" s="5"/>
      <c r="DA462" s="5"/>
      <c r="DB462" s="5"/>
      <c r="DC462" s="5"/>
      <c r="DD462" s="5"/>
      <c r="DE462" s="5"/>
      <c r="DF462" s="5"/>
      <c r="DG462" s="5"/>
      <c r="DH462" s="5"/>
    </row>
    <row r="463">
      <c r="CU463" s="4"/>
      <c r="CZ463" s="5"/>
      <c r="DA463" s="5"/>
      <c r="DB463" s="5"/>
      <c r="DC463" s="5"/>
      <c r="DD463" s="5"/>
      <c r="DE463" s="5"/>
      <c r="DF463" s="5"/>
      <c r="DG463" s="5"/>
      <c r="DH463" s="5"/>
    </row>
    <row r="464">
      <c r="CU464" s="4"/>
      <c r="CZ464" s="5"/>
      <c r="DA464" s="5"/>
      <c r="DB464" s="5"/>
      <c r="DC464" s="5"/>
      <c r="DD464" s="5"/>
      <c r="DE464" s="5"/>
      <c r="DF464" s="5"/>
      <c r="DG464" s="5"/>
      <c r="DH464" s="5"/>
    </row>
    <row r="465">
      <c r="CU465" s="4"/>
      <c r="CZ465" s="5"/>
      <c r="DA465" s="5"/>
      <c r="DB465" s="5"/>
      <c r="DC465" s="5"/>
      <c r="DD465" s="5"/>
      <c r="DE465" s="5"/>
      <c r="DF465" s="5"/>
      <c r="DG465" s="5"/>
      <c r="DH465" s="5"/>
    </row>
    <row r="466">
      <c r="CU466" s="4"/>
      <c r="CZ466" s="5"/>
      <c r="DA466" s="5"/>
      <c r="DB466" s="5"/>
      <c r="DC466" s="5"/>
      <c r="DD466" s="5"/>
      <c r="DE466" s="5"/>
      <c r="DF466" s="5"/>
      <c r="DG466" s="5"/>
      <c r="DH466" s="5"/>
    </row>
    <row r="467">
      <c r="CU467" s="4"/>
      <c r="CZ467" s="5"/>
      <c r="DA467" s="5"/>
      <c r="DB467" s="5"/>
      <c r="DC467" s="5"/>
      <c r="DD467" s="5"/>
      <c r="DE467" s="5"/>
      <c r="DF467" s="5"/>
      <c r="DG467" s="5"/>
      <c r="DH467" s="5"/>
    </row>
    <row r="468">
      <c r="CU468" s="4"/>
      <c r="CZ468" s="5"/>
      <c r="DA468" s="5"/>
      <c r="DB468" s="5"/>
      <c r="DC468" s="5"/>
      <c r="DD468" s="5"/>
      <c r="DE468" s="5"/>
      <c r="DF468" s="5"/>
      <c r="DG468" s="5"/>
      <c r="DH468" s="5"/>
    </row>
    <row r="469">
      <c r="CU469" s="4"/>
      <c r="CZ469" s="5"/>
      <c r="DA469" s="5"/>
      <c r="DB469" s="5"/>
      <c r="DC469" s="5"/>
      <c r="DD469" s="5"/>
      <c r="DE469" s="5"/>
      <c r="DF469" s="5"/>
      <c r="DG469" s="5"/>
      <c r="DH469" s="5"/>
    </row>
    <row r="470">
      <c r="CU470" s="4"/>
      <c r="CZ470" s="5"/>
      <c r="DA470" s="5"/>
      <c r="DB470" s="5"/>
      <c r="DC470" s="5"/>
      <c r="DD470" s="5"/>
      <c r="DE470" s="5"/>
      <c r="DF470" s="5"/>
      <c r="DG470" s="5"/>
      <c r="DH470" s="5"/>
    </row>
    <row r="471">
      <c r="CU471" s="4"/>
      <c r="CZ471" s="5"/>
      <c r="DA471" s="5"/>
      <c r="DB471" s="5"/>
      <c r="DC471" s="5"/>
      <c r="DD471" s="5"/>
      <c r="DE471" s="5"/>
      <c r="DF471" s="5"/>
      <c r="DG471" s="5"/>
      <c r="DH471" s="5"/>
    </row>
    <row r="472">
      <c r="CU472" s="4"/>
      <c r="CZ472" s="5"/>
      <c r="DA472" s="5"/>
      <c r="DB472" s="5"/>
      <c r="DC472" s="5"/>
      <c r="DD472" s="5"/>
      <c r="DE472" s="5"/>
      <c r="DF472" s="5"/>
      <c r="DG472" s="5"/>
      <c r="DH472" s="5"/>
    </row>
    <row r="473">
      <c r="CU473" s="4"/>
      <c r="CZ473" s="5"/>
      <c r="DA473" s="5"/>
      <c r="DB473" s="5"/>
      <c r="DC473" s="5"/>
      <c r="DD473" s="5"/>
      <c r="DE473" s="5"/>
      <c r="DF473" s="5"/>
      <c r="DG473" s="5"/>
      <c r="DH473" s="5"/>
    </row>
    <row r="474">
      <c r="CU474" s="4"/>
      <c r="CZ474" s="5"/>
      <c r="DA474" s="5"/>
      <c r="DB474" s="5"/>
      <c r="DC474" s="5"/>
      <c r="DD474" s="5"/>
      <c r="DE474" s="5"/>
      <c r="DF474" s="5"/>
      <c r="DG474" s="5"/>
      <c r="DH474" s="5"/>
    </row>
    <row r="475">
      <c r="CU475" s="4"/>
      <c r="CZ475" s="5"/>
      <c r="DA475" s="5"/>
      <c r="DB475" s="5"/>
      <c r="DC475" s="5"/>
      <c r="DD475" s="5"/>
      <c r="DE475" s="5"/>
      <c r="DF475" s="5"/>
      <c r="DG475" s="5"/>
      <c r="DH475" s="5"/>
    </row>
    <row r="476">
      <c r="CU476" s="4"/>
      <c r="CZ476" s="5"/>
      <c r="DA476" s="5"/>
      <c r="DB476" s="5"/>
      <c r="DC476" s="5"/>
      <c r="DD476" s="5"/>
      <c r="DE476" s="5"/>
      <c r="DF476" s="5"/>
      <c r="DG476" s="5"/>
      <c r="DH476" s="5"/>
    </row>
    <row r="477">
      <c r="CU477" s="4"/>
      <c r="CZ477" s="5"/>
      <c r="DA477" s="5"/>
      <c r="DB477" s="5"/>
      <c r="DC477" s="5"/>
      <c r="DD477" s="5"/>
      <c r="DE477" s="5"/>
      <c r="DF477" s="5"/>
      <c r="DG477" s="5"/>
      <c r="DH477" s="5"/>
    </row>
    <row r="478">
      <c r="CU478" s="4"/>
      <c r="CZ478" s="5"/>
      <c r="DA478" s="5"/>
      <c r="DB478" s="5"/>
      <c r="DC478" s="5"/>
      <c r="DD478" s="5"/>
      <c r="DE478" s="5"/>
      <c r="DF478" s="5"/>
      <c r="DG478" s="5"/>
      <c r="DH478" s="5"/>
    </row>
    <row r="479">
      <c r="CU479" s="4"/>
      <c r="CZ479" s="5"/>
      <c r="DA479" s="5"/>
      <c r="DB479" s="5"/>
      <c r="DC479" s="5"/>
      <c r="DD479" s="5"/>
      <c r="DE479" s="5"/>
      <c r="DF479" s="5"/>
      <c r="DG479" s="5"/>
      <c r="DH479" s="5"/>
    </row>
    <row r="480">
      <c r="CU480" s="4"/>
      <c r="CZ480" s="5"/>
      <c r="DA480" s="5"/>
      <c r="DB480" s="5"/>
      <c r="DC480" s="5"/>
      <c r="DD480" s="5"/>
      <c r="DE480" s="5"/>
      <c r="DF480" s="5"/>
      <c r="DG480" s="5"/>
      <c r="DH480" s="5"/>
    </row>
    <row r="481">
      <c r="CU481" s="4"/>
      <c r="CZ481" s="5"/>
      <c r="DA481" s="5"/>
      <c r="DB481" s="5"/>
      <c r="DC481" s="5"/>
      <c r="DD481" s="5"/>
      <c r="DE481" s="5"/>
      <c r="DF481" s="5"/>
      <c r="DG481" s="5"/>
      <c r="DH481" s="5"/>
    </row>
    <row r="482">
      <c r="CU482" s="4"/>
      <c r="CZ482" s="5"/>
      <c r="DA482" s="5"/>
      <c r="DB482" s="5"/>
      <c r="DC482" s="5"/>
      <c r="DD482" s="5"/>
      <c r="DE482" s="5"/>
      <c r="DF482" s="5"/>
      <c r="DG482" s="5"/>
      <c r="DH482" s="5"/>
    </row>
    <row r="483">
      <c r="CU483" s="4"/>
      <c r="CZ483" s="5"/>
      <c r="DA483" s="5"/>
      <c r="DB483" s="5"/>
      <c r="DC483" s="5"/>
      <c r="DD483" s="5"/>
      <c r="DE483" s="5"/>
      <c r="DF483" s="5"/>
      <c r="DG483" s="5"/>
      <c r="DH483" s="5"/>
    </row>
    <row r="484">
      <c r="CU484" s="4"/>
      <c r="CZ484" s="5"/>
      <c r="DA484" s="5"/>
      <c r="DB484" s="5"/>
      <c r="DC484" s="5"/>
      <c r="DD484" s="5"/>
      <c r="DE484" s="5"/>
      <c r="DF484" s="5"/>
      <c r="DG484" s="5"/>
      <c r="DH484" s="5"/>
    </row>
    <row r="485">
      <c r="CU485" s="4"/>
      <c r="CZ485" s="5"/>
      <c r="DA485" s="5"/>
      <c r="DB485" s="5"/>
      <c r="DC485" s="5"/>
      <c r="DD485" s="5"/>
      <c r="DE485" s="5"/>
      <c r="DF485" s="5"/>
      <c r="DG485" s="5"/>
      <c r="DH485" s="5"/>
    </row>
    <row r="486">
      <c r="CU486" s="4"/>
      <c r="CZ486" s="5"/>
      <c r="DA486" s="5"/>
      <c r="DB486" s="5"/>
      <c r="DC486" s="5"/>
      <c r="DD486" s="5"/>
      <c r="DE486" s="5"/>
      <c r="DF486" s="5"/>
      <c r="DG486" s="5"/>
      <c r="DH486" s="5"/>
    </row>
    <row r="487">
      <c r="CU487" s="4"/>
      <c r="CZ487" s="5"/>
      <c r="DA487" s="5"/>
      <c r="DB487" s="5"/>
      <c r="DC487" s="5"/>
      <c r="DD487" s="5"/>
      <c r="DE487" s="5"/>
      <c r="DF487" s="5"/>
      <c r="DG487" s="5"/>
      <c r="DH487" s="5"/>
    </row>
    <row r="488">
      <c r="CU488" s="4"/>
      <c r="CZ488" s="5"/>
      <c r="DA488" s="5"/>
      <c r="DB488" s="5"/>
      <c r="DC488" s="5"/>
      <c r="DD488" s="5"/>
      <c r="DE488" s="5"/>
      <c r="DF488" s="5"/>
      <c r="DG488" s="5"/>
      <c r="DH488" s="5"/>
    </row>
    <row r="489">
      <c r="CU489" s="4"/>
      <c r="CZ489" s="5"/>
      <c r="DA489" s="5"/>
      <c r="DB489" s="5"/>
      <c r="DC489" s="5"/>
      <c r="DD489" s="5"/>
      <c r="DE489" s="5"/>
      <c r="DF489" s="5"/>
      <c r="DG489" s="5"/>
      <c r="DH489" s="5"/>
    </row>
    <row r="490">
      <c r="CU490" s="4"/>
      <c r="CZ490" s="5"/>
      <c r="DA490" s="5"/>
      <c r="DB490" s="5"/>
      <c r="DC490" s="5"/>
      <c r="DD490" s="5"/>
      <c r="DE490" s="5"/>
      <c r="DF490" s="5"/>
      <c r="DG490" s="5"/>
      <c r="DH490" s="5"/>
    </row>
    <row r="491">
      <c r="CU491" s="4"/>
      <c r="CZ491" s="5"/>
      <c r="DA491" s="5"/>
      <c r="DB491" s="5"/>
      <c r="DC491" s="5"/>
      <c r="DD491" s="5"/>
      <c r="DE491" s="5"/>
      <c r="DF491" s="5"/>
      <c r="DG491" s="5"/>
      <c r="DH491" s="5"/>
    </row>
    <row r="492">
      <c r="CU492" s="4"/>
      <c r="CZ492" s="5"/>
      <c r="DA492" s="5"/>
      <c r="DB492" s="5"/>
      <c r="DC492" s="5"/>
      <c r="DD492" s="5"/>
      <c r="DE492" s="5"/>
      <c r="DF492" s="5"/>
      <c r="DG492" s="5"/>
      <c r="DH492" s="5"/>
    </row>
    <row r="493">
      <c r="CU493" s="4"/>
      <c r="CZ493" s="5"/>
      <c r="DA493" s="5"/>
      <c r="DB493" s="5"/>
      <c r="DC493" s="5"/>
      <c r="DD493" s="5"/>
      <c r="DE493" s="5"/>
      <c r="DF493" s="5"/>
      <c r="DG493" s="5"/>
      <c r="DH493" s="5"/>
    </row>
    <row r="494">
      <c r="CU494" s="4"/>
      <c r="CZ494" s="5"/>
      <c r="DA494" s="5"/>
      <c r="DB494" s="5"/>
      <c r="DC494" s="5"/>
      <c r="DD494" s="5"/>
      <c r="DE494" s="5"/>
      <c r="DF494" s="5"/>
      <c r="DG494" s="5"/>
      <c r="DH494" s="5"/>
    </row>
    <row r="495">
      <c r="CU495" s="4"/>
      <c r="CZ495" s="5"/>
      <c r="DA495" s="5"/>
      <c r="DB495" s="5"/>
      <c r="DC495" s="5"/>
      <c r="DD495" s="5"/>
      <c r="DE495" s="5"/>
      <c r="DF495" s="5"/>
      <c r="DG495" s="5"/>
      <c r="DH495" s="5"/>
    </row>
    <row r="496">
      <c r="CU496" s="4"/>
      <c r="CZ496" s="5"/>
      <c r="DA496" s="5"/>
      <c r="DB496" s="5"/>
      <c r="DC496" s="5"/>
      <c r="DD496" s="5"/>
      <c r="DE496" s="5"/>
      <c r="DF496" s="5"/>
      <c r="DG496" s="5"/>
      <c r="DH496" s="5"/>
    </row>
    <row r="497">
      <c r="CU497" s="4"/>
      <c r="CZ497" s="5"/>
      <c r="DA497" s="5"/>
      <c r="DB497" s="5"/>
      <c r="DC497" s="5"/>
      <c r="DD497" s="5"/>
      <c r="DE497" s="5"/>
      <c r="DF497" s="5"/>
      <c r="DG497" s="5"/>
      <c r="DH497" s="5"/>
    </row>
    <row r="498">
      <c r="CU498" s="4"/>
      <c r="CZ498" s="5"/>
      <c r="DA498" s="5"/>
      <c r="DB498" s="5"/>
      <c r="DC498" s="5"/>
      <c r="DD498" s="5"/>
      <c r="DE498" s="5"/>
      <c r="DF498" s="5"/>
      <c r="DG498" s="5"/>
      <c r="DH498" s="5"/>
    </row>
    <row r="499">
      <c r="CU499" s="4"/>
      <c r="CZ499" s="5"/>
      <c r="DA499" s="5"/>
      <c r="DB499" s="5"/>
      <c r="DC499" s="5"/>
      <c r="DD499" s="5"/>
      <c r="DE499" s="5"/>
      <c r="DF499" s="5"/>
      <c r="DG499" s="5"/>
      <c r="DH499" s="5"/>
    </row>
    <row r="500">
      <c r="CU500" s="4"/>
      <c r="CZ500" s="5"/>
      <c r="DA500" s="5"/>
      <c r="DB500" s="5"/>
      <c r="DC500" s="5"/>
      <c r="DD500" s="5"/>
      <c r="DE500" s="5"/>
      <c r="DF500" s="5"/>
      <c r="DG500" s="5"/>
      <c r="DH500" s="5"/>
    </row>
    <row r="501">
      <c r="CU501" s="4"/>
      <c r="CZ501" s="5"/>
      <c r="DA501" s="5"/>
      <c r="DB501" s="5"/>
      <c r="DC501" s="5"/>
      <c r="DD501" s="5"/>
      <c r="DE501" s="5"/>
      <c r="DF501" s="5"/>
      <c r="DG501" s="5"/>
      <c r="DH501" s="5"/>
    </row>
    <row r="502">
      <c r="CU502" s="4"/>
      <c r="CZ502" s="5"/>
      <c r="DA502" s="5"/>
      <c r="DB502" s="5"/>
      <c r="DC502" s="5"/>
      <c r="DD502" s="5"/>
      <c r="DE502" s="5"/>
      <c r="DF502" s="5"/>
      <c r="DG502" s="5"/>
      <c r="DH502" s="5"/>
    </row>
    <row r="503">
      <c r="CU503" s="4"/>
      <c r="CZ503" s="5"/>
      <c r="DA503" s="5"/>
      <c r="DB503" s="5"/>
      <c r="DC503" s="5"/>
      <c r="DD503" s="5"/>
      <c r="DE503" s="5"/>
      <c r="DF503" s="5"/>
      <c r="DG503" s="5"/>
      <c r="DH503" s="5"/>
    </row>
    <row r="504">
      <c r="CU504" s="4"/>
      <c r="CZ504" s="5"/>
      <c r="DA504" s="5"/>
      <c r="DB504" s="5"/>
      <c r="DC504" s="5"/>
      <c r="DD504" s="5"/>
      <c r="DE504" s="5"/>
      <c r="DF504" s="5"/>
      <c r="DG504" s="5"/>
      <c r="DH504" s="5"/>
    </row>
    <row r="505">
      <c r="CU505" s="4"/>
      <c r="CZ505" s="5"/>
      <c r="DA505" s="5"/>
      <c r="DB505" s="5"/>
      <c r="DC505" s="5"/>
      <c r="DD505" s="5"/>
      <c r="DE505" s="5"/>
      <c r="DF505" s="5"/>
      <c r="DG505" s="5"/>
      <c r="DH505" s="5"/>
    </row>
    <row r="506">
      <c r="CU506" s="4"/>
      <c r="CZ506" s="5"/>
      <c r="DA506" s="5"/>
      <c r="DB506" s="5"/>
      <c r="DC506" s="5"/>
      <c r="DD506" s="5"/>
      <c r="DE506" s="5"/>
      <c r="DF506" s="5"/>
      <c r="DG506" s="5"/>
      <c r="DH506" s="5"/>
    </row>
    <row r="507">
      <c r="CU507" s="4"/>
      <c r="CZ507" s="5"/>
      <c r="DA507" s="5"/>
      <c r="DB507" s="5"/>
      <c r="DC507" s="5"/>
      <c r="DD507" s="5"/>
      <c r="DE507" s="5"/>
      <c r="DF507" s="5"/>
      <c r="DG507" s="5"/>
      <c r="DH507" s="5"/>
    </row>
    <row r="508">
      <c r="CU508" s="4"/>
      <c r="CZ508" s="5"/>
      <c r="DA508" s="5"/>
      <c r="DB508" s="5"/>
      <c r="DC508" s="5"/>
      <c r="DD508" s="5"/>
      <c r="DE508" s="5"/>
      <c r="DF508" s="5"/>
      <c r="DG508" s="5"/>
      <c r="DH508" s="5"/>
    </row>
    <row r="509">
      <c r="CU509" s="4"/>
      <c r="CZ509" s="5"/>
      <c r="DA509" s="5"/>
      <c r="DB509" s="5"/>
      <c r="DC509" s="5"/>
      <c r="DD509" s="5"/>
      <c r="DE509" s="5"/>
      <c r="DF509" s="5"/>
      <c r="DG509" s="5"/>
      <c r="DH509" s="5"/>
    </row>
    <row r="510">
      <c r="CU510" s="4"/>
      <c r="CZ510" s="5"/>
      <c r="DA510" s="5"/>
      <c r="DB510" s="5"/>
      <c r="DC510" s="5"/>
      <c r="DD510" s="5"/>
      <c r="DE510" s="5"/>
      <c r="DF510" s="5"/>
      <c r="DG510" s="5"/>
      <c r="DH510" s="5"/>
    </row>
    <row r="511">
      <c r="CU511" s="4"/>
      <c r="CZ511" s="5"/>
      <c r="DA511" s="5"/>
      <c r="DB511" s="5"/>
      <c r="DC511" s="5"/>
      <c r="DD511" s="5"/>
      <c r="DE511" s="5"/>
      <c r="DF511" s="5"/>
      <c r="DG511" s="5"/>
      <c r="DH511" s="5"/>
    </row>
    <row r="512">
      <c r="CU512" s="4"/>
      <c r="CZ512" s="5"/>
      <c r="DA512" s="5"/>
      <c r="DB512" s="5"/>
      <c r="DC512" s="5"/>
      <c r="DD512" s="5"/>
      <c r="DE512" s="5"/>
      <c r="DF512" s="5"/>
      <c r="DG512" s="5"/>
      <c r="DH512" s="5"/>
    </row>
    <row r="513">
      <c r="CU513" s="4"/>
      <c r="CZ513" s="5"/>
      <c r="DA513" s="5"/>
      <c r="DB513" s="5"/>
      <c r="DC513" s="5"/>
      <c r="DD513" s="5"/>
      <c r="DE513" s="5"/>
      <c r="DF513" s="5"/>
      <c r="DG513" s="5"/>
      <c r="DH513" s="5"/>
    </row>
    <row r="514">
      <c r="CU514" s="4"/>
      <c r="CZ514" s="5"/>
      <c r="DA514" s="5"/>
      <c r="DB514" s="5"/>
      <c r="DC514" s="5"/>
      <c r="DD514" s="5"/>
      <c r="DE514" s="5"/>
      <c r="DF514" s="5"/>
      <c r="DG514" s="5"/>
      <c r="DH514" s="5"/>
    </row>
    <row r="515">
      <c r="CU515" s="4"/>
      <c r="CZ515" s="5"/>
      <c r="DA515" s="5"/>
      <c r="DB515" s="5"/>
      <c r="DC515" s="5"/>
      <c r="DD515" s="5"/>
      <c r="DE515" s="5"/>
      <c r="DF515" s="5"/>
      <c r="DG515" s="5"/>
      <c r="DH515" s="5"/>
    </row>
    <row r="516">
      <c r="CU516" s="4"/>
      <c r="CZ516" s="5"/>
      <c r="DA516" s="5"/>
      <c r="DB516" s="5"/>
      <c r="DC516" s="5"/>
      <c r="DD516" s="5"/>
      <c r="DE516" s="5"/>
      <c r="DF516" s="5"/>
      <c r="DG516" s="5"/>
      <c r="DH516" s="5"/>
    </row>
    <row r="517">
      <c r="CU517" s="4"/>
      <c r="CZ517" s="5"/>
      <c r="DA517" s="5"/>
      <c r="DB517" s="5"/>
      <c r="DC517" s="5"/>
      <c r="DD517" s="5"/>
      <c r="DE517" s="5"/>
      <c r="DF517" s="5"/>
      <c r="DG517" s="5"/>
      <c r="DH517" s="5"/>
    </row>
    <row r="518">
      <c r="CU518" s="4"/>
      <c r="CZ518" s="5"/>
      <c r="DA518" s="5"/>
      <c r="DB518" s="5"/>
      <c r="DC518" s="5"/>
      <c r="DD518" s="5"/>
      <c r="DE518" s="5"/>
      <c r="DF518" s="5"/>
      <c r="DG518" s="5"/>
      <c r="DH518" s="5"/>
    </row>
    <row r="519">
      <c r="CU519" s="4"/>
      <c r="CZ519" s="5"/>
      <c r="DA519" s="5"/>
      <c r="DB519" s="5"/>
      <c r="DC519" s="5"/>
      <c r="DD519" s="5"/>
      <c r="DE519" s="5"/>
      <c r="DF519" s="5"/>
      <c r="DG519" s="5"/>
      <c r="DH519" s="5"/>
    </row>
    <row r="520">
      <c r="CU520" s="4"/>
      <c r="CZ520" s="5"/>
      <c r="DA520" s="5"/>
      <c r="DB520" s="5"/>
      <c r="DC520" s="5"/>
      <c r="DD520" s="5"/>
      <c r="DE520" s="5"/>
      <c r="DF520" s="5"/>
      <c r="DG520" s="5"/>
      <c r="DH520" s="5"/>
    </row>
    <row r="521">
      <c r="CU521" s="4"/>
      <c r="CZ521" s="5"/>
      <c r="DA521" s="5"/>
      <c r="DB521" s="5"/>
      <c r="DC521" s="5"/>
      <c r="DD521" s="5"/>
      <c r="DE521" s="5"/>
      <c r="DF521" s="5"/>
      <c r="DG521" s="5"/>
      <c r="DH521" s="5"/>
    </row>
    <row r="522">
      <c r="CU522" s="4"/>
      <c r="CZ522" s="5"/>
      <c r="DA522" s="5"/>
      <c r="DB522" s="5"/>
      <c r="DC522" s="5"/>
      <c r="DD522" s="5"/>
      <c r="DE522" s="5"/>
      <c r="DF522" s="5"/>
      <c r="DG522" s="5"/>
      <c r="DH522" s="5"/>
    </row>
    <row r="523">
      <c r="CU523" s="4"/>
      <c r="CZ523" s="5"/>
      <c r="DA523" s="5"/>
      <c r="DB523" s="5"/>
      <c r="DC523" s="5"/>
      <c r="DD523" s="5"/>
      <c r="DE523" s="5"/>
      <c r="DF523" s="5"/>
      <c r="DG523" s="5"/>
      <c r="DH523" s="5"/>
    </row>
    <row r="524">
      <c r="CU524" s="4"/>
      <c r="CZ524" s="5"/>
      <c r="DA524" s="5"/>
      <c r="DB524" s="5"/>
      <c r="DC524" s="5"/>
      <c r="DD524" s="5"/>
      <c r="DE524" s="5"/>
      <c r="DF524" s="5"/>
      <c r="DG524" s="5"/>
      <c r="DH524" s="5"/>
    </row>
    <row r="525">
      <c r="CU525" s="4"/>
      <c r="CZ525" s="5"/>
      <c r="DA525" s="5"/>
      <c r="DB525" s="5"/>
      <c r="DC525" s="5"/>
      <c r="DD525" s="5"/>
      <c r="DE525" s="5"/>
      <c r="DF525" s="5"/>
      <c r="DG525" s="5"/>
      <c r="DH525" s="5"/>
    </row>
    <row r="526">
      <c r="CU526" s="4"/>
      <c r="CZ526" s="5"/>
      <c r="DA526" s="5"/>
      <c r="DB526" s="5"/>
      <c r="DC526" s="5"/>
      <c r="DD526" s="5"/>
      <c r="DE526" s="5"/>
      <c r="DF526" s="5"/>
      <c r="DG526" s="5"/>
      <c r="DH526" s="5"/>
    </row>
    <row r="527">
      <c r="CU527" s="4"/>
      <c r="CZ527" s="5"/>
      <c r="DA527" s="5"/>
      <c r="DB527" s="5"/>
      <c r="DC527" s="5"/>
      <c r="DD527" s="5"/>
      <c r="DE527" s="5"/>
      <c r="DF527" s="5"/>
      <c r="DG527" s="5"/>
      <c r="DH527" s="5"/>
    </row>
    <row r="528">
      <c r="CU528" s="4"/>
      <c r="CZ528" s="5"/>
      <c r="DA528" s="5"/>
      <c r="DB528" s="5"/>
      <c r="DC528" s="5"/>
      <c r="DD528" s="5"/>
      <c r="DE528" s="5"/>
      <c r="DF528" s="5"/>
      <c r="DG528" s="5"/>
      <c r="DH528" s="5"/>
    </row>
    <row r="529">
      <c r="CU529" s="4"/>
      <c r="CZ529" s="5"/>
      <c r="DA529" s="5"/>
      <c r="DB529" s="5"/>
      <c r="DC529" s="5"/>
      <c r="DD529" s="5"/>
      <c r="DE529" s="5"/>
      <c r="DF529" s="5"/>
      <c r="DG529" s="5"/>
      <c r="DH529" s="5"/>
    </row>
    <row r="530">
      <c r="CU530" s="4"/>
      <c r="CZ530" s="5"/>
      <c r="DA530" s="5"/>
      <c r="DB530" s="5"/>
      <c r="DC530" s="5"/>
      <c r="DD530" s="5"/>
      <c r="DE530" s="5"/>
      <c r="DF530" s="5"/>
      <c r="DG530" s="5"/>
      <c r="DH530" s="5"/>
    </row>
    <row r="531">
      <c r="CU531" s="4"/>
      <c r="CZ531" s="5"/>
      <c r="DA531" s="5"/>
      <c r="DB531" s="5"/>
      <c r="DC531" s="5"/>
      <c r="DD531" s="5"/>
      <c r="DE531" s="5"/>
      <c r="DF531" s="5"/>
      <c r="DG531" s="5"/>
      <c r="DH531" s="5"/>
    </row>
    <row r="532">
      <c r="CU532" s="4"/>
      <c r="CZ532" s="5"/>
      <c r="DA532" s="5"/>
      <c r="DB532" s="5"/>
      <c r="DC532" s="5"/>
      <c r="DD532" s="5"/>
      <c r="DE532" s="5"/>
      <c r="DF532" s="5"/>
      <c r="DG532" s="5"/>
      <c r="DH532" s="5"/>
    </row>
    <row r="533">
      <c r="CU533" s="4"/>
      <c r="CZ533" s="5"/>
      <c r="DA533" s="5"/>
      <c r="DB533" s="5"/>
      <c r="DC533" s="5"/>
      <c r="DD533" s="5"/>
      <c r="DE533" s="5"/>
      <c r="DF533" s="5"/>
      <c r="DG533" s="5"/>
      <c r="DH533" s="5"/>
    </row>
    <row r="534">
      <c r="CU534" s="4"/>
      <c r="CZ534" s="5"/>
      <c r="DA534" s="5"/>
      <c r="DB534" s="5"/>
      <c r="DC534" s="5"/>
      <c r="DD534" s="5"/>
      <c r="DE534" s="5"/>
      <c r="DF534" s="5"/>
      <c r="DG534" s="5"/>
      <c r="DH534" s="5"/>
    </row>
    <row r="535">
      <c r="CU535" s="4"/>
      <c r="CZ535" s="5"/>
      <c r="DA535" s="5"/>
      <c r="DB535" s="5"/>
      <c r="DC535" s="5"/>
      <c r="DD535" s="5"/>
      <c r="DE535" s="5"/>
      <c r="DF535" s="5"/>
      <c r="DG535" s="5"/>
      <c r="DH535" s="5"/>
    </row>
    <row r="536">
      <c r="CU536" s="4"/>
      <c r="CZ536" s="5"/>
      <c r="DA536" s="5"/>
      <c r="DB536" s="5"/>
      <c r="DC536" s="5"/>
      <c r="DD536" s="5"/>
      <c r="DE536" s="5"/>
      <c r="DF536" s="5"/>
      <c r="DG536" s="5"/>
      <c r="DH536" s="5"/>
    </row>
    <row r="537">
      <c r="CU537" s="4"/>
      <c r="CZ537" s="5"/>
      <c r="DA537" s="5"/>
      <c r="DB537" s="5"/>
      <c r="DC537" s="5"/>
      <c r="DD537" s="5"/>
      <c r="DE537" s="5"/>
      <c r="DF537" s="5"/>
      <c r="DG537" s="5"/>
      <c r="DH537" s="5"/>
    </row>
    <row r="538">
      <c r="CU538" s="4"/>
      <c r="CZ538" s="5"/>
      <c r="DA538" s="5"/>
      <c r="DB538" s="5"/>
      <c r="DC538" s="5"/>
      <c r="DD538" s="5"/>
      <c r="DE538" s="5"/>
      <c r="DF538" s="5"/>
      <c r="DG538" s="5"/>
      <c r="DH538" s="5"/>
    </row>
    <row r="539">
      <c r="CU539" s="4"/>
      <c r="CZ539" s="5"/>
      <c r="DA539" s="5"/>
      <c r="DB539" s="5"/>
      <c r="DC539" s="5"/>
      <c r="DD539" s="5"/>
      <c r="DE539" s="5"/>
      <c r="DF539" s="5"/>
      <c r="DG539" s="5"/>
      <c r="DH539" s="5"/>
    </row>
    <row r="540">
      <c r="CU540" s="4"/>
      <c r="CZ540" s="5"/>
      <c r="DA540" s="5"/>
      <c r="DB540" s="5"/>
      <c r="DC540" s="5"/>
      <c r="DD540" s="5"/>
      <c r="DE540" s="5"/>
      <c r="DF540" s="5"/>
      <c r="DG540" s="5"/>
      <c r="DH540" s="5"/>
    </row>
    <row r="541">
      <c r="CU541" s="4"/>
      <c r="CZ541" s="5"/>
      <c r="DA541" s="5"/>
      <c r="DB541" s="5"/>
      <c r="DC541" s="5"/>
      <c r="DD541" s="5"/>
      <c r="DE541" s="5"/>
      <c r="DF541" s="5"/>
      <c r="DG541" s="5"/>
      <c r="DH541" s="5"/>
    </row>
    <row r="542">
      <c r="CU542" s="4"/>
      <c r="CZ542" s="5"/>
      <c r="DA542" s="5"/>
      <c r="DB542" s="5"/>
      <c r="DC542" s="5"/>
      <c r="DD542" s="5"/>
      <c r="DE542" s="5"/>
      <c r="DF542" s="5"/>
      <c r="DG542" s="5"/>
      <c r="DH542" s="5"/>
    </row>
    <row r="543">
      <c r="CU543" s="4"/>
      <c r="CZ543" s="5"/>
      <c r="DA543" s="5"/>
      <c r="DB543" s="5"/>
      <c r="DC543" s="5"/>
      <c r="DD543" s="5"/>
      <c r="DE543" s="5"/>
      <c r="DF543" s="5"/>
      <c r="DG543" s="5"/>
      <c r="DH543" s="5"/>
    </row>
    <row r="544">
      <c r="CU544" s="4"/>
      <c r="CZ544" s="5"/>
      <c r="DA544" s="5"/>
      <c r="DB544" s="5"/>
      <c r="DC544" s="5"/>
      <c r="DD544" s="5"/>
      <c r="DE544" s="5"/>
      <c r="DF544" s="5"/>
      <c r="DG544" s="5"/>
      <c r="DH544" s="5"/>
    </row>
    <row r="545">
      <c r="CU545" s="4"/>
      <c r="CZ545" s="5"/>
      <c r="DA545" s="5"/>
      <c r="DB545" s="5"/>
      <c r="DC545" s="5"/>
      <c r="DD545" s="5"/>
      <c r="DE545" s="5"/>
      <c r="DF545" s="5"/>
      <c r="DG545" s="5"/>
      <c r="DH545" s="5"/>
    </row>
    <row r="546">
      <c r="CU546" s="4"/>
      <c r="CZ546" s="5"/>
      <c r="DA546" s="5"/>
      <c r="DB546" s="5"/>
      <c r="DC546" s="5"/>
      <c r="DD546" s="5"/>
      <c r="DE546" s="5"/>
      <c r="DF546" s="5"/>
      <c r="DG546" s="5"/>
      <c r="DH546" s="5"/>
    </row>
    <row r="547">
      <c r="CU547" s="4"/>
      <c r="CZ547" s="5"/>
      <c r="DA547" s="5"/>
      <c r="DB547" s="5"/>
      <c r="DC547" s="5"/>
      <c r="DD547" s="5"/>
      <c r="DE547" s="5"/>
      <c r="DF547" s="5"/>
      <c r="DG547" s="5"/>
      <c r="DH547" s="5"/>
    </row>
    <row r="548">
      <c r="CU548" s="4"/>
      <c r="CZ548" s="5"/>
      <c r="DA548" s="5"/>
      <c r="DB548" s="5"/>
      <c r="DC548" s="5"/>
      <c r="DD548" s="5"/>
      <c r="DE548" s="5"/>
      <c r="DF548" s="5"/>
      <c r="DG548" s="5"/>
      <c r="DH548" s="5"/>
    </row>
    <row r="549">
      <c r="CU549" s="4"/>
      <c r="CZ549" s="5"/>
      <c r="DA549" s="5"/>
      <c r="DB549" s="5"/>
      <c r="DC549" s="5"/>
      <c r="DD549" s="5"/>
      <c r="DE549" s="5"/>
      <c r="DF549" s="5"/>
      <c r="DG549" s="5"/>
      <c r="DH549" s="5"/>
    </row>
    <row r="550">
      <c r="CU550" s="4"/>
      <c r="CZ550" s="5"/>
      <c r="DA550" s="5"/>
      <c r="DB550" s="5"/>
      <c r="DC550" s="5"/>
      <c r="DD550" s="5"/>
      <c r="DE550" s="5"/>
      <c r="DF550" s="5"/>
      <c r="DG550" s="5"/>
      <c r="DH550" s="5"/>
    </row>
    <row r="551">
      <c r="CU551" s="4"/>
      <c r="CZ551" s="5"/>
      <c r="DA551" s="5"/>
      <c r="DB551" s="5"/>
      <c r="DC551" s="5"/>
      <c r="DD551" s="5"/>
      <c r="DE551" s="5"/>
      <c r="DF551" s="5"/>
      <c r="DG551" s="5"/>
      <c r="DH551" s="5"/>
    </row>
    <row r="552">
      <c r="CU552" s="4"/>
      <c r="CZ552" s="5"/>
      <c r="DA552" s="5"/>
      <c r="DB552" s="5"/>
      <c r="DC552" s="5"/>
      <c r="DD552" s="5"/>
      <c r="DE552" s="5"/>
      <c r="DF552" s="5"/>
      <c r="DG552" s="5"/>
      <c r="DH552" s="5"/>
    </row>
    <row r="553">
      <c r="CU553" s="4"/>
      <c r="CZ553" s="5"/>
      <c r="DA553" s="5"/>
      <c r="DB553" s="5"/>
      <c r="DC553" s="5"/>
      <c r="DD553" s="5"/>
      <c r="DE553" s="5"/>
      <c r="DF553" s="5"/>
      <c r="DG553" s="5"/>
      <c r="DH553" s="5"/>
    </row>
    <row r="554">
      <c r="CU554" s="4"/>
      <c r="CZ554" s="5"/>
      <c r="DA554" s="5"/>
      <c r="DB554" s="5"/>
      <c r="DC554" s="5"/>
      <c r="DD554" s="5"/>
      <c r="DE554" s="5"/>
      <c r="DF554" s="5"/>
      <c r="DG554" s="5"/>
      <c r="DH554" s="5"/>
    </row>
    <row r="555">
      <c r="CU555" s="4"/>
      <c r="CZ555" s="5"/>
      <c r="DA555" s="5"/>
      <c r="DB555" s="5"/>
      <c r="DC555" s="5"/>
      <c r="DD555" s="5"/>
      <c r="DE555" s="5"/>
      <c r="DF555" s="5"/>
      <c r="DG555" s="5"/>
      <c r="DH555" s="5"/>
    </row>
    <row r="556">
      <c r="CU556" s="4"/>
      <c r="CZ556" s="5"/>
      <c r="DA556" s="5"/>
      <c r="DB556" s="5"/>
      <c r="DC556" s="5"/>
      <c r="DD556" s="5"/>
      <c r="DE556" s="5"/>
      <c r="DF556" s="5"/>
      <c r="DG556" s="5"/>
      <c r="DH556" s="5"/>
    </row>
    <row r="557">
      <c r="CU557" s="4"/>
      <c r="CZ557" s="5"/>
      <c r="DA557" s="5"/>
      <c r="DB557" s="5"/>
      <c r="DC557" s="5"/>
      <c r="DD557" s="5"/>
      <c r="DE557" s="5"/>
      <c r="DF557" s="5"/>
      <c r="DG557" s="5"/>
      <c r="DH557" s="5"/>
    </row>
    <row r="558">
      <c r="CU558" s="4"/>
      <c r="CZ558" s="5"/>
      <c r="DA558" s="5"/>
      <c r="DB558" s="5"/>
      <c r="DC558" s="5"/>
      <c r="DD558" s="5"/>
      <c r="DE558" s="5"/>
      <c r="DF558" s="5"/>
      <c r="DG558" s="5"/>
      <c r="DH558" s="5"/>
    </row>
    <row r="559">
      <c r="CU559" s="4"/>
      <c r="CZ559" s="5"/>
      <c r="DA559" s="5"/>
      <c r="DB559" s="5"/>
      <c r="DC559" s="5"/>
      <c r="DD559" s="5"/>
      <c r="DE559" s="5"/>
      <c r="DF559" s="5"/>
      <c r="DG559" s="5"/>
      <c r="DH559" s="5"/>
    </row>
    <row r="560">
      <c r="CU560" s="4"/>
      <c r="CZ560" s="5"/>
      <c r="DA560" s="5"/>
      <c r="DB560" s="5"/>
      <c r="DC560" s="5"/>
      <c r="DD560" s="5"/>
      <c r="DE560" s="5"/>
      <c r="DF560" s="5"/>
      <c r="DG560" s="5"/>
      <c r="DH560" s="5"/>
    </row>
    <row r="561">
      <c r="CU561" s="4"/>
      <c r="CZ561" s="5"/>
      <c r="DA561" s="5"/>
      <c r="DB561" s="5"/>
      <c r="DC561" s="5"/>
      <c r="DD561" s="5"/>
      <c r="DE561" s="5"/>
      <c r="DF561" s="5"/>
      <c r="DG561" s="5"/>
      <c r="DH561" s="5"/>
    </row>
    <row r="562">
      <c r="CU562" s="4"/>
      <c r="CZ562" s="5"/>
      <c r="DA562" s="5"/>
      <c r="DB562" s="5"/>
      <c r="DC562" s="5"/>
      <c r="DD562" s="5"/>
      <c r="DE562" s="5"/>
      <c r="DF562" s="5"/>
      <c r="DG562" s="5"/>
      <c r="DH562" s="5"/>
    </row>
    <row r="563">
      <c r="CU563" s="4"/>
      <c r="CZ563" s="5"/>
      <c r="DA563" s="5"/>
      <c r="DB563" s="5"/>
      <c r="DC563" s="5"/>
      <c r="DD563" s="5"/>
      <c r="DE563" s="5"/>
      <c r="DF563" s="5"/>
      <c r="DG563" s="5"/>
      <c r="DH563" s="5"/>
    </row>
    <row r="564">
      <c r="CU564" s="4"/>
      <c r="CZ564" s="5"/>
      <c r="DA564" s="5"/>
      <c r="DB564" s="5"/>
      <c r="DC564" s="5"/>
      <c r="DD564" s="5"/>
      <c r="DE564" s="5"/>
      <c r="DF564" s="5"/>
      <c r="DG564" s="5"/>
      <c r="DH564" s="5"/>
    </row>
    <row r="565">
      <c r="CU565" s="4"/>
      <c r="CZ565" s="5"/>
      <c r="DA565" s="5"/>
      <c r="DB565" s="5"/>
      <c r="DC565" s="5"/>
      <c r="DD565" s="5"/>
      <c r="DE565" s="5"/>
      <c r="DF565" s="5"/>
      <c r="DG565" s="5"/>
      <c r="DH565" s="5"/>
    </row>
    <row r="566">
      <c r="CU566" s="4"/>
      <c r="CZ566" s="5"/>
      <c r="DA566" s="5"/>
      <c r="DB566" s="5"/>
      <c r="DC566" s="5"/>
      <c r="DD566" s="5"/>
      <c r="DE566" s="5"/>
      <c r="DF566" s="5"/>
      <c r="DG566" s="5"/>
      <c r="DH566" s="5"/>
    </row>
    <row r="567">
      <c r="CU567" s="4"/>
      <c r="CZ567" s="5"/>
      <c r="DA567" s="5"/>
      <c r="DB567" s="5"/>
      <c r="DC567" s="5"/>
      <c r="DD567" s="5"/>
      <c r="DE567" s="5"/>
      <c r="DF567" s="5"/>
      <c r="DG567" s="5"/>
      <c r="DH567" s="5"/>
    </row>
    <row r="568">
      <c r="CU568" s="4"/>
      <c r="CZ568" s="5"/>
      <c r="DA568" s="5"/>
      <c r="DB568" s="5"/>
      <c r="DC568" s="5"/>
      <c r="DD568" s="5"/>
      <c r="DE568" s="5"/>
      <c r="DF568" s="5"/>
      <c r="DG568" s="5"/>
      <c r="DH568" s="5"/>
    </row>
    <row r="569">
      <c r="CU569" s="4"/>
      <c r="CZ569" s="5"/>
      <c r="DA569" s="5"/>
      <c r="DB569" s="5"/>
      <c r="DC569" s="5"/>
      <c r="DD569" s="5"/>
      <c r="DE569" s="5"/>
      <c r="DF569" s="5"/>
      <c r="DG569" s="5"/>
      <c r="DH569" s="5"/>
    </row>
    <row r="570">
      <c r="CU570" s="4"/>
      <c r="CZ570" s="5"/>
      <c r="DA570" s="5"/>
      <c r="DB570" s="5"/>
      <c r="DC570" s="5"/>
      <c r="DD570" s="5"/>
      <c r="DE570" s="5"/>
      <c r="DF570" s="5"/>
      <c r="DG570" s="5"/>
      <c r="DH570" s="5"/>
    </row>
    <row r="571">
      <c r="CU571" s="4"/>
      <c r="CZ571" s="5"/>
      <c r="DA571" s="5"/>
      <c r="DB571" s="5"/>
      <c r="DC571" s="5"/>
      <c r="DD571" s="5"/>
      <c r="DE571" s="5"/>
      <c r="DF571" s="5"/>
      <c r="DG571" s="5"/>
      <c r="DH571" s="5"/>
    </row>
    <row r="572">
      <c r="CU572" s="4"/>
      <c r="CZ572" s="5"/>
      <c r="DA572" s="5"/>
      <c r="DB572" s="5"/>
      <c r="DC572" s="5"/>
      <c r="DD572" s="5"/>
      <c r="DE572" s="5"/>
      <c r="DF572" s="5"/>
      <c r="DG572" s="5"/>
      <c r="DH572" s="5"/>
    </row>
    <row r="573">
      <c r="CU573" s="4"/>
      <c r="CZ573" s="5"/>
      <c r="DA573" s="5"/>
      <c r="DB573" s="5"/>
      <c r="DC573" s="5"/>
      <c r="DD573" s="5"/>
      <c r="DE573" s="5"/>
      <c r="DF573" s="5"/>
      <c r="DG573" s="5"/>
      <c r="DH573" s="5"/>
    </row>
    <row r="574">
      <c r="CU574" s="4"/>
      <c r="CZ574" s="5"/>
      <c r="DA574" s="5"/>
      <c r="DB574" s="5"/>
      <c r="DC574" s="5"/>
      <c r="DD574" s="5"/>
      <c r="DE574" s="5"/>
      <c r="DF574" s="5"/>
      <c r="DG574" s="5"/>
      <c r="DH574" s="5"/>
    </row>
    <row r="575">
      <c r="CU575" s="4"/>
      <c r="CZ575" s="5"/>
      <c r="DA575" s="5"/>
      <c r="DB575" s="5"/>
      <c r="DC575" s="5"/>
      <c r="DD575" s="5"/>
      <c r="DE575" s="5"/>
      <c r="DF575" s="5"/>
      <c r="DG575" s="5"/>
      <c r="DH575" s="5"/>
    </row>
    <row r="576">
      <c r="CU576" s="4"/>
      <c r="CZ576" s="5"/>
      <c r="DA576" s="5"/>
      <c r="DB576" s="5"/>
      <c r="DC576" s="5"/>
      <c r="DD576" s="5"/>
      <c r="DE576" s="5"/>
      <c r="DF576" s="5"/>
      <c r="DG576" s="5"/>
      <c r="DH576" s="5"/>
    </row>
    <row r="577">
      <c r="CU577" s="4"/>
      <c r="CZ577" s="5"/>
      <c r="DA577" s="5"/>
      <c r="DB577" s="5"/>
      <c r="DC577" s="5"/>
      <c r="DD577" s="5"/>
      <c r="DE577" s="5"/>
      <c r="DF577" s="5"/>
      <c r="DG577" s="5"/>
      <c r="DH577" s="5"/>
    </row>
    <row r="578">
      <c r="CU578" s="4"/>
      <c r="CZ578" s="5"/>
      <c r="DA578" s="5"/>
      <c r="DB578" s="5"/>
      <c r="DC578" s="5"/>
      <c r="DD578" s="5"/>
      <c r="DE578" s="5"/>
      <c r="DF578" s="5"/>
      <c r="DG578" s="5"/>
      <c r="DH578" s="5"/>
    </row>
    <row r="579">
      <c r="CU579" s="4"/>
      <c r="CZ579" s="5"/>
      <c r="DA579" s="5"/>
      <c r="DB579" s="5"/>
      <c r="DC579" s="5"/>
      <c r="DD579" s="5"/>
      <c r="DE579" s="5"/>
      <c r="DF579" s="5"/>
      <c r="DG579" s="5"/>
      <c r="DH579" s="5"/>
    </row>
    <row r="580">
      <c r="CU580" s="4"/>
      <c r="CZ580" s="5"/>
      <c r="DA580" s="5"/>
      <c r="DB580" s="5"/>
      <c r="DC580" s="5"/>
      <c r="DD580" s="5"/>
      <c r="DE580" s="5"/>
      <c r="DF580" s="5"/>
      <c r="DG580" s="5"/>
      <c r="DH580" s="5"/>
    </row>
    <row r="581">
      <c r="CU581" s="4"/>
      <c r="CZ581" s="5"/>
      <c r="DA581" s="5"/>
      <c r="DB581" s="5"/>
      <c r="DC581" s="5"/>
      <c r="DD581" s="5"/>
      <c r="DE581" s="5"/>
      <c r="DF581" s="5"/>
      <c r="DG581" s="5"/>
      <c r="DH581" s="5"/>
    </row>
    <row r="582">
      <c r="CU582" s="4"/>
      <c r="CZ582" s="5"/>
      <c r="DA582" s="5"/>
      <c r="DB582" s="5"/>
      <c r="DC582" s="5"/>
      <c r="DD582" s="5"/>
      <c r="DE582" s="5"/>
      <c r="DF582" s="5"/>
      <c r="DG582" s="5"/>
      <c r="DH582" s="5"/>
    </row>
    <row r="583">
      <c r="CU583" s="4"/>
      <c r="CZ583" s="5"/>
      <c r="DA583" s="5"/>
      <c r="DB583" s="5"/>
      <c r="DC583" s="5"/>
      <c r="DD583" s="5"/>
      <c r="DE583" s="5"/>
      <c r="DF583" s="5"/>
      <c r="DG583" s="5"/>
      <c r="DH583" s="5"/>
    </row>
    <row r="584">
      <c r="CU584" s="4"/>
      <c r="CZ584" s="5"/>
      <c r="DA584" s="5"/>
      <c r="DB584" s="5"/>
      <c r="DC584" s="5"/>
      <c r="DD584" s="5"/>
      <c r="DE584" s="5"/>
      <c r="DF584" s="5"/>
      <c r="DG584" s="5"/>
      <c r="DH584" s="5"/>
    </row>
    <row r="585">
      <c r="CU585" s="4"/>
      <c r="CZ585" s="5"/>
      <c r="DA585" s="5"/>
      <c r="DB585" s="5"/>
      <c r="DC585" s="5"/>
      <c r="DD585" s="5"/>
      <c r="DE585" s="5"/>
      <c r="DF585" s="5"/>
      <c r="DG585" s="5"/>
      <c r="DH585" s="5"/>
    </row>
    <row r="586">
      <c r="CU586" s="4"/>
      <c r="CZ586" s="5"/>
      <c r="DA586" s="5"/>
      <c r="DB586" s="5"/>
      <c r="DC586" s="5"/>
      <c r="DD586" s="5"/>
      <c r="DE586" s="5"/>
      <c r="DF586" s="5"/>
      <c r="DG586" s="5"/>
      <c r="DH586" s="5"/>
    </row>
    <row r="587">
      <c r="CU587" s="4"/>
      <c r="CZ587" s="5"/>
      <c r="DA587" s="5"/>
      <c r="DB587" s="5"/>
      <c r="DC587" s="5"/>
      <c r="DD587" s="5"/>
      <c r="DE587" s="5"/>
      <c r="DF587" s="5"/>
      <c r="DG587" s="5"/>
      <c r="DH587" s="5"/>
    </row>
    <row r="588">
      <c r="CU588" s="4"/>
      <c r="CZ588" s="5"/>
      <c r="DA588" s="5"/>
      <c r="DB588" s="5"/>
      <c r="DC588" s="5"/>
      <c r="DD588" s="5"/>
      <c r="DE588" s="5"/>
      <c r="DF588" s="5"/>
      <c r="DG588" s="5"/>
      <c r="DH588" s="5"/>
    </row>
    <row r="589">
      <c r="CU589" s="4"/>
      <c r="CZ589" s="5"/>
      <c r="DA589" s="5"/>
      <c r="DB589" s="5"/>
      <c r="DC589" s="5"/>
      <c r="DD589" s="5"/>
      <c r="DE589" s="5"/>
      <c r="DF589" s="5"/>
      <c r="DG589" s="5"/>
      <c r="DH589" s="5"/>
    </row>
    <row r="590">
      <c r="CU590" s="4"/>
      <c r="CZ590" s="5"/>
      <c r="DA590" s="5"/>
      <c r="DB590" s="5"/>
      <c r="DC590" s="5"/>
      <c r="DD590" s="5"/>
      <c r="DE590" s="5"/>
      <c r="DF590" s="5"/>
      <c r="DG590" s="5"/>
      <c r="DH590" s="5"/>
    </row>
    <row r="591">
      <c r="CU591" s="4"/>
      <c r="CZ591" s="5"/>
      <c r="DA591" s="5"/>
      <c r="DB591" s="5"/>
      <c r="DC591" s="5"/>
      <c r="DD591" s="5"/>
      <c r="DE591" s="5"/>
      <c r="DF591" s="5"/>
      <c r="DG591" s="5"/>
      <c r="DH591" s="5"/>
    </row>
    <row r="592">
      <c r="CU592" s="4"/>
      <c r="CZ592" s="5"/>
      <c r="DA592" s="5"/>
      <c r="DB592" s="5"/>
      <c r="DC592" s="5"/>
      <c r="DD592" s="5"/>
      <c r="DE592" s="5"/>
      <c r="DF592" s="5"/>
      <c r="DG592" s="5"/>
      <c r="DH592" s="5"/>
    </row>
    <row r="593">
      <c r="CU593" s="4"/>
      <c r="CZ593" s="5"/>
      <c r="DA593" s="5"/>
      <c r="DB593" s="5"/>
      <c r="DC593" s="5"/>
      <c r="DD593" s="5"/>
      <c r="DE593" s="5"/>
      <c r="DF593" s="5"/>
      <c r="DG593" s="5"/>
      <c r="DH593" s="5"/>
    </row>
    <row r="594">
      <c r="CU594" s="4"/>
      <c r="CZ594" s="5"/>
      <c r="DA594" s="5"/>
      <c r="DB594" s="5"/>
      <c r="DC594" s="5"/>
      <c r="DD594" s="5"/>
      <c r="DE594" s="5"/>
      <c r="DF594" s="5"/>
      <c r="DG594" s="5"/>
      <c r="DH594" s="5"/>
    </row>
    <row r="595">
      <c r="CU595" s="4"/>
      <c r="CZ595" s="5"/>
      <c r="DA595" s="5"/>
      <c r="DB595" s="5"/>
      <c r="DC595" s="5"/>
      <c r="DD595" s="5"/>
      <c r="DE595" s="5"/>
      <c r="DF595" s="5"/>
      <c r="DG595" s="5"/>
      <c r="DH595" s="5"/>
    </row>
    <row r="596">
      <c r="CU596" s="4"/>
      <c r="CZ596" s="5"/>
      <c r="DA596" s="5"/>
      <c r="DB596" s="5"/>
      <c r="DC596" s="5"/>
      <c r="DD596" s="5"/>
      <c r="DE596" s="5"/>
      <c r="DF596" s="5"/>
      <c r="DG596" s="5"/>
      <c r="DH596" s="5"/>
    </row>
    <row r="597">
      <c r="CU597" s="4"/>
      <c r="CZ597" s="5"/>
      <c r="DA597" s="5"/>
      <c r="DB597" s="5"/>
      <c r="DC597" s="5"/>
      <c r="DD597" s="5"/>
      <c r="DE597" s="5"/>
      <c r="DF597" s="5"/>
      <c r="DG597" s="5"/>
      <c r="DH597" s="5"/>
    </row>
    <row r="598">
      <c r="CU598" s="4"/>
      <c r="CZ598" s="5"/>
      <c r="DA598" s="5"/>
      <c r="DB598" s="5"/>
      <c r="DC598" s="5"/>
      <c r="DD598" s="5"/>
      <c r="DE598" s="5"/>
      <c r="DF598" s="5"/>
      <c r="DG598" s="5"/>
      <c r="DH598" s="5"/>
    </row>
    <row r="599">
      <c r="CU599" s="4"/>
      <c r="CZ599" s="5"/>
      <c r="DA599" s="5"/>
      <c r="DB599" s="5"/>
      <c r="DC599" s="5"/>
      <c r="DD599" s="5"/>
      <c r="DE599" s="5"/>
      <c r="DF599" s="5"/>
      <c r="DG599" s="5"/>
      <c r="DH599" s="5"/>
    </row>
    <row r="600">
      <c r="CU600" s="4"/>
      <c r="CZ600" s="5"/>
      <c r="DA600" s="5"/>
      <c r="DB600" s="5"/>
      <c r="DC600" s="5"/>
      <c r="DD600" s="5"/>
      <c r="DE600" s="5"/>
      <c r="DF600" s="5"/>
      <c r="DG600" s="5"/>
      <c r="DH600" s="5"/>
    </row>
    <row r="601">
      <c r="CU601" s="4"/>
      <c r="CZ601" s="5"/>
      <c r="DA601" s="5"/>
      <c r="DB601" s="5"/>
      <c r="DC601" s="5"/>
      <c r="DD601" s="5"/>
      <c r="DE601" s="5"/>
      <c r="DF601" s="5"/>
      <c r="DG601" s="5"/>
      <c r="DH601" s="5"/>
    </row>
    <row r="602">
      <c r="CU602" s="4"/>
      <c r="CZ602" s="5"/>
      <c r="DA602" s="5"/>
      <c r="DB602" s="5"/>
      <c r="DC602" s="5"/>
      <c r="DD602" s="5"/>
      <c r="DE602" s="5"/>
      <c r="DF602" s="5"/>
      <c r="DG602" s="5"/>
      <c r="DH602" s="5"/>
    </row>
    <row r="603">
      <c r="CU603" s="4"/>
      <c r="CZ603" s="5"/>
      <c r="DA603" s="5"/>
      <c r="DB603" s="5"/>
      <c r="DC603" s="5"/>
      <c r="DD603" s="5"/>
      <c r="DE603" s="5"/>
      <c r="DF603" s="5"/>
      <c r="DG603" s="5"/>
      <c r="DH603" s="5"/>
    </row>
    <row r="604">
      <c r="CU604" s="4"/>
      <c r="CZ604" s="5"/>
      <c r="DA604" s="5"/>
      <c r="DB604" s="5"/>
      <c r="DC604" s="5"/>
      <c r="DD604" s="5"/>
      <c r="DE604" s="5"/>
      <c r="DF604" s="5"/>
      <c r="DG604" s="5"/>
      <c r="DH604" s="5"/>
    </row>
    <row r="605">
      <c r="CU605" s="4"/>
      <c r="CZ605" s="5"/>
      <c r="DA605" s="5"/>
      <c r="DB605" s="5"/>
      <c r="DC605" s="5"/>
      <c r="DD605" s="5"/>
      <c r="DE605" s="5"/>
      <c r="DF605" s="5"/>
      <c r="DG605" s="5"/>
      <c r="DH605" s="5"/>
    </row>
    <row r="606">
      <c r="CU606" s="4"/>
      <c r="CZ606" s="5"/>
      <c r="DA606" s="5"/>
      <c r="DB606" s="5"/>
      <c r="DC606" s="5"/>
      <c r="DD606" s="5"/>
      <c r="DE606" s="5"/>
      <c r="DF606" s="5"/>
      <c r="DG606" s="5"/>
      <c r="DH606" s="5"/>
    </row>
    <row r="607">
      <c r="CU607" s="4"/>
      <c r="CZ607" s="5"/>
      <c r="DA607" s="5"/>
      <c r="DB607" s="5"/>
      <c r="DC607" s="5"/>
      <c r="DD607" s="5"/>
      <c r="DE607" s="5"/>
      <c r="DF607" s="5"/>
      <c r="DG607" s="5"/>
      <c r="DH607" s="5"/>
    </row>
    <row r="608">
      <c r="CU608" s="4"/>
      <c r="CZ608" s="5"/>
      <c r="DA608" s="5"/>
      <c r="DB608" s="5"/>
      <c r="DC608" s="5"/>
      <c r="DD608" s="5"/>
      <c r="DE608" s="5"/>
      <c r="DF608" s="5"/>
      <c r="DG608" s="5"/>
      <c r="DH608" s="5"/>
    </row>
    <row r="609">
      <c r="CU609" s="4"/>
      <c r="CZ609" s="5"/>
      <c r="DA609" s="5"/>
      <c r="DB609" s="5"/>
      <c r="DC609" s="5"/>
      <c r="DD609" s="5"/>
      <c r="DE609" s="5"/>
      <c r="DF609" s="5"/>
      <c r="DG609" s="5"/>
      <c r="DH609" s="5"/>
    </row>
    <row r="610">
      <c r="CU610" s="4"/>
      <c r="CZ610" s="5"/>
      <c r="DA610" s="5"/>
      <c r="DB610" s="5"/>
      <c r="DC610" s="5"/>
      <c r="DD610" s="5"/>
      <c r="DE610" s="5"/>
      <c r="DF610" s="5"/>
      <c r="DG610" s="5"/>
      <c r="DH610" s="5"/>
    </row>
    <row r="611">
      <c r="CU611" s="4"/>
      <c r="CZ611" s="5"/>
      <c r="DA611" s="5"/>
      <c r="DB611" s="5"/>
      <c r="DC611" s="5"/>
      <c r="DD611" s="5"/>
      <c r="DE611" s="5"/>
      <c r="DF611" s="5"/>
      <c r="DG611" s="5"/>
      <c r="DH611" s="5"/>
    </row>
    <row r="612">
      <c r="CU612" s="4"/>
      <c r="CZ612" s="5"/>
      <c r="DA612" s="5"/>
      <c r="DB612" s="5"/>
      <c r="DC612" s="5"/>
      <c r="DD612" s="5"/>
      <c r="DE612" s="5"/>
      <c r="DF612" s="5"/>
      <c r="DG612" s="5"/>
      <c r="DH612" s="5"/>
    </row>
    <row r="613">
      <c r="CU613" s="4"/>
      <c r="CZ613" s="5"/>
      <c r="DA613" s="5"/>
      <c r="DB613" s="5"/>
      <c r="DC613" s="5"/>
      <c r="DD613" s="5"/>
      <c r="DE613" s="5"/>
      <c r="DF613" s="5"/>
      <c r="DG613" s="5"/>
      <c r="DH613" s="5"/>
    </row>
    <row r="614">
      <c r="CU614" s="4"/>
      <c r="CZ614" s="5"/>
      <c r="DA614" s="5"/>
      <c r="DB614" s="5"/>
      <c r="DC614" s="5"/>
      <c r="DD614" s="5"/>
      <c r="DE614" s="5"/>
      <c r="DF614" s="5"/>
      <c r="DG614" s="5"/>
      <c r="DH614" s="5"/>
    </row>
    <row r="615">
      <c r="CU615" s="4"/>
      <c r="CZ615" s="5"/>
      <c r="DA615" s="5"/>
      <c r="DB615" s="5"/>
      <c r="DC615" s="5"/>
      <c r="DD615" s="5"/>
      <c r="DE615" s="5"/>
      <c r="DF615" s="5"/>
      <c r="DG615" s="5"/>
      <c r="DH615" s="5"/>
    </row>
    <row r="616">
      <c r="CU616" s="4"/>
      <c r="CZ616" s="5"/>
      <c r="DA616" s="5"/>
      <c r="DB616" s="5"/>
      <c r="DC616" s="5"/>
      <c r="DD616" s="5"/>
      <c r="DE616" s="5"/>
      <c r="DF616" s="5"/>
      <c r="DG616" s="5"/>
      <c r="DH616" s="5"/>
    </row>
    <row r="617">
      <c r="CU617" s="4"/>
      <c r="CZ617" s="5"/>
      <c r="DA617" s="5"/>
      <c r="DB617" s="5"/>
      <c r="DC617" s="5"/>
      <c r="DD617" s="5"/>
      <c r="DE617" s="5"/>
      <c r="DF617" s="5"/>
      <c r="DG617" s="5"/>
      <c r="DH617" s="5"/>
    </row>
    <row r="618">
      <c r="CU618" s="4"/>
      <c r="CZ618" s="5"/>
      <c r="DA618" s="5"/>
      <c r="DB618" s="5"/>
      <c r="DC618" s="5"/>
      <c r="DD618" s="5"/>
      <c r="DE618" s="5"/>
      <c r="DF618" s="5"/>
      <c r="DG618" s="5"/>
      <c r="DH618" s="5"/>
    </row>
    <row r="619">
      <c r="CU619" s="4"/>
      <c r="CZ619" s="5"/>
      <c r="DA619" s="5"/>
      <c r="DB619" s="5"/>
      <c r="DC619" s="5"/>
      <c r="DD619" s="5"/>
      <c r="DE619" s="5"/>
      <c r="DF619" s="5"/>
      <c r="DG619" s="5"/>
      <c r="DH619" s="5"/>
    </row>
    <row r="620">
      <c r="CU620" s="4"/>
      <c r="CZ620" s="5"/>
      <c r="DA620" s="5"/>
      <c r="DB620" s="5"/>
      <c r="DC620" s="5"/>
      <c r="DD620" s="5"/>
      <c r="DE620" s="5"/>
      <c r="DF620" s="5"/>
      <c r="DG620" s="5"/>
      <c r="DH620" s="5"/>
    </row>
    <row r="621">
      <c r="CU621" s="4"/>
      <c r="CZ621" s="5"/>
      <c r="DA621" s="5"/>
      <c r="DB621" s="5"/>
      <c r="DC621" s="5"/>
      <c r="DD621" s="5"/>
      <c r="DE621" s="5"/>
      <c r="DF621" s="5"/>
      <c r="DG621" s="5"/>
      <c r="DH621" s="5"/>
    </row>
    <row r="622">
      <c r="CU622" s="4"/>
      <c r="CZ622" s="5"/>
      <c r="DA622" s="5"/>
      <c r="DB622" s="5"/>
      <c r="DC622" s="5"/>
      <c r="DD622" s="5"/>
      <c r="DE622" s="5"/>
      <c r="DF622" s="5"/>
      <c r="DG622" s="5"/>
      <c r="DH622" s="5"/>
    </row>
    <row r="623">
      <c r="CU623" s="4"/>
      <c r="CZ623" s="5"/>
      <c r="DA623" s="5"/>
      <c r="DB623" s="5"/>
      <c r="DC623" s="5"/>
      <c r="DD623" s="5"/>
      <c r="DE623" s="5"/>
      <c r="DF623" s="5"/>
      <c r="DG623" s="5"/>
      <c r="DH623" s="5"/>
    </row>
    <row r="624">
      <c r="CU624" s="4"/>
      <c r="CZ624" s="5"/>
      <c r="DA624" s="5"/>
      <c r="DB624" s="5"/>
      <c r="DC624" s="5"/>
      <c r="DD624" s="5"/>
      <c r="DE624" s="5"/>
      <c r="DF624" s="5"/>
      <c r="DG624" s="5"/>
      <c r="DH624" s="5"/>
    </row>
    <row r="625">
      <c r="CU625" s="4"/>
      <c r="CZ625" s="5"/>
      <c r="DA625" s="5"/>
      <c r="DB625" s="5"/>
      <c r="DC625" s="5"/>
      <c r="DD625" s="5"/>
      <c r="DE625" s="5"/>
      <c r="DF625" s="5"/>
      <c r="DG625" s="5"/>
      <c r="DH625" s="5"/>
    </row>
    <row r="626">
      <c r="CU626" s="4"/>
      <c r="CZ626" s="5"/>
      <c r="DA626" s="5"/>
      <c r="DB626" s="5"/>
      <c r="DC626" s="5"/>
      <c r="DD626" s="5"/>
      <c r="DE626" s="5"/>
      <c r="DF626" s="5"/>
      <c r="DG626" s="5"/>
      <c r="DH626" s="5"/>
    </row>
    <row r="627">
      <c r="CU627" s="4"/>
      <c r="CZ627" s="5"/>
      <c r="DA627" s="5"/>
      <c r="DB627" s="5"/>
      <c r="DC627" s="5"/>
      <c r="DD627" s="5"/>
      <c r="DE627" s="5"/>
      <c r="DF627" s="5"/>
      <c r="DG627" s="5"/>
      <c r="DH627" s="5"/>
    </row>
    <row r="628">
      <c r="CU628" s="4"/>
      <c r="CZ628" s="5"/>
      <c r="DA628" s="5"/>
      <c r="DB628" s="5"/>
      <c r="DC628" s="5"/>
      <c r="DD628" s="5"/>
      <c r="DE628" s="5"/>
      <c r="DF628" s="5"/>
      <c r="DG628" s="5"/>
      <c r="DH628" s="5"/>
    </row>
    <row r="629">
      <c r="CU629" s="4"/>
      <c r="CZ629" s="5"/>
      <c r="DA629" s="5"/>
      <c r="DB629" s="5"/>
      <c r="DC629" s="5"/>
      <c r="DD629" s="5"/>
      <c r="DE629" s="5"/>
      <c r="DF629" s="5"/>
      <c r="DG629" s="5"/>
      <c r="DH629" s="5"/>
    </row>
    <row r="630">
      <c r="CU630" s="4"/>
      <c r="CZ630" s="5"/>
      <c r="DA630" s="5"/>
      <c r="DB630" s="5"/>
      <c r="DC630" s="5"/>
      <c r="DD630" s="5"/>
      <c r="DE630" s="5"/>
      <c r="DF630" s="5"/>
      <c r="DG630" s="5"/>
      <c r="DH630" s="5"/>
    </row>
    <row r="631">
      <c r="CU631" s="4"/>
      <c r="CZ631" s="5"/>
      <c r="DA631" s="5"/>
      <c r="DB631" s="5"/>
      <c r="DC631" s="5"/>
      <c r="DD631" s="5"/>
      <c r="DE631" s="5"/>
      <c r="DF631" s="5"/>
      <c r="DG631" s="5"/>
      <c r="DH631" s="5"/>
    </row>
    <row r="632">
      <c r="CU632" s="4"/>
      <c r="CZ632" s="5"/>
      <c r="DA632" s="5"/>
      <c r="DB632" s="5"/>
      <c r="DC632" s="5"/>
      <c r="DD632" s="5"/>
      <c r="DE632" s="5"/>
      <c r="DF632" s="5"/>
      <c r="DG632" s="5"/>
      <c r="DH632" s="5"/>
    </row>
    <row r="633">
      <c r="CU633" s="4"/>
      <c r="CZ633" s="5"/>
      <c r="DA633" s="5"/>
      <c r="DB633" s="5"/>
      <c r="DC633" s="5"/>
      <c r="DD633" s="5"/>
      <c r="DE633" s="5"/>
      <c r="DF633" s="5"/>
      <c r="DG633" s="5"/>
      <c r="DH633" s="5"/>
    </row>
    <row r="634">
      <c r="CU634" s="4"/>
      <c r="CZ634" s="5"/>
      <c r="DA634" s="5"/>
      <c r="DB634" s="5"/>
      <c r="DC634" s="5"/>
      <c r="DD634" s="5"/>
      <c r="DE634" s="5"/>
      <c r="DF634" s="5"/>
      <c r="DG634" s="5"/>
      <c r="DH634" s="5"/>
    </row>
    <row r="635">
      <c r="CU635" s="4"/>
      <c r="CZ635" s="5"/>
      <c r="DA635" s="5"/>
      <c r="DB635" s="5"/>
      <c r="DC635" s="5"/>
      <c r="DD635" s="5"/>
      <c r="DE635" s="5"/>
      <c r="DF635" s="5"/>
      <c r="DG635" s="5"/>
      <c r="DH635" s="5"/>
    </row>
    <row r="636">
      <c r="CU636" s="4"/>
      <c r="CZ636" s="5"/>
      <c r="DA636" s="5"/>
      <c r="DB636" s="5"/>
      <c r="DC636" s="5"/>
      <c r="DD636" s="5"/>
      <c r="DE636" s="5"/>
      <c r="DF636" s="5"/>
      <c r="DG636" s="5"/>
      <c r="DH636" s="5"/>
    </row>
    <row r="637">
      <c r="CU637" s="4"/>
      <c r="CZ637" s="5"/>
      <c r="DA637" s="5"/>
      <c r="DB637" s="5"/>
      <c r="DC637" s="5"/>
      <c r="DD637" s="5"/>
      <c r="DE637" s="5"/>
      <c r="DF637" s="5"/>
      <c r="DG637" s="5"/>
      <c r="DH637" s="5"/>
    </row>
    <row r="638">
      <c r="CU638" s="4"/>
      <c r="CZ638" s="5"/>
      <c r="DA638" s="5"/>
      <c r="DB638" s="5"/>
      <c r="DC638" s="5"/>
      <c r="DD638" s="5"/>
      <c r="DE638" s="5"/>
      <c r="DF638" s="5"/>
      <c r="DG638" s="5"/>
      <c r="DH638" s="5"/>
    </row>
    <row r="639">
      <c r="CU639" s="4"/>
      <c r="CZ639" s="5"/>
      <c r="DA639" s="5"/>
      <c r="DB639" s="5"/>
      <c r="DC639" s="5"/>
      <c r="DD639" s="5"/>
      <c r="DE639" s="5"/>
      <c r="DF639" s="5"/>
      <c r="DG639" s="5"/>
      <c r="DH639" s="5"/>
    </row>
    <row r="640">
      <c r="CU640" s="4"/>
      <c r="CZ640" s="5"/>
      <c r="DA640" s="5"/>
      <c r="DB640" s="5"/>
      <c r="DC640" s="5"/>
      <c r="DD640" s="5"/>
      <c r="DE640" s="5"/>
      <c r="DF640" s="5"/>
      <c r="DG640" s="5"/>
      <c r="DH640" s="5"/>
    </row>
    <row r="641">
      <c r="CU641" s="4"/>
      <c r="CZ641" s="5"/>
      <c r="DA641" s="5"/>
      <c r="DB641" s="5"/>
      <c r="DC641" s="5"/>
      <c r="DD641" s="5"/>
      <c r="DE641" s="5"/>
      <c r="DF641" s="5"/>
      <c r="DG641" s="5"/>
      <c r="DH641" s="5"/>
    </row>
    <row r="642">
      <c r="CU642" s="4"/>
      <c r="CZ642" s="5"/>
      <c r="DA642" s="5"/>
      <c r="DB642" s="5"/>
      <c r="DC642" s="5"/>
      <c r="DD642" s="5"/>
      <c r="DE642" s="5"/>
      <c r="DF642" s="5"/>
      <c r="DG642" s="5"/>
      <c r="DH642" s="5"/>
    </row>
    <row r="643">
      <c r="CU643" s="4"/>
      <c r="CZ643" s="5"/>
      <c r="DA643" s="5"/>
      <c r="DB643" s="5"/>
      <c r="DC643" s="5"/>
      <c r="DD643" s="5"/>
      <c r="DE643" s="5"/>
      <c r="DF643" s="5"/>
      <c r="DG643" s="5"/>
      <c r="DH643" s="5"/>
    </row>
    <row r="644">
      <c r="CU644" s="4"/>
      <c r="CZ644" s="5"/>
      <c r="DA644" s="5"/>
      <c r="DB644" s="5"/>
      <c r="DC644" s="5"/>
      <c r="DD644" s="5"/>
      <c r="DE644" s="5"/>
      <c r="DF644" s="5"/>
      <c r="DG644" s="5"/>
      <c r="DH644" s="5"/>
    </row>
    <row r="645">
      <c r="CU645" s="4"/>
      <c r="CZ645" s="5"/>
      <c r="DA645" s="5"/>
      <c r="DB645" s="5"/>
      <c r="DC645" s="5"/>
      <c r="DD645" s="5"/>
      <c r="DE645" s="5"/>
      <c r="DF645" s="5"/>
      <c r="DG645" s="5"/>
      <c r="DH645" s="5"/>
    </row>
    <row r="646">
      <c r="CU646" s="4"/>
      <c r="CZ646" s="5"/>
      <c r="DA646" s="5"/>
      <c r="DB646" s="5"/>
      <c r="DC646" s="5"/>
      <c r="DD646" s="5"/>
      <c r="DE646" s="5"/>
      <c r="DF646" s="5"/>
      <c r="DG646" s="5"/>
      <c r="DH646" s="5"/>
    </row>
    <row r="647">
      <c r="CU647" s="4"/>
      <c r="CZ647" s="5"/>
      <c r="DA647" s="5"/>
      <c r="DB647" s="5"/>
      <c r="DC647" s="5"/>
      <c r="DD647" s="5"/>
      <c r="DE647" s="5"/>
      <c r="DF647" s="5"/>
      <c r="DG647" s="5"/>
      <c r="DH647" s="5"/>
    </row>
    <row r="648">
      <c r="CU648" s="4"/>
      <c r="CZ648" s="5"/>
      <c r="DA648" s="5"/>
      <c r="DB648" s="5"/>
      <c r="DC648" s="5"/>
      <c r="DD648" s="5"/>
      <c r="DE648" s="5"/>
      <c r="DF648" s="5"/>
      <c r="DG648" s="5"/>
      <c r="DH648" s="5"/>
    </row>
    <row r="649">
      <c r="CU649" s="4"/>
      <c r="CZ649" s="5"/>
      <c r="DA649" s="5"/>
      <c r="DB649" s="5"/>
      <c r="DC649" s="5"/>
      <c r="DD649" s="5"/>
      <c r="DE649" s="5"/>
      <c r="DF649" s="5"/>
      <c r="DG649" s="5"/>
      <c r="DH649" s="5"/>
    </row>
    <row r="650">
      <c r="CU650" s="4"/>
      <c r="CZ650" s="5"/>
      <c r="DA650" s="5"/>
      <c r="DB650" s="5"/>
      <c r="DC650" s="5"/>
      <c r="DD650" s="5"/>
      <c r="DE650" s="5"/>
      <c r="DF650" s="5"/>
      <c r="DG650" s="5"/>
      <c r="DH650" s="5"/>
    </row>
    <row r="651">
      <c r="CU651" s="4"/>
      <c r="CZ651" s="5"/>
      <c r="DA651" s="5"/>
      <c r="DB651" s="5"/>
      <c r="DC651" s="5"/>
      <c r="DD651" s="5"/>
      <c r="DE651" s="5"/>
      <c r="DF651" s="5"/>
      <c r="DG651" s="5"/>
      <c r="DH651" s="5"/>
    </row>
    <row r="652">
      <c r="CU652" s="4"/>
      <c r="CZ652" s="5"/>
      <c r="DA652" s="5"/>
      <c r="DB652" s="5"/>
      <c r="DC652" s="5"/>
      <c r="DD652" s="5"/>
      <c r="DE652" s="5"/>
      <c r="DF652" s="5"/>
      <c r="DG652" s="5"/>
      <c r="DH652" s="5"/>
    </row>
    <row r="653">
      <c r="CU653" s="4"/>
      <c r="CZ653" s="5"/>
      <c r="DA653" s="5"/>
      <c r="DB653" s="5"/>
      <c r="DC653" s="5"/>
      <c r="DD653" s="5"/>
      <c r="DE653" s="5"/>
      <c r="DF653" s="5"/>
      <c r="DG653" s="5"/>
      <c r="DH653" s="5"/>
    </row>
    <row r="654">
      <c r="CU654" s="4"/>
      <c r="CZ654" s="5"/>
      <c r="DA654" s="5"/>
      <c r="DB654" s="5"/>
      <c r="DC654" s="5"/>
      <c r="DD654" s="5"/>
      <c r="DE654" s="5"/>
      <c r="DF654" s="5"/>
      <c r="DG654" s="5"/>
      <c r="DH654" s="5"/>
    </row>
    <row r="655">
      <c r="CU655" s="4"/>
      <c r="CZ655" s="5"/>
      <c r="DA655" s="5"/>
      <c r="DB655" s="5"/>
      <c r="DC655" s="5"/>
      <c r="DD655" s="5"/>
      <c r="DE655" s="5"/>
      <c r="DF655" s="5"/>
      <c r="DG655" s="5"/>
      <c r="DH655" s="5"/>
    </row>
    <row r="656">
      <c r="CU656" s="4"/>
      <c r="CZ656" s="5"/>
      <c r="DA656" s="5"/>
      <c r="DB656" s="5"/>
      <c r="DC656" s="5"/>
      <c r="DD656" s="5"/>
      <c r="DE656" s="5"/>
      <c r="DF656" s="5"/>
      <c r="DG656" s="5"/>
      <c r="DH656" s="5"/>
    </row>
    <row r="657">
      <c r="CU657" s="4"/>
      <c r="CZ657" s="5"/>
      <c r="DA657" s="5"/>
      <c r="DB657" s="5"/>
      <c r="DC657" s="5"/>
      <c r="DD657" s="5"/>
      <c r="DE657" s="5"/>
      <c r="DF657" s="5"/>
      <c r="DG657" s="5"/>
      <c r="DH657" s="5"/>
    </row>
    <row r="658">
      <c r="CU658" s="4"/>
      <c r="CZ658" s="5"/>
      <c r="DA658" s="5"/>
      <c r="DB658" s="5"/>
      <c r="DC658" s="5"/>
      <c r="DD658" s="5"/>
      <c r="DE658" s="5"/>
      <c r="DF658" s="5"/>
      <c r="DG658" s="5"/>
      <c r="DH658" s="5"/>
    </row>
    <row r="659">
      <c r="CU659" s="4"/>
      <c r="CZ659" s="5"/>
      <c r="DA659" s="5"/>
      <c r="DB659" s="5"/>
      <c r="DC659" s="5"/>
      <c r="DD659" s="5"/>
      <c r="DE659" s="5"/>
      <c r="DF659" s="5"/>
      <c r="DG659" s="5"/>
      <c r="DH659" s="5"/>
    </row>
    <row r="660">
      <c r="CU660" s="4"/>
      <c r="CZ660" s="5"/>
      <c r="DA660" s="5"/>
      <c r="DB660" s="5"/>
      <c r="DC660" s="5"/>
      <c r="DD660" s="5"/>
      <c r="DE660" s="5"/>
      <c r="DF660" s="5"/>
      <c r="DG660" s="5"/>
      <c r="DH660" s="5"/>
    </row>
    <row r="661">
      <c r="CU661" s="4"/>
      <c r="CZ661" s="5"/>
      <c r="DA661" s="5"/>
      <c r="DB661" s="5"/>
      <c r="DC661" s="5"/>
      <c r="DD661" s="5"/>
      <c r="DE661" s="5"/>
      <c r="DF661" s="5"/>
      <c r="DG661" s="5"/>
      <c r="DH661" s="5"/>
    </row>
    <row r="662">
      <c r="CU662" s="4"/>
      <c r="CZ662" s="5"/>
      <c r="DA662" s="5"/>
      <c r="DB662" s="5"/>
      <c r="DC662" s="5"/>
      <c r="DD662" s="5"/>
      <c r="DE662" s="5"/>
      <c r="DF662" s="5"/>
      <c r="DG662" s="5"/>
      <c r="DH662" s="5"/>
    </row>
    <row r="663">
      <c r="CU663" s="4"/>
      <c r="CZ663" s="5"/>
      <c r="DA663" s="5"/>
      <c r="DB663" s="5"/>
      <c r="DC663" s="5"/>
      <c r="DD663" s="5"/>
      <c r="DE663" s="5"/>
      <c r="DF663" s="5"/>
      <c r="DG663" s="5"/>
      <c r="DH663" s="5"/>
    </row>
    <row r="664">
      <c r="CU664" s="4"/>
      <c r="CZ664" s="5"/>
      <c r="DA664" s="5"/>
      <c r="DB664" s="5"/>
      <c r="DC664" s="5"/>
      <c r="DD664" s="5"/>
      <c r="DE664" s="5"/>
      <c r="DF664" s="5"/>
      <c r="DG664" s="5"/>
      <c r="DH664" s="5"/>
    </row>
    <row r="665">
      <c r="CU665" s="4"/>
      <c r="CZ665" s="5"/>
      <c r="DA665" s="5"/>
      <c r="DB665" s="5"/>
      <c r="DC665" s="5"/>
      <c r="DD665" s="5"/>
      <c r="DE665" s="5"/>
      <c r="DF665" s="5"/>
      <c r="DG665" s="5"/>
      <c r="DH665" s="5"/>
    </row>
    <row r="666">
      <c r="CU666" s="4"/>
      <c r="CZ666" s="5"/>
      <c r="DA666" s="5"/>
      <c r="DB666" s="5"/>
      <c r="DC666" s="5"/>
      <c r="DD666" s="5"/>
      <c r="DE666" s="5"/>
      <c r="DF666" s="5"/>
      <c r="DG666" s="5"/>
      <c r="DH666" s="5"/>
    </row>
    <row r="667">
      <c r="CU667" s="4"/>
      <c r="CZ667" s="5"/>
      <c r="DA667" s="5"/>
      <c r="DB667" s="5"/>
      <c r="DC667" s="5"/>
      <c r="DD667" s="5"/>
      <c r="DE667" s="5"/>
      <c r="DF667" s="5"/>
      <c r="DG667" s="5"/>
      <c r="DH667" s="5"/>
    </row>
    <row r="668">
      <c r="CU668" s="4"/>
      <c r="CZ668" s="5"/>
      <c r="DA668" s="5"/>
      <c r="DB668" s="5"/>
      <c r="DC668" s="5"/>
      <c r="DD668" s="5"/>
      <c r="DE668" s="5"/>
      <c r="DF668" s="5"/>
      <c r="DG668" s="5"/>
      <c r="DH668" s="5"/>
    </row>
    <row r="669">
      <c r="CU669" s="4"/>
      <c r="CZ669" s="5"/>
      <c r="DA669" s="5"/>
      <c r="DB669" s="5"/>
      <c r="DC669" s="5"/>
      <c r="DD669" s="5"/>
      <c r="DE669" s="5"/>
      <c r="DF669" s="5"/>
      <c r="DG669" s="5"/>
      <c r="DH669" s="5"/>
    </row>
    <row r="670">
      <c r="CU670" s="4"/>
      <c r="CZ670" s="5"/>
      <c r="DA670" s="5"/>
      <c r="DB670" s="5"/>
      <c r="DC670" s="5"/>
      <c r="DD670" s="5"/>
      <c r="DE670" s="5"/>
      <c r="DF670" s="5"/>
      <c r="DG670" s="5"/>
      <c r="DH670" s="5"/>
    </row>
    <row r="671">
      <c r="CU671" s="4"/>
      <c r="CZ671" s="5"/>
      <c r="DA671" s="5"/>
      <c r="DB671" s="5"/>
      <c r="DC671" s="5"/>
      <c r="DD671" s="5"/>
      <c r="DE671" s="5"/>
      <c r="DF671" s="5"/>
      <c r="DG671" s="5"/>
      <c r="DH671" s="5"/>
    </row>
    <row r="672">
      <c r="CU672" s="4"/>
      <c r="CZ672" s="5"/>
      <c r="DA672" s="5"/>
      <c r="DB672" s="5"/>
      <c r="DC672" s="5"/>
      <c r="DD672" s="5"/>
      <c r="DE672" s="5"/>
      <c r="DF672" s="5"/>
      <c r="DG672" s="5"/>
      <c r="DH672" s="5"/>
    </row>
    <row r="673">
      <c r="CU673" s="4"/>
      <c r="CZ673" s="5"/>
      <c r="DA673" s="5"/>
      <c r="DB673" s="5"/>
      <c r="DC673" s="5"/>
      <c r="DD673" s="5"/>
      <c r="DE673" s="5"/>
      <c r="DF673" s="5"/>
      <c r="DG673" s="5"/>
      <c r="DH673" s="5"/>
    </row>
    <row r="674">
      <c r="CU674" s="4"/>
      <c r="CZ674" s="5"/>
      <c r="DA674" s="5"/>
      <c r="DB674" s="5"/>
      <c r="DC674" s="5"/>
      <c r="DD674" s="5"/>
      <c r="DE674" s="5"/>
      <c r="DF674" s="5"/>
      <c r="DG674" s="5"/>
      <c r="DH674" s="5"/>
    </row>
    <row r="675">
      <c r="CU675" s="4"/>
      <c r="CZ675" s="5"/>
      <c r="DA675" s="5"/>
      <c r="DB675" s="5"/>
      <c r="DC675" s="5"/>
      <c r="DD675" s="5"/>
      <c r="DE675" s="5"/>
      <c r="DF675" s="5"/>
      <c r="DG675" s="5"/>
      <c r="DH675" s="5"/>
    </row>
    <row r="676">
      <c r="CU676" s="4"/>
      <c r="CZ676" s="5"/>
      <c r="DA676" s="5"/>
      <c r="DB676" s="5"/>
      <c r="DC676" s="5"/>
      <c r="DD676" s="5"/>
      <c r="DE676" s="5"/>
      <c r="DF676" s="5"/>
      <c r="DG676" s="5"/>
      <c r="DH676" s="5"/>
    </row>
    <row r="677">
      <c r="CU677" s="4"/>
      <c r="CZ677" s="5"/>
      <c r="DA677" s="5"/>
      <c r="DB677" s="5"/>
      <c r="DC677" s="5"/>
      <c r="DD677" s="5"/>
      <c r="DE677" s="5"/>
      <c r="DF677" s="5"/>
      <c r="DG677" s="5"/>
      <c r="DH677" s="5"/>
    </row>
    <row r="678">
      <c r="CU678" s="4"/>
      <c r="CZ678" s="5"/>
      <c r="DA678" s="5"/>
      <c r="DB678" s="5"/>
      <c r="DC678" s="5"/>
      <c r="DD678" s="5"/>
      <c r="DE678" s="5"/>
      <c r="DF678" s="5"/>
      <c r="DG678" s="5"/>
      <c r="DH678" s="5"/>
    </row>
    <row r="679">
      <c r="CU679" s="4"/>
      <c r="CZ679" s="5"/>
      <c r="DA679" s="5"/>
      <c r="DB679" s="5"/>
      <c r="DC679" s="5"/>
      <c r="DD679" s="5"/>
      <c r="DE679" s="5"/>
      <c r="DF679" s="5"/>
      <c r="DG679" s="5"/>
      <c r="DH679" s="5"/>
    </row>
    <row r="680">
      <c r="CU680" s="4"/>
      <c r="CZ680" s="5"/>
      <c r="DA680" s="5"/>
      <c r="DB680" s="5"/>
      <c r="DC680" s="5"/>
      <c r="DD680" s="5"/>
      <c r="DE680" s="5"/>
      <c r="DF680" s="5"/>
      <c r="DG680" s="5"/>
      <c r="DH680" s="5"/>
    </row>
    <row r="681">
      <c r="CU681" s="4"/>
      <c r="CZ681" s="5"/>
      <c r="DA681" s="5"/>
      <c r="DB681" s="5"/>
      <c r="DC681" s="5"/>
      <c r="DD681" s="5"/>
      <c r="DE681" s="5"/>
      <c r="DF681" s="5"/>
      <c r="DG681" s="5"/>
      <c r="DH681" s="5"/>
    </row>
    <row r="682">
      <c r="CU682" s="4"/>
      <c r="CZ682" s="5"/>
      <c r="DA682" s="5"/>
      <c r="DB682" s="5"/>
      <c r="DC682" s="5"/>
      <c r="DD682" s="5"/>
      <c r="DE682" s="5"/>
      <c r="DF682" s="5"/>
      <c r="DG682" s="5"/>
      <c r="DH682" s="5"/>
    </row>
    <row r="683">
      <c r="CU683" s="4"/>
      <c r="CZ683" s="5"/>
      <c r="DA683" s="5"/>
      <c r="DB683" s="5"/>
      <c r="DC683" s="5"/>
      <c r="DD683" s="5"/>
      <c r="DE683" s="5"/>
      <c r="DF683" s="5"/>
      <c r="DG683" s="5"/>
      <c r="DH683" s="5"/>
    </row>
    <row r="684">
      <c r="CU684" s="4"/>
      <c r="CZ684" s="5"/>
      <c r="DA684" s="5"/>
      <c r="DB684" s="5"/>
      <c r="DC684" s="5"/>
      <c r="DD684" s="5"/>
      <c r="DE684" s="5"/>
      <c r="DF684" s="5"/>
      <c r="DG684" s="5"/>
      <c r="DH684" s="5"/>
    </row>
    <row r="685">
      <c r="CU685" s="4"/>
      <c r="CZ685" s="5"/>
      <c r="DA685" s="5"/>
      <c r="DB685" s="5"/>
      <c r="DC685" s="5"/>
      <c r="DD685" s="5"/>
      <c r="DE685" s="5"/>
      <c r="DF685" s="5"/>
      <c r="DG685" s="5"/>
      <c r="DH685" s="5"/>
    </row>
    <row r="686">
      <c r="CU686" s="4"/>
      <c r="CZ686" s="5"/>
      <c r="DA686" s="5"/>
      <c r="DB686" s="5"/>
      <c r="DC686" s="5"/>
      <c r="DD686" s="5"/>
      <c r="DE686" s="5"/>
      <c r="DF686" s="5"/>
      <c r="DG686" s="5"/>
      <c r="DH686" s="5"/>
    </row>
    <row r="687">
      <c r="CU687" s="4"/>
      <c r="CZ687" s="5"/>
      <c r="DA687" s="5"/>
      <c r="DB687" s="5"/>
      <c r="DC687" s="5"/>
      <c r="DD687" s="5"/>
      <c r="DE687" s="5"/>
      <c r="DF687" s="5"/>
      <c r="DG687" s="5"/>
      <c r="DH687" s="5"/>
    </row>
    <row r="688">
      <c r="CU688" s="4"/>
      <c r="CZ688" s="5"/>
      <c r="DA688" s="5"/>
      <c r="DB688" s="5"/>
      <c r="DC688" s="5"/>
      <c r="DD688" s="5"/>
      <c r="DE688" s="5"/>
      <c r="DF688" s="5"/>
      <c r="DG688" s="5"/>
      <c r="DH688" s="5"/>
    </row>
    <row r="689">
      <c r="CU689" s="4"/>
      <c r="CZ689" s="5"/>
      <c r="DA689" s="5"/>
      <c r="DB689" s="5"/>
      <c r="DC689" s="5"/>
      <c r="DD689" s="5"/>
      <c r="DE689" s="5"/>
      <c r="DF689" s="5"/>
      <c r="DG689" s="5"/>
      <c r="DH689" s="5"/>
    </row>
    <row r="690">
      <c r="CU690" s="4"/>
      <c r="CZ690" s="5"/>
      <c r="DA690" s="5"/>
      <c r="DB690" s="5"/>
      <c r="DC690" s="5"/>
      <c r="DD690" s="5"/>
      <c r="DE690" s="5"/>
      <c r="DF690" s="5"/>
      <c r="DG690" s="5"/>
      <c r="DH690" s="5"/>
    </row>
    <row r="691">
      <c r="CU691" s="4"/>
      <c r="CZ691" s="5"/>
      <c r="DA691" s="5"/>
      <c r="DB691" s="5"/>
      <c r="DC691" s="5"/>
      <c r="DD691" s="5"/>
      <c r="DE691" s="5"/>
      <c r="DF691" s="5"/>
      <c r="DG691" s="5"/>
      <c r="DH691" s="5"/>
    </row>
    <row r="692">
      <c r="CU692" s="4"/>
      <c r="CZ692" s="5"/>
      <c r="DA692" s="5"/>
      <c r="DB692" s="5"/>
      <c r="DC692" s="5"/>
      <c r="DD692" s="5"/>
      <c r="DE692" s="5"/>
      <c r="DF692" s="5"/>
      <c r="DG692" s="5"/>
      <c r="DH692" s="5"/>
    </row>
    <row r="693">
      <c r="CU693" s="4"/>
      <c r="CZ693" s="5"/>
      <c r="DA693" s="5"/>
      <c r="DB693" s="5"/>
      <c r="DC693" s="5"/>
      <c r="DD693" s="5"/>
      <c r="DE693" s="5"/>
      <c r="DF693" s="5"/>
      <c r="DG693" s="5"/>
      <c r="DH693" s="5"/>
    </row>
    <row r="694">
      <c r="CU694" s="4"/>
      <c r="CZ694" s="5"/>
      <c r="DA694" s="5"/>
      <c r="DB694" s="5"/>
      <c r="DC694" s="5"/>
      <c r="DD694" s="5"/>
      <c r="DE694" s="5"/>
      <c r="DF694" s="5"/>
      <c r="DG694" s="5"/>
      <c r="DH694" s="5"/>
    </row>
    <row r="695">
      <c r="CU695" s="4"/>
      <c r="CZ695" s="5"/>
      <c r="DA695" s="5"/>
      <c r="DB695" s="5"/>
      <c r="DC695" s="5"/>
      <c r="DD695" s="5"/>
      <c r="DE695" s="5"/>
      <c r="DF695" s="5"/>
      <c r="DG695" s="5"/>
      <c r="DH695" s="5"/>
    </row>
    <row r="696">
      <c r="CU696" s="4"/>
      <c r="CZ696" s="5"/>
      <c r="DA696" s="5"/>
      <c r="DB696" s="5"/>
      <c r="DC696" s="5"/>
      <c r="DD696" s="5"/>
      <c r="DE696" s="5"/>
      <c r="DF696" s="5"/>
      <c r="DG696" s="5"/>
      <c r="DH696" s="5"/>
    </row>
    <row r="697">
      <c r="CU697" s="4"/>
      <c r="CZ697" s="5"/>
      <c r="DA697" s="5"/>
      <c r="DB697" s="5"/>
      <c r="DC697" s="5"/>
      <c r="DD697" s="5"/>
      <c r="DE697" s="5"/>
      <c r="DF697" s="5"/>
      <c r="DG697" s="5"/>
      <c r="DH697" s="5"/>
    </row>
    <row r="698">
      <c r="CU698" s="4"/>
      <c r="CZ698" s="5"/>
      <c r="DA698" s="5"/>
      <c r="DB698" s="5"/>
      <c r="DC698" s="5"/>
      <c r="DD698" s="5"/>
      <c r="DE698" s="5"/>
      <c r="DF698" s="5"/>
      <c r="DG698" s="5"/>
      <c r="DH698" s="5"/>
    </row>
    <row r="699">
      <c r="CU699" s="4"/>
      <c r="CZ699" s="5"/>
      <c r="DA699" s="5"/>
      <c r="DB699" s="5"/>
      <c r="DC699" s="5"/>
      <c r="DD699" s="5"/>
      <c r="DE699" s="5"/>
      <c r="DF699" s="5"/>
      <c r="DG699" s="5"/>
      <c r="DH699" s="5"/>
    </row>
    <row r="700">
      <c r="CU700" s="4"/>
      <c r="CZ700" s="5"/>
      <c r="DA700" s="5"/>
      <c r="DB700" s="5"/>
      <c r="DC700" s="5"/>
      <c r="DD700" s="5"/>
      <c r="DE700" s="5"/>
      <c r="DF700" s="5"/>
      <c r="DG700" s="5"/>
      <c r="DH700" s="5"/>
    </row>
    <row r="701">
      <c r="CU701" s="4"/>
      <c r="CZ701" s="5"/>
      <c r="DA701" s="5"/>
      <c r="DB701" s="5"/>
      <c r="DC701" s="5"/>
      <c r="DD701" s="5"/>
      <c r="DE701" s="5"/>
      <c r="DF701" s="5"/>
      <c r="DG701" s="5"/>
      <c r="DH701" s="5"/>
    </row>
    <row r="702">
      <c r="CU702" s="4"/>
      <c r="CZ702" s="5"/>
      <c r="DA702" s="5"/>
      <c r="DB702" s="5"/>
      <c r="DC702" s="5"/>
      <c r="DD702" s="5"/>
      <c r="DE702" s="5"/>
      <c r="DF702" s="5"/>
      <c r="DG702" s="5"/>
      <c r="DH702" s="5"/>
    </row>
    <row r="703">
      <c r="CU703" s="4"/>
      <c r="CZ703" s="5"/>
      <c r="DA703" s="5"/>
      <c r="DB703" s="5"/>
      <c r="DC703" s="5"/>
      <c r="DD703" s="5"/>
      <c r="DE703" s="5"/>
      <c r="DF703" s="5"/>
      <c r="DG703" s="5"/>
      <c r="DH703" s="5"/>
    </row>
    <row r="704">
      <c r="CU704" s="4"/>
      <c r="CZ704" s="5"/>
      <c r="DA704" s="5"/>
      <c r="DB704" s="5"/>
      <c r="DC704" s="5"/>
      <c r="DD704" s="5"/>
      <c r="DE704" s="5"/>
      <c r="DF704" s="5"/>
      <c r="DG704" s="5"/>
      <c r="DH704" s="5"/>
    </row>
    <row r="705">
      <c r="CU705" s="4"/>
      <c r="CZ705" s="5"/>
      <c r="DA705" s="5"/>
      <c r="DB705" s="5"/>
      <c r="DC705" s="5"/>
      <c r="DD705" s="5"/>
      <c r="DE705" s="5"/>
      <c r="DF705" s="5"/>
      <c r="DG705" s="5"/>
      <c r="DH705" s="5"/>
    </row>
    <row r="706">
      <c r="CU706" s="4"/>
      <c r="CZ706" s="5"/>
      <c r="DA706" s="5"/>
      <c r="DB706" s="5"/>
      <c r="DC706" s="5"/>
      <c r="DD706" s="5"/>
      <c r="DE706" s="5"/>
      <c r="DF706" s="5"/>
      <c r="DG706" s="5"/>
      <c r="DH706" s="5"/>
    </row>
    <row r="707">
      <c r="CU707" s="4"/>
      <c r="CZ707" s="5"/>
      <c r="DA707" s="5"/>
      <c r="DB707" s="5"/>
      <c r="DC707" s="5"/>
      <c r="DD707" s="5"/>
      <c r="DE707" s="5"/>
      <c r="DF707" s="5"/>
      <c r="DG707" s="5"/>
      <c r="DH707" s="5"/>
    </row>
    <row r="708">
      <c r="CU708" s="4"/>
      <c r="CZ708" s="5"/>
      <c r="DA708" s="5"/>
      <c r="DB708" s="5"/>
      <c r="DC708" s="5"/>
      <c r="DD708" s="5"/>
      <c r="DE708" s="5"/>
      <c r="DF708" s="5"/>
      <c r="DG708" s="5"/>
      <c r="DH708" s="5"/>
    </row>
    <row r="709">
      <c r="CU709" s="4"/>
      <c r="CZ709" s="5"/>
      <c r="DA709" s="5"/>
      <c r="DB709" s="5"/>
      <c r="DC709" s="5"/>
      <c r="DD709" s="5"/>
      <c r="DE709" s="5"/>
      <c r="DF709" s="5"/>
      <c r="DG709" s="5"/>
      <c r="DH709" s="5"/>
    </row>
    <row r="710">
      <c r="CU710" s="4"/>
      <c r="CZ710" s="5"/>
      <c r="DA710" s="5"/>
      <c r="DB710" s="5"/>
      <c r="DC710" s="5"/>
      <c r="DD710" s="5"/>
      <c r="DE710" s="5"/>
      <c r="DF710" s="5"/>
      <c r="DG710" s="5"/>
      <c r="DH710" s="5"/>
    </row>
    <row r="711">
      <c r="CU711" s="4"/>
      <c r="CZ711" s="5"/>
      <c r="DA711" s="5"/>
      <c r="DB711" s="5"/>
      <c r="DC711" s="5"/>
      <c r="DD711" s="5"/>
      <c r="DE711" s="5"/>
      <c r="DF711" s="5"/>
      <c r="DG711" s="5"/>
      <c r="DH711" s="5"/>
    </row>
    <row r="712">
      <c r="CU712" s="4"/>
      <c r="CZ712" s="5"/>
      <c r="DA712" s="5"/>
      <c r="DB712" s="5"/>
      <c r="DC712" s="5"/>
      <c r="DD712" s="5"/>
      <c r="DE712" s="5"/>
      <c r="DF712" s="5"/>
      <c r="DG712" s="5"/>
      <c r="DH712" s="5"/>
    </row>
    <row r="713">
      <c r="CU713" s="4"/>
      <c r="CZ713" s="5"/>
      <c r="DA713" s="5"/>
      <c r="DB713" s="5"/>
      <c r="DC713" s="5"/>
      <c r="DD713" s="5"/>
      <c r="DE713" s="5"/>
      <c r="DF713" s="5"/>
      <c r="DG713" s="5"/>
      <c r="DH713" s="5"/>
    </row>
    <row r="714">
      <c r="CU714" s="4"/>
      <c r="CZ714" s="5"/>
      <c r="DA714" s="5"/>
      <c r="DB714" s="5"/>
      <c r="DC714" s="5"/>
      <c r="DD714" s="5"/>
      <c r="DE714" s="5"/>
      <c r="DF714" s="5"/>
      <c r="DG714" s="5"/>
      <c r="DH714" s="5"/>
    </row>
    <row r="715">
      <c r="CU715" s="4"/>
      <c r="CZ715" s="5"/>
      <c r="DA715" s="5"/>
      <c r="DB715" s="5"/>
      <c r="DC715" s="5"/>
      <c r="DD715" s="5"/>
      <c r="DE715" s="5"/>
      <c r="DF715" s="5"/>
      <c r="DG715" s="5"/>
      <c r="DH715" s="5"/>
    </row>
    <row r="716">
      <c r="CU716" s="4"/>
      <c r="CZ716" s="5"/>
      <c r="DA716" s="5"/>
      <c r="DB716" s="5"/>
      <c r="DC716" s="5"/>
      <c r="DD716" s="5"/>
      <c r="DE716" s="5"/>
      <c r="DF716" s="5"/>
      <c r="DG716" s="5"/>
      <c r="DH716" s="5"/>
    </row>
    <row r="717">
      <c r="CU717" s="4"/>
      <c r="CZ717" s="5"/>
      <c r="DA717" s="5"/>
      <c r="DB717" s="5"/>
      <c r="DC717" s="5"/>
      <c r="DD717" s="5"/>
      <c r="DE717" s="5"/>
      <c r="DF717" s="5"/>
      <c r="DG717" s="5"/>
      <c r="DH717" s="5"/>
    </row>
    <row r="718">
      <c r="CU718" s="4"/>
      <c r="CZ718" s="5"/>
      <c r="DA718" s="5"/>
      <c r="DB718" s="5"/>
      <c r="DC718" s="5"/>
      <c r="DD718" s="5"/>
      <c r="DE718" s="5"/>
      <c r="DF718" s="5"/>
      <c r="DG718" s="5"/>
      <c r="DH718" s="5"/>
    </row>
    <row r="719">
      <c r="CU719" s="4"/>
      <c r="CZ719" s="5"/>
      <c r="DA719" s="5"/>
      <c r="DB719" s="5"/>
      <c r="DC719" s="5"/>
      <c r="DD719" s="5"/>
      <c r="DE719" s="5"/>
      <c r="DF719" s="5"/>
      <c r="DG719" s="5"/>
      <c r="DH719" s="5"/>
    </row>
    <row r="720">
      <c r="CU720" s="4"/>
      <c r="CZ720" s="5"/>
      <c r="DA720" s="5"/>
      <c r="DB720" s="5"/>
      <c r="DC720" s="5"/>
      <c r="DD720" s="5"/>
      <c r="DE720" s="5"/>
      <c r="DF720" s="5"/>
      <c r="DG720" s="5"/>
      <c r="DH720" s="5"/>
    </row>
    <row r="721">
      <c r="CU721" s="4"/>
      <c r="CZ721" s="5"/>
      <c r="DA721" s="5"/>
      <c r="DB721" s="5"/>
      <c r="DC721" s="5"/>
      <c r="DD721" s="5"/>
      <c r="DE721" s="5"/>
      <c r="DF721" s="5"/>
      <c r="DG721" s="5"/>
      <c r="DH721" s="5"/>
    </row>
    <row r="722">
      <c r="CU722" s="4"/>
      <c r="CZ722" s="5"/>
      <c r="DA722" s="5"/>
      <c r="DB722" s="5"/>
      <c r="DC722" s="5"/>
      <c r="DD722" s="5"/>
      <c r="DE722" s="5"/>
      <c r="DF722" s="5"/>
      <c r="DG722" s="5"/>
      <c r="DH722" s="5"/>
    </row>
    <row r="723">
      <c r="CU723" s="4"/>
      <c r="CZ723" s="5"/>
      <c r="DA723" s="5"/>
      <c r="DB723" s="5"/>
      <c r="DC723" s="5"/>
      <c r="DD723" s="5"/>
      <c r="DE723" s="5"/>
      <c r="DF723" s="5"/>
      <c r="DG723" s="5"/>
      <c r="DH723" s="5"/>
    </row>
    <row r="724">
      <c r="CU724" s="4"/>
      <c r="CZ724" s="5"/>
      <c r="DA724" s="5"/>
      <c r="DB724" s="5"/>
      <c r="DC724" s="5"/>
      <c r="DD724" s="5"/>
      <c r="DE724" s="5"/>
      <c r="DF724" s="5"/>
      <c r="DG724" s="5"/>
      <c r="DH724" s="5"/>
    </row>
    <row r="725">
      <c r="CU725" s="4"/>
      <c r="CZ725" s="5"/>
      <c r="DA725" s="5"/>
      <c r="DB725" s="5"/>
      <c r="DC725" s="5"/>
      <c r="DD725" s="5"/>
      <c r="DE725" s="5"/>
      <c r="DF725" s="5"/>
      <c r="DG725" s="5"/>
      <c r="DH725" s="5"/>
    </row>
    <row r="726">
      <c r="CU726" s="4"/>
      <c r="CZ726" s="5"/>
      <c r="DA726" s="5"/>
      <c r="DB726" s="5"/>
      <c r="DC726" s="5"/>
      <c r="DD726" s="5"/>
      <c r="DE726" s="5"/>
      <c r="DF726" s="5"/>
      <c r="DG726" s="5"/>
      <c r="DH726" s="5"/>
    </row>
    <row r="727">
      <c r="CU727" s="4"/>
      <c r="CZ727" s="5"/>
      <c r="DA727" s="5"/>
      <c r="DB727" s="5"/>
      <c r="DC727" s="5"/>
      <c r="DD727" s="5"/>
      <c r="DE727" s="5"/>
      <c r="DF727" s="5"/>
      <c r="DG727" s="5"/>
      <c r="DH727" s="5"/>
    </row>
    <row r="728">
      <c r="CU728" s="4"/>
      <c r="CZ728" s="5"/>
      <c r="DA728" s="5"/>
      <c r="DB728" s="5"/>
      <c r="DC728" s="5"/>
      <c r="DD728" s="5"/>
      <c r="DE728" s="5"/>
      <c r="DF728" s="5"/>
      <c r="DG728" s="5"/>
      <c r="DH728" s="5"/>
    </row>
    <row r="729">
      <c r="CU729" s="4"/>
      <c r="CZ729" s="5"/>
      <c r="DA729" s="5"/>
      <c r="DB729" s="5"/>
      <c r="DC729" s="5"/>
      <c r="DD729" s="5"/>
      <c r="DE729" s="5"/>
      <c r="DF729" s="5"/>
      <c r="DG729" s="5"/>
      <c r="DH729" s="5"/>
    </row>
    <row r="730">
      <c r="CU730" s="4"/>
      <c r="CZ730" s="5"/>
      <c r="DA730" s="5"/>
      <c r="DB730" s="5"/>
      <c r="DC730" s="5"/>
      <c r="DD730" s="5"/>
      <c r="DE730" s="5"/>
      <c r="DF730" s="5"/>
      <c r="DG730" s="5"/>
      <c r="DH730" s="5"/>
    </row>
    <row r="731">
      <c r="CU731" s="4"/>
      <c r="CZ731" s="5"/>
      <c r="DA731" s="5"/>
      <c r="DB731" s="5"/>
      <c r="DC731" s="5"/>
      <c r="DD731" s="5"/>
      <c r="DE731" s="5"/>
      <c r="DF731" s="5"/>
      <c r="DG731" s="5"/>
      <c r="DH731" s="5"/>
    </row>
    <row r="732">
      <c r="CU732" s="4"/>
      <c r="CZ732" s="5"/>
      <c r="DA732" s="5"/>
      <c r="DB732" s="5"/>
      <c r="DC732" s="5"/>
      <c r="DD732" s="5"/>
      <c r="DE732" s="5"/>
      <c r="DF732" s="5"/>
      <c r="DG732" s="5"/>
      <c r="DH732" s="5"/>
    </row>
    <row r="733">
      <c r="CU733" s="4"/>
      <c r="CZ733" s="5"/>
      <c r="DA733" s="5"/>
      <c r="DB733" s="5"/>
      <c r="DC733" s="5"/>
      <c r="DD733" s="5"/>
      <c r="DE733" s="5"/>
      <c r="DF733" s="5"/>
      <c r="DG733" s="5"/>
      <c r="DH733" s="5"/>
    </row>
    <row r="734">
      <c r="CU734" s="4"/>
      <c r="CZ734" s="5"/>
      <c r="DA734" s="5"/>
      <c r="DB734" s="5"/>
      <c r="DC734" s="5"/>
      <c r="DD734" s="5"/>
      <c r="DE734" s="5"/>
      <c r="DF734" s="5"/>
      <c r="DG734" s="5"/>
      <c r="DH734" s="5"/>
    </row>
    <row r="735">
      <c r="CU735" s="4"/>
      <c r="CZ735" s="5"/>
      <c r="DA735" s="5"/>
      <c r="DB735" s="5"/>
      <c r="DC735" s="5"/>
      <c r="DD735" s="5"/>
      <c r="DE735" s="5"/>
      <c r="DF735" s="5"/>
      <c r="DG735" s="5"/>
      <c r="DH735" s="5"/>
    </row>
    <row r="736">
      <c r="CU736" s="4"/>
      <c r="CZ736" s="5"/>
      <c r="DA736" s="5"/>
      <c r="DB736" s="5"/>
      <c r="DC736" s="5"/>
      <c r="DD736" s="5"/>
      <c r="DE736" s="5"/>
      <c r="DF736" s="5"/>
      <c r="DG736" s="5"/>
      <c r="DH736" s="5"/>
    </row>
    <row r="737">
      <c r="CU737" s="4"/>
      <c r="CZ737" s="5"/>
      <c r="DA737" s="5"/>
      <c r="DB737" s="5"/>
      <c r="DC737" s="5"/>
      <c r="DD737" s="5"/>
      <c r="DE737" s="5"/>
      <c r="DF737" s="5"/>
      <c r="DG737" s="5"/>
      <c r="DH737" s="5"/>
    </row>
    <row r="738">
      <c r="CU738" s="4"/>
      <c r="CZ738" s="5"/>
      <c r="DA738" s="5"/>
      <c r="DB738" s="5"/>
      <c r="DC738" s="5"/>
      <c r="DD738" s="5"/>
      <c r="DE738" s="5"/>
      <c r="DF738" s="5"/>
      <c r="DG738" s="5"/>
      <c r="DH738" s="5"/>
    </row>
    <row r="739">
      <c r="CU739" s="4"/>
      <c r="CZ739" s="5"/>
      <c r="DA739" s="5"/>
      <c r="DB739" s="5"/>
      <c r="DC739" s="5"/>
      <c r="DD739" s="5"/>
      <c r="DE739" s="5"/>
      <c r="DF739" s="5"/>
      <c r="DG739" s="5"/>
      <c r="DH739" s="5"/>
    </row>
    <row r="740">
      <c r="CU740" s="4"/>
      <c r="CZ740" s="5"/>
      <c r="DA740" s="5"/>
      <c r="DB740" s="5"/>
      <c r="DC740" s="5"/>
      <c r="DD740" s="5"/>
      <c r="DE740" s="5"/>
      <c r="DF740" s="5"/>
      <c r="DG740" s="5"/>
      <c r="DH740" s="5"/>
    </row>
    <row r="741">
      <c r="CU741" s="4"/>
      <c r="CZ741" s="5"/>
      <c r="DA741" s="5"/>
      <c r="DB741" s="5"/>
      <c r="DC741" s="5"/>
      <c r="DD741" s="5"/>
      <c r="DE741" s="5"/>
      <c r="DF741" s="5"/>
      <c r="DG741" s="5"/>
      <c r="DH741" s="5"/>
    </row>
    <row r="742">
      <c r="CU742" s="4"/>
      <c r="CZ742" s="5"/>
      <c r="DA742" s="5"/>
      <c r="DB742" s="5"/>
      <c r="DC742" s="5"/>
      <c r="DD742" s="5"/>
      <c r="DE742" s="5"/>
      <c r="DF742" s="5"/>
      <c r="DG742" s="5"/>
      <c r="DH742" s="5"/>
    </row>
    <row r="743">
      <c r="CU743" s="4"/>
      <c r="CZ743" s="5"/>
      <c r="DA743" s="5"/>
      <c r="DB743" s="5"/>
      <c r="DC743" s="5"/>
      <c r="DD743" s="5"/>
      <c r="DE743" s="5"/>
      <c r="DF743" s="5"/>
      <c r="DG743" s="5"/>
      <c r="DH743" s="5"/>
    </row>
    <row r="744">
      <c r="CU744" s="4"/>
      <c r="CZ744" s="5"/>
      <c r="DA744" s="5"/>
      <c r="DB744" s="5"/>
      <c r="DC744" s="5"/>
      <c r="DD744" s="5"/>
      <c r="DE744" s="5"/>
      <c r="DF744" s="5"/>
      <c r="DG744" s="5"/>
      <c r="DH744" s="5"/>
    </row>
    <row r="745">
      <c r="CU745" s="4"/>
      <c r="CZ745" s="5"/>
      <c r="DA745" s="5"/>
      <c r="DB745" s="5"/>
      <c r="DC745" s="5"/>
      <c r="DD745" s="5"/>
      <c r="DE745" s="5"/>
      <c r="DF745" s="5"/>
      <c r="DG745" s="5"/>
      <c r="DH745" s="5"/>
    </row>
    <row r="746">
      <c r="CU746" s="4"/>
      <c r="CZ746" s="5"/>
      <c r="DA746" s="5"/>
      <c r="DB746" s="5"/>
      <c r="DC746" s="5"/>
      <c r="DD746" s="5"/>
      <c r="DE746" s="5"/>
      <c r="DF746" s="5"/>
      <c r="DG746" s="5"/>
      <c r="DH746" s="5"/>
    </row>
    <row r="747">
      <c r="CU747" s="4"/>
      <c r="CZ747" s="5"/>
      <c r="DA747" s="5"/>
      <c r="DB747" s="5"/>
      <c r="DC747" s="5"/>
      <c r="DD747" s="5"/>
      <c r="DE747" s="5"/>
      <c r="DF747" s="5"/>
      <c r="DG747" s="5"/>
      <c r="DH747" s="5"/>
    </row>
    <row r="748">
      <c r="CU748" s="4"/>
      <c r="CZ748" s="5"/>
      <c r="DA748" s="5"/>
      <c r="DB748" s="5"/>
      <c r="DC748" s="5"/>
      <c r="DD748" s="5"/>
      <c r="DE748" s="5"/>
      <c r="DF748" s="5"/>
      <c r="DG748" s="5"/>
      <c r="DH748" s="5"/>
    </row>
    <row r="749">
      <c r="CU749" s="4"/>
      <c r="CZ749" s="5"/>
      <c r="DA749" s="5"/>
      <c r="DB749" s="5"/>
      <c r="DC749" s="5"/>
      <c r="DD749" s="5"/>
      <c r="DE749" s="5"/>
      <c r="DF749" s="5"/>
      <c r="DG749" s="5"/>
      <c r="DH749" s="5"/>
    </row>
    <row r="750">
      <c r="CU750" s="4"/>
      <c r="CZ750" s="5"/>
      <c r="DA750" s="5"/>
      <c r="DB750" s="5"/>
      <c r="DC750" s="5"/>
      <c r="DD750" s="5"/>
      <c r="DE750" s="5"/>
      <c r="DF750" s="5"/>
      <c r="DG750" s="5"/>
      <c r="DH750" s="5"/>
    </row>
    <row r="751">
      <c r="CU751" s="4"/>
      <c r="CZ751" s="5"/>
      <c r="DA751" s="5"/>
      <c r="DB751" s="5"/>
      <c r="DC751" s="5"/>
      <c r="DD751" s="5"/>
      <c r="DE751" s="5"/>
      <c r="DF751" s="5"/>
      <c r="DG751" s="5"/>
      <c r="DH751" s="5"/>
    </row>
    <row r="752">
      <c r="CU752" s="4"/>
      <c r="CZ752" s="5"/>
      <c r="DA752" s="5"/>
      <c r="DB752" s="5"/>
      <c r="DC752" s="5"/>
      <c r="DD752" s="5"/>
      <c r="DE752" s="5"/>
      <c r="DF752" s="5"/>
      <c r="DG752" s="5"/>
      <c r="DH752" s="5"/>
    </row>
    <row r="753">
      <c r="CU753" s="4"/>
      <c r="CZ753" s="5"/>
      <c r="DA753" s="5"/>
      <c r="DB753" s="5"/>
      <c r="DC753" s="5"/>
      <c r="DD753" s="5"/>
      <c r="DE753" s="5"/>
      <c r="DF753" s="5"/>
      <c r="DG753" s="5"/>
      <c r="DH753" s="5"/>
    </row>
    <row r="754">
      <c r="CU754" s="4"/>
      <c r="CZ754" s="5"/>
      <c r="DA754" s="5"/>
      <c r="DB754" s="5"/>
      <c r="DC754" s="5"/>
      <c r="DD754" s="5"/>
      <c r="DE754" s="5"/>
      <c r="DF754" s="5"/>
      <c r="DG754" s="5"/>
      <c r="DH754" s="5"/>
    </row>
    <row r="755">
      <c r="CU755" s="4"/>
      <c r="CZ755" s="5"/>
      <c r="DA755" s="5"/>
      <c r="DB755" s="5"/>
      <c r="DC755" s="5"/>
      <c r="DD755" s="5"/>
      <c r="DE755" s="5"/>
      <c r="DF755" s="5"/>
      <c r="DG755" s="5"/>
      <c r="DH755" s="5"/>
    </row>
    <row r="756">
      <c r="CU756" s="4"/>
      <c r="CZ756" s="5"/>
      <c r="DA756" s="5"/>
      <c r="DB756" s="5"/>
      <c r="DC756" s="5"/>
      <c r="DD756" s="5"/>
      <c r="DE756" s="5"/>
      <c r="DF756" s="5"/>
      <c r="DG756" s="5"/>
      <c r="DH756" s="5"/>
    </row>
    <row r="757">
      <c r="CU757" s="4"/>
      <c r="CZ757" s="5"/>
      <c r="DA757" s="5"/>
      <c r="DB757" s="5"/>
      <c r="DC757" s="5"/>
      <c r="DD757" s="5"/>
      <c r="DE757" s="5"/>
      <c r="DF757" s="5"/>
      <c r="DG757" s="5"/>
      <c r="DH757" s="5"/>
    </row>
    <row r="758">
      <c r="CU758" s="4"/>
      <c r="CZ758" s="5"/>
      <c r="DA758" s="5"/>
      <c r="DB758" s="5"/>
      <c r="DC758" s="5"/>
      <c r="DD758" s="5"/>
      <c r="DE758" s="5"/>
      <c r="DF758" s="5"/>
      <c r="DG758" s="5"/>
      <c r="DH758" s="5"/>
    </row>
    <row r="759">
      <c r="CU759" s="4"/>
      <c r="CZ759" s="5"/>
      <c r="DA759" s="5"/>
      <c r="DB759" s="5"/>
      <c r="DC759" s="5"/>
      <c r="DD759" s="5"/>
      <c r="DE759" s="5"/>
      <c r="DF759" s="5"/>
      <c r="DG759" s="5"/>
      <c r="DH759" s="5"/>
    </row>
    <row r="760">
      <c r="CU760" s="4"/>
      <c r="CZ760" s="5"/>
      <c r="DA760" s="5"/>
      <c r="DB760" s="5"/>
      <c r="DC760" s="5"/>
      <c r="DD760" s="5"/>
      <c r="DE760" s="5"/>
      <c r="DF760" s="5"/>
      <c r="DG760" s="5"/>
      <c r="DH760" s="5"/>
    </row>
    <row r="761">
      <c r="CU761" s="4"/>
      <c r="CZ761" s="5"/>
      <c r="DA761" s="5"/>
      <c r="DB761" s="5"/>
      <c r="DC761" s="5"/>
      <c r="DD761" s="5"/>
      <c r="DE761" s="5"/>
      <c r="DF761" s="5"/>
      <c r="DG761" s="5"/>
      <c r="DH761" s="5"/>
    </row>
    <row r="762">
      <c r="CU762" s="4"/>
      <c r="CZ762" s="5"/>
      <c r="DA762" s="5"/>
      <c r="DB762" s="5"/>
      <c r="DC762" s="5"/>
      <c r="DD762" s="5"/>
      <c r="DE762" s="5"/>
      <c r="DF762" s="5"/>
      <c r="DG762" s="5"/>
      <c r="DH762" s="5"/>
    </row>
    <row r="763">
      <c r="CU763" s="4"/>
      <c r="CZ763" s="5"/>
      <c r="DA763" s="5"/>
      <c r="DB763" s="5"/>
      <c r="DC763" s="5"/>
      <c r="DD763" s="5"/>
      <c r="DE763" s="5"/>
      <c r="DF763" s="5"/>
      <c r="DG763" s="5"/>
      <c r="DH763" s="5"/>
    </row>
    <row r="764">
      <c r="CU764" s="4"/>
      <c r="CZ764" s="5"/>
      <c r="DA764" s="5"/>
      <c r="DB764" s="5"/>
      <c r="DC764" s="5"/>
      <c r="DD764" s="5"/>
      <c r="DE764" s="5"/>
      <c r="DF764" s="5"/>
      <c r="DG764" s="5"/>
      <c r="DH764" s="5"/>
    </row>
    <row r="765">
      <c r="CU765" s="4"/>
      <c r="CZ765" s="5"/>
      <c r="DA765" s="5"/>
      <c r="DB765" s="5"/>
      <c r="DC765" s="5"/>
      <c r="DD765" s="5"/>
      <c r="DE765" s="5"/>
      <c r="DF765" s="5"/>
      <c r="DG765" s="5"/>
      <c r="DH765" s="5"/>
    </row>
    <row r="766">
      <c r="CU766" s="4"/>
      <c r="CZ766" s="5"/>
      <c r="DA766" s="5"/>
      <c r="DB766" s="5"/>
      <c r="DC766" s="5"/>
      <c r="DD766" s="5"/>
      <c r="DE766" s="5"/>
      <c r="DF766" s="5"/>
      <c r="DG766" s="5"/>
      <c r="DH766" s="5"/>
    </row>
    <row r="767">
      <c r="CU767" s="4"/>
      <c r="CZ767" s="5"/>
      <c r="DA767" s="5"/>
      <c r="DB767" s="5"/>
      <c r="DC767" s="5"/>
      <c r="DD767" s="5"/>
      <c r="DE767" s="5"/>
      <c r="DF767" s="5"/>
      <c r="DG767" s="5"/>
      <c r="DH767" s="5"/>
    </row>
    <row r="768">
      <c r="CU768" s="4"/>
      <c r="CZ768" s="5"/>
      <c r="DA768" s="5"/>
      <c r="DB768" s="5"/>
      <c r="DC768" s="5"/>
      <c r="DD768" s="5"/>
      <c r="DE768" s="5"/>
      <c r="DF768" s="5"/>
      <c r="DG768" s="5"/>
      <c r="DH768" s="5"/>
    </row>
    <row r="769">
      <c r="CU769" s="4"/>
      <c r="CZ769" s="5"/>
      <c r="DA769" s="5"/>
      <c r="DB769" s="5"/>
      <c r="DC769" s="5"/>
      <c r="DD769" s="5"/>
      <c r="DE769" s="5"/>
      <c r="DF769" s="5"/>
      <c r="DG769" s="5"/>
      <c r="DH769" s="5"/>
    </row>
    <row r="770">
      <c r="CU770" s="4"/>
      <c r="CZ770" s="5"/>
      <c r="DA770" s="5"/>
      <c r="DB770" s="5"/>
      <c r="DC770" s="5"/>
      <c r="DD770" s="5"/>
      <c r="DE770" s="5"/>
      <c r="DF770" s="5"/>
      <c r="DG770" s="5"/>
      <c r="DH770" s="5"/>
    </row>
    <row r="771">
      <c r="CU771" s="4"/>
      <c r="CZ771" s="5"/>
      <c r="DA771" s="5"/>
      <c r="DB771" s="5"/>
      <c r="DC771" s="5"/>
      <c r="DD771" s="5"/>
      <c r="DE771" s="5"/>
      <c r="DF771" s="5"/>
      <c r="DG771" s="5"/>
      <c r="DH771" s="5"/>
    </row>
    <row r="772">
      <c r="CU772" s="4"/>
      <c r="CZ772" s="5"/>
      <c r="DA772" s="5"/>
      <c r="DB772" s="5"/>
      <c r="DC772" s="5"/>
      <c r="DD772" s="5"/>
      <c r="DE772" s="5"/>
      <c r="DF772" s="5"/>
      <c r="DG772" s="5"/>
      <c r="DH772" s="5"/>
    </row>
    <row r="773">
      <c r="CU773" s="4"/>
      <c r="CZ773" s="5"/>
      <c r="DA773" s="5"/>
      <c r="DB773" s="5"/>
      <c r="DC773" s="5"/>
      <c r="DD773" s="5"/>
      <c r="DE773" s="5"/>
      <c r="DF773" s="5"/>
      <c r="DG773" s="5"/>
      <c r="DH773" s="5"/>
    </row>
    <row r="774">
      <c r="CU774" s="4"/>
      <c r="CZ774" s="5"/>
      <c r="DA774" s="5"/>
      <c r="DB774" s="5"/>
      <c r="DC774" s="5"/>
      <c r="DD774" s="5"/>
      <c r="DE774" s="5"/>
      <c r="DF774" s="5"/>
      <c r="DG774" s="5"/>
      <c r="DH774" s="5"/>
    </row>
    <row r="775">
      <c r="CU775" s="4"/>
      <c r="CZ775" s="5"/>
      <c r="DA775" s="5"/>
      <c r="DB775" s="5"/>
      <c r="DC775" s="5"/>
      <c r="DD775" s="5"/>
      <c r="DE775" s="5"/>
      <c r="DF775" s="5"/>
      <c r="DG775" s="5"/>
      <c r="DH775" s="5"/>
    </row>
    <row r="776">
      <c r="CU776" s="4"/>
      <c r="CZ776" s="5"/>
      <c r="DA776" s="5"/>
      <c r="DB776" s="5"/>
      <c r="DC776" s="5"/>
      <c r="DD776" s="5"/>
      <c r="DE776" s="5"/>
      <c r="DF776" s="5"/>
      <c r="DG776" s="5"/>
      <c r="DH776" s="5"/>
    </row>
    <row r="777">
      <c r="CU777" s="4"/>
      <c r="CZ777" s="5"/>
      <c r="DA777" s="5"/>
      <c r="DB777" s="5"/>
      <c r="DC777" s="5"/>
      <c r="DD777" s="5"/>
      <c r="DE777" s="5"/>
      <c r="DF777" s="5"/>
      <c r="DG777" s="5"/>
      <c r="DH777" s="5"/>
    </row>
    <row r="778">
      <c r="CU778" s="4"/>
      <c r="CZ778" s="5"/>
      <c r="DA778" s="5"/>
      <c r="DB778" s="5"/>
      <c r="DC778" s="5"/>
      <c r="DD778" s="5"/>
      <c r="DE778" s="5"/>
      <c r="DF778" s="5"/>
      <c r="DG778" s="5"/>
      <c r="DH778" s="5"/>
    </row>
    <row r="779">
      <c r="CU779" s="4"/>
      <c r="CZ779" s="5"/>
      <c r="DA779" s="5"/>
      <c r="DB779" s="5"/>
      <c r="DC779" s="5"/>
      <c r="DD779" s="5"/>
      <c r="DE779" s="5"/>
      <c r="DF779" s="5"/>
      <c r="DG779" s="5"/>
      <c r="DH779" s="5"/>
    </row>
    <row r="780">
      <c r="CU780" s="4"/>
      <c r="CZ780" s="5"/>
      <c r="DA780" s="5"/>
      <c r="DB780" s="5"/>
      <c r="DC780" s="5"/>
      <c r="DD780" s="5"/>
      <c r="DE780" s="5"/>
      <c r="DF780" s="5"/>
      <c r="DG780" s="5"/>
      <c r="DH780" s="5"/>
    </row>
    <row r="781">
      <c r="CU781" s="4"/>
      <c r="CZ781" s="5"/>
      <c r="DA781" s="5"/>
      <c r="DB781" s="5"/>
      <c r="DC781" s="5"/>
      <c r="DD781" s="5"/>
      <c r="DE781" s="5"/>
      <c r="DF781" s="5"/>
      <c r="DG781" s="5"/>
      <c r="DH781" s="5"/>
    </row>
    <row r="782">
      <c r="CU782" s="4"/>
      <c r="CZ782" s="5"/>
      <c r="DA782" s="5"/>
      <c r="DB782" s="5"/>
      <c r="DC782" s="5"/>
      <c r="DD782" s="5"/>
      <c r="DE782" s="5"/>
      <c r="DF782" s="5"/>
      <c r="DG782" s="5"/>
      <c r="DH782" s="5"/>
    </row>
    <row r="783">
      <c r="CU783" s="4"/>
      <c r="CZ783" s="5"/>
      <c r="DA783" s="5"/>
      <c r="DB783" s="5"/>
      <c r="DC783" s="5"/>
      <c r="DD783" s="5"/>
      <c r="DE783" s="5"/>
      <c r="DF783" s="5"/>
      <c r="DG783" s="5"/>
      <c r="DH783" s="5"/>
    </row>
    <row r="784">
      <c r="CU784" s="4"/>
      <c r="CZ784" s="5"/>
      <c r="DA784" s="5"/>
      <c r="DB784" s="5"/>
      <c r="DC784" s="5"/>
      <c r="DD784" s="5"/>
      <c r="DE784" s="5"/>
      <c r="DF784" s="5"/>
      <c r="DG784" s="5"/>
      <c r="DH784" s="5"/>
    </row>
    <row r="785">
      <c r="CU785" s="4"/>
      <c r="CZ785" s="5"/>
      <c r="DA785" s="5"/>
      <c r="DB785" s="5"/>
      <c r="DC785" s="5"/>
      <c r="DD785" s="5"/>
      <c r="DE785" s="5"/>
      <c r="DF785" s="5"/>
      <c r="DG785" s="5"/>
      <c r="DH785" s="5"/>
    </row>
    <row r="786">
      <c r="CU786" s="4"/>
      <c r="CZ786" s="5"/>
      <c r="DA786" s="5"/>
      <c r="DB786" s="5"/>
      <c r="DC786" s="5"/>
      <c r="DD786" s="5"/>
      <c r="DE786" s="5"/>
      <c r="DF786" s="5"/>
      <c r="DG786" s="5"/>
      <c r="DH786" s="5"/>
    </row>
    <row r="787">
      <c r="CU787" s="4"/>
      <c r="CZ787" s="5"/>
      <c r="DA787" s="5"/>
      <c r="DB787" s="5"/>
      <c r="DC787" s="5"/>
      <c r="DD787" s="5"/>
      <c r="DE787" s="5"/>
      <c r="DF787" s="5"/>
      <c r="DG787" s="5"/>
      <c r="DH787" s="5"/>
    </row>
    <row r="788">
      <c r="CU788" s="4"/>
      <c r="CZ788" s="5"/>
      <c r="DA788" s="5"/>
      <c r="DB788" s="5"/>
      <c r="DC788" s="5"/>
      <c r="DD788" s="5"/>
      <c r="DE788" s="5"/>
      <c r="DF788" s="5"/>
      <c r="DG788" s="5"/>
      <c r="DH788" s="5"/>
    </row>
    <row r="789">
      <c r="CU789" s="4"/>
      <c r="CZ789" s="5"/>
      <c r="DA789" s="5"/>
      <c r="DB789" s="5"/>
      <c r="DC789" s="5"/>
      <c r="DD789" s="5"/>
      <c r="DE789" s="5"/>
      <c r="DF789" s="5"/>
      <c r="DG789" s="5"/>
      <c r="DH789" s="5"/>
    </row>
    <row r="790">
      <c r="CU790" s="4"/>
      <c r="CZ790" s="5"/>
      <c r="DA790" s="5"/>
      <c r="DB790" s="5"/>
      <c r="DC790" s="5"/>
      <c r="DD790" s="5"/>
      <c r="DE790" s="5"/>
      <c r="DF790" s="5"/>
      <c r="DG790" s="5"/>
      <c r="DH790" s="5"/>
    </row>
    <row r="791">
      <c r="CU791" s="4"/>
      <c r="CZ791" s="5"/>
      <c r="DA791" s="5"/>
      <c r="DB791" s="5"/>
      <c r="DC791" s="5"/>
      <c r="DD791" s="5"/>
      <c r="DE791" s="5"/>
      <c r="DF791" s="5"/>
      <c r="DG791" s="5"/>
      <c r="DH791" s="5"/>
    </row>
    <row r="792">
      <c r="CU792" s="4"/>
      <c r="CZ792" s="5"/>
      <c r="DA792" s="5"/>
      <c r="DB792" s="5"/>
      <c r="DC792" s="5"/>
      <c r="DD792" s="5"/>
      <c r="DE792" s="5"/>
      <c r="DF792" s="5"/>
      <c r="DG792" s="5"/>
      <c r="DH792" s="5"/>
    </row>
    <row r="793">
      <c r="CU793" s="4"/>
      <c r="CZ793" s="5"/>
      <c r="DA793" s="5"/>
      <c r="DB793" s="5"/>
      <c r="DC793" s="5"/>
      <c r="DD793" s="5"/>
      <c r="DE793" s="5"/>
      <c r="DF793" s="5"/>
      <c r="DG793" s="5"/>
      <c r="DH793" s="5"/>
    </row>
    <row r="794">
      <c r="CU794" s="4"/>
      <c r="CZ794" s="5"/>
      <c r="DA794" s="5"/>
      <c r="DB794" s="5"/>
      <c r="DC794" s="5"/>
      <c r="DD794" s="5"/>
      <c r="DE794" s="5"/>
      <c r="DF794" s="5"/>
      <c r="DG794" s="5"/>
      <c r="DH794" s="5"/>
    </row>
    <row r="795">
      <c r="CU795" s="4"/>
      <c r="CZ795" s="5"/>
      <c r="DA795" s="5"/>
      <c r="DB795" s="5"/>
      <c r="DC795" s="5"/>
      <c r="DD795" s="5"/>
      <c r="DE795" s="5"/>
      <c r="DF795" s="5"/>
      <c r="DG795" s="5"/>
      <c r="DH795" s="5"/>
    </row>
    <row r="796">
      <c r="CU796" s="4"/>
      <c r="CZ796" s="5"/>
      <c r="DA796" s="5"/>
      <c r="DB796" s="5"/>
      <c r="DC796" s="5"/>
      <c r="DD796" s="5"/>
      <c r="DE796" s="5"/>
      <c r="DF796" s="5"/>
      <c r="DG796" s="5"/>
      <c r="DH796" s="5"/>
    </row>
    <row r="797">
      <c r="CU797" s="4"/>
      <c r="CZ797" s="5"/>
      <c r="DA797" s="5"/>
      <c r="DB797" s="5"/>
      <c r="DC797" s="5"/>
      <c r="DD797" s="5"/>
      <c r="DE797" s="5"/>
      <c r="DF797" s="5"/>
      <c r="DG797" s="5"/>
      <c r="DH797" s="5"/>
    </row>
    <row r="798">
      <c r="CU798" s="4"/>
      <c r="CZ798" s="5"/>
      <c r="DA798" s="5"/>
      <c r="DB798" s="5"/>
      <c r="DC798" s="5"/>
      <c r="DD798" s="5"/>
      <c r="DE798" s="5"/>
      <c r="DF798" s="5"/>
      <c r="DG798" s="5"/>
      <c r="DH798" s="5"/>
    </row>
    <row r="799">
      <c r="CU799" s="4"/>
      <c r="CZ799" s="5"/>
      <c r="DA799" s="5"/>
      <c r="DB799" s="5"/>
      <c r="DC799" s="5"/>
      <c r="DD799" s="5"/>
      <c r="DE799" s="5"/>
      <c r="DF799" s="5"/>
      <c r="DG799" s="5"/>
      <c r="DH799" s="5"/>
    </row>
    <row r="800">
      <c r="CU800" s="4"/>
      <c r="CZ800" s="5"/>
      <c r="DA800" s="5"/>
      <c r="DB800" s="5"/>
      <c r="DC800" s="5"/>
      <c r="DD800" s="5"/>
      <c r="DE800" s="5"/>
      <c r="DF800" s="5"/>
      <c r="DG800" s="5"/>
      <c r="DH800" s="5"/>
    </row>
    <row r="801">
      <c r="CU801" s="4"/>
      <c r="CZ801" s="5"/>
      <c r="DA801" s="5"/>
      <c r="DB801" s="5"/>
      <c r="DC801" s="5"/>
      <c r="DD801" s="5"/>
      <c r="DE801" s="5"/>
      <c r="DF801" s="5"/>
      <c r="DG801" s="5"/>
      <c r="DH801" s="5"/>
    </row>
    <row r="802">
      <c r="CU802" s="4"/>
      <c r="CZ802" s="5"/>
      <c r="DA802" s="5"/>
      <c r="DB802" s="5"/>
      <c r="DC802" s="5"/>
      <c r="DD802" s="5"/>
      <c r="DE802" s="5"/>
      <c r="DF802" s="5"/>
      <c r="DG802" s="5"/>
      <c r="DH802" s="5"/>
    </row>
    <row r="803">
      <c r="CU803" s="4"/>
      <c r="CZ803" s="5"/>
      <c r="DA803" s="5"/>
      <c r="DB803" s="5"/>
      <c r="DC803" s="5"/>
      <c r="DD803" s="5"/>
      <c r="DE803" s="5"/>
      <c r="DF803" s="5"/>
      <c r="DG803" s="5"/>
      <c r="DH803" s="5"/>
    </row>
    <row r="804">
      <c r="CU804" s="4"/>
      <c r="CZ804" s="5"/>
      <c r="DA804" s="5"/>
      <c r="DB804" s="5"/>
      <c r="DC804" s="5"/>
      <c r="DD804" s="5"/>
      <c r="DE804" s="5"/>
      <c r="DF804" s="5"/>
      <c r="DG804" s="5"/>
      <c r="DH804" s="5"/>
    </row>
    <row r="805">
      <c r="CU805" s="4"/>
      <c r="CZ805" s="5"/>
      <c r="DA805" s="5"/>
      <c r="DB805" s="5"/>
      <c r="DC805" s="5"/>
      <c r="DD805" s="5"/>
      <c r="DE805" s="5"/>
      <c r="DF805" s="5"/>
      <c r="DG805" s="5"/>
      <c r="DH805" s="5"/>
    </row>
    <row r="806">
      <c r="CU806" s="4"/>
      <c r="CZ806" s="5"/>
      <c r="DA806" s="5"/>
      <c r="DB806" s="5"/>
      <c r="DC806" s="5"/>
      <c r="DD806" s="5"/>
      <c r="DE806" s="5"/>
      <c r="DF806" s="5"/>
      <c r="DG806" s="5"/>
      <c r="DH806" s="5"/>
    </row>
    <row r="807">
      <c r="CU807" s="4"/>
      <c r="CZ807" s="5"/>
      <c r="DA807" s="5"/>
      <c r="DB807" s="5"/>
      <c r="DC807" s="5"/>
      <c r="DD807" s="5"/>
      <c r="DE807" s="5"/>
      <c r="DF807" s="5"/>
      <c r="DG807" s="5"/>
      <c r="DH807" s="5"/>
    </row>
    <row r="808">
      <c r="CU808" s="4"/>
      <c r="CZ808" s="5"/>
      <c r="DA808" s="5"/>
      <c r="DB808" s="5"/>
      <c r="DC808" s="5"/>
      <c r="DD808" s="5"/>
      <c r="DE808" s="5"/>
      <c r="DF808" s="5"/>
      <c r="DG808" s="5"/>
      <c r="DH808" s="5"/>
    </row>
    <row r="809">
      <c r="CU809" s="4"/>
      <c r="CZ809" s="5"/>
      <c r="DA809" s="5"/>
      <c r="DB809" s="5"/>
      <c r="DC809" s="5"/>
      <c r="DD809" s="5"/>
      <c r="DE809" s="5"/>
      <c r="DF809" s="5"/>
      <c r="DG809" s="5"/>
      <c r="DH809" s="5"/>
    </row>
    <row r="810">
      <c r="CU810" s="4"/>
      <c r="CZ810" s="5"/>
      <c r="DA810" s="5"/>
      <c r="DB810" s="5"/>
      <c r="DC810" s="5"/>
      <c r="DD810" s="5"/>
      <c r="DE810" s="5"/>
      <c r="DF810" s="5"/>
      <c r="DG810" s="5"/>
      <c r="DH810" s="5"/>
    </row>
    <row r="811">
      <c r="CU811" s="4"/>
      <c r="CZ811" s="5"/>
      <c r="DA811" s="5"/>
      <c r="DB811" s="5"/>
      <c r="DC811" s="5"/>
      <c r="DD811" s="5"/>
      <c r="DE811" s="5"/>
      <c r="DF811" s="5"/>
      <c r="DG811" s="5"/>
      <c r="DH811" s="5"/>
    </row>
    <row r="812">
      <c r="CU812" s="4"/>
      <c r="CZ812" s="5"/>
      <c r="DA812" s="5"/>
      <c r="DB812" s="5"/>
      <c r="DC812" s="5"/>
      <c r="DD812" s="5"/>
      <c r="DE812" s="5"/>
      <c r="DF812" s="5"/>
      <c r="DG812" s="5"/>
      <c r="DH812" s="5"/>
    </row>
    <row r="813">
      <c r="CU813" s="4"/>
      <c r="CZ813" s="5"/>
      <c r="DA813" s="5"/>
      <c r="DB813" s="5"/>
      <c r="DC813" s="5"/>
      <c r="DD813" s="5"/>
      <c r="DE813" s="5"/>
      <c r="DF813" s="5"/>
      <c r="DG813" s="5"/>
      <c r="DH813" s="5"/>
    </row>
    <row r="814">
      <c r="CU814" s="4"/>
      <c r="CZ814" s="5"/>
      <c r="DA814" s="5"/>
      <c r="DB814" s="5"/>
      <c r="DC814" s="5"/>
      <c r="DD814" s="5"/>
      <c r="DE814" s="5"/>
      <c r="DF814" s="5"/>
      <c r="DG814" s="5"/>
      <c r="DH814" s="5"/>
    </row>
    <row r="815">
      <c r="CU815" s="4"/>
      <c r="CZ815" s="5"/>
      <c r="DA815" s="5"/>
      <c r="DB815" s="5"/>
      <c r="DC815" s="5"/>
      <c r="DD815" s="5"/>
      <c r="DE815" s="5"/>
      <c r="DF815" s="5"/>
      <c r="DG815" s="5"/>
      <c r="DH815" s="5"/>
    </row>
    <row r="816">
      <c r="CU816" s="4"/>
      <c r="CZ816" s="5"/>
      <c r="DA816" s="5"/>
      <c r="DB816" s="5"/>
      <c r="DC816" s="5"/>
      <c r="DD816" s="5"/>
      <c r="DE816" s="5"/>
      <c r="DF816" s="5"/>
      <c r="DG816" s="5"/>
      <c r="DH816" s="5"/>
    </row>
    <row r="817">
      <c r="CU817" s="4"/>
      <c r="CZ817" s="5"/>
      <c r="DA817" s="5"/>
      <c r="DB817" s="5"/>
      <c r="DC817" s="5"/>
      <c r="DD817" s="5"/>
      <c r="DE817" s="5"/>
      <c r="DF817" s="5"/>
      <c r="DG817" s="5"/>
      <c r="DH817" s="5"/>
    </row>
    <row r="818">
      <c r="CU818" s="4"/>
      <c r="CZ818" s="5"/>
      <c r="DA818" s="5"/>
      <c r="DB818" s="5"/>
      <c r="DC818" s="5"/>
      <c r="DD818" s="5"/>
      <c r="DE818" s="5"/>
      <c r="DF818" s="5"/>
      <c r="DG818" s="5"/>
      <c r="DH818" s="5"/>
    </row>
    <row r="819">
      <c r="CU819" s="4"/>
      <c r="CZ819" s="5"/>
      <c r="DA819" s="5"/>
      <c r="DB819" s="5"/>
      <c r="DC819" s="5"/>
      <c r="DD819" s="5"/>
      <c r="DE819" s="5"/>
      <c r="DF819" s="5"/>
      <c r="DG819" s="5"/>
      <c r="DH819" s="5"/>
    </row>
    <row r="820">
      <c r="CU820" s="4"/>
      <c r="CZ820" s="5"/>
      <c r="DA820" s="5"/>
      <c r="DB820" s="5"/>
      <c r="DC820" s="5"/>
      <c r="DD820" s="5"/>
      <c r="DE820" s="5"/>
      <c r="DF820" s="5"/>
      <c r="DG820" s="5"/>
      <c r="DH820" s="5"/>
    </row>
    <row r="821">
      <c r="CU821" s="4"/>
      <c r="CZ821" s="5"/>
      <c r="DA821" s="5"/>
      <c r="DB821" s="5"/>
      <c r="DC821" s="5"/>
      <c r="DD821" s="5"/>
      <c r="DE821" s="5"/>
      <c r="DF821" s="5"/>
      <c r="DG821" s="5"/>
      <c r="DH821" s="5"/>
    </row>
    <row r="822">
      <c r="CU822" s="4"/>
      <c r="CZ822" s="5"/>
      <c r="DA822" s="5"/>
      <c r="DB822" s="5"/>
      <c r="DC822" s="5"/>
      <c r="DD822" s="5"/>
      <c r="DE822" s="5"/>
      <c r="DF822" s="5"/>
      <c r="DG822" s="5"/>
      <c r="DH822" s="5"/>
    </row>
    <row r="823">
      <c r="CU823" s="4"/>
      <c r="CZ823" s="5"/>
      <c r="DA823" s="5"/>
      <c r="DB823" s="5"/>
      <c r="DC823" s="5"/>
      <c r="DD823" s="5"/>
      <c r="DE823" s="5"/>
      <c r="DF823" s="5"/>
      <c r="DG823" s="5"/>
      <c r="DH823" s="5"/>
    </row>
    <row r="824">
      <c r="CU824" s="4"/>
      <c r="CZ824" s="5"/>
      <c r="DA824" s="5"/>
      <c r="DB824" s="5"/>
      <c r="DC824" s="5"/>
      <c r="DD824" s="5"/>
      <c r="DE824" s="5"/>
      <c r="DF824" s="5"/>
      <c r="DG824" s="5"/>
      <c r="DH824" s="5"/>
    </row>
    <row r="825">
      <c r="CU825" s="4"/>
      <c r="CZ825" s="5"/>
      <c r="DA825" s="5"/>
      <c r="DB825" s="5"/>
      <c r="DC825" s="5"/>
      <c r="DD825" s="5"/>
      <c r="DE825" s="5"/>
      <c r="DF825" s="5"/>
      <c r="DG825" s="5"/>
      <c r="DH825" s="5"/>
    </row>
    <row r="826">
      <c r="CU826" s="4"/>
      <c r="CZ826" s="5"/>
      <c r="DA826" s="5"/>
      <c r="DB826" s="5"/>
      <c r="DC826" s="5"/>
      <c r="DD826" s="5"/>
      <c r="DE826" s="5"/>
      <c r="DF826" s="5"/>
      <c r="DG826" s="5"/>
      <c r="DH826" s="5"/>
    </row>
    <row r="827">
      <c r="CU827" s="4"/>
      <c r="CZ827" s="5"/>
      <c r="DA827" s="5"/>
      <c r="DB827" s="5"/>
      <c r="DC827" s="5"/>
      <c r="DD827" s="5"/>
      <c r="DE827" s="5"/>
      <c r="DF827" s="5"/>
      <c r="DG827" s="5"/>
      <c r="DH827" s="5"/>
    </row>
    <row r="828">
      <c r="CU828" s="4"/>
      <c r="CZ828" s="5"/>
      <c r="DA828" s="5"/>
      <c r="DB828" s="5"/>
      <c r="DC828" s="5"/>
      <c r="DD828" s="5"/>
      <c r="DE828" s="5"/>
      <c r="DF828" s="5"/>
      <c r="DG828" s="5"/>
      <c r="DH828" s="5"/>
    </row>
    <row r="829">
      <c r="CU829" s="4"/>
      <c r="CZ829" s="5"/>
      <c r="DA829" s="5"/>
      <c r="DB829" s="5"/>
      <c r="DC829" s="5"/>
      <c r="DD829" s="5"/>
      <c r="DE829" s="5"/>
      <c r="DF829" s="5"/>
      <c r="DG829" s="5"/>
      <c r="DH829" s="5"/>
    </row>
    <row r="830">
      <c r="CU830" s="4"/>
      <c r="CZ830" s="5"/>
      <c r="DA830" s="5"/>
      <c r="DB830" s="5"/>
      <c r="DC830" s="5"/>
      <c r="DD830" s="5"/>
      <c r="DE830" s="5"/>
      <c r="DF830" s="5"/>
      <c r="DG830" s="5"/>
      <c r="DH830" s="5"/>
    </row>
    <row r="831">
      <c r="CU831" s="4"/>
      <c r="CZ831" s="5"/>
      <c r="DA831" s="5"/>
      <c r="DB831" s="5"/>
      <c r="DC831" s="5"/>
      <c r="DD831" s="5"/>
      <c r="DE831" s="5"/>
      <c r="DF831" s="5"/>
      <c r="DG831" s="5"/>
      <c r="DH831" s="5"/>
    </row>
    <row r="832">
      <c r="CU832" s="4"/>
      <c r="CZ832" s="5"/>
      <c r="DA832" s="5"/>
      <c r="DB832" s="5"/>
      <c r="DC832" s="5"/>
      <c r="DD832" s="5"/>
      <c r="DE832" s="5"/>
      <c r="DF832" s="5"/>
      <c r="DG832" s="5"/>
      <c r="DH832" s="5"/>
    </row>
    <row r="833">
      <c r="CU833" s="4"/>
      <c r="CZ833" s="5"/>
      <c r="DA833" s="5"/>
      <c r="DB833" s="5"/>
      <c r="DC833" s="5"/>
      <c r="DD833" s="5"/>
      <c r="DE833" s="5"/>
      <c r="DF833" s="5"/>
      <c r="DG833" s="5"/>
      <c r="DH833" s="5"/>
    </row>
    <row r="834">
      <c r="CU834" s="4"/>
      <c r="CZ834" s="5"/>
      <c r="DA834" s="5"/>
      <c r="DB834" s="5"/>
      <c r="DC834" s="5"/>
      <c r="DD834" s="5"/>
      <c r="DE834" s="5"/>
      <c r="DF834" s="5"/>
      <c r="DG834" s="5"/>
      <c r="DH834" s="5"/>
    </row>
    <row r="835">
      <c r="CU835" s="4"/>
      <c r="CZ835" s="5"/>
      <c r="DA835" s="5"/>
      <c r="DB835" s="5"/>
      <c r="DC835" s="5"/>
      <c r="DD835" s="5"/>
      <c r="DE835" s="5"/>
      <c r="DF835" s="5"/>
      <c r="DG835" s="5"/>
      <c r="DH835" s="5"/>
    </row>
    <row r="836">
      <c r="CU836" s="4"/>
      <c r="CZ836" s="5"/>
      <c r="DA836" s="5"/>
      <c r="DB836" s="5"/>
      <c r="DC836" s="5"/>
      <c r="DD836" s="5"/>
      <c r="DE836" s="5"/>
      <c r="DF836" s="5"/>
      <c r="DG836" s="5"/>
      <c r="DH836" s="5"/>
    </row>
    <row r="837">
      <c r="CU837" s="4"/>
      <c r="CZ837" s="5"/>
      <c r="DA837" s="5"/>
      <c r="DB837" s="5"/>
      <c r="DC837" s="5"/>
      <c r="DD837" s="5"/>
      <c r="DE837" s="5"/>
      <c r="DF837" s="5"/>
      <c r="DG837" s="5"/>
      <c r="DH837" s="5"/>
    </row>
    <row r="838">
      <c r="CU838" s="4"/>
      <c r="CZ838" s="5"/>
      <c r="DA838" s="5"/>
      <c r="DB838" s="5"/>
      <c r="DC838" s="5"/>
      <c r="DD838" s="5"/>
      <c r="DE838" s="5"/>
      <c r="DF838" s="5"/>
      <c r="DG838" s="5"/>
      <c r="DH838" s="5"/>
    </row>
    <row r="839">
      <c r="CU839" s="4"/>
      <c r="CZ839" s="5"/>
      <c r="DA839" s="5"/>
      <c r="DB839" s="5"/>
      <c r="DC839" s="5"/>
      <c r="DD839" s="5"/>
      <c r="DE839" s="5"/>
      <c r="DF839" s="5"/>
      <c r="DG839" s="5"/>
      <c r="DH839" s="5"/>
    </row>
    <row r="840">
      <c r="CU840" s="4"/>
      <c r="CZ840" s="5"/>
      <c r="DA840" s="5"/>
      <c r="DB840" s="5"/>
      <c r="DC840" s="5"/>
      <c r="DD840" s="5"/>
      <c r="DE840" s="5"/>
      <c r="DF840" s="5"/>
      <c r="DG840" s="5"/>
      <c r="DH840" s="5"/>
    </row>
    <row r="841">
      <c r="CU841" s="4"/>
      <c r="CZ841" s="5"/>
      <c r="DA841" s="5"/>
      <c r="DB841" s="5"/>
      <c r="DC841" s="5"/>
      <c r="DD841" s="5"/>
      <c r="DE841" s="5"/>
      <c r="DF841" s="5"/>
      <c r="DG841" s="5"/>
      <c r="DH841" s="5"/>
    </row>
    <row r="842">
      <c r="CU842" s="4"/>
      <c r="CZ842" s="5"/>
      <c r="DA842" s="5"/>
      <c r="DB842" s="5"/>
      <c r="DC842" s="5"/>
      <c r="DD842" s="5"/>
      <c r="DE842" s="5"/>
      <c r="DF842" s="5"/>
      <c r="DG842" s="5"/>
      <c r="DH842" s="5"/>
    </row>
    <row r="843">
      <c r="CU843" s="4"/>
      <c r="CZ843" s="5"/>
      <c r="DA843" s="5"/>
      <c r="DB843" s="5"/>
      <c r="DC843" s="5"/>
      <c r="DD843" s="5"/>
      <c r="DE843" s="5"/>
      <c r="DF843" s="5"/>
      <c r="DG843" s="5"/>
      <c r="DH843" s="5"/>
    </row>
    <row r="844">
      <c r="CU844" s="4"/>
      <c r="CZ844" s="5"/>
      <c r="DA844" s="5"/>
      <c r="DB844" s="5"/>
      <c r="DC844" s="5"/>
      <c r="DD844" s="5"/>
      <c r="DE844" s="5"/>
      <c r="DF844" s="5"/>
      <c r="DG844" s="5"/>
      <c r="DH844" s="5"/>
    </row>
    <row r="845">
      <c r="CU845" s="4"/>
      <c r="CZ845" s="5"/>
      <c r="DA845" s="5"/>
      <c r="DB845" s="5"/>
      <c r="DC845" s="5"/>
      <c r="DD845" s="5"/>
      <c r="DE845" s="5"/>
      <c r="DF845" s="5"/>
      <c r="DG845" s="5"/>
      <c r="DH845" s="5"/>
    </row>
    <row r="846">
      <c r="CU846" s="4"/>
      <c r="CZ846" s="5"/>
      <c r="DA846" s="5"/>
      <c r="DB846" s="5"/>
      <c r="DC846" s="5"/>
      <c r="DD846" s="5"/>
      <c r="DE846" s="5"/>
      <c r="DF846" s="5"/>
      <c r="DG846" s="5"/>
      <c r="DH846" s="5"/>
    </row>
    <row r="847">
      <c r="CU847" s="4"/>
      <c r="CZ847" s="5"/>
      <c r="DA847" s="5"/>
      <c r="DB847" s="5"/>
      <c r="DC847" s="5"/>
      <c r="DD847" s="5"/>
      <c r="DE847" s="5"/>
      <c r="DF847" s="5"/>
      <c r="DG847" s="5"/>
      <c r="DH847" s="5"/>
    </row>
    <row r="848">
      <c r="CU848" s="4"/>
      <c r="CZ848" s="5"/>
      <c r="DA848" s="5"/>
      <c r="DB848" s="5"/>
      <c r="DC848" s="5"/>
      <c r="DD848" s="5"/>
      <c r="DE848" s="5"/>
      <c r="DF848" s="5"/>
      <c r="DG848" s="5"/>
      <c r="DH848" s="5"/>
    </row>
    <row r="849">
      <c r="CU849" s="4"/>
      <c r="CZ849" s="5"/>
      <c r="DA849" s="5"/>
      <c r="DB849" s="5"/>
      <c r="DC849" s="5"/>
      <c r="DD849" s="5"/>
      <c r="DE849" s="5"/>
      <c r="DF849" s="5"/>
      <c r="DG849" s="5"/>
      <c r="DH849" s="5"/>
    </row>
    <row r="850">
      <c r="CU850" s="4"/>
      <c r="CZ850" s="5"/>
      <c r="DA850" s="5"/>
      <c r="DB850" s="5"/>
      <c r="DC850" s="5"/>
      <c r="DD850" s="5"/>
      <c r="DE850" s="5"/>
      <c r="DF850" s="5"/>
      <c r="DG850" s="5"/>
      <c r="DH850" s="5"/>
    </row>
    <row r="851">
      <c r="CU851" s="4"/>
      <c r="CZ851" s="5"/>
      <c r="DA851" s="5"/>
      <c r="DB851" s="5"/>
      <c r="DC851" s="5"/>
      <c r="DD851" s="5"/>
      <c r="DE851" s="5"/>
      <c r="DF851" s="5"/>
      <c r="DG851" s="5"/>
      <c r="DH851" s="5"/>
    </row>
    <row r="852">
      <c r="CU852" s="4"/>
      <c r="CZ852" s="5"/>
      <c r="DA852" s="5"/>
      <c r="DB852" s="5"/>
      <c r="DC852" s="5"/>
      <c r="DD852" s="5"/>
      <c r="DE852" s="5"/>
      <c r="DF852" s="5"/>
      <c r="DG852" s="5"/>
      <c r="DH852" s="5"/>
    </row>
    <row r="853">
      <c r="CU853" s="4"/>
      <c r="CZ853" s="5"/>
      <c r="DA853" s="5"/>
      <c r="DB853" s="5"/>
      <c r="DC853" s="5"/>
      <c r="DD853" s="5"/>
      <c r="DE853" s="5"/>
      <c r="DF853" s="5"/>
      <c r="DG853" s="5"/>
      <c r="DH853" s="5"/>
    </row>
    <row r="854">
      <c r="CU854" s="4"/>
      <c r="CZ854" s="5"/>
      <c r="DA854" s="5"/>
      <c r="DB854" s="5"/>
      <c r="DC854" s="5"/>
      <c r="DD854" s="5"/>
      <c r="DE854" s="5"/>
      <c r="DF854" s="5"/>
      <c r="DG854" s="5"/>
      <c r="DH854" s="5"/>
    </row>
    <row r="855">
      <c r="CU855" s="4"/>
      <c r="CZ855" s="5"/>
      <c r="DA855" s="5"/>
      <c r="DB855" s="5"/>
      <c r="DC855" s="5"/>
      <c r="DD855" s="5"/>
      <c r="DE855" s="5"/>
      <c r="DF855" s="5"/>
      <c r="DG855" s="5"/>
      <c r="DH855" s="5"/>
    </row>
    <row r="856">
      <c r="CU856" s="4"/>
      <c r="CZ856" s="5"/>
      <c r="DA856" s="5"/>
      <c r="DB856" s="5"/>
      <c r="DC856" s="5"/>
      <c r="DD856" s="5"/>
      <c r="DE856" s="5"/>
      <c r="DF856" s="5"/>
      <c r="DG856" s="5"/>
      <c r="DH856" s="5"/>
    </row>
    <row r="857">
      <c r="CU857" s="4"/>
      <c r="CZ857" s="5"/>
      <c r="DA857" s="5"/>
      <c r="DB857" s="5"/>
      <c r="DC857" s="5"/>
      <c r="DD857" s="5"/>
      <c r="DE857" s="5"/>
      <c r="DF857" s="5"/>
      <c r="DG857" s="5"/>
      <c r="DH857" s="5"/>
    </row>
    <row r="858">
      <c r="CU858" s="4"/>
      <c r="CZ858" s="5"/>
      <c r="DA858" s="5"/>
      <c r="DB858" s="5"/>
      <c r="DC858" s="5"/>
      <c r="DD858" s="5"/>
      <c r="DE858" s="5"/>
      <c r="DF858" s="5"/>
      <c r="DG858" s="5"/>
      <c r="DH858" s="5"/>
    </row>
    <row r="859">
      <c r="CU859" s="4"/>
      <c r="CZ859" s="5"/>
      <c r="DA859" s="5"/>
      <c r="DB859" s="5"/>
      <c r="DC859" s="5"/>
      <c r="DD859" s="5"/>
      <c r="DE859" s="5"/>
      <c r="DF859" s="5"/>
      <c r="DG859" s="5"/>
      <c r="DH859" s="5"/>
    </row>
    <row r="860">
      <c r="CU860" s="4"/>
      <c r="CZ860" s="5"/>
      <c r="DA860" s="5"/>
      <c r="DB860" s="5"/>
      <c r="DC860" s="5"/>
      <c r="DD860" s="5"/>
      <c r="DE860" s="5"/>
      <c r="DF860" s="5"/>
      <c r="DG860" s="5"/>
      <c r="DH860" s="5"/>
    </row>
    <row r="861">
      <c r="CU861" s="4"/>
      <c r="CZ861" s="5"/>
      <c r="DA861" s="5"/>
      <c r="DB861" s="5"/>
      <c r="DC861" s="5"/>
      <c r="DD861" s="5"/>
      <c r="DE861" s="5"/>
      <c r="DF861" s="5"/>
      <c r="DG861" s="5"/>
      <c r="DH861" s="5"/>
    </row>
    <row r="862">
      <c r="CU862" s="4"/>
      <c r="CZ862" s="5"/>
      <c r="DA862" s="5"/>
      <c r="DB862" s="5"/>
      <c r="DC862" s="5"/>
      <c r="DD862" s="5"/>
      <c r="DE862" s="5"/>
      <c r="DF862" s="5"/>
      <c r="DG862" s="5"/>
      <c r="DH862" s="5"/>
    </row>
    <row r="863">
      <c r="CU863" s="4"/>
      <c r="CZ863" s="5"/>
      <c r="DA863" s="5"/>
      <c r="DB863" s="5"/>
      <c r="DC863" s="5"/>
      <c r="DD863" s="5"/>
      <c r="DE863" s="5"/>
      <c r="DF863" s="5"/>
      <c r="DG863" s="5"/>
      <c r="DH863" s="5"/>
    </row>
    <row r="864">
      <c r="CU864" s="4"/>
      <c r="CZ864" s="5"/>
      <c r="DA864" s="5"/>
      <c r="DB864" s="5"/>
      <c r="DC864" s="5"/>
      <c r="DD864" s="5"/>
      <c r="DE864" s="5"/>
      <c r="DF864" s="5"/>
      <c r="DG864" s="5"/>
      <c r="DH864" s="5"/>
    </row>
    <row r="865">
      <c r="CU865" s="4"/>
      <c r="CZ865" s="5"/>
      <c r="DA865" s="5"/>
      <c r="DB865" s="5"/>
      <c r="DC865" s="5"/>
      <c r="DD865" s="5"/>
      <c r="DE865" s="5"/>
      <c r="DF865" s="5"/>
      <c r="DG865" s="5"/>
      <c r="DH865" s="5"/>
    </row>
    <row r="866">
      <c r="CU866" s="4"/>
      <c r="CZ866" s="5"/>
      <c r="DA866" s="5"/>
      <c r="DB866" s="5"/>
      <c r="DC866" s="5"/>
      <c r="DD866" s="5"/>
      <c r="DE866" s="5"/>
      <c r="DF866" s="5"/>
      <c r="DG866" s="5"/>
      <c r="DH866" s="5"/>
    </row>
    <row r="867">
      <c r="CU867" s="4"/>
      <c r="CZ867" s="5"/>
      <c r="DA867" s="5"/>
      <c r="DB867" s="5"/>
      <c r="DC867" s="5"/>
      <c r="DD867" s="5"/>
      <c r="DE867" s="5"/>
      <c r="DF867" s="5"/>
      <c r="DG867" s="5"/>
      <c r="DH867" s="5"/>
    </row>
    <row r="868">
      <c r="CU868" s="4"/>
      <c r="CZ868" s="5"/>
      <c r="DA868" s="5"/>
      <c r="DB868" s="5"/>
      <c r="DC868" s="5"/>
      <c r="DD868" s="5"/>
      <c r="DE868" s="5"/>
      <c r="DF868" s="5"/>
      <c r="DG868" s="5"/>
      <c r="DH868" s="5"/>
    </row>
    <row r="869">
      <c r="CU869" s="4"/>
      <c r="CZ869" s="5"/>
      <c r="DA869" s="5"/>
      <c r="DB869" s="5"/>
      <c r="DC869" s="5"/>
      <c r="DD869" s="5"/>
      <c r="DE869" s="5"/>
      <c r="DF869" s="5"/>
      <c r="DG869" s="5"/>
      <c r="DH869" s="5"/>
    </row>
    <row r="870">
      <c r="CU870" s="4"/>
      <c r="CZ870" s="5"/>
      <c r="DA870" s="5"/>
      <c r="DB870" s="5"/>
      <c r="DC870" s="5"/>
      <c r="DD870" s="5"/>
      <c r="DE870" s="5"/>
      <c r="DF870" s="5"/>
      <c r="DG870" s="5"/>
      <c r="DH870" s="5"/>
    </row>
    <row r="871">
      <c r="CU871" s="4"/>
      <c r="CZ871" s="5"/>
      <c r="DA871" s="5"/>
      <c r="DB871" s="5"/>
      <c r="DC871" s="5"/>
      <c r="DD871" s="5"/>
      <c r="DE871" s="5"/>
      <c r="DF871" s="5"/>
      <c r="DG871" s="5"/>
      <c r="DH871" s="5"/>
    </row>
    <row r="872">
      <c r="CU872" s="4"/>
      <c r="CZ872" s="5"/>
      <c r="DA872" s="5"/>
      <c r="DB872" s="5"/>
      <c r="DC872" s="5"/>
      <c r="DD872" s="5"/>
      <c r="DE872" s="5"/>
      <c r="DF872" s="5"/>
      <c r="DG872" s="5"/>
      <c r="DH872" s="5"/>
    </row>
    <row r="873">
      <c r="CU873" s="4"/>
      <c r="CZ873" s="5"/>
      <c r="DA873" s="5"/>
      <c r="DB873" s="5"/>
      <c r="DC873" s="5"/>
      <c r="DD873" s="5"/>
      <c r="DE873" s="5"/>
      <c r="DF873" s="5"/>
      <c r="DG873" s="5"/>
      <c r="DH873" s="5"/>
    </row>
    <row r="874">
      <c r="CU874" s="4"/>
      <c r="CZ874" s="5"/>
      <c r="DA874" s="5"/>
      <c r="DB874" s="5"/>
      <c r="DC874" s="5"/>
      <c r="DD874" s="5"/>
      <c r="DE874" s="5"/>
      <c r="DF874" s="5"/>
      <c r="DG874" s="5"/>
      <c r="DH874" s="5"/>
    </row>
    <row r="875">
      <c r="CU875" s="4"/>
      <c r="CZ875" s="5"/>
      <c r="DA875" s="5"/>
      <c r="DB875" s="5"/>
      <c r="DC875" s="5"/>
      <c r="DD875" s="5"/>
      <c r="DE875" s="5"/>
      <c r="DF875" s="5"/>
      <c r="DG875" s="5"/>
      <c r="DH875" s="5"/>
    </row>
    <row r="876">
      <c r="CU876" s="4"/>
      <c r="CZ876" s="5"/>
      <c r="DA876" s="5"/>
      <c r="DB876" s="5"/>
      <c r="DC876" s="5"/>
      <c r="DD876" s="5"/>
      <c r="DE876" s="5"/>
      <c r="DF876" s="5"/>
      <c r="DG876" s="5"/>
      <c r="DH876" s="5"/>
    </row>
    <row r="877">
      <c r="CU877" s="4"/>
      <c r="CZ877" s="5"/>
      <c r="DA877" s="5"/>
      <c r="DB877" s="5"/>
      <c r="DC877" s="5"/>
      <c r="DD877" s="5"/>
      <c r="DE877" s="5"/>
      <c r="DF877" s="5"/>
      <c r="DG877" s="5"/>
      <c r="DH877" s="5"/>
    </row>
    <row r="878">
      <c r="CU878" s="4"/>
      <c r="CZ878" s="5"/>
      <c r="DA878" s="5"/>
      <c r="DB878" s="5"/>
      <c r="DC878" s="5"/>
      <c r="DD878" s="5"/>
      <c r="DE878" s="5"/>
      <c r="DF878" s="5"/>
      <c r="DG878" s="5"/>
      <c r="DH878" s="5"/>
    </row>
    <row r="879">
      <c r="CU879" s="4"/>
      <c r="CZ879" s="5"/>
      <c r="DA879" s="5"/>
      <c r="DB879" s="5"/>
      <c r="DC879" s="5"/>
      <c r="DD879" s="5"/>
      <c r="DE879" s="5"/>
      <c r="DF879" s="5"/>
      <c r="DG879" s="5"/>
      <c r="DH879" s="5"/>
    </row>
    <row r="880">
      <c r="CU880" s="4"/>
      <c r="CZ880" s="5"/>
      <c r="DA880" s="5"/>
      <c r="DB880" s="5"/>
      <c r="DC880" s="5"/>
      <c r="DD880" s="5"/>
      <c r="DE880" s="5"/>
      <c r="DF880" s="5"/>
      <c r="DG880" s="5"/>
      <c r="DH880" s="5"/>
    </row>
    <row r="881">
      <c r="CU881" s="4"/>
      <c r="CZ881" s="5"/>
      <c r="DA881" s="5"/>
      <c r="DB881" s="5"/>
      <c r="DC881" s="5"/>
      <c r="DD881" s="5"/>
      <c r="DE881" s="5"/>
      <c r="DF881" s="5"/>
      <c r="DG881" s="5"/>
      <c r="DH881" s="5"/>
    </row>
    <row r="882">
      <c r="CU882" s="4"/>
      <c r="CZ882" s="5"/>
      <c r="DA882" s="5"/>
      <c r="DB882" s="5"/>
      <c r="DC882" s="5"/>
      <c r="DD882" s="5"/>
      <c r="DE882" s="5"/>
      <c r="DF882" s="5"/>
      <c r="DG882" s="5"/>
      <c r="DH882" s="5"/>
    </row>
    <row r="883">
      <c r="CU883" s="4"/>
      <c r="CZ883" s="5"/>
      <c r="DA883" s="5"/>
      <c r="DB883" s="5"/>
      <c r="DC883" s="5"/>
      <c r="DD883" s="5"/>
      <c r="DE883" s="5"/>
      <c r="DF883" s="5"/>
      <c r="DG883" s="5"/>
      <c r="DH883" s="5"/>
    </row>
    <row r="884">
      <c r="CU884" s="4"/>
      <c r="CZ884" s="5"/>
      <c r="DA884" s="5"/>
      <c r="DB884" s="5"/>
      <c r="DC884" s="5"/>
      <c r="DD884" s="5"/>
      <c r="DE884" s="5"/>
      <c r="DF884" s="5"/>
      <c r="DG884" s="5"/>
      <c r="DH884" s="5"/>
    </row>
    <row r="885">
      <c r="CU885" s="4"/>
      <c r="CZ885" s="5"/>
      <c r="DA885" s="5"/>
      <c r="DB885" s="5"/>
      <c r="DC885" s="5"/>
      <c r="DD885" s="5"/>
      <c r="DE885" s="5"/>
      <c r="DF885" s="5"/>
      <c r="DG885" s="5"/>
      <c r="DH885" s="5"/>
    </row>
    <row r="886">
      <c r="CU886" s="4"/>
      <c r="CZ886" s="5"/>
      <c r="DA886" s="5"/>
      <c r="DB886" s="5"/>
      <c r="DC886" s="5"/>
      <c r="DD886" s="5"/>
      <c r="DE886" s="5"/>
      <c r="DF886" s="5"/>
      <c r="DG886" s="5"/>
      <c r="DH886" s="5"/>
    </row>
    <row r="887">
      <c r="CU887" s="4"/>
      <c r="CZ887" s="5"/>
      <c r="DA887" s="5"/>
      <c r="DB887" s="5"/>
      <c r="DC887" s="5"/>
      <c r="DD887" s="5"/>
      <c r="DE887" s="5"/>
      <c r="DF887" s="5"/>
      <c r="DG887" s="5"/>
      <c r="DH887" s="5"/>
    </row>
    <row r="888">
      <c r="CU888" s="4"/>
      <c r="CZ888" s="5"/>
      <c r="DA888" s="5"/>
      <c r="DB888" s="5"/>
      <c r="DC888" s="5"/>
      <c r="DD888" s="5"/>
      <c r="DE888" s="5"/>
      <c r="DF888" s="5"/>
      <c r="DG888" s="5"/>
      <c r="DH888" s="5"/>
    </row>
    <row r="889">
      <c r="CU889" s="4"/>
      <c r="CZ889" s="5"/>
      <c r="DA889" s="5"/>
      <c r="DB889" s="5"/>
      <c r="DC889" s="5"/>
      <c r="DD889" s="5"/>
      <c r="DE889" s="5"/>
      <c r="DF889" s="5"/>
      <c r="DG889" s="5"/>
      <c r="DH889" s="5"/>
    </row>
    <row r="890">
      <c r="CU890" s="4"/>
      <c r="CZ890" s="5"/>
      <c r="DA890" s="5"/>
      <c r="DB890" s="5"/>
      <c r="DC890" s="5"/>
      <c r="DD890" s="5"/>
      <c r="DE890" s="5"/>
      <c r="DF890" s="5"/>
      <c r="DG890" s="5"/>
      <c r="DH890" s="5"/>
    </row>
    <row r="891">
      <c r="CU891" s="4"/>
      <c r="CZ891" s="5"/>
      <c r="DA891" s="5"/>
      <c r="DB891" s="5"/>
      <c r="DC891" s="5"/>
      <c r="DD891" s="5"/>
      <c r="DE891" s="5"/>
      <c r="DF891" s="5"/>
      <c r="DG891" s="5"/>
      <c r="DH891" s="5"/>
    </row>
    <row r="892">
      <c r="CU892" s="4"/>
      <c r="CZ892" s="5"/>
      <c r="DA892" s="5"/>
      <c r="DB892" s="5"/>
      <c r="DC892" s="5"/>
      <c r="DD892" s="5"/>
      <c r="DE892" s="5"/>
      <c r="DF892" s="5"/>
      <c r="DG892" s="5"/>
      <c r="DH892" s="5"/>
    </row>
    <row r="893">
      <c r="CU893" s="4"/>
      <c r="CZ893" s="5"/>
      <c r="DA893" s="5"/>
      <c r="DB893" s="5"/>
      <c r="DC893" s="5"/>
      <c r="DD893" s="5"/>
      <c r="DE893" s="5"/>
      <c r="DF893" s="5"/>
      <c r="DG893" s="5"/>
      <c r="DH893" s="5"/>
    </row>
    <row r="894">
      <c r="CU894" s="4"/>
      <c r="CZ894" s="5"/>
      <c r="DA894" s="5"/>
      <c r="DB894" s="5"/>
      <c r="DC894" s="5"/>
      <c r="DD894" s="5"/>
      <c r="DE894" s="5"/>
      <c r="DF894" s="5"/>
      <c r="DG894" s="5"/>
      <c r="DH894" s="5"/>
    </row>
    <row r="895">
      <c r="CU895" s="4"/>
      <c r="CZ895" s="5"/>
      <c r="DA895" s="5"/>
      <c r="DB895" s="5"/>
      <c r="DC895" s="5"/>
      <c r="DD895" s="5"/>
      <c r="DE895" s="5"/>
      <c r="DF895" s="5"/>
      <c r="DG895" s="5"/>
      <c r="DH895" s="5"/>
    </row>
    <row r="896">
      <c r="CU896" s="4"/>
      <c r="CZ896" s="5"/>
      <c r="DA896" s="5"/>
      <c r="DB896" s="5"/>
      <c r="DC896" s="5"/>
      <c r="DD896" s="5"/>
      <c r="DE896" s="5"/>
      <c r="DF896" s="5"/>
      <c r="DG896" s="5"/>
      <c r="DH896" s="5"/>
    </row>
    <row r="897">
      <c r="CU897" s="4"/>
      <c r="CZ897" s="5"/>
      <c r="DA897" s="5"/>
      <c r="DB897" s="5"/>
      <c r="DC897" s="5"/>
      <c r="DD897" s="5"/>
      <c r="DE897" s="5"/>
      <c r="DF897" s="5"/>
      <c r="DG897" s="5"/>
      <c r="DH897" s="5"/>
    </row>
    <row r="898">
      <c r="CU898" s="4"/>
      <c r="CZ898" s="5"/>
      <c r="DA898" s="5"/>
      <c r="DB898" s="5"/>
      <c r="DC898" s="5"/>
      <c r="DD898" s="5"/>
      <c r="DE898" s="5"/>
      <c r="DF898" s="5"/>
      <c r="DG898" s="5"/>
      <c r="DH898" s="5"/>
    </row>
    <row r="899">
      <c r="CU899" s="4"/>
      <c r="CZ899" s="5"/>
      <c r="DA899" s="5"/>
      <c r="DB899" s="5"/>
      <c r="DC899" s="5"/>
      <c r="DD899" s="5"/>
      <c r="DE899" s="5"/>
      <c r="DF899" s="5"/>
      <c r="DG899" s="5"/>
      <c r="DH899" s="5"/>
    </row>
    <row r="900">
      <c r="CU900" s="4"/>
      <c r="CZ900" s="5"/>
      <c r="DA900" s="5"/>
      <c r="DB900" s="5"/>
      <c r="DC900" s="5"/>
      <c r="DD900" s="5"/>
      <c r="DE900" s="5"/>
      <c r="DF900" s="5"/>
      <c r="DG900" s="5"/>
      <c r="DH900" s="5"/>
    </row>
    <row r="901">
      <c r="CU901" s="4"/>
      <c r="CZ901" s="5"/>
      <c r="DA901" s="5"/>
      <c r="DB901" s="5"/>
      <c r="DC901" s="5"/>
      <c r="DD901" s="5"/>
      <c r="DE901" s="5"/>
      <c r="DF901" s="5"/>
      <c r="DG901" s="5"/>
      <c r="DH901" s="5"/>
    </row>
    <row r="902">
      <c r="CU902" s="4"/>
      <c r="CZ902" s="5"/>
      <c r="DA902" s="5"/>
      <c r="DB902" s="5"/>
      <c r="DC902" s="5"/>
      <c r="DD902" s="5"/>
      <c r="DE902" s="5"/>
      <c r="DF902" s="5"/>
      <c r="DG902" s="5"/>
      <c r="DH902" s="5"/>
    </row>
    <row r="903">
      <c r="CU903" s="4"/>
      <c r="CZ903" s="5"/>
      <c r="DA903" s="5"/>
      <c r="DB903" s="5"/>
      <c r="DC903" s="5"/>
      <c r="DD903" s="5"/>
      <c r="DE903" s="5"/>
      <c r="DF903" s="5"/>
      <c r="DG903" s="5"/>
      <c r="DH903" s="5"/>
    </row>
    <row r="904">
      <c r="CU904" s="4"/>
      <c r="CZ904" s="5"/>
      <c r="DA904" s="5"/>
      <c r="DB904" s="5"/>
      <c r="DC904" s="5"/>
      <c r="DD904" s="5"/>
      <c r="DE904" s="5"/>
      <c r="DF904" s="5"/>
      <c r="DG904" s="5"/>
      <c r="DH904" s="5"/>
    </row>
    <row r="905">
      <c r="CU905" s="4"/>
      <c r="CZ905" s="5"/>
      <c r="DA905" s="5"/>
      <c r="DB905" s="5"/>
      <c r="DC905" s="5"/>
      <c r="DD905" s="5"/>
      <c r="DE905" s="5"/>
      <c r="DF905" s="5"/>
      <c r="DG905" s="5"/>
      <c r="DH905" s="5"/>
    </row>
    <row r="906">
      <c r="CU906" s="4"/>
      <c r="CZ906" s="5"/>
      <c r="DA906" s="5"/>
      <c r="DB906" s="5"/>
      <c r="DC906" s="5"/>
      <c r="DD906" s="5"/>
      <c r="DE906" s="5"/>
      <c r="DF906" s="5"/>
      <c r="DG906" s="5"/>
      <c r="DH906" s="5"/>
    </row>
    <row r="907">
      <c r="CU907" s="4"/>
      <c r="CZ907" s="5"/>
      <c r="DA907" s="5"/>
      <c r="DB907" s="5"/>
      <c r="DC907" s="5"/>
      <c r="DD907" s="5"/>
      <c r="DE907" s="5"/>
      <c r="DF907" s="5"/>
      <c r="DG907" s="5"/>
      <c r="DH907" s="5"/>
    </row>
    <row r="908">
      <c r="CU908" s="4"/>
      <c r="CZ908" s="5"/>
      <c r="DA908" s="5"/>
      <c r="DB908" s="5"/>
      <c r="DC908" s="5"/>
      <c r="DD908" s="5"/>
      <c r="DE908" s="5"/>
      <c r="DF908" s="5"/>
      <c r="DG908" s="5"/>
      <c r="DH908" s="5"/>
    </row>
    <row r="909">
      <c r="CU909" s="4"/>
      <c r="CZ909" s="5"/>
      <c r="DA909" s="5"/>
      <c r="DB909" s="5"/>
      <c r="DC909" s="5"/>
      <c r="DD909" s="5"/>
      <c r="DE909" s="5"/>
      <c r="DF909" s="5"/>
      <c r="DG909" s="5"/>
      <c r="DH909" s="5"/>
    </row>
    <row r="910">
      <c r="CU910" s="4"/>
      <c r="CZ910" s="5"/>
      <c r="DA910" s="5"/>
      <c r="DB910" s="5"/>
      <c r="DC910" s="5"/>
      <c r="DD910" s="5"/>
      <c r="DE910" s="5"/>
      <c r="DF910" s="5"/>
      <c r="DG910" s="5"/>
      <c r="DH910" s="5"/>
    </row>
    <row r="911">
      <c r="CU911" s="4"/>
      <c r="CZ911" s="5"/>
      <c r="DA911" s="5"/>
      <c r="DB911" s="5"/>
      <c r="DC911" s="5"/>
      <c r="DD911" s="5"/>
      <c r="DE911" s="5"/>
      <c r="DF911" s="5"/>
      <c r="DG911" s="5"/>
      <c r="DH911" s="5"/>
    </row>
    <row r="912">
      <c r="CU912" s="4"/>
      <c r="CZ912" s="5"/>
      <c r="DA912" s="5"/>
      <c r="DB912" s="5"/>
      <c r="DC912" s="5"/>
      <c r="DD912" s="5"/>
      <c r="DE912" s="5"/>
      <c r="DF912" s="5"/>
      <c r="DG912" s="5"/>
      <c r="DH912" s="5"/>
    </row>
    <row r="913">
      <c r="CU913" s="4"/>
      <c r="CZ913" s="5"/>
      <c r="DA913" s="5"/>
      <c r="DB913" s="5"/>
      <c r="DC913" s="5"/>
      <c r="DD913" s="5"/>
      <c r="DE913" s="5"/>
      <c r="DF913" s="5"/>
      <c r="DG913" s="5"/>
      <c r="DH913" s="5"/>
    </row>
    <row r="914">
      <c r="CU914" s="4"/>
      <c r="CZ914" s="5"/>
      <c r="DA914" s="5"/>
      <c r="DB914" s="5"/>
      <c r="DC914" s="5"/>
      <c r="DD914" s="5"/>
      <c r="DE914" s="5"/>
      <c r="DF914" s="5"/>
      <c r="DG914" s="5"/>
      <c r="DH914" s="5"/>
    </row>
    <row r="915">
      <c r="CU915" s="4"/>
      <c r="CZ915" s="5"/>
      <c r="DA915" s="5"/>
      <c r="DB915" s="5"/>
      <c r="DC915" s="5"/>
      <c r="DD915" s="5"/>
      <c r="DE915" s="5"/>
      <c r="DF915" s="5"/>
      <c r="DG915" s="5"/>
      <c r="DH915" s="5"/>
    </row>
    <row r="916">
      <c r="CU916" s="4"/>
      <c r="CZ916" s="5"/>
      <c r="DA916" s="5"/>
      <c r="DB916" s="5"/>
      <c r="DC916" s="5"/>
      <c r="DD916" s="5"/>
      <c r="DE916" s="5"/>
      <c r="DF916" s="5"/>
      <c r="DG916" s="5"/>
      <c r="DH916" s="5"/>
    </row>
    <row r="917">
      <c r="CU917" s="4"/>
      <c r="CZ917" s="5"/>
      <c r="DA917" s="5"/>
      <c r="DB917" s="5"/>
      <c r="DC917" s="5"/>
      <c r="DD917" s="5"/>
      <c r="DE917" s="5"/>
      <c r="DF917" s="5"/>
      <c r="DG917" s="5"/>
      <c r="DH917" s="5"/>
    </row>
    <row r="918">
      <c r="CU918" s="4"/>
      <c r="CZ918" s="5"/>
      <c r="DA918" s="5"/>
      <c r="DB918" s="5"/>
      <c r="DC918" s="5"/>
      <c r="DD918" s="5"/>
      <c r="DE918" s="5"/>
      <c r="DF918" s="5"/>
      <c r="DG918" s="5"/>
      <c r="DH918" s="5"/>
    </row>
    <row r="919">
      <c r="CU919" s="4"/>
      <c r="CZ919" s="5"/>
      <c r="DA919" s="5"/>
      <c r="DB919" s="5"/>
      <c r="DC919" s="5"/>
      <c r="DD919" s="5"/>
      <c r="DE919" s="5"/>
      <c r="DF919" s="5"/>
      <c r="DG919" s="5"/>
      <c r="DH919" s="5"/>
    </row>
    <row r="920">
      <c r="CU920" s="4"/>
      <c r="CZ920" s="5"/>
      <c r="DA920" s="5"/>
      <c r="DB920" s="5"/>
      <c r="DC920" s="5"/>
      <c r="DD920" s="5"/>
      <c r="DE920" s="5"/>
      <c r="DF920" s="5"/>
      <c r="DG920" s="5"/>
      <c r="DH920" s="5"/>
    </row>
    <row r="921">
      <c r="CU921" s="4"/>
      <c r="CZ921" s="5"/>
      <c r="DA921" s="5"/>
      <c r="DB921" s="5"/>
      <c r="DC921" s="5"/>
      <c r="DD921" s="5"/>
      <c r="DE921" s="5"/>
      <c r="DF921" s="5"/>
      <c r="DG921" s="5"/>
      <c r="DH921" s="5"/>
    </row>
    <row r="922">
      <c r="CU922" s="4"/>
      <c r="CZ922" s="5"/>
      <c r="DA922" s="5"/>
      <c r="DB922" s="5"/>
      <c r="DC922" s="5"/>
      <c r="DD922" s="5"/>
      <c r="DE922" s="5"/>
      <c r="DF922" s="5"/>
      <c r="DG922" s="5"/>
      <c r="DH922" s="5"/>
    </row>
    <row r="923">
      <c r="CU923" s="4"/>
      <c r="CZ923" s="5"/>
      <c r="DA923" s="5"/>
      <c r="DB923" s="5"/>
      <c r="DC923" s="5"/>
      <c r="DD923" s="5"/>
      <c r="DE923" s="5"/>
      <c r="DF923" s="5"/>
      <c r="DG923" s="5"/>
      <c r="DH923" s="5"/>
    </row>
    <row r="924">
      <c r="CU924" s="4"/>
      <c r="CZ924" s="5"/>
      <c r="DA924" s="5"/>
      <c r="DB924" s="5"/>
      <c r="DC924" s="5"/>
      <c r="DD924" s="5"/>
      <c r="DE924" s="5"/>
      <c r="DF924" s="5"/>
      <c r="DG924" s="5"/>
      <c r="DH924" s="5"/>
    </row>
    <row r="925">
      <c r="CU925" s="4"/>
      <c r="CZ925" s="5"/>
      <c r="DA925" s="5"/>
      <c r="DB925" s="5"/>
      <c r="DC925" s="5"/>
      <c r="DD925" s="5"/>
      <c r="DE925" s="5"/>
      <c r="DF925" s="5"/>
      <c r="DG925" s="5"/>
      <c r="DH925" s="5"/>
    </row>
    <row r="926">
      <c r="CU926" s="4"/>
      <c r="CZ926" s="5"/>
      <c r="DA926" s="5"/>
      <c r="DB926" s="5"/>
      <c r="DC926" s="5"/>
      <c r="DD926" s="5"/>
      <c r="DE926" s="5"/>
      <c r="DF926" s="5"/>
      <c r="DG926" s="5"/>
      <c r="DH926" s="5"/>
    </row>
    <row r="927">
      <c r="CU927" s="4"/>
      <c r="CZ927" s="5"/>
      <c r="DA927" s="5"/>
      <c r="DB927" s="5"/>
      <c r="DC927" s="5"/>
      <c r="DD927" s="5"/>
      <c r="DE927" s="5"/>
      <c r="DF927" s="5"/>
      <c r="DG927" s="5"/>
      <c r="DH927" s="5"/>
    </row>
    <row r="928">
      <c r="CU928" s="4"/>
      <c r="CZ928" s="5"/>
      <c r="DA928" s="5"/>
      <c r="DB928" s="5"/>
      <c r="DC928" s="5"/>
      <c r="DD928" s="5"/>
      <c r="DE928" s="5"/>
      <c r="DF928" s="5"/>
      <c r="DG928" s="5"/>
      <c r="DH928" s="5"/>
    </row>
    <row r="929">
      <c r="CU929" s="4"/>
      <c r="CZ929" s="5"/>
      <c r="DA929" s="5"/>
      <c r="DB929" s="5"/>
      <c r="DC929" s="5"/>
      <c r="DD929" s="5"/>
      <c r="DE929" s="5"/>
      <c r="DF929" s="5"/>
      <c r="DG929" s="5"/>
      <c r="DH929" s="5"/>
    </row>
    <row r="930">
      <c r="CU930" s="4"/>
      <c r="CZ930" s="5"/>
      <c r="DA930" s="5"/>
      <c r="DB930" s="5"/>
      <c r="DC930" s="5"/>
      <c r="DD930" s="5"/>
      <c r="DE930" s="5"/>
      <c r="DF930" s="5"/>
      <c r="DG930" s="5"/>
      <c r="DH930" s="5"/>
    </row>
    <row r="931">
      <c r="CU931" s="4"/>
      <c r="CZ931" s="5"/>
      <c r="DA931" s="5"/>
      <c r="DB931" s="5"/>
      <c r="DC931" s="5"/>
      <c r="DD931" s="5"/>
      <c r="DE931" s="5"/>
      <c r="DF931" s="5"/>
      <c r="DG931" s="5"/>
      <c r="DH931" s="5"/>
    </row>
    <row r="932">
      <c r="CU932" s="4"/>
      <c r="CZ932" s="5"/>
      <c r="DA932" s="5"/>
      <c r="DB932" s="5"/>
      <c r="DC932" s="5"/>
      <c r="DD932" s="5"/>
      <c r="DE932" s="5"/>
      <c r="DF932" s="5"/>
      <c r="DG932" s="5"/>
      <c r="DH932" s="5"/>
    </row>
    <row r="933">
      <c r="CU933" s="4"/>
      <c r="CZ933" s="5"/>
      <c r="DA933" s="5"/>
      <c r="DB933" s="5"/>
      <c r="DC933" s="5"/>
      <c r="DD933" s="5"/>
      <c r="DE933" s="5"/>
      <c r="DF933" s="5"/>
      <c r="DG933" s="5"/>
      <c r="DH933" s="5"/>
    </row>
    <row r="934">
      <c r="CU934" s="4"/>
      <c r="CZ934" s="5"/>
      <c r="DA934" s="5"/>
      <c r="DB934" s="5"/>
      <c r="DC934" s="5"/>
      <c r="DD934" s="5"/>
      <c r="DE934" s="5"/>
      <c r="DF934" s="5"/>
      <c r="DG934" s="5"/>
      <c r="DH934" s="5"/>
    </row>
    <row r="935">
      <c r="CU935" s="4"/>
      <c r="CZ935" s="5"/>
      <c r="DA935" s="5"/>
      <c r="DB935" s="5"/>
      <c r="DC935" s="5"/>
      <c r="DD935" s="5"/>
      <c r="DE935" s="5"/>
      <c r="DF935" s="5"/>
      <c r="DG935" s="5"/>
      <c r="DH935" s="5"/>
    </row>
    <row r="936">
      <c r="CU936" s="4"/>
      <c r="CZ936" s="5"/>
      <c r="DA936" s="5"/>
      <c r="DB936" s="5"/>
      <c r="DC936" s="5"/>
      <c r="DD936" s="5"/>
      <c r="DE936" s="5"/>
      <c r="DF936" s="5"/>
      <c r="DG936" s="5"/>
      <c r="DH936" s="5"/>
    </row>
    <row r="937">
      <c r="CU937" s="4"/>
      <c r="CZ937" s="5"/>
      <c r="DA937" s="5"/>
      <c r="DB937" s="5"/>
      <c r="DC937" s="5"/>
      <c r="DD937" s="5"/>
      <c r="DE937" s="5"/>
      <c r="DF937" s="5"/>
      <c r="DG937" s="5"/>
      <c r="DH937" s="5"/>
    </row>
    <row r="938">
      <c r="CU938" s="4"/>
      <c r="CZ938" s="5"/>
      <c r="DA938" s="5"/>
      <c r="DB938" s="5"/>
      <c r="DC938" s="5"/>
      <c r="DD938" s="5"/>
      <c r="DE938" s="5"/>
      <c r="DF938" s="5"/>
      <c r="DG938" s="5"/>
      <c r="DH938" s="5"/>
    </row>
    <row r="939">
      <c r="CU939" s="4"/>
      <c r="CZ939" s="5"/>
      <c r="DA939" s="5"/>
      <c r="DB939" s="5"/>
      <c r="DC939" s="5"/>
      <c r="DD939" s="5"/>
      <c r="DE939" s="5"/>
      <c r="DF939" s="5"/>
      <c r="DG939" s="5"/>
      <c r="DH939" s="5"/>
    </row>
    <row r="940">
      <c r="CU940" s="4"/>
      <c r="CZ940" s="5"/>
      <c r="DA940" s="5"/>
      <c r="DB940" s="5"/>
      <c r="DC940" s="5"/>
      <c r="DD940" s="5"/>
      <c r="DE940" s="5"/>
      <c r="DF940" s="5"/>
      <c r="DG940" s="5"/>
      <c r="DH940" s="5"/>
    </row>
    <row r="941">
      <c r="CU941" s="4"/>
      <c r="CZ941" s="5"/>
      <c r="DA941" s="5"/>
      <c r="DB941" s="5"/>
      <c r="DC941" s="5"/>
      <c r="DD941" s="5"/>
      <c r="DE941" s="5"/>
      <c r="DF941" s="5"/>
      <c r="DG941" s="5"/>
      <c r="DH941" s="5"/>
    </row>
    <row r="942">
      <c r="CU942" s="4"/>
      <c r="CZ942" s="5"/>
      <c r="DA942" s="5"/>
      <c r="DB942" s="5"/>
      <c r="DC942" s="5"/>
      <c r="DD942" s="5"/>
      <c r="DE942" s="5"/>
      <c r="DF942" s="5"/>
      <c r="DG942" s="5"/>
      <c r="DH942" s="5"/>
    </row>
    <row r="943">
      <c r="CU943" s="4"/>
      <c r="CZ943" s="5"/>
      <c r="DA943" s="5"/>
      <c r="DB943" s="5"/>
      <c r="DC943" s="5"/>
      <c r="DD943" s="5"/>
      <c r="DE943" s="5"/>
      <c r="DF943" s="5"/>
      <c r="DG943" s="5"/>
      <c r="DH943" s="5"/>
    </row>
    <row r="944">
      <c r="CU944" s="4"/>
      <c r="CZ944" s="5"/>
      <c r="DA944" s="5"/>
      <c r="DB944" s="5"/>
      <c r="DC944" s="5"/>
      <c r="DD944" s="5"/>
      <c r="DE944" s="5"/>
      <c r="DF944" s="5"/>
      <c r="DG944" s="5"/>
      <c r="DH944" s="5"/>
    </row>
    <row r="945">
      <c r="CU945" s="4"/>
      <c r="CZ945" s="5"/>
      <c r="DA945" s="5"/>
      <c r="DB945" s="5"/>
      <c r="DC945" s="5"/>
      <c r="DD945" s="5"/>
      <c r="DE945" s="5"/>
      <c r="DF945" s="5"/>
      <c r="DG945" s="5"/>
      <c r="DH945" s="5"/>
    </row>
    <row r="946">
      <c r="CU946" s="4"/>
      <c r="CZ946" s="5"/>
      <c r="DA946" s="5"/>
      <c r="DB946" s="5"/>
      <c r="DC946" s="5"/>
      <c r="DD946" s="5"/>
      <c r="DE946" s="5"/>
      <c r="DF946" s="5"/>
      <c r="DG946" s="5"/>
      <c r="DH946" s="5"/>
    </row>
    <row r="947">
      <c r="CU947" s="4"/>
      <c r="CZ947" s="5"/>
      <c r="DA947" s="5"/>
      <c r="DB947" s="5"/>
      <c r="DC947" s="5"/>
      <c r="DD947" s="5"/>
      <c r="DE947" s="5"/>
      <c r="DF947" s="5"/>
      <c r="DG947" s="5"/>
      <c r="DH947" s="5"/>
    </row>
    <row r="948">
      <c r="CU948" s="4"/>
      <c r="CZ948" s="5"/>
      <c r="DA948" s="5"/>
      <c r="DB948" s="5"/>
      <c r="DC948" s="5"/>
      <c r="DD948" s="5"/>
      <c r="DE948" s="5"/>
      <c r="DF948" s="5"/>
      <c r="DG948" s="5"/>
      <c r="DH948" s="5"/>
    </row>
    <row r="949">
      <c r="CU949" s="4"/>
      <c r="CZ949" s="5"/>
      <c r="DA949" s="5"/>
      <c r="DB949" s="5"/>
      <c r="DC949" s="5"/>
      <c r="DD949" s="5"/>
      <c r="DE949" s="5"/>
      <c r="DF949" s="5"/>
      <c r="DG949" s="5"/>
      <c r="DH949" s="5"/>
    </row>
    <row r="950">
      <c r="CU950" s="4"/>
      <c r="CZ950" s="5"/>
      <c r="DA950" s="5"/>
      <c r="DB950" s="5"/>
      <c r="DC950" s="5"/>
      <c r="DD950" s="5"/>
      <c r="DE950" s="5"/>
      <c r="DF950" s="5"/>
      <c r="DG950" s="5"/>
      <c r="DH950" s="5"/>
    </row>
    <row r="951">
      <c r="CU951" s="4"/>
      <c r="CZ951" s="5"/>
      <c r="DA951" s="5"/>
      <c r="DB951" s="5"/>
      <c r="DC951" s="5"/>
      <c r="DD951" s="5"/>
      <c r="DE951" s="5"/>
      <c r="DF951" s="5"/>
      <c r="DG951" s="5"/>
      <c r="DH951" s="5"/>
    </row>
    <row r="952">
      <c r="CU952" s="4"/>
      <c r="CZ952" s="5"/>
      <c r="DA952" s="5"/>
      <c r="DB952" s="5"/>
      <c r="DC952" s="5"/>
      <c r="DD952" s="5"/>
      <c r="DE952" s="5"/>
      <c r="DF952" s="5"/>
      <c r="DG952" s="5"/>
      <c r="DH952" s="5"/>
    </row>
    <row r="953">
      <c r="CU953" s="4"/>
      <c r="CZ953" s="5"/>
      <c r="DA953" s="5"/>
      <c r="DB953" s="5"/>
      <c r="DC953" s="5"/>
      <c r="DD953" s="5"/>
      <c r="DE953" s="5"/>
      <c r="DF953" s="5"/>
      <c r="DG953" s="5"/>
      <c r="DH953" s="5"/>
    </row>
    <row r="954">
      <c r="CU954" s="4"/>
      <c r="CZ954" s="5"/>
      <c r="DA954" s="5"/>
      <c r="DB954" s="5"/>
      <c r="DC954" s="5"/>
      <c r="DD954" s="5"/>
      <c r="DE954" s="5"/>
      <c r="DF954" s="5"/>
      <c r="DG954" s="5"/>
      <c r="DH954" s="5"/>
    </row>
    <row r="955">
      <c r="CU955" s="4"/>
      <c r="CZ955" s="5"/>
      <c r="DA955" s="5"/>
      <c r="DB955" s="5"/>
      <c r="DC955" s="5"/>
      <c r="DD955" s="5"/>
      <c r="DE955" s="5"/>
      <c r="DF955" s="5"/>
      <c r="DG955" s="5"/>
      <c r="DH955" s="5"/>
    </row>
    <row r="956">
      <c r="CU956" s="4"/>
      <c r="CZ956" s="5"/>
      <c r="DA956" s="5"/>
      <c r="DB956" s="5"/>
      <c r="DC956" s="5"/>
      <c r="DD956" s="5"/>
      <c r="DE956" s="5"/>
      <c r="DF956" s="5"/>
      <c r="DG956" s="5"/>
      <c r="DH956" s="5"/>
    </row>
    <row r="957">
      <c r="CU957" s="4"/>
      <c r="CZ957" s="5"/>
      <c r="DA957" s="5"/>
      <c r="DB957" s="5"/>
      <c r="DC957" s="5"/>
      <c r="DD957" s="5"/>
      <c r="DE957" s="5"/>
      <c r="DF957" s="5"/>
      <c r="DG957" s="5"/>
      <c r="DH957" s="5"/>
    </row>
    <row r="958">
      <c r="CU958" s="4"/>
      <c r="CZ958" s="5"/>
      <c r="DA958" s="5"/>
      <c r="DB958" s="5"/>
      <c r="DC958" s="5"/>
      <c r="DD958" s="5"/>
      <c r="DE958" s="5"/>
      <c r="DF958" s="5"/>
      <c r="DG958" s="5"/>
      <c r="DH958" s="5"/>
    </row>
    <row r="959">
      <c r="CU959" s="4"/>
      <c r="CZ959" s="5"/>
      <c r="DA959" s="5"/>
      <c r="DB959" s="5"/>
      <c r="DC959" s="5"/>
      <c r="DD959" s="5"/>
      <c r="DE959" s="5"/>
      <c r="DF959" s="5"/>
      <c r="DG959" s="5"/>
      <c r="DH959" s="5"/>
    </row>
    <row r="960">
      <c r="CU960" s="4"/>
      <c r="CZ960" s="5"/>
      <c r="DA960" s="5"/>
      <c r="DB960" s="5"/>
      <c r="DC960" s="5"/>
      <c r="DD960" s="5"/>
      <c r="DE960" s="5"/>
      <c r="DF960" s="5"/>
      <c r="DG960" s="5"/>
      <c r="DH960" s="5"/>
    </row>
    <row r="961">
      <c r="CU961" s="4"/>
      <c r="CZ961" s="5"/>
      <c r="DA961" s="5"/>
      <c r="DB961" s="5"/>
      <c r="DC961" s="5"/>
      <c r="DD961" s="5"/>
      <c r="DE961" s="5"/>
      <c r="DF961" s="5"/>
      <c r="DG961" s="5"/>
      <c r="DH961" s="5"/>
    </row>
    <row r="962">
      <c r="CU962" s="4"/>
      <c r="CZ962" s="5"/>
      <c r="DA962" s="5"/>
      <c r="DB962" s="5"/>
      <c r="DC962" s="5"/>
      <c r="DD962" s="5"/>
      <c r="DE962" s="5"/>
      <c r="DF962" s="5"/>
      <c r="DG962" s="5"/>
      <c r="DH962" s="5"/>
    </row>
    <row r="963">
      <c r="CU963" s="4"/>
      <c r="CZ963" s="5"/>
      <c r="DA963" s="5"/>
      <c r="DB963" s="5"/>
      <c r="DC963" s="5"/>
      <c r="DD963" s="5"/>
      <c r="DE963" s="5"/>
      <c r="DF963" s="5"/>
      <c r="DG963" s="5"/>
      <c r="DH963" s="5"/>
    </row>
    <row r="964">
      <c r="CU964" s="4"/>
      <c r="CZ964" s="5"/>
      <c r="DA964" s="5"/>
      <c r="DB964" s="5"/>
      <c r="DC964" s="5"/>
      <c r="DD964" s="5"/>
      <c r="DE964" s="5"/>
      <c r="DF964" s="5"/>
      <c r="DG964" s="5"/>
      <c r="DH964" s="5"/>
    </row>
    <row r="965">
      <c r="CU965" s="4"/>
      <c r="CZ965" s="5"/>
      <c r="DA965" s="5"/>
      <c r="DB965" s="5"/>
      <c r="DC965" s="5"/>
      <c r="DD965" s="5"/>
      <c r="DE965" s="5"/>
      <c r="DF965" s="5"/>
      <c r="DG965" s="5"/>
      <c r="DH965" s="5"/>
    </row>
    <row r="966">
      <c r="CU966" s="4"/>
      <c r="CZ966" s="5"/>
      <c r="DA966" s="5"/>
      <c r="DB966" s="5"/>
      <c r="DC966" s="5"/>
      <c r="DD966" s="5"/>
      <c r="DE966" s="5"/>
      <c r="DF966" s="5"/>
      <c r="DG966" s="5"/>
      <c r="DH966" s="5"/>
    </row>
    <row r="967">
      <c r="CU967" s="4"/>
      <c r="CZ967" s="5"/>
      <c r="DA967" s="5"/>
      <c r="DB967" s="5"/>
      <c r="DC967" s="5"/>
      <c r="DD967" s="5"/>
      <c r="DE967" s="5"/>
      <c r="DF967" s="5"/>
      <c r="DG967" s="5"/>
      <c r="DH967" s="5"/>
    </row>
    <row r="968">
      <c r="CU968" s="4"/>
      <c r="CZ968" s="5"/>
      <c r="DA968" s="5"/>
      <c r="DB968" s="5"/>
      <c r="DC968" s="5"/>
      <c r="DD968" s="5"/>
      <c r="DE968" s="5"/>
      <c r="DF968" s="5"/>
      <c r="DG968" s="5"/>
      <c r="DH968" s="5"/>
    </row>
    <row r="969">
      <c r="CU969" s="4"/>
      <c r="CZ969" s="5"/>
      <c r="DA969" s="5"/>
      <c r="DB969" s="5"/>
      <c r="DC969" s="5"/>
      <c r="DD969" s="5"/>
      <c r="DE969" s="5"/>
      <c r="DF969" s="5"/>
      <c r="DG969" s="5"/>
      <c r="DH969" s="5"/>
    </row>
    <row r="970">
      <c r="CU970" s="4"/>
      <c r="CZ970" s="5"/>
      <c r="DA970" s="5"/>
      <c r="DB970" s="5"/>
      <c r="DC970" s="5"/>
      <c r="DD970" s="5"/>
      <c r="DE970" s="5"/>
      <c r="DF970" s="5"/>
      <c r="DG970" s="5"/>
      <c r="DH970" s="5"/>
    </row>
    <row r="971">
      <c r="CU971" s="4"/>
      <c r="CZ971" s="5"/>
      <c r="DA971" s="5"/>
      <c r="DB971" s="5"/>
      <c r="DC971" s="5"/>
      <c r="DD971" s="5"/>
      <c r="DE971" s="5"/>
      <c r="DF971" s="5"/>
      <c r="DG971" s="5"/>
      <c r="DH971" s="5"/>
    </row>
    <row r="972">
      <c r="CU972" s="4"/>
      <c r="CZ972" s="5"/>
      <c r="DA972" s="5"/>
      <c r="DB972" s="5"/>
      <c r="DC972" s="5"/>
      <c r="DD972" s="5"/>
      <c r="DE972" s="5"/>
      <c r="DF972" s="5"/>
      <c r="DG972" s="5"/>
      <c r="DH972" s="5"/>
    </row>
    <row r="973">
      <c r="CU973" s="4"/>
      <c r="CZ973" s="5"/>
      <c r="DA973" s="5"/>
      <c r="DB973" s="5"/>
      <c r="DC973" s="5"/>
      <c r="DD973" s="5"/>
      <c r="DE973" s="5"/>
      <c r="DF973" s="5"/>
      <c r="DG973" s="5"/>
      <c r="DH973" s="5"/>
    </row>
    <row r="974">
      <c r="CU974" s="4"/>
      <c r="CZ974" s="5"/>
      <c r="DA974" s="5"/>
      <c r="DB974" s="5"/>
      <c r="DC974" s="5"/>
      <c r="DD974" s="5"/>
      <c r="DE974" s="5"/>
      <c r="DF974" s="5"/>
      <c r="DG974" s="5"/>
      <c r="DH974" s="5"/>
    </row>
    <row r="975">
      <c r="CU975" s="4"/>
      <c r="CZ975" s="5"/>
      <c r="DA975" s="5"/>
      <c r="DB975" s="5"/>
      <c r="DC975" s="5"/>
      <c r="DD975" s="5"/>
      <c r="DE975" s="5"/>
      <c r="DF975" s="5"/>
      <c r="DG975" s="5"/>
      <c r="DH975" s="5"/>
    </row>
    <row r="976">
      <c r="CU976" s="4"/>
      <c r="CZ976" s="5"/>
      <c r="DA976" s="5"/>
      <c r="DB976" s="5"/>
      <c r="DC976" s="5"/>
      <c r="DD976" s="5"/>
      <c r="DE976" s="5"/>
      <c r="DF976" s="5"/>
      <c r="DG976" s="5"/>
      <c r="DH976" s="5"/>
    </row>
    <row r="977">
      <c r="CU977" s="4"/>
      <c r="CZ977" s="5"/>
      <c r="DA977" s="5"/>
      <c r="DB977" s="5"/>
      <c r="DC977" s="5"/>
      <c r="DD977" s="5"/>
      <c r="DE977" s="5"/>
      <c r="DF977" s="5"/>
      <c r="DG977" s="5"/>
      <c r="DH977" s="5"/>
    </row>
    <row r="978">
      <c r="CU978" s="4"/>
      <c r="CZ978" s="5"/>
      <c r="DA978" s="5"/>
      <c r="DB978" s="5"/>
      <c r="DC978" s="5"/>
      <c r="DD978" s="5"/>
      <c r="DE978" s="5"/>
      <c r="DF978" s="5"/>
      <c r="DG978" s="5"/>
      <c r="DH978" s="5"/>
    </row>
    <row r="979">
      <c r="CU979" s="4"/>
      <c r="CZ979" s="5"/>
      <c r="DA979" s="5"/>
      <c r="DB979" s="5"/>
      <c r="DC979" s="5"/>
      <c r="DD979" s="5"/>
      <c r="DE979" s="5"/>
      <c r="DF979" s="5"/>
      <c r="DG979" s="5"/>
      <c r="DH979" s="5"/>
    </row>
    <row r="980">
      <c r="CU980" s="4"/>
      <c r="CZ980" s="5"/>
      <c r="DA980" s="5"/>
      <c r="DB980" s="5"/>
      <c r="DC980" s="5"/>
      <c r="DD980" s="5"/>
      <c r="DE980" s="5"/>
      <c r="DF980" s="5"/>
      <c r="DG980" s="5"/>
      <c r="DH980" s="5"/>
    </row>
    <row r="981">
      <c r="CU981" s="4"/>
      <c r="CZ981" s="5"/>
      <c r="DA981" s="5"/>
      <c r="DB981" s="5"/>
      <c r="DC981" s="5"/>
      <c r="DD981" s="5"/>
      <c r="DE981" s="5"/>
      <c r="DF981" s="5"/>
      <c r="DG981" s="5"/>
      <c r="DH981" s="5"/>
    </row>
    <row r="982">
      <c r="CU982" s="4"/>
      <c r="CZ982" s="5"/>
      <c r="DA982" s="5"/>
      <c r="DB982" s="5"/>
      <c r="DC982" s="5"/>
      <c r="DD982" s="5"/>
      <c r="DE982" s="5"/>
      <c r="DF982" s="5"/>
      <c r="DG982" s="5"/>
      <c r="DH982" s="5"/>
    </row>
    <row r="983">
      <c r="CU983" s="4"/>
      <c r="CZ983" s="5"/>
      <c r="DA983" s="5"/>
      <c r="DB983" s="5"/>
      <c r="DC983" s="5"/>
      <c r="DD983" s="5"/>
      <c r="DE983" s="5"/>
      <c r="DF983" s="5"/>
      <c r="DG983" s="5"/>
      <c r="DH983" s="5"/>
    </row>
    <row r="984">
      <c r="CU984" s="4"/>
      <c r="CZ984" s="5"/>
      <c r="DA984" s="5"/>
      <c r="DB984" s="5"/>
      <c r="DC984" s="5"/>
      <c r="DD984" s="5"/>
      <c r="DE984" s="5"/>
      <c r="DF984" s="5"/>
      <c r="DG984" s="5"/>
      <c r="DH984" s="5"/>
    </row>
    <row r="985">
      <c r="CU985" s="4"/>
      <c r="CZ985" s="5"/>
      <c r="DA985" s="5"/>
      <c r="DB985" s="5"/>
      <c r="DC985" s="5"/>
      <c r="DD985" s="5"/>
      <c r="DE985" s="5"/>
      <c r="DF985" s="5"/>
      <c r="DG985" s="5"/>
      <c r="DH985" s="5"/>
    </row>
    <row r="986">
      <c r="CU986" s="4"/>
      <c r="CZ986" s="5"/>
      <c r="DA986" s="5"/>
      <c r="DB986" s="5"/>
      <c r="DC986" s="5"/>
      <c r="DD986" s="5"/>
      <c r="DE986" s="5"/>
      <c r="DF986" s="5"/>
      <c r="DG986" s="5"/>
      <c r="DH986" s="5"/>
    </row>
    <row r="987">
      <c r="CU987" s="4"/>
      <c r="CZ987" s="5"/>
      <c r="DA987" s="5"/>
      <c r="DB987" s="5"/>
      <c r="DC987" s="5"/>
      <c r="DD987" s="5"/>
      <c r="DE987" s="5"/>
      <c r="DF987" s="5"/>
      <c r="DG987" s="5"/>
      <c r="DH987" s="5"/>
    </row>
    <row r="988">
      <c r="CU988" s="4"/>
      <c r="CZ988" s="5"/>
      <c r="DA988" s="5"/>
      <c r="DB988" s="5"/>
      <c r="DC988" s="5"/>
      <c r="DD988" s="5"/>
      <c r="DE988" s="5"/>
      <c r="DF988" s="5"/>
      <c r="DG988" s="5"/>
      <c r="DH988" s="5"/>
    </row>
    <row r="989">
      <c r="CU989" s="4"/>
      <c r="CZ989" s="5"/>
      <c r="DA989" s="5"/>
      <c r="DB989" s="5"/>
      <c r="DC989" s="5"/>
      <c r="DD989" s="5"/>
      <c r="DE989" s="5"/>
      <c r="DF989" s="5"/>
      <c r="DG989" s="5"/>
      <c r="DH989" s="5"/>
    </row>
    <row r="990">
      <c r="CU990" s="4"/>
      <c r="CZ990" s="5"/>
      <c r="DA990" s="5"/>
      <c r="DB990" s="5"/>
      <c r="DC990" s="5"/>
      <c r="DD990" s="5"/>
      <c r="DE990" s="5"/>
      <c r="DF990" s="5"/>
      <c r="DG990" s="5"/>
      <c r="DH990" s="5"/>
    </row>
    <row r="991">
      <c r="CU991" s="4"/>
      <c r="CZ991" s="5"/>
      <c r="DA991" s="5"/>
      <c r="DB991" s="5"/>
      <c r="DC991" s="5"/>
      <c r="DD991" s="5"/>
      <c r="DE991" s="5"/>
      <c r="DF991" s="5"/>
      <c r="DG991" s="5"/>
      <c r="DH991" s="5"/>
    </row>
    <row r="992">
      <c r="CU992" s="4"/>
      <c r="CZ992" s="5"/>
      <c r="DA992" s="5"/>
      <c r="DB992" s="5"/>
      <c r="DC992" s="5"/>
      <c r="DD992" s="5"/>
      <c r="DE992" s="5"/>
      <c r="DF992" s="5"/>
      <c r="DG992" s="5"/>
      <c r="DH992" s="5"/>
    </row>
    <row r="993">
      <c r="CU993" s="4"/>
      <c r="CZ993" s="5"/>
      <c r="DA993" s="5"/>
      <c r="DB993" s="5"/>
      <c r="DC993" s="5"/>
      <c r="DD993" s="5"/>
      <c r="DE993" s="5"/>
      <c r="DF993" s="5"/>
      <c r="DG993" s="5"/>
      <c r="DH993" s="5"/>
    </row>
    <row r="994">
      <c r="CU994" s="4"/>
      <c r="CZ994" s="5"/>
      <c r="DA994" s="5"/>
      <c r="DB994" s="5"/>
      <c r="DC994" s="5"/>
      <c r="DD994" s="5"/>
      <c r="DE994" s="5"/>
      <c r="DF994" s="5"/>
      <c r="DG994" s="5"/>
      <c r="DH994" s="5"/>
    </row>
    <row r="995">
      <c r="CU995" s="4"/>
      <c r="CZ995" s="5"/>
      <c r="DA995" s="5"/>
      <c r="DB995" s="5"/>
      <c r="DC995" s="5"/>
      <c r="DD995" s="5"/>
      <c r="DE995" s="5"/>
      <c r="DF995" s="5"/>
      <c r="DG995" s="5"/>
      <c r="DH995" s="5"/>
    </row>
    <row r="996">
      <c r="CU996" s="4"/>
      <c r="CZ996" s="5"/>
      <c r="DA996" s="5"/>
      <c r="DB996" s="5"/>
      <c r="DC996" s="5"/>
      <c r="DD996" s="5"/>
      <c r="DE996" s="5"/>
      <c r="DF996" s="5"/>
      <c r="DG996" s="5"/>
      <c r="DH996" s="5"/>
    </row>
    <row r="997">
      <c r="CU997" s="4"/>
      <c r="CZ997" s="5"/>
      <c r="DA997" s="5"/>
      <c r="DB997" s="5"/>
      <c r="DC997" s="5"/>
      <c r="DD997" s="5"/>
      <c r="DE997" s="5"/>
      <c r="DF997" s="5"/>
      <c r="DG997" s="5"/>
      <c r="DH997" s="5"/>
    </row>
    <row r="998">
      <c r="CU998" s="4"/>
      <c r="CZ998" s="5"/>
      <c r="DA998" s="5"/>
      <c r="DB998" s="5"/>
      <c r="DC998" s="5"/>
      <c r="DD998" s="5"/>
      <c r="DE998" s="5"/>
      <c r="DF998" s="5"/>
      <c r="DG998" s="5"/>
      <c r="DH998" s="5"/>
    </row>
    <row r="999">
      <c r="CU999" s="4"/>
      <c r="CZ999" s="5"/>
      <c r="DA999" s="5"/>
      <c r="DB999" s="5"/>
      <c r="DC999" s="5"/>
      <c r="DD999" s="5"/>
      <c r="DE999" s="5"/>
      <c r="DF999" s="5"/>
      <c r="DG999" s="5"/>
      <c r="DH999" s="5"/>
    </row>
    <row r="1000">
      <c r="CU1000" s="4"/>
      <c r="CZ1000" s="5"/>
      <c r="DA1000" s="5"/>
      <c r="DB1000" s="5"/>
      <c r="DC1000" s="5"/>
      <c r="DD1000" s="5"/>
      <c r="DE1000" s="5"/>
      <c r="DF1000" s="5"/>
      <c r="DG1000" s="5"/>
      <c r="DH1000" s="5"/>
    </row>
    <row r="1001">
      <c r="CU1001" s="4"/>
      <c r="CZ1001" s="5"/>
      <c r="DA1001" s="5"/>
      <c r="DB1001" s="5"/>
      <c r="DC1001" s="5"/>
      <c r="DD1001" s="5"/>
      <c r="DE1001" s="5"/>
      <c r="DF1001" s="5"/>
      <c r="DG1001" s="5"/>
      <c r="DH1001" s="5"/>
    </row>
    <row r="1002">
      <c r="CU1002" s="4"/>
      <c r="CZ1002" s="5"/>
      <c r="DA1002" s="5"/>
      <c r="DB1002" s="5"/>
      <c r="DC1002" s="5"/>
      <c r="DD1002" s="5"/>
      <c r="DE1002" s="5"/>
      <c r="DF1002" s="5"/>
      <c r="DG1002" s="5"/>
      <c r="DH1002" s="5"/>
    </row>
    <row r="1003">
      <c r="CU1003" s="4"/>
      <c r="CZ1003" s="5"/>
      <c r="DA1003" s="5"/>
      <c r="DB1003" s="5"/>
      <c r="DC1003" s="5"/>
      <c r="DD1003" s="5"/>
      <c r="DE1003" s="5"/>
      <c r="DF1003" s="5"/>
      <c r="DG1003" s="5"/>
      <c r="DH1003" s="5"/>
    </row>
    <row r="1004">
      <c r="CU1004" s="4"/>
      <c r="CZ1004" s="5"/>
      <c r="DA1004" s="5"/>
      <c r="DB1004" s="5"/>
      <c r="DC1004" s="5"/>
      <c r="DD1004" s="5"/>
      <c r="DE1004" s="5"/>
      <c r="DF1004" s="5"/>
      <c r="DG1004" s="5"/>
      <c r="DH1004" s="5"/>
    </row>
    <row r="1005">
      <c r="CU1005" s="4"/>
      <c r="CZ1005" s="5"/>
      <c r="DA1005" s="5"/>
      <c r="DB1005" s="5"/>
      <c r="DC1005" s="5"/>
      <c r="DD1005" s="5"/>
      <c r="DE1005" s="5"/>
      <c r="DF1005" s="5"/>
      <c r="DG1005" s="5"/>
      <c r="DH1005" s="5"/>
    </row>
    <row r="1006">
      <c r="CU1006" s="4"/>
      <c r="CZ1006" s="5"/>
      <c r="DA1006" s="5"/>
      <c r="DB1006" s="5"/>
      <c r="DC1006" s="5"/>
      <c r="DD1006" s="5"/>
      <c r="DE1006" s="5"/>
      <c r="DF1006" s="5"/>
      <c r="DG1006" s="5"/>
      <c r="DH1006" s="5"/>
    </row>
    <row r="1007">
      <c r="CU1007" s="4"/>
      <c r="CZ1007" s="5"/>
      <c r="DA1007" s="5"/>
      <c r="DB1007" s="5"/>
      <c r="DC1007" s="5"/>
      <c r="DD1007" s="5"/>
      <c r="DE1007" s="5"/>
      <c r="DF1007" s="5"/>
      <c r="DG1007" s="5"/>
      <c r="DH1007" s="5"/>
    </row>
  </sheetData>
  <mergeCells count="19">
    <mergeCell ref="BO2:BQ2"/>
    <mergeCell ref="BO6:BQ6"/>
    <mergeCell ref="AI67:AI68"/>
    <mergeCell ref="AL67:AL68"/>
    <mergeCell ref="AR67:AR68"/>
    <mergeCell ref="AJ68:AJ69"/>
    <mergeCell ref="AM68:AM69"/>
    <mergeCell ref="AQ69:AQ70"/>
    <mergeCell ref="AR76:AR77"/>
    <mergeCell ref="AS76:AS77"/>
    <mergeCell ref="N153:Q153"/>
    <mergeCell ref="R153:U153"/>
    <mergeCell ref="AO67:AO68"/>
    <mergeCell ref="AP68:AP69"/>
    <mergeCell ref="AK69:AK70"/>
    <mergeCell ref="AN69:AN70"/>
    <mergeCell ref="AM71:AM72"/>
    <mergeCell ref="AP71:AP72"/>
    <mergeCell ref="AT71:AT72"/>
  </mergeCells>
  <conditionalFormatting sqref="AW14:AY26">
    <cfRule type="colorScale" priority="1">
      <colorScale>
        <cfvo type="formula" val="-5"/>
        <cfvo type="formula" val="0"/>
        <cfvo type="formula" val="10"/>
        <color rgb="FFF8962E"/>
        <color rgb="FFFFFFFF"/>
        <color rgb="FF4E9DFF"/>
      </colorScale>
    </cfRule>
  </conditionalFormatting>
  <conditionalFormatting sqref="AU14:AU40 AV14:AV34">
    <cfRule type="colorScale" priority="2">
      <colorScale>
        <cfvo type="min"/>
        <cfvo type="percentile" val="50"/>
        <cfvo type="max"/>
        <color rgb="FF57BB8A"/>
        <color rgb="FFFFD666"/>
        <color rgb="FFE67C73"/>
      </colorScale>
    </cfRule>
  </conditionalFormatting>
  <conditionalFormatting sqref="CU14:CU40 DB14:DG26">
    <cfRule type="expression" dxfId="0" priority="3">
      <formula>$CS14&lt;50</formula>
    </cfRule>
  </conditionalFormatting>
  <conditionalFormatting sqref="CV14:CV40">
    <cfRule type="expression" dxfId="0" priority="4">
      <formula>CS14&lt;50</formula>
    </cfRule>
  </conditionalFormatting>
  <conditionalFormatting sqref="CW14:CW40">
    <cfRule type="expression" dxfId="0" priority="5">
      <formula>CS14&lt;50</formula>
    </cfRule>
  </conditionalFormatting>
  <conditionalFormatting sqref="CU14:CW40 DB14:DG26">
    <cfRule type="colorScale" priority="6">
      <colorScale>
        <cfvo type="formula" val="-5"/>
        <cfvo type="formula" val="0"/>
        <cfvo type="formula" val="10"/>
        <color rgb="FFF8962E"/>
        <color rgb="FFEFEFEF"/>
        <color rgb="FF4E9DFF"/>
      </colorScale>
    </cfRule>
  </conditionalFormatting>
  <conditionalFormatting sqref="CY14:CY40">
    <cfRule type="colorScale" priority="7">
      <colorScale>
        <cfvo type="formula" val="-0.5"/>
        <cfvo type="formula" val="0"/>
        <cfvo type="max"/>
        <color rgb="FF999999"/>
        <color rgb="FFFFFFFF"/>
        <color rgb="FF57BB8A"/>
      </colorScale>
    </cfRule>
  </conditionalFormatting>
  <conditionalFormatting sqref="O90:Q119">
    <cfRule type="colorScale" priority="8">
      <colorScale>
        <cfvo type="min"/>
        <cfvo type="percentile" val="50"/>
        <cfvo type="max"/>
        <color rgb="FFE67C73"/>
        <color rgb="FFFFFFFF"/>
        <color rgb="FF57BB8A"/>
      </colorScale>
    </cfRule>
  </conditionalFormatting>
  <conditionalFormatting sqref="CX14:CX40">
    <cfRule type="colorScale" priority="9">
      <colorScale>
        <cfvo type="formula" val="-4"/>
        <cfvo type="formula" val="0"/>
        <cfvo type="formula" val="8"/>
        <color rgb="FFCC0000"/>
        <color rgb="FFFFFFFF"/>
        <color rgb="FF57BB8A"/>
      </colorScale>
    </cfRule>
  </conditionalFormatting>
  <conditionalFormatting sqref="CQ14:CQ40 CR14:CR34">
    <cfRule type="colorScale" priority="10">
      <colorScale>
        <cfvo type="formula" val="1"/>
        <cfvo type="formula" val="5"/>
        <color rgb="FFFFFFFF"/>
        <color rgb="FF57BB8A"/>
      </colorScale>
    </cfRule>
  </conditionalFormatting>
  <conditionalFormatting sqref="AU155:AZ170">
    <cfRule type="colorScale" priority="11">
      <colorScale>
        <cfvo type="min"/>
        <cfvo type="formula" val="0"/>
        <cfvo type="max"/>
        <color rgb="FFF8962E"/>
        <color rgb="FFEFEFEF"/>
        <color rgb="FF4E9DFF"/>
      </colorScale>
    </cfRule>
  </conditionalFormatting>
  <hyperlinks>
    <hyperlink r:id="rId1" ref="B155"/>
    <hyperlink r:id="rId2" ref="AC155"/>
    <hyperlink r:id="rId3" ref="AG155"/>
    <hyperlink r:id="rId4" ref="AK155"/>
    <hyperlink r:id="rId5" ref="AO155"/>
    <hyperlink r:id="rId6" ref="B156"/>
    <hyperlink r:id="rId7" ref="AC156"/>
    <hyperlink r:id="rId8" ref="AG156"/>
    <hyperlink r:id="rId9" ref="AK156"/>
    <hyperlink r:id="rId10" ref="AO156"/>
    <hyperlink r:id="rId11" ref="B157"/>
    <hyperlink r:id="rId12" ref="AC157"/>
    <hyperlink r:id="rId13" ref="AG157"/>
    <hyperlink r:id="rId14" ref="AK157"/>
    <hyperlink r:id="rId15" ref="B158"/>
    <hyperlink r:id="rId16" ref="AC158"/>
    <hyperlink r:id="rId17" ref="AG158"/>
    <hyperlink r:id="rId18" ref="AK158"/>
    <hyperlink r:id="rId19" ref="B159"/>
    <hyperlink r:id="rId20" ref="AC159"/>
    <hyperlink r:id="rId21" ref="AG159"/>
    <hyperlink r:id="rId22" ref="B160"/>
    <hyperlink r:id="rId23" ref="AC160"/>
    <hyperlink r:id="rId24" ref="AG160"/>
    <hyperlink r:id="rId25" ref="B161"/>
    <hyperlink r:id="rId26" ref="AC161"/>
    <hyperlink r:id="rId27" ref="AG161"/>
    <hyperlink r:id="rId28" ref="B162"/>
    <hyperlink r:id="rId29" ref="AC162"/>
    <hyperlink r:id="rId30" ref="AG162"/>
    <hyperlink r:id="rId31" ref="B163"/>
    <hyperlink r:id="rId32" ref="AC163"/>
    <hyperlink r:id="rId33" ref="B164"/>
    <hyperlink r:id="rId34" ref="AC164"/>
    <hyperlink r:id="rId35" ref="B165"/>
    <hyperlink r:id="rId36" ref="AC165"/>
    <hyperlink r:id="rId37" ref="B166"/>
    <hyperlink r:id="rId38" ref="AC166"/>
    <hyperlink r:id="rId39" ref="B167"/>
    <hyperlink r:id="rId40" ref="AC167"/>
    <hyperlink r:id="rId41" ref="B168"/>
    <hyperlink r:id="rId42" ref="AC168"/>
    <hyperlink r:id="rId43" ref="B169"/>
    <hyperlink r:id="rId44" ref="AC169"/>
    <hyperlink r:id="rId45" ref="B170"/>
    <hyperlink r:id="rId46" ref="AC170"/>
  </hyperlinks>
  <drawing r:id="rId4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1" t="s">
        <v>456</v>
      </c>
    </row>
    <row r="2">
      <c r="A2" s="245" t="s">
        <v>174</v>
      </c>
      <c r="B2" s="245" t="s">
        <v>457</v>
      </c>
      <c r="C2" s="245" t="s">
        <v>210</v>
      </c>
      <c r="D2" s="245" t="s">
        <v>458</v>
      </c>
      <c r="E2" s="245" t="s">
        <v>51</v>
      </c>
    </row>
    <row r="3">
      <c r="A3" s="245" t="s">
        <v>459</v>
      </c>
      <c r="B3" s="245">
        <f t="shared" ref="B3:B233" si="1">value(concat("19",right(A3,2)))</f>
        <v>1952</v>
      </c>
      <c r="C3" s="245" t="s">
        <v>460</v>
      </c>
      <c r="D3" s="246" t="str">
        <f t="shared" ref="D3:D233" si="2">concat(B3,C3)</f>
        <v>1952BLB</v>
      </c>
      <c r="E3" s="246">
        <v>94.76529</v>
      </c>
    </row>
    <row r="4">
      <c r="A4" s="245" t="s">
        <v>459</v>
      </c>
      <c r="B4" s="245">
        <f t="shared" si="1"/>
        <v>1952</v>
      </c>
      <c r="C4" s="245" t="s">
        <v>461</v>
      </c>
      <c r="D4" s="246" t="str">
        <f t="shared" si="2"/>
        <v>1952BOS</v>
      </c>
      <c r="E4" s="246">
        <v>95.75761</v>
      </c>
    </row>
    <row r="5">
      <c r="A5" s="245" t="s">
        <v>459</v>
      </c>
      <c r="B5" s="245">
        <f t="shared" si="1"/>
        <v>1952</v>
      </c>
      <c r="C5" s="245" t="s">
        <v>462</v>
      </c>
      <c r="D5" s="246" t="str">
        <f t="shared" si="2"/>
        <v>1952FTW</v>
      </c>
      <c r="E5" s="246">
        <v>89.10527</v>
      </c>
    </row>
    <row r="6">
      <c r="A6" s="245" t="s">
        <v>459</v>
      </c>
      <c r="B6" s="245">
        <f t="shared" si="1"/>
        <v>1952</v>
      </c>
      <c r="C6" s="245" t="s">
        <v>463</v>
      </c>
      <c r="D6" s="246" t="str">
        <f t="shared" si="2"/>
        <v>1952INO</v>
      </c>
      <c r="E6" s="246">
        <v>92.00698</v>
      </c>
    </row>
    <row r="7">
      <c r="A7" s="245" t="s">
        <v>459</v>
      </c>
      <c r="B7" s="245">
        <f t="shared" si="1"/>
        <v>1952</v>
      </c>
      <c r="C7" s="245" t="s">
        <v>464</v>
      </c>
      <c r="D7" s="246" t="str">
        <f t="shared" si="2"/>
        <v>1952MLH</v>
      </c>
      <c r="E7" s="246">
        <v>90.87</v>
      </c>
    </row>
    <row r="8">
      <c r="A8" s="245" t="s">
        <v>459</v>
      </c>
      <c r="B8" s="245">
        <f t="shared" si="1"/>
        <v>1952</v>
      </c>
      <c r="C8" s="245" t="s">
        <v>465</v>
      </c>
      <c r="D8" s="246" t="str">
        <f t="shared" si="2"/>
        <v>1952MNL</v>
      </c>
      <c r="E8" s="246">
        <v>94.3</v>
      </c>
    </row>
    <row r="9">
      <c r="A9" s="245" t="s">
        <v>459</v>
      </c>
      <c r="B9" s="245">
        <f t="shared" si="1"/>
        <v>1952</v>
      </c>
      <c r="C9" s="245" t="s">
        <v>466</v>
      </c>
      <c r="D9" s="246" t="str">
        <f t="shared" si="2"/>
        <v>1952NYK</v>
      </c>
      <c r="E9" s="246">
        <v>92.49071</v>
      </c>
    </row>
    <row r="10">
      <c r="A10" s="245" t="s">
        <v>459</v>
      </c>
      <c r="B10" s="245">
        <f t="shared" si="1"/>
        <v>1952</v>
      </c>
      <c r="C10" s="245" t="s">
        <v>467</v>
      </c>
      <c r="D10" s="246" t="str">
        <f t="shared" si="2"/>
        <v>1952PHW</v>
      </c>
      <c r="E10" s="246">
        <v>93.24259</v>
      </c>
    </row>
    <row r="11">
      <c r="A11" s="245" t="s">
        <v>459</v>
      </c>
      <c r="B11" s="245">
        <f t="shared" si="1"/>
        <v>1952</v>
      </c>
      <c r="C11" s="245" t="s">
        <v>468</v>
      </c>
      <c r="D11" s="246" t="str">
        <f t="shared" si="2"/>
        <v>1952ROC</v>
      </c>
      <c r="E11" s="246">
        <v>90.91853</v>
      </c>
    </row>
    <row r="12">
      <c r="A12" s="245" t="s">
        <v>459</v>
      </c>
      <c r="B12" s="245">
        <f t="shared" si="1"/>
        <v>1952</v>
      </c>
      <c r="C12" s="245" t="s">
        <v>469</v>
      </c>
      <c r="D12" s="246" t="str">
        <f t="shared" si="2"/>
        <v>1952SYR</v>
      </c>
      <c r="E12" s="246">
        <v>93.25981</v>
      </c>
    </row>
    <row r="13">
      <c r="A13" s="245" t="s">
        <v>470</v>
      </c>
      <c r="B13" s="245">
        <f t="shared" si="1"/>
        <v>1953</v>
      </c>
      <c r="C13" s="245" t="s">
        <v>460</v>
      </c>
      <c r="D13" s="246" t="str">
        <f t="shared" si="2"/>
        <v>1953BLB</v>
      </c>
      <c r="E13" s="246">
        <v>96.23044</v>
      </c>
    </row>
    <row r="14">
      <c r="A14" s="245" t="s">
        <v>470</v>
      </c>
      <c r="B14" s="245">
        <f t="shared" si="1"/>
        <v>1953</v>
      </c>
      <c r="C14" s="245" t="s">
        <v>461</v>
      </c>
      <c r="D14" s="246" t="str">
        <f t="shared" si="2"/>
        <v>1953BOS</v>
      </c>
      <c r="E14" s="246">
        <v>94.1257</v>
      </c>
    </row>
    <row r="15">
      <c r="A15" s="245" t="s">
        <v>470</v>
      </c>
      <c r="B15" s="245">
        <f t="shared" si="1"/>
        <v>1953</v>
      </c>
      <c r="C15" s="245" t="s">
        <v>462</v>
      </c>
      <c r="D15" s="246" t="str">
        <f t="shared" si="2"/>
        <v>1953FTW</v>
      </c>
      <c r="E15" s="246">
        <v>90.00348</v>
      </c>
    </row>
    <row r="16">
      <c r="A16" s="245" t="s">
        <v>470</v>
      </c>
      <c r="B16" s="245">
        <f t="shared" si="1"/>
        <v>1953</v>
      </c>
      <c r="C16" s="245" t="s">
        <v>463</v>
      </c>
      <c r="D16" s="246" t="str">
        <f t="shared" si="2"/>
        <v>1953INO</v>
      </c>
      <c r="E16" s="246">
        <v>87.96911</v>
      </c>
    </row>
    <row r="17">
      <c r="A17" s="245" t="s">
        <v>470</v>
      </c>
      <c r="B17" s="245">
        <f t="shared" si="1"/>
        <v>1953</v>
      </c>
      <c r="C17" s="245" t="s">
        <v>464</v>
      </c>
      <c r="D17" s="246" t="str">
        <f t="shared" si="2"/>
        <v>1953MLH</v>
      </c>
      <c r="E17" s="246">
        <v>90.17644</v>
      </c>
    </row>
    <row r="18">
      <c r="A18" s="245" t="s">
        <v>470</v>
      </c>
      <c r="B18" s="245">
        <f t="shared" si="1"/>
        <v>1953</v>
      </c>
      <c r="C18" s="245" t="s">
        <v>465</v>
      </c>
      <c r="D18" s="246" t="str">
        <f t="shared" si="2"/>
        <v>1953MNL</v>
      </c>
      <c r="E18" s="246">
        <v>91.10554</v>
      </c>
    </row>
    <row r="19">
      <c r="A19" s="245" t="s">
        <v>470</v>
      </c>
      <c r="B19" s="245">
        <f t="shared" si="1"/>
        <v>1953</v>
      </c>
      <c r="C19" s="245" t="s">
        <v>466</v>
      </c>
      <c r="D19" s="246" t="str">
        <f t="shared" si="2"/>
        <v>1953NYK</v>
      </c>
      <c r="E19" s="246">
        <v>92.6771</v>
      </c>
    </row>
    <row r="20">
      <c r="A20" s="245" t="s">
        <v>470</v>
      </c>
      <c r="B20" s="245">
        <f t="shared" si="1"/>
        <v>1953</v>
      </c>
      <c r="C20" s="245" t="s">
        <v>467</v>
      </c>
      <c r="D20" s="246" t="str">
        <f t="shared" si="2"/>
        <v>1953PHW</v>
      </c>
      <c r="E20" s="246">
        <v>94.11163</v>
      </c>
    </row>
    <row r="21">
      <c r="A21" s="245" t="s">
        <v>470</v>
      </c>
      <c r="B21" s="245">
        <f t="shared" si="1"/>
        <v>1953</v>
      </c>
      <c r="C21" s="245" t="s">
        <v>468</v>
      </c>
      <c r="D21" s="246" t="str">
        <f t="shared" si="2"/>
        <v>1953ROC</v>
      </c>
      <c r="E21" s="246">
        <v>93.53892</v>
      </c>
    </row>
    <row r="22">
      <c r="A22" s="245" t="s">
        <v>470</v>
      </c>
      <c r="B22" s="245">
        <f t="shared" si="1"/>
        <v>1953</v>
      </c>
      <c r="C22" s="245" t="s">
        <v>469</v>
      </c>
      <c r="D22" s="246" t="str">
        <f t="shared" si="2"/>
        <v>1953SYR</v>
      </c>
      <c r="E22" s="246">
        <v>93.10971</v>
      </c>
    </row>
    <row r="23">
      <c r="A23" s="245" t="s">
        <v>471</v>
      </c>
      <c r="B23" s="245">
        <f t="shared" si="1"/>
        <v>1954</v>
      </c>
      <c r="C23" s="245" t="s">
        <v>460</v>
      </c>
      <c r="D23" s="246" t="str">
        <f t="shared" si="2"/>
        <v>1954BLB</v>
      </c>
      <c r="E23" s="246">
        <v>91.09502</v>
      </c>
    </row>
    <row r="24">
      <c r="A24" s="245" t="s">
        <v>471</v>
      </c>
      <c r="B24" s="245">
        <f t="shared" si="1"/>
        <v>1954</v>
      </c>
      <c r="C24" s="245" t="s">
        <v>461</v>
      </c>
      <c r="D24" s="246" t="str">
        <f t="shared" si="2"/>
        <v>1954BOS</v>
      </c>
      <c r="E24" s="246">
        <v>94.0685</v>
      </c>
    </row>
    <row r="25">
      <c r="A25" s="245" t="s">
        <v>471</v>
      </c>
      <c r="B25" s="245">
        <f t="shared" si="1"/>
        <v>1954</v>
      </c>
      <c r="C25" s="245" t="s">
        <v>462</v>
      </c>
      <c r="D25" s="246" t="str">
        <f t="shared" si="2"/>
        <v>1954FTW</v>
      </c>
      <c r="E25" s="246">
        <v>86.90576</v>
      </c>
    </row>
    <row r="26">
      <c r="A26" s="245" t="s">
        <v>471</v>
      </c>
      <c r="B26" s="245">
        <f t="shared" si="1"/>
        <v>1954</v>
      </c>
      <c r="C26" s="245" t="s">
        <v>464</v>
      </c>
      <c r="D26" s="246" t="str">
        <f t="shared" si="2"/>
        <v>1954MLH</v>
      </c>
      <c r="E26" s="246">
        <v>86.98149</v>
      </c>
    </row>
    <row r="27">
      <c r="A27" s="245" t="s">
        <v>471</v>
      </c>
      <c r="B27" s="245">
        <f t="shared" si="1"/>
        <v>1954</v>
      </c>
      <c r="C27" s="245" t="s">
        <v>465</v>
      </c>
      <c r="D27" s="246" t="str">
        <f t="shared" si="2"/>
        <v>1954MNL</v>
      </c>
      <c r="E27" s="246">
        <v>90.41172</v>
      </c>
    </row>
    <row r="28">
      <c r="A28" s="245" t="s">
        <v>471</v>
      </c>
      <c r="B28" s="245">
        <f t="shared" si="1"/>
        <v>1954</v>
      </c>
      <c r="C28" s="245" t="s">
        <v>466</v>
      </c>
      <c r="D28" s="246" t="str">
        <f t="shared" si="2"/>
        <v>1954NYK</v>
      </c>
      <c r="E28" s="246">
        <v>88.8564</v>
      </c>
    </row>
    <row r="29">
      <c r="A29" s="245" t="s">
        <v>471</v>
      </c>
      <c r="B29" s="245">
        <f t="shared" si="1"/>
        <v>1954</v>
      </c>
      <c r="C29" s="245" t="s">
        <v>467</v>
      </c>
      <c r="D29" s="246" t="str">
        <f t="shared" si="2"/>
        <v>1954PHW</v>
      </c>
      <c r="E29" s="246">
        <v>90.10417</v>
      </c>
    </row>
    <row r="30">
      <c r="A30" s="245" t="s">
        <v>471</v>
      </c>
      <c r="B30" s="245">
        <f t="shared" si="1"/>
        <v>1954</v>
      </c>
      <c r="C30" s="245" t="s">
        <v>468</v>
      </c>
      <c r="D30" s="246" t="str">
        <f t="shared" si="2"/>
        <v>1954ROC</v>
      </c>
      <c r="E30" s="246">
        <v>90.63176</v>
      </c>
    </row>
    <row r="31">
      <c r="A31" s="245" t="s">
        <v>471</v>
      </c>
      <c r="B31" s="245">
        <f t="shared" si="1"/>
        <v>1954</v>
      </c>
      <c r="C31" s="245" t="s">
        <v>469</v>
      </c>
      <c r="D31" s="246" t="str">
        <f t="shared" si="2"/>
        <v>1954SYR</v>
      </c>
      <c r="E31" s="246">
        <v>91.94126</v>
      </c>
    </row>
    <row r="32">
      <c r="A32" s="245" t="s">
        <v>472</v>
      </c>
      <c r="B32" s="245">
        <f t="shared" si="1"/>
        <v>1955</v>
      </c>
      <c r="C32" s="245" t="s">
        <v>461</v>
      </c>
      <c r="D32" s="246" t="str">
        <f t="shared" si="2"/>
        <v>1955BOS</v>
      </c>
      <c r="E32" s="246">
        <v>107.4296</v>
      </c>
    </row>
    <row r="33">
      <c r="A33" s="245" t="s">
        <v>472</v>
      </c>
      <c r="B33" s="245">
        <f t="shared" si="1"/>
        <v>1955</v>
      </c>
      <c r="C33" s="245" t="s">
        <v>462</v>
      </c>
      <c r="D33" s="246" t="str">
        <f t="shared" si="2"/>
        <v>1955FTW</v>
      </c>
      <c r="E33" s="246">
        <v>101.8294</v>
      </c>
    </row>
    <row r="34">
      <c r="A34" s="245" t="s">
        <v>472</v>
      </c>
      <c r="B34" s="245">
        <f t="shared" si="1"/>
        <v>1955</v>
      </c>
      <c r="C34" s="245" t="s">
        <v>464</v>
      </c>
      <c r="D34" s="246" t="str">
        <f t="shared" si="2"/>
        <v>1955MLH</v>
      </c>
      <c r="E34" s="246">
        <v>101.9072</v>
      </c>
    </row>
    <row r="35">
      <c r="A35" s="245" t="s">
        <v>472</v>
      </c>
      <c r="B35" s="245">
        <f t="shared" si="1"/>
        <v>1955</v>
      </c>
      <c r="C35" s="245" t="s">
        <v>465</v>
      </c>
      <c r="D35" s="246" t="str">
        <f t="shared" si="2"/>
        <v>1955MNL</v>
      </c>
      <c r="E35" s="246">
        <v>103.9909</v>
      </c>
    </row>
    <row r="36">
      <c r="A36" s="245" t="s">
        <v>472</v>
      </c>
      <c r="B36" s="245">
        <f t="shared" si="1"/>
        <v>1955</v>
      </c>
      <c r="C36" s="245" t="s">
        <v>466</v>
      </c>
      <c r="D36" s="246" t="str">
        <f t="shared" si="2"/>
        <v>1955NYK</v>
      </c>
      <c r="E36" s="246">
        <v>102.1807</v>
      </c>
    </row>
    <row r="37">
      <c r="A37" s="245" t="s">
        <v>472</v>
      </c>
      <c r="B37" s="245">
        <f t="shared" si="1"/>
        <v>1955</v>
      </c>
      <c r="C37" s="245" t="s">
        <v>467</v>
      </c>
      <c r="D37" s="246" t="str">
        <f t="shared" si="2"/>
        <v>1955PHW</v>
      </c>
      <c r="E37" s="246">
        <v>102.6766</v>
      </c>
    </row>
    <row r="38">
      <c r="A38" s="245" t="s">
        <v>472</v>
      </c>
      <c r="B38" s="245">
        <f t="shared" si="1"/>
        <v>1955</v>
      </c>
      <c r="C38" s="245" t="s">
        <v>468</v>
      </c>
      <c r="D38" s="246" t="str">
        <f t="shared" si="2"/>
        <v>1955ROC</v>
      </c>
      <c r="E38" s="246">
        <v>101.4526</v>
      </c>
    </row>
    <row r="39">
      <c r="A39" s="245" t="s">
        <v>472</v>
      </c>
      <c r="B39" s="245">
        <f t="shared" si="1"/>
        <v>1955</v>
      </c>
      <c r="C39" s="245" t="s">
        <v>469</v>
      </c>
      <c r="D39" s="246" t="str">
        <f t="shared" si="2"/>
        <v>1955SYR</v>
      </c>
      <c r="E39" s="246">
        <v>102.6075</v>
      </c>
    </row>
    <row r="40">
      <c r="A40" s="245" t="s">
        <v>473</v>
      </c>
      <c r="B40" s="245">
        <f t="shared" si="1"/>
        <v>1956</v>
      </c>
      <c r="C40" s="245" t="s">
        <v>461</v>
      </c>
      <c r="D40" s="246" t="str">
        <f t="shared" si="2"/>
        <v>1956BOS</v>
      </c>
      <c r="E40" s="246">
        <v>112.583</v>
      </c>
    </row>
    <row r="41">
      <c r="A41" s="245" t="s">
        <v>473</v>
      </c>
      <c r="B41" s="245">
        <f t="shared" si="1"/>
        <v>1956</v>
      </c>
      <c r="C41" s="245" t="s">
        <v>462</v>
      </c>
      <c r="D41" s="246" t="str">
        <f t="shared" si="2"/>
        <v>1956FTW</v>
      </c>
      <c r="E41" s="246">
        <v>105.2827</v>
      </c>
    </row>
    <row r="42">
      <c r="A42" s="245" t="s">
        <v>473</v>
      </c>
      <c r="B42" s="245">
        <f t="shared" si="1"/>
        <v>1956</v>
      </c>
      <c r="C42" s="245" t="s">
        <v>465</v>
      </c>
      <c r="D42" s="246" t="str">
        <f t="shared" si="2"/>
        <v>1956MNL</v>
      </c>
      <c r="E42" s="246">
        <v>108.6222</v>
      </c>
    </row>
    <row r="43">
      <c r="A43" s="245" t="s">
        <v>473</v>
      </c>
      <c r="B43" s="245">
        <f t="shared" si="1"/>
        <v>1956</v>
      </c>
      <c r="C43" s="245" t="s">
        <v>466</v>
      </c>
      <c r="D43" s="246" t="str">
        <f t="shared" si="2"/>
        <v>1956NYK</v>
      </c>
      <c r="E43" s="246">
        <v>108.4273</v>
      </c>
    </row>
    <row r="44">
      <c r="A44" s="245" t="s">
        <v>473</v>
      </c>
      <c r="B44" s="245">
        <f t="shared" si="1"/>
        <v>1956</v>
      </c>
      <c r="C44" s="245" t="s">
        <v>467</v>
      </c>
      <c r="D44" s="246" t="str">
        <f t="shared" si="2"/>
        <v>1956PHW</v>
      </c>
      <c r="E44" s="246">
        <v>109.2556</v>
      </c>
    </row>
    <row r="45">
      <c r="A45" s="245" t="s">
        <v>473</v>
      </c>
      <c r="B45" s="245">
        <f t="shared" si="1"/>
        <v>1956</v>
      </c>
      <c r="C45" s="245" t="s">
        <v>468</v>
      </c>
      <c r="D45" s="246" t="str">
        <f t="shared" si="2"/>
        <v>1956ROC</v>
      </c>
      <c r="E45" s="246">
        <v>110.5956</v>
      </c>
    </row>
    <row r="46">
      <c r="A46" s="245" t="s">
        <v>473</v>
      </c>
      <c r="B46" s="245">
        <f t="shared" si="1"/>
        <v>1956</v>
      </c>
      <c r="C46" s="245" t="s">
        <v>21</v>
      </c>
      <c r="D46" s="246" t="str">
        <f t="shared" si="2"/>
        <v>1956STL</v>
      </c>
      <c r="E46" s="246">
        <v>110.0467</v>
      </c>
    </row>
    <row r="47">
      <c r="A47" s="245" t="s">
        <v>473</v>
      </c>
      <c r="B47" s="245">
        <f t="shared" si="1"/>
        <v>1956</v>
      </c>
      <c r="C47" s="245" t="s">
        <v>469</v>
      </c>
      <c r="D47" s="246" t="str">
        <f t="shared" si="2"/>
        <v>1956SYR</v>
      </c>
      <c r="E47" s="246">
        <v>108.856</v>
      </c>
    </row>
    <row r="48">
      <c r="A48" s="245" t="s">
        <v>474</v>
      </c>
      <c r="B48" s="245">
        <f t="shared" si="1"/>
        <v>1957</v>
      </c>
      <c r="C48" s="245" t="s">
        <v>461</v>
      </c>
      <c r="D48" s="246" t="str">
        <f t="shared" si="2"/>
        <v>1957BOS</v>
      </c>
      <c r="E48" s="246">
        <v>114.9303</v>
      </c>
    </row>
    <row r="49">
      <c r="A49" s="245" t="s">
        <v>474</v>
      </c>
      <c r="B49" s="245">
        <f t="shared" si="1"/>
        <v>1957</v>
      </c>
      <c r="C49" s="245" t="s">
        <v>462</v>
      </c>
      <c r="D49" s="246" t="str">
        <f t="shared" si="2"/>
        <v>1957FTW</v>
      </c>
      <c r="E49" s="246">
        <v>108.6748</v>
      </c>
    </row>
    <row r="50">
      <c r="A50" s="245" t="s">
        <v>474</v>
      </c>
      <c r="B50" s="245">
        <f t="shared" si="1"/>
        <v>1957</v>
      </c>
      <c r="C50" s="245" t="s">
        <v>465</v>
      </c>
      <c r="D50" s="246" t="str">
        <f t="shared" si="2"/>
        <v>1957MNL</v>
      </c>
      <c r="E50" s="246">
        <v>113.3321</v>
      </c>
    </row>
    <row r="51">
      <c r="A51" s="245" t="s">
        <v>474</v>
      </c>
      <c r="B51" s="245">
        <f t="shared" si="1"/>
        <v>1957</v>
      </c>
      <c r="C51" s="245" t="s">
        <v>466</v>
      </c>
      <c r="D51" s="246" t="str">
        <f t="shared" si="2"/>
        <v>1957NYK</v>
      </c>
      <c r="E51" s="246">
        <v>110.6451</v>
      </c>
    </row>
    <row r="52">
      <c r="A52" s="245" t="s">
        <v>474</v>
      </c>
      <c r="B52" s="245">
        <f t="shared" si="1"/>
        <v>1957</v>
      </c>
      <c r="C52" s="245" t="s">
        <v>467</v>
      </c>
      <c r="D52" s="246" t="str">
        <f t="shared" si="2"/>
        <v>1957PHW</v>
      </c>
      <c r="E52" s="246">
        <v>109.0101</v>
      </c>
    </row>
    <row r="53">
      <c r="A53" s="245" t="s">
        <v>474</v>
      </c>
      <c r="B53" s="245">
        <f t="shared" si="1"/>
        <v>1957</v>
      </c>
      <c r="C53" s="245" t="s">
        <v>468</v>
      </c>
      <c r="D53" s="246" t="str">
        <f t="shared" si="2"/>
        <v>1957ROC</v>
      </c>
      <c r="E53" s="246">
        <v>109.6581</v>
      </c>
    </row>
    <row r="54">
      <c r="A54" s="245" t="s">
        <v>474</v>
      </c>
      <c r="B54" s="245">
        <f t="shared" si="1"/>
        <v>1957</v>
      </c>
      <c r="C54" s="245" t="s">
        <v>21</v>
      </c>
      <c r="D54" s="246" t="str">
        <f t="shared" si="2"/>
        <v>1957STL</v>
      </c>
      <c r="E54" s="246">
        <v>109.882</v>
      </c>
    </row>
    <row r="55">
      <c r="A55" s="245" t="s">
        <v>474</v>
      </c>
      <c r="B55" s="245">
        <f t="shared" si="1"/>
        <v>1957</v>
      </c>
      <c r="C55" s="245" t="s">
        <v>469</v>
      </c>
      <c r="D55" s="246" t="str">
        <f t="shared" si="2"/>
        <v>1957SYR</v>
      </c>
      <c r="E55" s="246">
        <v>110.3982</v>
      </c>
    </row>
    <row r="56">
      <c r="A56" s="245" t="s">
        <v>475</v>
      </c>
      <c r="B56" s="245">
        <f t="shared" si="1"/>
        <v>1958</v>
      </c>
      <c r="C56" s="245" t="s">
        <v>461</v>
      </c>
      <c r="D56" s="246" t="str">
        <f t="shared" si="2"/>
        <v>1958BOS</v>
      </c>
      <c r="E56" s="246">
        <v>121.8161</v>
      </c>
    </row>
    <row r="57">
      <c r="A57" s="245" t="s">
        <v>475</v>
      </c>
      <c r="B57" s="245">
        <f t="shared" si="1"/>
        <v>1958</v>
      </c>
      <c r="C57" s="245" t="s">
        <v>476</v>
      </c>
      <c r="D57" s="246" t="str">
        <f t="shared" si="2"/>
        <v>1958CIN</v>
      </c>
      <c r="E57" s="246">
        <v>118.2331</v>
      </c>
    </row>
    <row r="58">
      <c r="A58" s="245" t="s">
        <v>475</v>
      </c>
      <c r="B58" s="245">
        <f t="shared" si="1"/>
        <v>1958</v>
      </c>
      <c r="C58" s="245" t="s">
        <v>477</v>
      </c>
      <c r="D58" s="246" t="str">
        <f t="shared" si="2"/>
        <v>1958DET</v>
      </c>
      <c r="E58" s="246">
        <v>119.2719</v>
      </c>
    </row>
    <row r="59">
      <c r="A59" s="245" t="s">
        <v>475</v>
      </c>
      <c r="B59" s="245">
        <f t="shared" si="1"/>
        <v>1958</v>
      </c>
      <c r="C59" s="245" t="s">
        <v>465</v>
      </c>
      <c r="D59" s="246" t="str">
        <f t="shared" si="2"/>
        <v>1958MNL</v>
      </c>
      <c r="E59" s="246">
        <v>121.3006</v>
      </c>
    </row>
    <row r="60">
      <c r="A60" s="245" t="s">
        <v>475</v>
      </c>
      <c r="B60" s="245">
        <f t="shared" si="1"/>
        <v>1958</v>
      </c>
      <c r="C60" s="245" t="s">
        <v>466</v>
      </c>
      <c r="D60" s="246" t="str">
        <f t="shared" si="2"/>
        <v>1958NYK</v>
      </c>
      <c r="E60" s="246">
        <v>121.0082</v>
      </c>
    </row>
    <row r="61">
      <c r="A61" s="245" t="s">
        <v>475</v>
      </c>
      <c r="B61" s="245">
        <f t="shared" si="1"/>
        <v>1958</v>
      </c>
      <c r="C61" s="245" t="s">
        <v>467</v>
      </c>
      <c r="D61" s="246" t="str">
        <f t="shared" si="2"/>
        <v>1958PHW</v>
      </c>
      <c r="E61" s="246">
        <v>118.0902</v>
      </c>
    </row>
    <row r="62">
      <c r="A62" s="245" t="s">
        <v>475</v>
      </c>
      <c r="B62" s="245">
        <f t="shared" si="1"/>
        <v>1958</v>
      </c>
      <c r="C62" s="245" t="s">
        <v>21</v>
      </c>
      <c r="D62" s="246" t="str">
        <f t="shared" si="2"/>
        <v>1958STL</v>
      </c>
      <c r="E62" s="246">
        <v>120.4349</v>
      </c>
    </row>
    <row r="63">
      <c r="A63" s="245" t="s">
        <v>475</v>
      </c>
      <c r="B63" s="245">
        <f t="shared" si="1"/>
        <v>1958</v>
      </c>
      <c r="C63" s="245" t="s">
        <v>469</v>
      </c>
      <c r="D63" s="246" t="str">
        <f t="shared" si="2"/>
        <v>1958SYR</v>
      </c>
      <c r="E63" s="246">
        <v>118.2111</v>
      </c>
    </row>
    <row r="64">
      <c r="A64" s="245" t="s">
        <v>478</v>
      </c>
      <c r="B64" s="245">
        <f t="shared" si="1"/>
        <v>1959</v>
      </c>
      <c r="C64" s="245" t="s">
        <v>461</v>
      </c>
      <c r="D64" s="246" t="str">
        <f t="shared" si="2"/>
        <v>1959BOS</v>
      </c>
      <c r="E64" s="246">
        <v>124.0</v>
      </c>
    </row>
    <row r="65">
      <c r="A65" s="245" t="s">
        <v>478</v>
      </c>
      <c r="B65" s="245">
        <f t="shared" si="1"/>
        <v>1959</v>
      </c>
      <c r="C65" s="245" t="s">
        <v>476</v>
      </c>
      <c r="D65" s="246" t="str">
        <f t="shared" si="2"/>
        <v>1959CIN</v>
      </c>
      <c r="E65" s="246">
        <v>119.1508</v>
      </c>
    </row>
    <row r="66">
      <c r="A66" s="245" t="s">
        <v>478</v>
      </c>
      <c r="B66" s="245">
        <f t="shared" si="1"/>
        <v>1959</v>
      </c>
      <c r="C66" s="245" t="s">
        <v>477</v>
      </c>
      <c r="D66" s="246" t="str">
        <f t="shared" si="2"/>
        <v>1959DET</v>
      </c>
      <c r="E66" s="246">
        <v>117.0302</v>
      </c>
    </row>
    <row r="67">
      <c r="A67" s="245" t="s">
        <v>478</v>
      </c>
      <c r="B67" s="245">
        <f t="shared" si="1"/>
        <v>1959</v>
      </c>
      <c r="C67" s="245" t="s">
        <v>465</v>
      </c>
      <c r="D67" s="246" t="str">
        <f t="shared" si="2"/>
        <v>1959MNL</v>
      </c>
      <c r="E67" s="246">
        <v>115.6934</v>
      </c>
    </row>
    <row r="68">
      <c r="A68" s="245" t="s">
        <v>478</v>
      </c>
      <c r="B68" s="245">
        <f t="shared" si="1"/>
        <v>1959</v>
      </c>
      <c r="C68" s="245" t="s">
        <v>466</v>
      </c>
      <c r="D68" s="246" t="str">
        <f t="shared" si="2"/>
        <v>1959NYK</v>
      </c>
      <c r="E68" s="246">
        <v>117.0047</v>
      </c>
    </row>
    <row r="69">
      <c r="A69" s="245" t="s">
        <v>478</v>
      </c>
      <c r="B69" s="245">
        <f t="shared" si="1"/>
        <v>1959</v>
      </c>
      <c r="C69" s="245" t="s">
        <v>467</v>
      </c>
      <c r="D69" s="246" t="str">
        <f t="shared" si="2"/>
        <v>1959PHW</v>
      </c>
      <c r="E69" s="246">
        <v>117.1061</v>
      </c>
    </row>
    <row r="70">
      <c r="A70" s="245" t="s">
        <v>478</v>
      </c>
      <c r="B70" s="245">
        <f t="shared" si="1"/>
        <v>1959</v>
      </c>
      <c r="C70" s="245" t="s">
        <v>21</v>
      </c>
      <c r="D70" s="246" t="str">
        <f t="shared" si="2"/>
        <v>1959STL</v>
      </c>
      <c r="E70" s="246">
        <v>115.7447</v>
      </c>
    </row>
    <row r="71">
      <c r="A71" s="245" t="s">
        <v>478</v>
      </c>
      <c r="B71" s="245">
        <f t="shared" si="1"/>
        <v>1959</v>
      </c>
      <c r="C71" s="245" t="s">
        <v>469</v>
      </c>
      <c r="D71" s="246" t="str">
        <f t="shared" si="2"/>
        <v>1959SYR</v>
      </c>
      <c r="E71" s="246">
        <v>118.5452</v>
      </c>
    </row>
    <row r="72">
      <c r="A72" s="245" t="s">
        <v>479</v>
      </c>
      <c r="B72" s="245">
        <f t="shared" si="1"/>
        <v>1960</v>
      </c>
      <c r="C72" s="245" t="s">
        <v>461</v>
      </c>
      <c r="D72" s="246" t="str">
        <f t="shared" si="2"/>
        <v>1960BOS</v>
      </c>
      <c r="E72" s="246">
        <v>133.9</v>
      </c>
    </row>
    <row r="73">
      <c r="A73" s="245" t="s">
        <v>479</v>
      </c>
      <c r="B73" s="245">
        <f t="shared" si="1"/>
        <v>1960</v>
      </c>
      <c r="C73" s="245" t="s">
        <v>476</v>
      </c>
      <c r="D73" s="246" t="str">
        <f t="shared" si="2"/>
        <v>1960CIN</v>
      </c>
      <c r="E73" s="246">
        <v>125.1</v>
      </c>
    </row>
    <row r="74">
      <c r="A74" s="245" t="s">
        <v>479</v>
      </c>
      <c r="B74" s="245">
        <f t="shared" si="1"/>
        <v>1960</v>
      </c>
      <c r="C74" s="245" t="s">
        <v>477</v>
      </c>
      <c r="D74" s="246" t="str">
        <f t="shared" si="2"/>
        <v>1960DET</v>
      </c>
      <c r="E74" s="246">
        <v>125.964</v>
      </c>
    </row>
    <row r="75">
      <c r="A75" s="245" t="s">
        <v>479</v>
      </c>
      <c r="B75" s="245">
        <f t="shared" si="1"/>
        <v>1960</v>
      </c>
      <c r="C75" s="245" t="s">
        <v>465</v>
      </c>
      <c r="D75" s="246" t="str">
        <f t="shared" si="2"/>
        <v>1960MNL</v>
      </c>
      <c r="E75" s="246">
        <v>123.917</v>
      </c>
    </row>
    <row r="76">
      <c r="A76" s="245" t="s">
        <v>479</v>
      </c>
      <c r="B76" s="245">
        <f t="shared" si="1"/>
        <v>1960</v>
      </c>
      <c r="C76" s="245" t="s">
        <v>466</v>
      </c>
      <c r="D76" s="246" t="str">
        <f t="shared" si="2"/>
        <v>1960NYK</v>
      </c>
      <c r="E76" s="246">
        <v>126.7317</v>
      </c>
    </row>
    <row r="77">
      <c r="A77" s="245" t="s">
        <v>479</v>
      </c>
      <c r="B77" s="245">
        <f t="shared" si="1"/>
        <v>1960</v>
      </c>
      <c r="C77" s="245" t="s">
        <v>467</v>
      </c>
      <c r="D77" s="246" t="str">
        <f t="shared" si="2"/>
        <v>1960PHW</v>
      </c>
      <c r="E77" s="246">
        <v>131.146</v>
      </c>
    </row>
    <row r="78">
      <c r="A78" s="245" t="s">
        <v>479</v>
      </c>
      <c r="B78" s="245">
        <f t="shared" si="1"/>
        <v>1960</v>
      </c>
      <c r="C78" s="245" t="s">
        <v>21</v>
      </c>
      <c r="D78" s="246" t="str">
        <f t="shared" si="2"/>
        <v>1960STL</v>
      </c>
      <c r="E78" s="246">
        <v>123.6429</v>
      </c>
    </row>
    <row r="79">
      <c r="A79" s="245" t="s">
        <v>479</v>
      </c>
      <c r="B79" s="245">
        <f t="shared" si="1"/>
        <v>1960</v>
      </c>
      <c r="C79" s="245" t="s">
        <v>469</v>
      </c>
      <c r="D79" s="246" t="str">
        <f t="shared" si="2"/>
        <v>1960SYR</v>
      </c>
      <c r="E79" s="246">
        <v>126.9731</v>
      </c>
    </row>
    <row r="80">
      <c r="A80" s="245" t="s">
        <v>480</v>
      </c>
      <c r="B80" s="245">
        <f t="shared" si="1"/>
        <v>1961</v>
      </c>
      <c r="C80" s="245" t="s">
        <v>461</v>
      </c>
      <c r="D80" s="246" t="str">
        <f t="shared" si="2"/>
        <v>1961BOS</v>
      </c>
      <c r="E80" s="246">
        <v>135.9</v>
      </c>
    </row>
    <row r="81">
      <c r="A81" s="245" t="s">
        <v>480</v>
      </c>
      <c r="B81" s="245">
        <f t="shared" si="1"/>
        <v>1961</v>
      </c>
      <c r="C81" s="245" t="s">
        <v>476</v>
      </c>
      <c r="D81" s="246" t="str">
        <f t="shared" si="2"/>
        <v>1961CIN</v>
      </c>
      <c r="E81" s="246">
        <v>128.6</v>
      </c>
    </row>
    <row r="82">
      <c r="A82" s="245" t="s">
        <v>480</v>
      </c>
      <c r="B82" s="245">
        <f t="shared" si="1"/>
        <v>1961</v>
      </c>
      <c r="C82" s="245" t="s">
        <v>477</v>
      </c>
      <c r="D82" s="246" t="str">
        <f t="shared" si="2"/>
        <v>1961DET</v>
      </c>
      <c r="E82" s="246">
        <v>132.2324</v>
      </c>
    </row>
    <row r="83">
      <c r="A83" s="245" t="s">
        <v>480</v>
      </c>
      <c r="B83" s="245">
        <f t="shared" si="1"/>
        <v>1961</v>
      </c>
      <c r="C83" s="245" t="s">
        <v>481</v>
      </c>
      <c r="D83" s="246" t="str">
        <f t="shared" si="2"/>
        <v>1961LAL</v>
      </c>
      <c r="E83" s="246">
        <v>129.399</v>
      </c>
    </row>
    <row r="84">
      <c r="A84" s="245" t="s">
        <v>480</v>
      </c>
      <c r="B84" s="245">
        <f t="shared" si="1"/>
        <v>1961</v>
      </c>
      <c r="C84" s="245" t="s">
        <v>466</v>
      </c>
      <c r="D84" s="246" t="str">
        <f t="shared" si="2"/>
        <v>1961NYK</v>
      </c>
      <c r="E84" s="246">
        <v>130.394</v>
      </c>
    </row>
    <row r="85">
      <c r="A85" s="245" t="s">
        <v>480</v>
      </c>
      <c r="B85" s="245">
        <f t="shared" si="1"/>
        <v>1961</v>
      </c>
      <c r="C85" s="245" t="s">
        <v>467</v>
      </c>
      <c r="D85" s="246" t="str">
        <f t="shared" si="2"/>
        <v>1961PHW</v>
      </c>
      <c r="E85" s="246">
        <v>135.1473</v>
      </c>
    </row>
    <row r="86">
      <c r="A86" s="245" t="s">
        <v>480</v>
      </c>
      <c r="B86" s="245">
        <f t="shared" si="1"/>
        <v>1961</v>
      </c>
      <c r="C86" s="245" t="s">
        <v>21</v>
      </c>
      <c r="D86" s="246" t="str">
        <f t="shared" si="2"/>
        <v>1961STL</v>
      </c>
      <c r="E86" s="246">
        <v>132.6007</v>
      </c>
    </row>
    <row r="87">
      <c r="A87" s="245" t="s">
        <v>480</v>
      </c>
      <c r="B87" s="245">
        <f t="shared" si="1"/>
        <v>1961</v>
      </c>
      <c r="C87" s="245" t="s">
        <v>469</v>
      </c>
      <c r="D87" s="246" t="str">
        <f t="shared" si="2"/>
        <v>1961SYR</v>
      </c>
      <c r="E87" s="246">
        <v>132.4785</v>
      </c>
    </row>
    <row r="88">
      <c r="A88" s="245" t="s">
        <v>482</v>
      </c>
      <c r="B88" s="245">
        <f t="shared" si="1"/>
        <v>1962</v>
      </c>
      <c r="C88" s="245" t="s">
        <v>461</v>
      </c>
      <c r="D88" s="246" t="str">
        <f t="shared" si="2"/>
        <v>1962BOS</v>
      </c>
      <c r="E88" s="246">
        <v>131.1</v>
      </c>
    </row>
    <row r="89">
      <c r="A89" s="245" t="s">
        <v>482</v>
      </c>
      <c r="B89" s="245">
        <f t="shared" si="1"/>
        <v>1962</v>
      </c>
      <c r="C89" s="245" t="s">
        <v>483</v>
      </c>
      <c r="D89" s="246" t="str">
        <f t="shared" si="2"/>
        <v>1962CHP</v>
      </c>
      <c r="E89" s="246">
        <v>129.7989</v>
      </c>
    </row>
    <row r="90">
      <c r="A90" s="245" t="s">
        <v>482</v>
      </c>
      <c r="B90" s="245">
        <f t="shared" si="1"/>
        <v>1962</v>
      </c>
      <c r="C90" s="245" t="s">
        <v>476</v>
      </c>
      <c r="D90" s="246" t="str">
        <f t="shared" si="2"/>
        <v>1962CIN</v>
      </c>
      <c r="E90" s="246">
        <v>129.1208</v>
      </c>
    </row>
    <row r="91">
      <c r="A91" s="245" t="s">
        <v>482</v>
      </c>
      <c r="B91" s="245">
        <f t="shared" si="1"/>
        <v>1962</v>
      </c>
      <c r="C91" s="245" t="s">
        <v>477</v>
      </c>
      <c r="D91" s="246" t="str">
        <f t="shared" si="2"/>
        <v>1962DET</v>
      </c>
      <c r="E91" s="246">
        <v>127.7203</v>
      </c>
    </row>
    <row r="92">
      <c r="A92" s="245" t="s">
        <v>482</v>
      </c>
      <c r="B92" s="245">
        <f t="shared" si="1"/>
        <v>1962</v>
      </c>
      <c r="C92" s="245" t="s">
        <v>481</v>
      </c>
      <c r="D92" s="246" t="str">
        <f t="shared" si="2"/>
        <v>1962LAL</v>
      </c>
      <c r="E92" s="246">
        <v>127.587</v>
      </c>
    </row>
    <row r="93">
      <c r="A93" s="245" t="s">
        <v>482</v>
      </c>
      <c r="B93" s="245">
        <f t="shared" si="1"/>
        <v>1962</v>
      </c>
      <c r="C93" s="245" t="s">
        <v>466</v>
      </c>
      <c r="D93" s="246" t="str">
        <f t="shared" si="2"/>
        <v>1962NYK</v>
      </c>
      <c r="E93" s="246">
        <v>130.3649</v>
      </c>
    </row>
    <row r="94">
      <c r="A94" s="245" t="s">
        <v>482</v>
      </c>
      <c r="B94" s="245">
        <f t="shared" si="1"/>
        <v>1962</v>
      </c>
      <c r="C94" s="245" t="s">
        <v>467</v>
      </c>
      <c r="D94" s="246" t="str">
        <f t="shared" si="2"/>
        <v>1962PHW</v>
      </c>
      <c r="E94" s="246">
        <v>133.7212</v>
      </c>
    </row>
    <row r="95">
      <c r="A95" s="245" t="s">
        <v>482</v>
      </c>
      <c r="B95" s="245">
        <f t="shared" si="1"/>
        <v>1962</v>
      </c>
      <c r="C95" s="245" t="s">
        <v>21</v>
      </c>
      <c r="D95" s="246" t="str">
        <f t="shared" si="2"/>
        <v>1962STL</v>
      </c>
      <c r="E95" s="246">
        <v>128.9557</v>
      </c>
    </row>
    <row r="96">
      <c r="A96" s="245" t="s">
        <v>482</v>
      </c>
      <c r="B96" s="245">
        <f t="shared" si="1"/>
        <v>1962</v>
      </c>
      <c r="C96" s="245" t="s">
        <v>469</v>
      </c>
      <c r="D96" s="246" t="str">
        <f t="shared" si="2"/>
        <v>1962SYR</v>
      </c>
      <c r="E96" s="246">
        <v>130.0157</v>
      </c>
    </row>
    <row r="97">
      <c r="A97" s="245" t="s">
        <v>484</v>
      </c>
      <c r="B97" s="245">
        <f t="shared" si="1"/>
        <v>1963</v>
      </c>
      <c r="C97" s="245" t="s">
        <v>461</v>
      </c>
      <c r="D97" s="246" t="str">
        <f t="shared" si="2"/>
        <v>1963BOS</v>
      </c>
      <c r="E97" s="246">
        <v>125.9</v>
      </c>
    </row>
    <row r="98">
      <c r="A98" s="245" t="s">
        <v>484</v>
      </c>
      <c r="B98" s="245">
        <f t="shared" si="1"/>
        <v>1963</v>
      </c>
      <c r="C98" s="245" t="s">
        <v>485</v>
      </c>
      <c r="D98" s="246" t="str">
        <f t="shared" si="2"/>
        <v>1963CHZ</v>
      </c>
      <c r="E98" s="246">
        <v>117.3</v>
      </c>
    </row>
    <row r="99">
      <c r="A99" s="245" t="s">
        <v>484</v>
      </c>
      <c r="B99" s="245">
        <f t="shared" si="1"/>
        <v>1963</v>
      </c>
      <c r="C99" s="245" t="s">
        <v>476</v>
      </c>
      <c r="D99" s="246" t="str">
        <f t="shared" si="2"/>
        <v>1963CIN</v>
      </c>
      <c r="E99" s="246">
        <v>120.9436</v>
      </c>
    </row>
    <row r="100">
      <c r="A100" s="245" t="s">
        <v>484</v>
      </c>
      <c r="B100" s="245">
        <f t="shared" si="1"/>
        <v>1963</v>
      </c>
      <c r="C100" s="245" t="s">
        <v>477</v>
      </c>
      <c r="D100" s="246" t="str">
        <f t="shared" si="2"/>
        <v>1963DET</v>
      </c>
      <c r="E100" s="246">
        <v>122.3761</v>
      </c>
    </row>
    <row r="101">
      <c r="A101" s="245" t="s">
        <v>484</v>
      </c>
      <c r="B101" s="245">
        <f t="shared" si="1"/>
        <v>1963</v>
      </c>
      <c r="C101" s="245" t="s">
        <v>481</v>
      </c>
      <c r="D101" s="246" t="str">
        <f t="shared" si="2"/>
        <v>1963LAL</v>
      </c>
      <c r="E101" s="246">
        <v>118.8233</v>
      </c>
    </row>
    <row r="102">
      <c r="A102" s="245" t="s">
        <v>484</v>
      </c>
      <c r="B102" s="245">
        <f t="shared" si="1"/>
        <v>1963</v>
      </c>
      <c r="C102" s="245" t="s">
        <v>466</v>
      </c>
      <c r="D102" s="246" t="str">
        <f t="shared" si="2"/>
        <v>1963NYK</v>
      </c>
      <c r="E102" s="246">
        <v>122.2085</v>
      </c>
    </row>
    <row r="103">
      <c r="A103" s="245" t="s">
        <v>484</v>
      </c>
      <c r="B103" s="245">
        <f t="shared" si="1"/>
        <v>1963</v>
      </c>
      <c r="C103" s="245" t="s">
        <v>486</v>
      </c>
      <c r="D103" s="246" t="str">
        <f t="shared" si="2"/>
        <v>1963SFW</v>
      </c>
      <c r="E103" s="246">
        <v>123.8504</v>
      </c>
    </row>
    <row r="104">
      <c r="A104" s="245" t="s">
        <v>484</v>
      </c>
      <c r="B104" s="245">
        <f t="shared" si="1"/>
        <v>1963</v>
      </c>
      <c r="C104" s="245" t="s">
        <v>21</v>
      </c>
      <c r="D104" s="246" t="str">
        <f t="shared" si="2"/>
        <v>1963STL</v>
      </c>
      <c r="E104" s="246">
        <v>117.7579</v>
      </c>
    </row>
    <row r="105">
      <c r="A105" s="245" t="s">
        <v>484</v>
      </c>
      <c r="B105" s="245">
        <f t="shared" si="1"/>
        <v>1963</v>
      </c>
      <c r="C105" s="245" t="s">
        <v>469</v>
      </c>
      <c r="D105" s="246" t="str">
        <f t="shared" si="2"/>
        <v>1963SYR</v>
      </c>
      <c r="E105" s="246">
        <v>123.1514</v>
      </c>
    </row>
    <row r="106">
      <c r="A106" s="245" t="s">
        <v>487</v>
      </c>
      <c r="B106" s="245">
        <f t="shared" si="1"/>
        <v>1964</v>
      </c>
      <c r="C106" s="245" t="s">
        <v>488</v>
      </c>
      <c r="D106" s="246" t="str">
        <f t="shared" si="2"/>
        <v>1964BAL</v>
      </c>
      <c r="E106" s="246">
        <v>119.425</v>
      </c>
    </row>
    <row r="107">
      <c r="A107" s="245" t="s">
        <v>487</v>
      </c>
      <c r="B107" s="245">
        <f t="shared" si="1"/>
        <v>1964</v>
      </c>
      <c r="C107" s="245" t="s">
        <v>461</v>
      </c>
      <c r="D107" s="246" t="str">
        <f t="shared" si="2"/>
        <v>1964BOS</v>
      </c>
      <c r="E107" s="246">
        <v>124.9</v>
      </c>
    </row>
    <row r="108">
      <c r="A108" s="245" t="s">
        <v>487</v>
      </c>
      <c r="B108" s="245">
        <f t="shared" si="1"/>
        <v>1964</v>
      </c>
      <c r="C108" s="245" t="s">
        <v>476</v>
      </c>
      <c r="D108" s="246" t="str">
        <f t="shared" si="2"/>
        <v>1964CIN</v>
      </c>
      <c r="E108" s="246">
        <v>118.1415</v>
      </c>
    </row>
    <row r="109">
      <c r="A109" s="245" t="s">
        <v>487</v>
      </c>
      <c r="B109" s="245">
        <f t="shared" si="1"/>
        <v>1964</v>
      </c>
      <c r="C109" s="245" t="s">
        <v>477</v>
      </c>
      <c r="D109" s="246" t="str">
        <f t="shared" si="2"/>
        <v>1964DET</v>
      </c>
      <c r="E109" s="246">
        <v>120.4682</v>
      </c>
    </row>
    <row r="110">
      <c r="A110" s="245" t="s">
        <v>487</v>
      </c>
      <c r="B110" s="245">
        <f t="shared" si="1"/>
        <v>1964</v>
      </c>
      <c r="C110" s="245" t="s">
        <v>481</v>
      </c>
      <c r="D110" s="246" t="str">
        <f t="shared" si="2"/>
        <v>1964LAL</v>
      </c>
      <c r="E110" s="246">
        <v>115.296</v>
      </c>
    </row>
    <row r="111">
      <c r="A111" s="245" t="s">
        <v>487</v>
      </c>
      <c r="B111" s="245">
        <f t="shared" si="1"/>
        <v>1964</v>
      </c>
      <c r="C111" s="245" t="s">
        <v>466</v>
      </c>
      <c r="D111" s="246" t="str">
        <f t="shared" si="2"/>
        <v>1964NYK</v>
      </c>
      <c r="E111" s="246">
        <v>121.9249</v>
      </c>
    </row>
    <row r="112">
      <c r="A112" s="245" t="s">
        <v>487</v>
      </c>
      <c r="B112" s="245">
        <f t="shared" si="1"/>
        <v>1964</v>
      </c>
      <c r="C112" s="245" t="s">
        <v>489</v>
      </c>
      <c r="D112" s="246" t="str">
        <f t="shared" si="2"/>
        <v>1964PHI</v>
      </c>
      <c r="E112" s="246">
        <v>121.2399</v>
      </c>
    </row>
    <row r="113">
      <c r="A113" s="245" t="s">
        <v>487</v>
      </c>
      <c r="B113" s="245">
        <f t="shared" si="1"/>
        <v>1964</v>
      </c>
      <c r="C113" s="245" t="s">
        <v>486</v>
      </c>
      <c r="D113" s="246" t="str">
        <f t="shared" si="2"/>
        <v>1964SFW</v>
      </c>
      <c r="E113" s="246">
        <v>117.1662</v>
      </c>
    </row>
    <row r="114">
      <c r="A114" s="245" t="s">
        <v>487</v>
      </c>
      <c r="B114" s="245">
        <f t="shared" si="1"/>
        <v>1964</v>
      </c>
      <c r="C114" s="245" t="s">
        <v>21</v>
      </c>
      <c r="D114" s="246" t="str">
        <f t="shared" si="2"/>
        <v>1964STL</v>
      </c>
      <c r="E114" s="246">
        <v>117.5945</v>
      </c>
    </row>
    <row r="115">
      <c r="A115" s="245" t="s">
        <v>490</v>
      </c>
      <c r="B115" s="245">
        <f t="shared" si="1"/>
        <v>1965</v>
      </c>
      <c r="C115" s="245" t="s">
        <v>488</v>
      </c>
      <c r="D115" s="246" t="str">
        <f t="shared" si="2"/>
        <v>1965BAL</v>
      </c>
      <c r="E115" s="246">
        <v>120.6348</v>
      </c>
    </row>
    <row r="116">
      <c r="A116" s="245" t="s">
        <v>490</v>
      </c>
      <c r="B116" s="245">
        <f t="shared" si="1"/>
        <v>1965</v>
      </c>
      <c r="C116" s="245" t="s">
        <v>461</v>
      </c>
      <c r="D116" s="246" t="str">
        <f t="shared" si="2"/>
        <v>1965BOS</v>
      </c>
      <c r="E116" s="246">
        <v>122.8</v>
      </c>
    </row>
    <row r="117">
      <c r="A117" s="245" t="s">
        <v>490</v>
      </c>
      <c r="B117" s="245">
        <f t="shared" si="1"/>
        <v>1965</v>
      </c>
      <c r="C117" s="245" t="s">
        <v>476</v>
      </c>
      <c r="D117" s="246" t="str">
        <f t="shared" si="2"/>
        <v>1965CIN</v>
      </c>
      <c r="E117" s="246">
        <v>118.3403</v>
      </c>
    </row>
    <row r="118">
      <c r="A118" s="245" t="s">
        <v>490</v>
      </c>
      <c r="B118" s="245">
        <f t="shared" si="1"/>
        <v>1965</v>
      </c>
      <c r="C118" s="245" t="s">
        <v>477</v>
      </c>
      <c r="D118" s="246" t="str">
        <f t="shared" si="2"/>
        <v>1965DET</v>
      </c>
      <c r="E118" s="246">
        <v>120.5357</v>
      </c>
    </row>
    <row r="119">
      <c r="A119" s="245" t="s">
        <v>490</v>
      </c>
      <c r="B119" s="245">
        <f t="shared" si="1"/>
        <v>1965</v>
      </c>
      <c r="C119" s="245" t="s">
        <v>481</v>
      </c>
      <c r="D119" s="246" t="str">
        <f t="shared" si="2"/>
        <v>1965LAL</v>
      </c>
      <c r="E119" s="246">
        <v>117.0976</v>
      </c>
    </row>
    <row r="120">
      <c r="A120" s="245" t="s">
        <v>490</v>
      </c>
      <c r="B120" s="245">
        <f t="shared" si="1"/>
        <v>1965</v>
      </c>
      <c r="C120" s="245" t="s">
        <v>466</v>
      </c>
      <c r="D120" s="246" t="str">
        <f t="shared" si="2"/>
        <v>1965NYK</v>
      </c>
      <c r="E120" s="246">
        <v>117.5912</v>
      </c>
    </row>
    <row r="121">
      <c r="A121" s="245" t="s">
        <v>490</v>
      </c>
      <c r="B121" s="245">
        <f t="shared" si="1"/>
        <v>1965</v>
      </c>
      <c r="C121" s="245" t="s">
        <v>489</v>
      </c>
      <c r="D121" s="246" t="str">
        <f t="shared" si="2"/>
        <v>1965PHI</v>
      </c>
      <c r="E121" s="246">
        <v>120.6005</v>
      </c>
    </row>
    <row r="122">
      <c r="A122" s="245" t="s">
        <v>490</v>
      </c>
      <c r="B122" s="245">
        <f t="shared" si="1"/>
        <v>1965</v>
      </c>
      <c r="C122" s="245" t="s">
        <v>486</v>
      </c>
      <c r="D122" s="246" t="str">
        <f t="shared" si="2"/>
        <v>1965SFW</v>
      </c>
      <c r="E122" s="246">
        <v>121.1034</v>
      </c>
    </row>
    <row r="123">
      <c r="A123" s="245" t="s">
        <v>490</v>
      </c>
      <c r="B123" s="245">
        <f t="shared" si="1"/>
        <v>1965</v>
      </c>
      <c r="C123" s="245" t="s">
        <v>21</v>
      </c>
      <c r="D123" s="246" t="str">
        <f t="shared" si="2"/>
        <v>1965STL</v>
      </c>
      <c r="E123" s="246">
        <v>117.3592</v>
      </c>
    </row>
    <row r="124">
      <c r="A124" s="245" t="s">
        <v>491</v>
      </c>
      <c r="B124" s="245">
        <f t="shared" si="1"/>
        <v>1966</v>
      </c>
      <c r="C124" s="245" t="s">
        <v>488</v>
      </c>
      <c r="D124" s="246" t="str">
        <f t="shared" si="2"/>
        <v>1966BAL</v>
      </c>
      <c r="E124" s="246">
        <v>126.5944</v>
      </c>
    </row>
    <row r="125">
      <c r="A125" s="245" t="s">
        <v>491</v>
      </c>
      <c r="B125" s="245">
        <f t="shared" si="1"/>
        <v>1966</v>
      </c>
      <c r="C125" s="245" t="s">
        <v>461</v>
      </c>
      <c r="D125" s="246" t="str">
        <f t="shared" si="2"/>
        <v>1966BOS</v>
      </c>
      <c r="E125" s="246">
        <v>122.0</v>
      </c>
    </row>
    <row r="126">
      <c r="A126" s="245" t="s">
        <v>491</v>
      </c>
      <c r="B126" s="245">
        <f t="shared" si="1"/>
        <v>1966</v>
      </c>
      <c r="C126" s="245" t="s">
        <v>476</v>
      </c>
      <c r="D126" s="246" t="str">
        <f t="shared" si="2"/>
        <v>1966CIN</v>
      </c>
      <c r="E126" s="246">
        <v>123.1398</v>
      </c>
    </row>
    <row r="127">
      <c r="A127" s="245" t="s">
        <v>491</v>
      </c>
      <c r="B127" s="245">
        <f t="shared" si="1"/>
        <v>1966</v>
      </c>
      <c r="C127" s="245" t="s">
        <v>477</v>
      </c>
      <c r="D127" s="246" t="str">
        <f t="shared" si="2"/>
        <v>1966DET</v>
      </c>
      <c r="E127" s="246">
        <v>126.0087</v>
      </c>
    </row>
    <row r="128">
      <c r="A128" s="245" t="s">
        <v>491</v>
      </c>
      <c r="B128" s="245">
        <f t="shared" si="1"/>
        <v>1966</v>
      </c>
      <c r="C128" s="245" t="s">
        <v>481</v>
      </c>
      <c r="D128" s="246" t="str">
        <f t="shared" si="2"/>
        <v>1966LAL</v>
      </c>
      <c r="E128" s="246">
        <v>124.3063</v>
      </c>
    </row>
    <row r="129">
      <c r="A129" s="245" t="s">
        <v>491</v>
      </c>
      <c r="B129" s="245">
        <f t="shared" si="1"/>
        <v>1966</v>
      </c>
      <c r="C129" s="245" t="s">
        <v>466</v>
      </c>
      <c r="D129" s="246" t="str">
        <f t="shared" si="2"/>
        <v>1966NYK</v>
      </c>
      <c r="E129" s="246">
        <v>124.7</v>
      </c>
    </row>
    <row r="130">
      <c r="A130" s="245" t="s">
        <v>491</v>
      </c>
      <c r="B130" s="245">
        <f t="shared" si="1"/>
        <v>1966</v>
      </c>
      <c r="C130" s="245" t="s">
        <v>489</v>
      </c>
      <c r="D130" s="246" t="str">
        <f t="shared" si="2"/>
        <v>1966PHI</v>
      </c>
      <c r="E130" s="246">
        <v>125.3922</v>
      </c>
    </row>
    <row r="131">
      <c r="A131" s="245" t="s">
        <v>491</v>
      </c>
      <c r="B131" s="245">
        <f t="shared" si="1"/>
        <v>1966</v>
      </c>
      <c r="C131" s="245" t="s">
        <v>486</v>
      </c>
      <c r="D131" s="246" t="str">
        <f t="shared" si="2"/>
        <v>1966SFW</v>
      </c>
      <c r="E131" s="246">
        <v>125.625</v>
      </c>
    </row>
    <row r="132">
      <c r="A132" s="245" t="s">
        <v>491</v>
      </c>
      <c r="B132" s="245">
        <f t="shared" si="1"/>
        <v>1966</v>
      </c>
      <c r="C132" s="245" t="s">
        <v>21</v>
      </c>
      <c r="D132" s="246" t="str">
        <f t="shared" si="2"/>
        <v>1966STL</v>
      </c>
      <c r="E132" s="246">
        <v>121.1786</v>
      </c>
    </row>
    <row r="133">
      <c r="A133" s="245" t="s">
        <v>492</v>
      </c>
      <c r="B133" s="245">
        <f t="shared" si="1"/>
        <v>1967</v>
      </c>
      <c r="C133" s="245" t="s">
        <v>488</v>
      </c>
      <c r="D133" s="246" t="str">
        <f t="shared" si="2"/>
        <v>1967BAL</v>
      </c>
      <c r="E133" s="246">
        <v>124.9034</v>
      </c>
    </row>
    <row r="134">
      <c r="A134" s="245" t="s">
        <v>492</v>
      </c>
      <c r="B134" s="245">
        <f t="shared" si="1"/>
        <v>1967</v>
      </c>
      <c r="C134" s="245" t="s">
        <v>461</v>
      </c>
      <c r="D134" s="246" t="str">
        <f t="shared" si="2"/>
        <v>1967BOS</v>
      </c>
      <c r="E134" s="246">
        <v>121.9772</v>
      </c>
    </row>
    <row r="135">
      <c r="A135" s="245" t="s">
        <v>492</v>
      </c>
      <c r="B135" s="245">
        <f t="shared" si="1"/>
        <v>1967</v>
      </c>
      <c r="C135" s="245" t="s">
        <v>493</v>
      </c>
      <c r="D135" s="246" t="str">
        <f t="shared" si="2"/>
        <v>1967CHI</v>
      </c>
      <c r="E135" s="246">
        <v>123.6164</v>
      </c>
    </row>
    <row r="136">
      <c r="A136" s="245" t="s">
        <v>492</v>
      </c>
      <c r="B136" s="245">
        <f t="shared" si="1"/>
        <v>1967</v>
      </c>
      <c r="C136" s="245" t="s">
        <v>476</v>
      </c>
      <c r="D136" s="246" t="str">
        <f t="shared" si="2"/>
        <v>1967CIN</v>
      </c>
      <c r="E136" s="246">
        <v>120.8417</v>
      </c>
    </row>
    <row r="137">
      <c r="A137" s="245" t="s">
        <v>492</v>
      </c>
      <c r="B137" s="245">
        <f t="shared" si="1"/>
        <v>1967</v>
      </c>
      <c r="C137" s="245" t="s">
        <v>477</v>
      </c>
      <c r="D137" s="246" t="str">
        <f t="shared" si="2"/>
        <v>1967DET</v>
      </c>
      <c r="E137" s="246">
        <v>122.4816</v>
      </c>
    </row>
    <row r="138">
      <c r="A138" s="245" t="s">
        <v>492</v>
      </c>
      <c r="B138" s="245">
        <f t="shared" si="1"/>
        <v>1967</v>
      </c>
      <c r="C138" s="245" t="s">
        <v>481</v>
      </c>
      <c r="D138" s="246" t="str">
        <f t="shared" si="2"/>
        <v>1967LAL</v>
      </c>
      <c r="E138" s="246">
        <v>124.5026</v>
      </c>
    </row>
    <row r="139">
      <c r="A139" s="245" t="s">
        <v>492</v>
      </c>
      <c r="B139" s="245">
        <f t="shared" si="1"/>
        <v>1967</v>
      </c>
      <c r="C139" s="245" t="s">
        <v>466</v>
      </c>
      <c r="D139" s="246" t="str">
        <f t="shared" si="2"/>
        <v>1967NYK</v>
      </c>
      <c r="E139" s="246">
        <v>122.7152</v>
      </c>
    </row>
    <row r="140">
      <c r="A140" s="245" t="s">
        <v>492</v>
      </c>
      <c r="B140" s="245">
        <f t="shared" si="1"/>
        <v>1967</v>
      </c>
      <c r="C140" s="245" t="s">
        <v>489</v>
      </c>
      <c r="D140" s="246" t="str">
        <f t="shared" si="2"/>
        <v>1967PHI</v>
      </c>
      <c r="E140" s="246">
        <v>125.5549</v>
      </c>
    </row>
    <row r="141">
      <c r="A141" s="245" t="s">
        <v>492</v>
      </c>
      <c r="B141" s="245">
        <f t="shared" si="1"/>
        <v>1967</v>
      </c>
      <c r="C141" s="245" t="s">
        <v>486</v>
      </c>
      <c r="D141" s="246" t="str">
        <f t="shared" si="2"/>
        <v>1967SFW</v>
      </c>
      <c r="E141" s="246">
        <v>126.1189</v>
      </c>
    </row>
    <row r="142">
      <c r="A142" s="245" t="s">
        <v>492</v>
      </c>
      <c r="B142" s="245">
        <f t="shared" si="1"/>
        <v>1967</v>
      </c>
      <c r="C142" s="245" t="s">
        <v>21</v>
      </c>
      <c r="D142" s="246" t="str">
        <f t="shared" si="2"/>
        <v>1967STL</v>
      </c>
      <c r="E142" s="246">
        <v>121.3157</v>
      </c>
    </row>
    <row r="143">
      <c r="A143" s="245" t="s">
        <v>494</v>
      </c>
      <c r="B143" s="245">
        <f t="shared" si="1"/>
        <v>1968</v>
      </c>
      <c r="C143" s="245" t="s">
        <v>488</v>
      </c>
      <c r="D143" s="246" t="str">
        <f t="shared" si="2"/>
        <v>1968BAL</v>
      </c>
      <c r="E143" s="246">
        <v>122.0426</v>
      </c>
    </row>
    <row r="144">
      <c r="A144" s="245" t="s">
        <v>494</v>
      </c>
      <c r="B144" s="245">
        <f t="shared" si="1"/>
        <v>1968</v>
      </c>
      <c r="C144" s="245" t="s">
        <v>461</v>
      </c>
      <c r="D144" s="246" t="str">
        <f t="shared" si="2"/>
        <v>1968BOS</v>
      </c>
      <c r="E144" s="246">
        <v>121.6272</v>
      </c>
    </row>
    <row r="145">
      <c r="A145" s="245" t="s">
        <v>494</v>
      </c>
      <c r="B145" s="245">
        <f t="shared" si="1"/>
        <v>1968</v>
      </c>
      <c r="C145" s="245" t="s">
        <v>493</v>
      </c>
      <c r="D145" s="246" t="str">
        <f t="shared" si="2"/>
        <v>1968CHI</v>
      </c>
      <c r="E145" s="246">
        <v>118.6652</v>
      </c>
    </row>
    <row r="146">
      <c r="A146" s="245" t="s">
        <v>494</v>
      </c>
      <c r="B146" s="245">
        <f t="shared" si="1"/>
        <v>1968</v>
      </c>
      <c r="C146" s="245" t="s">
        <v>476</v>
      </c>
      <c r="D146" s="246" t="str">
        <f t="shared" si="2"/>
        <v>1968CIN</v>
      </c>
      <c r="E146" s="246">
        <v>119.08</v>
      </c>
    </row>
    <row r="147">
      <c r="A147" s="245" t="s">
        <v>494</v>
      </c>
      <c r="B147" s="245">
        <f t="shared" si="1"/>
        <v>1968</v>
      </c>
      <c r="C147" s="245" t="s">
        <v>477</v>
      </c>
      <c r="D147" s="246" t="str">
        <f t="shared" si="2"/>
        <v>1968DET</v>
      </c>
      <c r="E147" s="246">
        <v>124.4286</v>
      </c>
    </row>
    <row r="148">
      <c r="A148" s="245" t="s">
        <v>494</v>
      </c>
      <c r="B148" s="245">
        <f t="shared" si="1"/>
        <v>1968</v>
      </c>
      <c r="C148" s="245" t="s">
        <v>481</v>
      </c>
      <c r="D148" s="246" t="str">
        <f t="shared" si="2"/>
        <v>1968LAL</v>
      </c>
      <c r="E148" s="246">
        <v>121.4651</v>
      </c>
    </row>
    <row r="149">
      <c r="A149" s="245" t="s">
        <v>494</v>
      </c>
      <c r="B149" s="245">
        <f t="shared" si="1"/>
        <v>1968</v>
      </c>
      <c r="C149" s="245" t="s">
        <v>466</v>
      </c>
      <c r="D149" s="246" t="str">
        <f t="shared" si="2"/>
        <v>1968NYK</v>
      </c>
      <c r="E149" s="246">
        <v>120.9586</v>
      </c>
    </row>
    <row r="150">
      <c r="A150" s="245" t="s">
        <v>494</v>
      </c>
      <c r="B150" s="245">
        <f t="shared" si="1"/>
        <v>1968</v>
      </c>
      <c r="C150" s="245" t="s">
        <v>489</v>
      </c>
      <c r="D150" s="246" t="str">
        <f t="shared" si="2"/>
        <v>1968PHI</v>
      </c>
      <c r="E150" s="246">
        <v>125.7207</v>
      </c>
    </row>
    <row r="151">
      <c r="A151" s="245" t="s">
        <v>494</v>
      </c>
      <c r="B151" s="245">
        <f t="shared" si="1"/>
        <v>1968</v>
      </c>
      <c r="C151" s="245" t="s">
        <v>495</v>
      </c>
      <c r="D151" s="246" t="str">
        <f t="shared" si="2"/>
        <v>1968SDR</v>
      </c>
      <c r="E151" s="246">
        <v>125.1404</v>
      </c>
    </row>
    <row r="152">
      <c r="A152" s="245" t="s">
        <v>494</v>
      </c>
      <c r="B152" s="245">
        <f t="shared" si="1"/>
        <v>1968</v>
      </c>
      <c r="C152" s="245" t="s">
        <v>496</v>
      </c>
      <c r="D152" s="246" t="str">
        <f t="shared" si="2"/>
        <v>1968SEA</v>
      </c>
      <c r="E152" s="246">
        <v>127.0249</v>
      </c>
    </row>
    <row r="153">
      <c r="A153" s="245" t="s">
        <v>494</v>
      </c>
      <c r="B153" s="245">
        <f t="shared" si="1"/>
        <v>1968</v>
      </c>
      <c r="C153" s="245" t="s">
        <v>486</v>
      </c>
      <c r="D153" s="246" t="str">
        <f t="shared" si="2"/>
        <v>1968SFW</v>
      </c>
      <c r="E153" s="246">
        <v>123.4969</v>
      </c>
    </row>
    <row r="154">
      <c r="A154" s="245" t="s">
        <v>494</v>
      </c>
      <c r="B154" s="245">
        <f t="shared" si="1"/>
        <v>1968</v>
      </c>
      <c r="C154" s="245" t="s">
        <v>21</v>
      </c>
      <c r="D154" s="246" t="str">
        <f t="shared" si="2"/>
        <v>1968STL</v>
      </c>
      <c r="E154" s="246">
        <v>117.6472</v>
      </c>
    </row>
    <row r="155">
      <c r="A155" s="245" t="s">
        <v>497</v>
      </c>
      <c r="B155" s="245">
        <f t="shared" si="1"/>
        <v>1969</v>
      </c>
      <c r="C155" s="245" t="s">
        <v>498</v>
      </c>
      <c r="D155" s="246" t="str">
        <f t="shared" si="2"/>
        <v>1969ATL</v>
      </c>
      <c r="E155" s="246">
        <v>117.8888</v>
      </c>
    </row>
    <row r="156">
      <c r="A156" s="245" t="s">
        <v>497</v>
      </c>
      <c r="B156" s="245">
        <f t="shared" si="1"/>
        <v>1969</v>
      </c>
      <c r="C156" s="245" t="s">
        <v>488</v>
      </c>
      <c r="D156" s="246" t="str">
        <f t="shared" si="2"/>
        <v>1969BAL</v>
      </c>
      <c r="E156" s="246">
        <v>121.0824</v>
      </c>
    </row>
    <row r="157">
      <c r="A157" s="245" t="s">
        <v>497</v>
      </c>
      <c r="B157" s="245">
        <f t="shared" si="1"/>
        <v>1969</v>
      </c>
      <c r="C157" s="245" t="s">
        <v>461</v>
      </c>
      <c r="D157" s="246" t="str">
        <f t="shared" si="2"/>
        <v>1969BOS</v>
      </c>
      <c r="E157" s="246">
        <v>117.9176</v>
      </c>
    </row>
    <row r="158">
      <c r="A158" s="245" t="s">
        <v>497</v>
      </c>
      <c r="B158" s="245">
        <f t="shared" si="1"/>
        <v>1969</v>
      </c>
      <c r="C158" s="245" t="s">
        <v>493</v>
      </c>
      <c r="D158" s="246" t="str">
        <f t="shared" si="2"/>
        <v>1969CHI</v>
      </c>
      <c r="E158" s="246">
        <v>115.8333</v>
      </c>
    </row>
    <row r="159">
      <c r="A159" s="245" t="s">
        <v>497</v>
      </c>
      <c r="B159" s="245">
        <f t="shared" si="1"/>
        <v>1969</v>
      </c>
      <c r="C159" s="245" t="s">
        <v>476</v>
      </c>
      <c r="D159" s="246" t="str">
        <f t="shared" si="2"/>
        <v>1969CIN</v>
      </c>
      <c r="E159" s="246">
        <v>118.407</v>
      </c>
    </row>
    <row r="160">
      <c r="A160" s="245" t="s">
        <v>497</v>
      </c>
      <c r="B160" s="245">
        <f t="shared" si="1"/>
        <v>1969</v>
      </c>
      <c r="C160" s="245" t="s">
        <v>477</v>
      </c>
      <c r="D160" s="246" t="str">
        <f t="shared" si="2"/>
        <v>1969DET</v>
      </c>
      <c r="E160" s="246">
        <v>121.221</v>
      </c>
    </row>
    <row r="161">
      <c r="A161" s="245" t="s">
        <v>497</v>
      </c>
      <c r="B161" s="245">
        <f t="shared" si="1"/>
        <v>1969</v>
      </c>
      <c r="C161" s="245" t="s">
        <v>481</v>
      </c>
      <c r="D161" s="246" t="str">
        <f t="shared" si="2"/>
        <v>1969LAL</v>
      </c>
      <c r="E161" s="246">
        <v>117.5053</v>
      </c>
    </row>
    <row r="162">
      <c r="A162" s="245" t="s">
        <v>497</v>
      </c>
      <c r="B162" s="245">
        <f t="shared" si="1"/>
        <v>1969</v>
      </c>
      <c r="C162" s="245" t="s">
        <v>499</v>
      </c>
      <c r="D162" s="246" t="str">
        <f t="shared" si="2"/>
        <v>1969MIL</v>
      </c>
      <c r="E162" s="246">
        <v>120.1075</v>
      </c>
    </row>
    <row r="163">
      <c r="A163" s="245" t="s">
        <v>497</v>
      </c>
      <c r="B163" s="245">
        <f t="shared" si="1"/>
        <v>1969</v>
      </c>
      <c r="C163" s="245" t="s">
        <v>466</v>
      </c>
      <c r="D163" s="246" t="str">
        <f t="shared" si="2"/>
        <v>1969NYK</v>
      </c>
      <c r="E163" s="246">
        <v>115.408</v>
      </c>
    </row>
    <row r="164">
      <c r="A164" s="245" t="s">
        <v>497</v>
      </c>
      <c r="B164" s="245">
        <f t="shared" si="1"/>
        <v>1969</v>
      </c>
      <c r="C164" s="245" t="s">
        <v>489</v>
      </c>
      <c r="D164" s="246" t="str">
        <f t="shared" si="2"/>
        <v>1969PHI</v>
      </c>
      <c r="E164" s="246">
        <v>121.9807</v>
      </c>
    </row>
    <row r="165">
      <c r="A165" s="245" t="s">
        <v>497</v>
      </c>
      <c r="B165" s="245">
        <f t="shared" si="1"/>
        <v>1969</v>
      </c>
      <c r="C165" s="245" t="s">
        <v>500</v>
      </c>
      <c r="D165" s="246" t="str">
        <f t="shared" si="2"/>
        <v>1969PHO</v>
      </c>
      <c r="E165" s="246">
        <v>123.7236</v>
      </c>
    </row>
    <row r="166">
      <c r="A166" s="245" t="s">
        <v>497</v>
      </c>
      <c r="B166" s="245">
        <f t="shared" si="1"/>
        <v>1969</v>
      </c>
      <c r="C166" s="245" t="s">
        <v>495</v>
      </c>
      <c r="D166" s="246" t="str">
        <f t="shared" si="2"/>
        <v>1969SDR</v>
      </c>
      <c r="E166" s="246">
        <v>123.9914</v>
      </c>
    </row>
    <row r="167">
      <c r="A167" s="245" t="s">
        <v>497</v>
      </c>
      <c r="B167" s="245">
        <f t="shared" si="1"/>
        <v>1969</v>
      </c>
      <c r="C167" s="245" t="s">
        <v>496</v>
      </c>
      <c r="D167" s="246" t="str">
        <f t="shared" si="2"/>
        <v>1969SEA</v>
      </c>
      <c r="E167" s="246">
        <v>121.8657</v>
      </c>
    </row>
    <row r="168">
      <c r="A168" s="245" t="s">
        <v>497</v>
      </c>
      <c r="B168" s="245">
        <f t="shared" si="1"/>
        <v>1969</v>
      </c>
      <c r="C168" s="245" t="s">
        <v>486</v>
      </c>
      <c r="D168" s="246" t="str">
        <f t="shared" si="2"/>
        <v>1969SFW</v>
      </c>
      <c r="E168" s="246">
        <v>118.3188</v>
      </c>
    </row>
    <row r="169">
      <c r="A169" s="245" t="s">
        <v>501</v>
      </c>
      <c r="B169" s="245">
        <f t="shared" si="1"/>
        <v>1970</v>
      </c>
      <c r="C169" s="245" t="s">
        <v>498</v>
      </c>
      <c r="D169" s="246" t="str">
        <f t="shared" si="2"/>
        <v>1970ATL</v>
      </c>
      <c r="E169" s="246">
        <v>116.3093</v>
      </c>
    </row>
    <row r="170">
      <c r="A170" s="245" t="s">
        <v>501</v>
      </c>
      <c r="B170" s="245">
        <f t="shared" si="1"/>
        <v>1970</v>
      </c>
      <c r="C170" s="245" t="s">
        <v>488</v>
      </c>
      <c r="D170" s="246" t="str">
        <f t="shared" si="2"/>
        <v>1970BAL</v>
      </c>
      <c r="E170" s="246">
        <v>118.6516</v>
      </c>
    </row>
    <row r="171">
      <c r="A171" s="245" t="s">
        <v>501</v>
      </c>
      <c r="B171" s="245">
        <f t="shared" si="1"/>
        <v>1970</v>
      </c>
      <c r="C171" s="245" t="s">
        <v>461</v>
      </c>
      <c r="D171" s="246" t="str">
        <f t="shared" si="2"/>
        <v>1970BOS</v>
      </c>
      <c r="E171" s="246">
        <v>117.4987</v>
      </c>
    </row>
    <row r="172">
      <c r="A172" s="245" t="s">
        <v>501</v>
      </c>
      <c r="B172" s="245">
        <f t="shared" si="1"/>
        <v>1970</v>
      </c>
      <c r="C172" s="245" t="s">
        <v>493</v>
      </c>
      <c r="D172" s="246" t="str">
        <f t="shared" si="2"/>
        <v>1970CHI</v>
      </c>
      <c r="E172" s="246">
        <v>116.8996</v>
      </c>
    </row>
    <row r="173">
      <c r="A173" s="245" t="s">
        <v>501</v>
      </c>
      <c r="B173" s="245">
        <f t="shared" si="1"/>
        <v>1970</v>
      </c>
      <c r="C173" s="245" t="s">
        <v>476</v>
      </c>
      <c r="D173" s="246" t="str">
        <f t="shared" si="2"/>
        <v>1970CIN</v>
      </c>
      <c r="E173" s="246">
        <v>119.9002</v>
      </c>
    </row>
    <row r="174">
      <c r="A174" s="245" t="s">
        <v>501</v>
      </c>
      <c r="B174" s="245">
        <f t="shared" si="1"/>
        <v>1970</v>
      </c>
      <c r="C174" s="245" t="s">
        <v>477</v>
      </c>
      <c r="D174" s="246" t="str">
        <f t="shared" si="2"/>
        <v>1970DET</v>
      </c>
      <c r="E174" s="246">
        <v>115.2905</v>
      </c>
    </row>
    <row r="175">
      <c r="A175" s="245" t="s">
        <v>501</v>
      </c>
      <c r="B175" s="245">
        <f t="shared" si="1"/>
        <v>1970</v>
      </c>
      <c r="C175" s="245" t="s">
        <v>481</v>
      </c>
      <c r="D175" s="246" t="str">
        <f t="shared" si="2"/>
        <v>1970LAL</v>
      </c>
      <c r="E175" s="246">
        <v>114.498</v>
      </c>
    </row>
    <row r="176">
      <c r="A176" s="245" t="s">
        <v>501</v>
      </c>
      <c r="B176" s="245">
        <f t="shared" si="1"/>
        <v>1970</v>
      </c>
      <c r="C176" s="245" t="s">
        <v>499</v>
      </c>
      <c r="D176" s="246" t="str">
        <f t="shared" si="2"/>
        <v>1970MIL</v>
      </c>
      <c r="E176" s="246">
        <v>116.559</v>
      </c>
    </row>
    <row r="177">
      <c r="A177" s="245" t="s">
        <v>501</v>
      </c>
      <c r="B177" s="245">
        <f t="shared" si="1"/>
        <v>1970</v>
      </c>
      <c r="C177" s="245" t="s">
        <v>466</v>
      </c>
      <c r="D177" s="246" t="str">
        <f t="shared" si="2"/>
        <v>1970NYK</v>
      </c>
      <c r="E177" s="246">
        <v>114.147</v>
      </c>
    </row>
    <row r="178">
      <c r="A178" s="245" t="s">
        <v>501</v>
      </c>
      <c r="B178" s="245">
        <f t="shared" si="1"/>
        <v>1970</v>
      </c>
      <c r="C178" s="245" t="s">
        <v>489</v>
      </c>
      <c r="D178" s="246" t="str">
        <f t="shared" si="2"/>
        <v>1970PHI</v>
      </c>
      <c r="E178" s="246">
        <v>120.4958</v>
      </c>
    </row>
    <row r="179">
      <c r="A179" s="245" t="s">
        <v>501</v>
      </c>
      <c r="B179" s="245">
        <f t="shared" si="1"/>
        <v>1970</v>
      </c>
      <c r="C179" s="245" t="s">
        <v>500</v>
      </c>
      <c r="D179" s="246" t="str">
        <f t="shared" si="2"/>
        <v>1970PHO</v>
      </c>
      <c r="E179" s="246">
        <v>119.8533</v>
      </c>
    </row>
    <row r="180">
      <c r="A180" s="245" t="s">
        <v>501</v>
      </c>
      <c r="B180" s="245">
        <f t="shared" si="1"/>
        <v>1970</v>
      </c>
      <c r="C180" s="245" t="s">
        <v>495</v>
      </c>
      <c r="D180" s="246" t="str">
        <f t="shared" si="2"/>
        <v>1970SDR</v>
      </c>
      <c r="E180" s="246">
        <v>122.9</v>
      </c>
    </row>
    <row r="181">
      <c r="A181" s="245" t="s">
        <v>501</v>
      </c>
      <c r="B181" s="245">
        <f t="shared" si="1"/>
        <v>1970</v>
      </c>
      <c r="C181" s="245" t="s">
        <v>496</v>
      </c>
      <c r="D181" s="246" t="str">
        <f t="shared" si="2"/>
        <v>1970SEA</v>
      </c>
      <c r="E181" s="246">
        <v>118.2977</v>
      </c>
    </row>
    <row r="182">
      <c r="A182" s="245" t="s">
        <v>501</v>
      </c>
      <c r="B182" s="245">
        <f t="shared" si="1"/>
        <v>1970</v>
      </c>
      <c r="C182" s="245" t="s">
        <v>486</v>
      </c>
      <c r="D182" s="246" t="str">
        <f t="shared" si="2"/>
        <v>1970SFW</v>
      </c>
      <c r="E182" s="246">
        <v>115.8492</v>
      </c>
    </row>
    <row r="183">
      <c r="A183" s="245" t="s">
        <v>502</v>
      </c>
      <c r="B183" s="245">
        <f t="shared" si="1"/>
        <v>1971</v>
      </c>
      <c r="C183" s="245" t="s">
        <v>498</v>
      </c>
      <c r="D183" s="246" t="str">
        <f t="shared" si="2"/>
        <v>1971ATL</v>
      </c>
      <c r="E183" s="246">
        <v>116.8006</v>
      </c>
    </row>
    <row r="184">
      <c r="A184" s="245" t="s">
        <v>502</v>
      </c>
      <c r="B184" s="245">
        <f t="shared" si="1"/>
        <v>1971</v>
      </c>
      <c r="C184" s="245" t="s">
        <v>488</v>
      </c>
      <c r="D184" s="246" t="str">
        <f t="shared" si="2"/>
        <v>1971BAL</v>
      </c>
      <c r="E184" s="246">
        <v>116.0347</v>
      </c>
    </row>
    <row r="185">
      <c r="A185" s="245" t="s">
        <v>502</v>
      </c>
      <c r="B185" s="245">
        <f t="shared" si="1"/>
        <v>1971</v>
      </c>
      <c r="C185" s="245" t="s">
        <v>461</v>
      </c>
      <c r="D185" s="246" t="str">
        <f t="shared" si="2"/>
        <v>1971BOS</v>
      </c>
      <c r="E185" s="246">
        <v>119.6949</v>
      </c>
    </row>
    <row r="186">
      <c r="A186" s="245" t="s">
        <v>502</v>
      </c>
      <c r="B186" s="245">
        <f t="shared" si="1"/>
        <v>1971</v>
      </c>
      <c r="C186" s="245" t="s">
        <v>503</v>
      </c>
      <c r="D186" s="246" t="str">
        <f t="shared" si="2"/>
        <v>1971BUF</v>
      </c>
      <c r="E186" s="246">
        <v>115.0393</v>
      </c>
    </row>
    <row r="187">
      <c r="A187" s="245" t="s">
        <v>502</v>
      </c>
      <c r="B187" s="245">
        <f t="shared" si="1"/>
        <v>1971</v>
      </c>
      <c r="C187" s="245" t="s">
        <v>493</v>
      </c>
      <c r="D187" s="246" t="str">
        <f t="shared" si="2"/>
        <v>1971CHI</v>
      </c>
      <c r="E187" s="246">
        <v>111.8308</v>
      </c>
    </row>
    <row r="188">
      <c r="A188" s="245" t="s">
        <v>502</v>
      </c>
      <c r="B188" s="245">
        <f t="shared" si="1"/>
        <v>1971</v>
      </c>
      <c r="C188" s="245" t="s">
        <v>476</v>
      </c>
      <c r="D188" s="246" t="str">
        <f t="shared" si="2"/>
        <v>1971CIN</v>
      </c>
      <c r="E188" s="246">
        <v>120.1106</v>
      </c>
    </row>
    <row r="189">
      <c r="A189" s="245" t="s">
        <v>502</v>
      </c>
      <c r="B189" s="245">
        <f t="shared" si="1"/>
        <v>1971</v>
      </c>
      <c r="C189" s="245" t="s">
        <v>25</v>
      </c>
      <c r="D189" s="246" t="str">
        <f t="shared" si="2"/>
        <v>1971CLE</v>
      </c>
      <c r="E189" s="246">
        <v>115.5</v>
      </c>
    </row>
    <row r="190">
      <c r="A190" s="245" t="s">
        <v>502</v>
      </c>
      <c r="B190" s="245">
        <f t="shared" si="1"/>
        <v>1971</v>
      </c>
      <c r="C190" s="245" t="s">
        <v>477</v>
      </c>
      <c r="D190" s="246" t="str">
        <f t="shared" si="2"/>
        <v>1971DET</v>
      </c>
      <c r="E190" s="246">
        <v>114.1207</v>
      </c>
    </row>
    <row r="191">
      <c r="A191" s="245" t="s">
        <v>502</v>
      </c>
      <c r="B191" s="245">
        <f t="shared" si="1"/>
        <v>1971</v>
      </c>
      <c r="C191" s="245" t="s">
        <v>481</v>
      </c>
      <c r="D191" s="246" t="str">
        <f t="shared" si="2"/>
        <v>1971LAL</v>
      </c>
      <c r="E191" s="246">
        <v>115.7643</v>
      </c>
    </row>
    <row r="192">
      <c r="A192" s="245" t="s">
        <v>502</v>
      </c>
      <c r="B192" s="245">
        <f t="shared" si="1"/>
        <v>1971</v>
      </c>
      <c r="C192" s="245" t="s">
        <v>499</v>
      </c>
      <c r="D192" s="246" t="str">
        <f t="shared" si="2"/>
        <v>1971MIL</v>
      </c>
      <c r="E192" s="246">
        <v>113.9621</v>
      </c>
    </row>
    <row r="193">
      <c r="A193" s="245" t="s">
        <v>502</v>
      </c>
      <c r="B193" s="245">
        <f t="shared" si="1"/>
        <v>1971</v>
      </c>
      <c r="C193" s="245" t="s">
        <v>466</v>
      </c>
      <c r="D193" s="246" t="str">
        <f t="shared" si="2"/>
        <v>1971NYK</v>
      </c>
      <c r="E193" s="246">
        <v>112.9201</v>
      </c>
    </row>
    <row r="194">
      <c r="A194" s="245" t="s">
        <v>502</v>
      </c>
      <c r="B194" s="245">
        <f t="shared" si="1"/>
        <v>1971</v>
      </c>
      <c r="C194" s="245" t="s">
        <v>489</v>
      </c>
      <c r="D194" s="246" t="str">
        <f t="shared" si="2"/>
        <v>1971PHI</v>
      </c>
      <c r="E194" s="246">
        <v>117.7435</v>
      </c>
    </row>
    <row r="195">
      <c r="A195" s="245" t="s">
        <v>502</v>
      </c>
      <c r="B195" s="245">
        <f t="shared" si="1"/>
        <v>1971</v>
      </c>
      <c r="C195" s="245" t="s">
        <v>500</v>
      </c>
      <c r="D195" s="246" t="str">
        <f t="shared" si="2"/>
        <v>1971PHO</v>
      </c>
      <c r="E195" s="246">
        <v>117.4172</v>
      </c>
    </row>
    <row r="196">
      <c r="A196" s="245" t="s">
        <v>502</v>
      </c>
      <c r="B196" s="245">
        <f t="shared" si="1"/>
        <v>1971</v>
      </c>
      <c r="C196" s="245" t="s">
        <v>504</v>
      </c>
      <c r="D196" s="246" t="str">
        <f t="shared" si="2"/>
        <v>1971POR</v>
      </c>
      <c r="E196" s="246">
        <v>121.7056</v>
      </c>
    </row>
    <row r="197">
      <c r="A197" s="245" t="s">
        <v>502</v>
      </c>
      <c r="B197" s="245">
        <f t="shared" si="1"/>
        <v>1971</v>
      </c>
      <c r="C197" s="245" t="s">
        <v>495</v>
      </c>
      <c r="D197" s="246" t="str">
        <f t="shared" si="2"/>
        <v>1971SDR</v>
      </c>
      <c r="E197" s="246">
        <v>119.2782</v>
      </c>
    </row>
    <row r="198">
      <c r="A198" s="245" t="s">
        <v>502</v>
      </c>
      <c r="B198" s="245">
        <f t="shared" si="1"/>
        <v>1971</v>
      </c>
      <c r="C198" s="245" t="s">
        <v>496</v>
      </c>
      <c r="D198" s="246" t="str">
        <f t="shared" si="2"/>
        <v>1971SEA</v>
      </c>
      <c r="E198" s="246">
        <v>117.5374</v>
      </c>
    </row>
    <row r="199">
      <c r="A199" s="245" t="s">
        <v>502</v>
      </c>
      <c r="B199" s="245">
        <f t="shared" si="1"/>
        <v>1971</v>
      </c>
      <c r="C199" s="245" t="s">
        <v>486</v>
      </c>
      <c r="D199" s="246" t="str">
        <f t="shared" si="2"/>
        <v>1971SFW</v>
      </c>
      <c r="E199" s="246">
        <v>111.225</v>
      </c>
    </row>
    <row r="200">
      <c r="A200" s="245" t="s">
        <v>505</v>
      </c>
      <c r="B200" s="245">
        <f t="shared" si="1"/>
        <v>1972</v>
      </c>
      <c r="C200" s="245" t="s">
        <v>498</v>
      </c>
      <c r="D200" s="246" t="str">
        <f t="shared" si="2"/>
        <v>1972ATL</v>
      </c>
      <c r="E200" s="246">
        <v>111.4707</v>
      </c>
    </row>
    <row r="201">
      <c r="A201" s="245" t="s">
        <v>505</v>
      </c>
      <c r="B201" s="245">
        <f t="shared" si="1"/>
        <v>1972</v>
      </c>
      <c r="C201" s="245" t="s">
        <v>488</v>
      </c>
      <c r="D201" s="246" t="str">
        <f t="shared" si="2"/>
        <v>1972BAL</v>
      </c>
      <c r="E201" s="246">
        <v>109.7545</v>
      </c>
    </row>
    <row r="202">
      <c r="A202" s="245" t="s">
        <v>505</v>
      </c>
      <c r="B202" s="245">
        <f t="shared" si="1"/>
        <v>1972</v>
      </c>
      <c r="C202" s="245" t="s">
        <v>461</v>
      </c>
      <c r="D202" s="246" t="str">
        <f t="shared" si="2"/>
        <v>1972BOS</v>
      </c>
      <c r="E202" s="246">
        <v>115.6</v>
      </c>
    </row>
    <row r="203">
      <c r="A203" s="245" t="s">
        <v>505</v>
      </c>
      <c r="B203" s="245">
        <f t="shared" si="1"/>
        <v>1972</v>
      </c>
      <c r="C203" s="245" t="s">
        <v>503</v>
      </c>
      <c r="D203" s="246" t="str">
        <f t="shared" si="2"/>
        <v>1972BUF</v>
      </c>
      <c r="E203" s="246">
        <v>111.2403</v>
      </c>
    </row>
    <row r="204">
      <c r="A204" s="245" t="s">
        <v>505</v>
      </c>
      <c r="B204" s="245">
        <f t="shared" si="1"/>
        <v>1972</v>
      </c>
      <c r="C204" s="245" t="s">
        <v>493</v>
      </c>
      <c r="D204" s="246" t="str">
        <f t="shared" si="2"/>
        <v>1972CHI</v>
      </c>
      <c r="E204" s="246">
        <v>111.6432</v>
      </c>
    </row>
    <row r="205">
      <c r="A205" s="245" t="s">
        <v>505</v>
      </c>
      <c r="B205" s="245">
        <f t="shared" si="1"/>
        <v>1972</v>
      </c>
      <c r="C205" s="245" t="s">
        <v>476</v>
      </c>
      <c r="D205" s="246" t="str">
        <f t="shared" si="2"/>
        <v>1972CIN</v>
      </c>
      <c r="E205" s="246">
        <v>111.573</v>
      </c>
    </row>
    <row r="206">
      <c r="A206" s="245" t="s">
        <v>505</v>
      </c>
      <c r="B206" s="245">
        <f t="shared" si="1"/>
        <v>1972</v>
      </c>
      <c r="C206" s="245" t="s">
        <v>25</v>
      </c>
      <c r="D206" s="246" t="str">
        <f t="shared" si="2"/>
        <v>1972CLE</v>
      </c>
      <c r="E206" s="246">
        <v>114.3079</v>
      </c>
    </row>
    <row r="207">
      <c r="A207" s="245" t="s">
        <v>505</v>
      </c>
      <c r="B207" s="245">
        <f t="shared" si="1"/>
        <v>1972</v>
      </c>
      <c r="C207" s="245" t="s">
        <v>477</v>
      </c>
      <c r="D207" s="246" t="str">
        <f t="shared" si="2"/>
        <v>1972DET</v>
      </c>
      <c r="E207" s="246">
        <v>113.3149</v>
      </c>
    </row>
    <row r="208">
      <c r="A208" s="245" t="s">
        <v>505</v>
      </c>
      <c r="B208" s="245">
        <f t="shared" si="1"/>
        <v>1972</v>
      </c>
      <c r="C208" s="245" t="s">
        <v>311</v>
      </c>
      <c r="D208" s="246" t="str">
        <f t="shared" si="2"/>
        <v>1972GSW</v>
      </c>
      <c r="E208" s="246">
        <v>111.0175</v>
      </c>
    </row>
    <row r="209">
      <c r="A209" s="245" t="s">
        <v>505</v>
      </c>
      <c r="B209" s="245">
        <f t="shared" si="1"/>
        <v>1972</v>
      </c>
      <c r="C209" s="245" t="s">
        <v>506</v>
      </c>
      <c r="D209" s="246" t="str">
        <f t="shared" si="2"/>
        <v>1972HOU</v>
      </c>
      <c r="E209" s="246">
        <v>113.7302</v>
      </c>
    </row>
    <row r="210">
      <c r="A210" s="245" t="s">
        <v>505</v>
      </c>
      <c r="B210" s="245">
        <f t="shared" si="1"/>
        <v>1972</v>
      </c>
      <c r="C210" s="245" t="s">
        <v>481</v>
      </c>
      <c r="D210" s="246" t="str">
        <f t="shared" si="2"/>
        <v>1972LAL</v>
      </c>
      <c r="E210" s="246">
        <v>116.3883</v>
      </c>
    </row>
    <row r="211">
      <c r="A211" s="245" t="s">
        <v>505</v>
      </c>
      <c r="B211" s="245">
        <f t="shared" si="1"/>
        <v>1972</v>
      </c>
      <c r="C211" s="245" t="s">
        <v>499</v>
      </c>
      <c r="D211" s="246" t="str">
        <f t="shared" si="2"/>
        <v>1972MIL</v>
      </c>
      <c r="E211" s="246">
        <v>110.4328</v>
      </c>
    </row>
    <row r="212">
      <c r="A212" s="245" t="s">
        <v>505</v>
      </c>
      <c r="B212" s="245">
        <f t="shared" si="1"/>
        <v>1972</v>
      </c>
      <c r="C212" s="245" t="s">
        <v>466</v>
      </c>
      <c r="D212" s="246" t="str">
        <f t="shared" si="2"/>
        <v>1972NYK</v>
      </c>
      <c r="E212" s="246">
        <v>108.4972</v>
      </c>
    </row>
    <row r="213">
      <c r="A213" s="245" t="s">
        <v>505</v>
      </c>
      <c r="B213" s="245">
        <f t="shared" si="1"/>
        <v>1972</v>
      </c>
      <c r="C213" s="245" t="s">
        <v>489</v>
      </c>
      <c r="D213" s="246" t="str">
        <f t="shared" si="2"/>
        <v>1972PHI</v>
      </c>
      <c r="E213" s="246">
        <v>116.4715</v>
      </c>
    </row>
    <row r="214">
      <c r="A214" s="245" t="s">
        <v>505</v>
      </c>
      <c r="B214" s="245">
        <f t="shared" si="1"/>
        <v>1972</v>
      </c>
      <c r="C214" s="245" t="s">
        <v>500</v>
      </c>
      <c r="D214" s="246" t="str">
        <f t="shared" si="2"/>
        <v>1972PHO</v>
      </c>
      <c r="E214" s="246">
        <v>113.898</v>
      </c>
    </row>
    <row r="215">
      <c r="A215" s="245" t="s">
        <v>505</v>
      </c>
      <c r="B215" s="245">
        <f t="shared" si="1"/>
        <v>1972</v>
      </c>
      <c r="C215" s="245" t="s">
        <v>504</v>
      </c>
      <c r="D215" s="246" t="str">
        <f t="shared" si="2"/>
        <v>1972POR</v>
      </c>
      <c r="E215" s="246">
        <v>114.6143</v>
      </c>
    </row>
    <row r="216">
      <c r="A216" s="245" t="s">
        <v>505</v>
      </c>
      <c r="B216" s="245">
        <f t="shared" si="1"/>
        <v>1972</v>
      </c>
      <c r="C216" s="245" t="s">
        <v>496</v>
      </c>
      <c r="D216" s="246" t="str">
        <f t="shared" si="2"/>
        <v>1972SEA</v>
      </c>
      <c r="E216" s="246">
        <v>109.528</v>
      </c>
    </row>
    <row r="217">
      <c r="A217" s="245" t="s">
        <v>507</v>
      </c>
      <c r="B217" s="245">
        <f t="shared" si="1"/>
        <v>1973</v>
      </c>
      <c r="C217" s="245" t="s">
        <v>498</v>
      </c>
      <c r="D217" s="246" t="str">
        <f t="shared" si="2"/>
        <v>1973ATL</v>
      </c>
      <c r="E217" s="246">
        <v>113.4431</v>
      </c>
    </row>
    <row r="218">
      <c r="A218" s="245" t="s">
        <v>507</v>
      </c>
      <c r="B218" s="245">
        <f t="shared" si="1"/>
        <v>1973</v>
      </c>
      <c r="C218" s="245" t="s">
        <v>488</v>
      </c>
      <c r="D218" s="246" t="str">
        <f t="shared" si="2"/>
        <v>1973BAL</v>
      </c>
      <c r="E218" s="246">
        <v>106.7638</v>
      </c>
    </row>
    <row r="219">
      <c r="A219" s="245" t="s">
        <v>507</v>
      </c>
      <c r="B219" s="245">
        <f t="shared" si="1"/>
        <v>1973</v>
      </c>
      <c r="C219" s="245" t="s">
        <v>461</v>
      </c>
      <c r="D219" s="246" t="str">
        <f t="shared" si="2"/>
        <v>1973BOS</v>
      </c>
      <c r="E219" s="246">
        <v>114.4427</v>
      </c>
    </row>
    <row r="220">
      <c r="A220" s="245" t="s">
        <v>507</v>
      </c>
      <c r="B220" s="245">
        <f t="shared" si="1"/>
        <v>1973</v>
      </c>
      <c r="C220" s="245" t="s">
        <v>503</v>
      </c>
      <c r="D220" s="246" t="str">
        <f t="shared" si="2"/>
        <v>1973BUF</v>
      </c>
      <c r="E220" s="246">
        <v>111.0</v>
      </c>
    </row>
    <row r="221">
      <c r="A221" s="245" t="s">
        <v>507</v>
      </c>
      <c r="B221" s="245">
        <f t="shared" si="1"/>
        <v>1973</v>
      </c>
      <c r="C221" s="245" t="s">
        <v>493</v>
      </c>
      <c r="D221" s="246" t="str">
        <f t="shared" si="2"/>
        <v>1973CHI</v>
      </c>
      <c r="E221" s="246">
        <v>107.2935</v>
      </c>
    </row>
    <row r="222">
      <c r="A222" s="245" t="s">
        <v>507</v>
      </c>
      <c r="B222" s="245">
        <f t="shared" si="1"/>
        <v>1973</v>
      </c>
      <c r="C222" s="245" t="s">
        <v>25</v>
      </c>
      <c r="D222" s="246" t="str">
        <f t="shared" si="2"/>
        <v>1973CLE</v>
      </c>
      <c r="E222" s="246">
        <v>109.1153</v>
      </c>
    </row>
    <row r="223">
      <c r="A223" s="245" t="s">
        <v>507</v>
      </c>
      <c r="B223" s="245">
        <f t="shared" si="1"/>
        <v>1973</v>
      </c>
      <c r="C223" s="245" t="s">
        <v>477</v>
      </c>
      <c r="D223" s="246" t="str">
        <f t="shared" si="2"/>
        <v>1973DET</v>
      </c>
      <c r="E223" s="246">
        <v>111.1649</v>
      </c>
    </row>
    <row r="224">
      <c r="A224" s="245" t="s">
        <v>507</v>
      </c>
      <c r="B224" s="245">
        <f t="shared" si="1"/>
        <v>1973</v>
      </c>
      <c r="C224" s="245" t="s">
        <v>311</v>
      </c>
      <c r="D224" s="246" t="str">
        <f t="shared" si="2"/>
        <v>1973GSW</v>
      </c>
      <c r="E224" s="246">
        <v>109.234</v>
      </c>
    </row>
    <row r="225">
      <c r="A225" s="245" t="s">
        <v>507</v>
      </c>
      <c r="B225" s="245">
        <f t="shared" si="1"/>
        <v>1973</v>
      </c>
      <c r="C225" s="245" t="s">
        <v>506</v>
      </c>
      <c r="D225" s="246" t="str">
        <f t="shared" si="2"/>
        <v>1973HOU</v>
      </c>
      <c r="E225" s="246">
        <v>113.7541</v>
      </c>
    </row>
    <row r="226">
      <c r="A226" s="245" t="s">
        <v>507</v>
      </c>
      <c r="B226" s="245">
        <f t="shared" si="1"/>
        <v>1973</v>
      </c>
      <c r="C226" s="245" t="s">
        <v>508</v>
      </c>
      <c r="D226" s="246" t="str">
        <f t="shared" si="2"/>
        <v>1973KCO</v>
      </c>
      <c r="E226" s="246">
        <v>109.1</v>
      </c>
    </row>
    <row r="227">
      <c r="A227" s="245" t="s">
        <v>507</v>
      </c>
      <c r="B227" s="245">
        <f t="shared" si="1"/>
        <v>1973</v>
      </c>
      <c r="C227" s="245" t="s">
        <v>481</v>
      </c>
      <c r="D227" s="246" t="str">
        <f t="shared" si="2"/>
        <v>1973LAL</v>
      </c>
      <c r="E227" s="246">
        <v>110.3969</v>
      </c>
    </row>
    <row r="228">
      <c r="A228" s="245" t="s">
        <v>507</v>
      </c>
      <c r="B228" s="245">
        <f t="shared" si="1"/>
        <v>1973</v>
      </c>
      <c r="C228" s="245" t="s">
        <v>499</v>
      </c>
      <c r="D228" s="246" t="str">
        <f t="shared" si="2"/>
        <v>1973MIL</v>
      </c>
      <c r="E228" s="246">
        <v>106.4311</v>
      </c>
    </row>
    <row r="229">
      <c r="A229" s="245" t="s">
        <v>507</v>
      </c>
      <c r="B229" s="245">
        <f t="shared" si="1"/>
        <v>1973</v>
      </c>
      <c r="C229" s="245" t="s">
        <v>466</v>
      </c>
      <c r="D229" s="246" t="str">
        <f t="shared" si="2"/>
        <v>1973NYK</v>
      </c>
      <c r="E229" s="246">
        <v>105.4425</v>
      </c>
    </row>
    <row r="230">
      <c r="A230" s="245" t="s">
        <v>507</v>
      </c>
      <c r="B230" s="245">
        <f t="shared" si="1"/>
        <v>1973</v>
      </c>
      <c r="C230" s="245" t="s">
        <v>489</v>
      </c>
      <c r="D230" s="246" t="str">
        <f t="shared" si="2"/>
        <v>1973PHI</v>
      </c>
      <c r="E230" s="246">
        <v>115.0362</v>
      </c>
    </row>
    <row r="231">
      <c r="A231" s="245" t="s">
        <v>507</v>
      </c>
      <c r="B231" s="245">
        <f t="shared" si="1"/>
        <v>1973</v>
      </c>
      <c r="C231" s="245" t="s">
        <v>500</v>
      </c>
      <c r="D231" s="246" t="str">
        <f t="shared" si="2"/>
        <v>1973PHO</v>
      </c>
      <c r="E231" s="246">
        <v>112.5616</v>
      </c>
    </row>
    <row r="232">
      <c r="A232" s="245" t="s">
        <v>507</v>
      </c>
      <c r="B232" s="245">
        <f t="shared" si="1"/>
        <v>1973</v>
      </c>
      <c r="C232" s="245" t="s">
        <v>504</v>
      </c>
      <c r="D232" s="246" t="str">
        <f t="shared" si="2"/>
        <v>1973POR</v>
      </c>
      <c r="E232" s="246">
        <v>112.3513</v>
      </c>
    </row>
    <row r="233">
      <c r="A233" s="245" t="s">
        <v>507</v>
      </c>
      <c r="B233" s="245">
        <f t="shared" si="1"/>
        <v>1973</v>
      </c>
      <c r="C233" s="245" t="s">
        <v>496</v>
      </c>
      <c r="D233" s="246" t="str">
        <f t="shared" si="2"/>
        <v>1973SEA</v>
      </c>
      <c r="E233" s="246">
        <v>108.5035</v>
      </c>
    </row>
  </sheetData>
  <drawing r:id="rId1"/>
</worksheet>
</file>